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defaultThemeVersion="166925"/>
  <mc:AlternateContent xmlns:mc="http://schemas.openxmlformats.org/markup-compatibility/2006">
    <mc:Choice Requires="x15">
      <x15ac:absPath xmlns:x15ac="http://schemas.microsoft.com/office/spreadsheetml/2010/11/ac" url="C:\Users\Maxime\Documents\Global Coral Reef Fund\Executive Board\EB Jan 21\Executive Board Final\FINAL FINAL\Philippines\"/>
    </mc:Choice>
  </mc:AlternateContent>
  <xr:revisionPtr revIDLastSave="0" documentId="13_ncr:1_{376E2F1A-434B-451B-A2E2-43B138B18431}" xr6:coauthVersionLast="45" xr6:coauthVersionMax="45" xr10:uidLastSave="{00000000-0000-0000-0000-000000000000}"/>
  <bookViews>
    <workbookView xWindow="-108" yWindow="-108" windowWidth="23256" windowHeight="12576" tabRatio="898" firstSheet="5" activeTab="7" xr2:uid="{00000000-000D-0000-FFFF-FFFF00000000}"/>
  </bookViews>
  <sheets>
    <sheet name="A. Work Plan -" sheetId="19" state="hidden" r:id="rId1"/>
    <sheet name="A. Budget UNDG Categories -" sheetId="21" state="hidden" r:id="rId2"/>
    <sheet name="B. Budget per SDG targets" sheetId="22" state="hidden" r:id="rId3"/>
    <sheet name="C. Workplan" sheetId="23" state="hidden" r:id="rId4"/>
    <sheet name="Sheet1" sheetId="24" state="hidden" r:id="rId5"/>
    <sheet name="A. Budget UNDG Categories - (2)" sheetId="26" r:id="rId6"/>
    <sheet name="D. Budget by Outcome Febjun2021" sheetId="20" r:id="rId7"/>
    <sheet name="C. Workplan (2)" sheetId="27"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6" hidden="1">'D. Budget by Outcome Febjun2021'!$A$4:$U$60</definedName>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20" l="1"/>
  <c r="M18" i="20"/>
  <c r="M19" i="20"/>
  <c r="M21" i="20"/>
  <c r="M23" i="20"/>
  <c r="M24" i="20"/>
  <c r="H7" i="27"/>
  <c r="L29" i="20"/>
  <c r="M29" i="20"/>
  <c r="L30" i="20"/>
  <c r="M30" i="20"/>
  <c r="L31" i="20"/>
  <c r="M31" i="20"/>
  <c r="L32" i="20"/>
  <c r="M32" i="20"/>
  <c r="L33" i="20"/>
  <c r="M33" i="20"/>
  <c r="L34" i="20"/>
  <c r="M34" i="20"/>
  <c r="L35" i="20"/>
  <c r="M35" i="20"/>
  <c r="L36" i="20"/>
  <c r="M36" i="20"/>
  <c r="L37" i="20"/>
  <c r="M37" i="20"/>
  <c r="M38" i="20"/>
  <c r="H12" i="27"/>
  <c r="M44" i="20"/>
  <c r="L45" i="20"/>
  <c r="N45" i="20"/>
  <c r="M45" i="20"/>
  <c r="L46" i="20"/>
  <c r="N46" i="20"/>
  <c r="M46" i="20"/>
  <c r="L47" i="20"/>
  <c r="M47" i="20"/>
  <c r="M48" i="20"/>
  <c r="H17" i="27"/>
  <c r="M50" i="20"/>
  <c r="M51" i="20"/>
  <c r="M52" i="20"/>
  <c r="H18" i="27"/>
  <c r="H20" i="27"/>
  <c r="M40" i="20"/>
  <c r="N38" i="20"/>
  <c r="N40" i="20"/>
  <c r="L38" i="20"/>
  <c r="L40" i="20"/>
  <c r="N19" i="20"/>
  <c r="N23" i="20"/>
  <c r="N24" i="20"/>
  <c r="I7" i="27"/>
  <c r="I12" i="27"/>
  <c r="N48" i="20"/>
  <c r="I17" i="27"/>
  <c r="I20" i="27"/>
  <c r="J7" i="27"/>
  <c r="J12" i="27"/>
  <c r="J17" i="27"/>
  <c r="J18" i="27"/>
  <c r="J20" i="27"/>
  <c r="J19" i="27"/>
  <c r="G8" i="27"/>
  <c r="G7" i="27"/>
  <c r="P36" i="20"/>
  <c r="Q36" i="20"/>
  <c r="R36" i="20"/>
  <c r="P35" i="20"/>
  <c r="Q35" i="20"/>
  <c r="R35" i="20"/>
  <c r="L17" i="20"/>
  <c r="P32" i="20"/>
  <c r="Q32" i="20"/>
  <c r="R32" i="20"/>
  <c r="D32" i="20"/>
  <c r="P31" i="20"/>
  <c r="Q31" i="20"/>
  <c r="R31" i="20"/>
  <c r="P29" i="20"/>
  <c r="Q29" i="20"/>
  <c r="R29" i="20"/>
  <c r="A15" i="27"/>
  <c r="J14" i="27"/>
  <c r="J13" i="27"/>
  <c r="D36" i="20"/>
  <c r="P30" i="20"/>
  <c r="T58" i="20"/>
  <c r="Q30" i="20"/>
  <c r="R30" i="20"/>
  <c r="E22" i="20"/>
  <c r="D31" i="20"/>
  <c r="D29" i="20"/>
  <c r="D17" i="20"/>
  <c r="D22" i="20"/>
  <c r="D21" i="20"/>
  <c r="L23" i="20"/>
  <c r="C11" i="22"/>
  <c r="W26" i="23"/>
  <c r="W25" i="23"/>
  <c r="W23" i="23"/>
  <c r="W22" i="23"/>
  <c r="W24" i="23"/>
  <c r="W21" i="23"/>
  <c r="W20" i="23"/>
  <c r="W16" i="23"/>
  <c r="W15" i="23"/>
  <c r="W14" i="23"/>
  <c r="W13" i="23"/>
  <c r="W12" i="23"/>
  <c r="W11" i="23"/>
  <c r="W7" i="23"/>
  <c r="W10" i="23"/>
  <c r="W9" i="23"/>
  <c r="W8" i="23"/>
  <c r="A31" i="23"/>
  <c r="A30" i="23"/>
  <c r="A29" i="23"/>
  <c r="L55" i="20"/>
  <c r="N55" i="20"/>
  <c r="D55" i="20"/>
  <c r="L54" i="20"/>
  <c r="N54" i="20"/>
  <c r="D54" i="20"/>
  <c r="D50" i="20"/>
  <c r="D51" i="20"/>
  <c r="N56" i="20"/>
  <c r="Y31" i="23"/>
  <c r="L56" i="20"/>
  <c r="M55" i="20"/>
  <c r="M54" i="20"/>
  <c r="A27" i="23"/>
  <c r="F26" i="23"/>
  <c r="F25" i="23"/>
  <c r="F24" i="23"/>
  <c r="F23" i="23"/>
  <c r="F22" i="23"/>
  <c r="F21" i="23"/>
  <c r="F20" i="23"/>
  <c r="M56" i="20"/>
  <c r="X31" i="23"/>
  <c r="Z31" i="23"/>
  <c r="F16" i="23"/>
  <c r="F15" i="23"/>
  <c r="F14" i="23"/>
  <c r="F13" i="23"/>
  <c r="F12" i="23"/>
  <c r="F11" i="23"/>
  <c r="F10" i="23"/>
  <c r="F9" i="23"/>
  <c r="F8" i="23"/>
  <c r="F7" i="23"/>
  <c r="A25" i="23"/>
  <c r="J15" i="19"/>
  <c r="A15" i="19"/>
  <c r="A7" i="20"/>
  <c r="A7" i="23"/>
  <c r="Y25" i="23"/>
  <c r="X25" i="23"/>
  <c r="Z25" i="23"/>
  <c r="E8" i="21"/>
  <c r="D8" i="21"/>
  <c r="G11" i="21"/>
  <c r="F11" i="21"/>
  <c r="G8" i="21"/>
  <c r="F8" i="21"/>
  <c r="F7" i="21"/>
  <c r="G7" i="21"/>
  <c r="E7" i="21"/>
  <c r="D7" i="21"/>
  <c r="C11" i="21"/>
  <c r="B11" i="21"/>
  <c r="C8" i="21"/>
  <c r="B8" i="21"/>
  <c r="C7" i="21"/>
  <c r="B7" i="21"/>
  <c r="E35" i="21"/>
  <c r="E36" i="21"/>
  <c r="E37" i="21"/>
  <c r="E38" i="21"/>
  <c r="E39" i="21"/>
  <c r="E40" i="21"/>
  <c r="E41" i="21"/>
  <c r="E50" i="21"/>
  <c r="E51" i="21"/>
  <c r="E52" i="21"/>
  <c r="E53" i="21"/>
  <c r="E54" i="21"/>
  <c r="E55" i="21"/>
  <c r="E57" i="21"/>
  <c r="E69" i="21"/>
  <c r="E70" i="21"/>
  <c r="E71" i="21"/>
  <c r="E72" i="21"/>
  <c r="E73" i="21"/>
  <c r="E74" i="21"/>
  <c r="E75" i="21"/>
  <c r="E84" i="21"/>
  <c r="E85" i="21"/>
  <c r="E86" i="21"/>
  <c r="E87" i="21"/>
  <c r="E88" i="21"/>
  <c r="E89" i="21"/>
  <c r="E91" i="21"/>
  <c r="G35" i="21"/>
  <c r="G36" i="21"/>
  <c r="G37" i="21"/>
  <c r="G38" i="21"/>
  <c r="G39" i="21"/>
  <c r="G40" i="21"/>
  <c r="G41" i="21"/>
  <c r="G58" i="21"/>
  <c r="G69" i="21"/>
  <c r="G70" i="21"/>
  <c r="I70" i="21"/>
  <c r="G71" i="21"/>
  <c r="G72" i="21"/>
  <c r="G73" i="21"/>
  <c r="G74" i="21"/>
  <c r="I74" i="21"/>
  <c r="G75" i="21"/>
  <c r="G92" i="21"/>
  <c r="I35" i="21"/>
  <c r="I39" i="21"/>
  <c r="I41" i="21"/>
  <c r="I38" i="21"/>
  <c r="I43" i="21"/>
  <c r="I77" i="21"/>
  <c r="L52" i="20"/>
  <c r="D46" i="20"/>
  <c r="D47" i="20"/>
  <c r="D12" i="21"/>
  <c r="F12" i="21"/>
  <c r="I72" i="21"/>
  <c r="I8" i="21"/>
  <c r="I7" i="21"/>
  <c r="I40" i="21"/>
  <c r="I69" i="21"/>
  <c r="I75" i="21"/>
  <c r="I71" i="21"/>
  <c r="I36" i="21"/>
  <c r="E76" i="21"/>
  <c r="E78" i="21"/>
  <c r="E42" i="21"/>
  <c r="E44" i="21"/>
  <c r="E90" i="21"/>
  <c r="E93" i="21"/>
  <c r="E94" i="21"/>
  <c r="E95" i="21"/>
  <c r="I37" i="21"/>
  <c r="I42" i="21"/>
  <c r="E56" i="21"/>
  <c r="E59" i="21"/>
  <c r="E60" i="21"/>
  <c r="E61" i="21"/>
  <c r="G76" i="21"/>
  <c r="G78" i="21"/>
  <c r="G42" i="21"/>
  <c r="G44" i="21"/>
  <c r="I73" i="21"/>
  <c r="N52" i="20"/>
  <c r="Y30" i="23"/>
  <c r="B12" i="21"/>
  <c r="H12" i="21"/>
  <c r="E12" i="21"/>
  <c r="C12" i="21"/>
  <c r="G12" i="21"/>
  <c r="I44" i="21"/>
  <c r="I76" i="21"/>
  <c r="I78" i="21"/>
  <c r="I12" i="21"/>
  <c r="A26" i="23"/>
  <c r="A22" i="23"/>
  <c r="D30" i="20"/>
  <c r="A20" i="23"/>
  <c r="D35" i="20"/>
  <c r="A16" i="23"/>
  <c r="A26" i="20"/>
  <c r="X30" i="23"/>
  <c r="Z30" i="23"/>
  <c r="A17" i="23"/>
  <c r="A9" i="27" a="1"/>
  <c r="A9" i="27"/>
  <c r="L39" i="20"/>
  <c r="D11" i="21"/>
  <c r="Y26" i="23"/>
  <c r="D9" i="21"/>
  <c r="E10" i="21"/>
  <c r="F6" i="21"/>
  <c r="D10" i="21"/>
  <c r="X26" i="23"/>
  <c r="D6" i="21"/>
  <c r="F10" i="21"/>
  <c r="G10" i="21"/>
  <c r="N39" i="20"/>
  <c r="E9" i="21"/>
  <c r="M39" i="20"/>
  <c r="Z26" i="23"/>
  <c r="X20" i="23"/>
  <c r="Y20" i="23"/>
  <c r="Y22" i="23"/>
  <c r="X22" i="23"/>
  <c r="Y11" i="23"/>
  <c r="A15" i="20"/>
  <c r="A14" i="23"/>
  <c r="A11" i="23"/>
  <c r="D18" i="20"/>
  <c r="E11" i="21"/>
  <c r="I11" i="21"/>
  <c r="Z20" i="23"/>
  <c r="L19" i="20"/>
  <c r="L24" i="20"/>
  <c r="L25" i="20"/>
  <c r="Z22" i="23"/>
  <c r="N25" i="20"/>
  <c r="Y14" i="23"/>
  <c r="F9" i="21"/>
  <c r="Y16" i="23"/>
  <c r="X11" i="23"/>
  <c r="Z11" i="23"/>
  <c r="E6" i="21"/>
  <c r="E13" i="21"/>
  <c r="E14" i="21"/>
  <c r="E15" i="21"/>
  <c r="G9" i="21"/>
  <c r="M25" i="20"/>
  <c r="A6" i="20"/>
  <c r="F91" i="21"/>
  <c r="D91" i="21"/>
  <c r="F89" i="21"/>
  <c r="D89" i="21"/>
  <c r="F88" i="21"/>
  <c r="D88" i="21"/>
  <c r="G88" i="21"/>
  <c r="F87" i="21"/>
  <c r="D87" i="21"/>
  <c r="G87" i="21"/>
  <c r="F86" i="21"/>
  <c r="D86" i="21"/>
  <c r="G86" i="21"/>
  <c r="F85" i="21"/>
  <c r="D85" i="21"/>
  <c r="G85" i="21"/>
  <c r="F84" i="21"/>
  <c r="D84" i="21"/>
  <c r="G84" i="21"/>
  <c r="F75" i="21"/>
  <c r="D75" i="21"/>
  <c r="F74" i="21"/>
  <c r="D74" i="21"/>
  <c r="F73" i="21"/>
  <c r="D73" i="21"/>
  <c r="F72" i="21"/>
  <c r="D72" i="21"/>
  <c r="F71" i="21"/>
  <c r="D71" i="21"/>
  <c r="F70" i="21"/>
  <c r="D70" i="21"/>
  <c r="F69" i="21"/>
  <c r="D69" i="21"/>
  <c r="F57" i="21"/>
  <c r="D57" i="21"/>
  <c r="G57" i="21"/>
  <c r="F55" i="21"/>
  <c r="D55" i="21"/>
  <c r="G55" i="21"/>
  <c r="F54" i="21"/>
  <c r="D54" i="21"/>
  <c r="G54" i="21"/>
  <c r="F53" i="21"/>
  <c r="D53" i="21"/>
  <c r="G53" i="21"/>
  <c r="F52" i="21"/>
  <c r="D52" i="21"/>
  <c r="G52" i="21"/>
  <c r="F51" i="21"/>
  <c r="D51" i="21"/>
  <c r="G51" i="21"/>
  <c r="F50" i="21"/>
  <c r="D50" i="21"/>
  <c r="G50" i="21"/>
  <c r="F41" i="21"/>
  <c r="D41" i="21"/>
  <c r="F40" i="21"/>
  <c r="D40" i="21"/>
  <c r="F39" i="21"/>
  <c r="D39" i="21"/>
  <c r="F38" i="21"/>
  <c r="D38" i="21"/>
  <c r="F37" i="21"/>
  <c r="D37" i="21"/>
  <c r="F36" i="21"/>
  <c r="D36" i="21"/>
  <c r="F35" i="21"/>
  <c r="D35" i="21"/>
  <c r="H11" i="21"/>
  <c r="H7" i="21"/>
  <c r="D45" i="20"/>
  <c r="D44" i="20"/>
  <c r="J21" i="19"/>
  <c r="H28" i="19"/>
  <c r="J23" i="19"/>
  <c r="A14" i="19"/>
  <c r="A13" i="19"/>
  <c r="A16" i="19"/>
  <c r="A7" i="19"/>
  <c r="A8" i="19"/>
  <c r="A10" i="19"/>
  <c r="A4" i="23"/>
  <c r="A4" i="27" a="1"/>
  <c r="A4" i="27"/>
  <c r="X14" i="23"/>
  <c r="Z14" i="23"/>
  <c r="L48" i="20"/>
  <c r="L57" i="20"/>
  <c r="B10" i="21"/>
  <c r="H10" i="21"/>
  <c r="H8" i="21"/>
  <c r="G91" i="21"/>
  <c r="G89" i="21"/>
  <c r="G90" i="21"/>
  <c r="G56" i="21"/>
  <c r="G59" i="21"/>
  <c r="H37" i="21"/>
  <c r="F42" i="21"/>
  <c r="H39" i="21"/>
  <c r="H41" i="21"/>
  <c r="H35" i="21"/>
  <c r="G6" i="21"/>
  <c r="G13" i="21"/>
  <c r="G14" i="21"/>
  <c r="G15" i="21"/>
  <c r="D56" i="21"/>
  <c r="D59" i="21"/>
  <c r="D60" i="21"/>
  <c r="D76" i="21"/>
  <c r="D77" i="21"/>
  <c r="D78" i="21"/>
  <c r="H70" i="21"/>
  <c r="H72" i="21"/>
  <c r="H74" i="21"/>
  <c r="D42" i="21"/>
  <c r="D43" i="21"/>
  <c r="D44" i="21"/>
  <c r="H36" i="21"/>
  <c r="H38" i="21"/>
  <c r="H40" i="21"/>
  <c r="F90" i="21"/>
  <c r="F93" i="21"/>
  <c r="F94" i="21"/>
  <c r="F95" i="21"/>
  <c r="F56" i="21"/>
  <c r="F59" i="21"/>
  <c r="F60" i="21"/>
  <c r="F61" i="21"/>
  <c r="H69" i="21"/>
  <c r="F76" i="21"/>
  <c r="F77" i="21"/>
  <c r="F78" i="21"/>
  <c r="H71" i="21"/>
  <c r="H73" i="21"/>
  <c r="H75" i="21"/>
  <c r="D13" i="21"/>
  <c r="D14" i="21"/>
  <c r="D15" i="21"/>
  <c r="D16" i="21"/>
  <c r="D90" i="21"/>
  <c r="D93" i="21"/>
  <c r="D94" i="21"/>
  <c r="F43" i="21"/>
  <c r="F44" i="21"/>
  <c r="F13" i="21"/>
  <c r="J27" i="19"/>
  <c r="A9" i="19"/>
  <c r="J9" i="19"/>
  <c r="I28" i="19"/>
  <c r="H11" i="19"/>
  <c r="I11" i="19"/>
  <c r="J13" i="19"/>
  <c r="J10" i="19"/>
  <c r="J8" i="19"/>
  <c r="I17" i="19"/>
  <c r="J25" i="19"/>
  <c r="J14" i="19"/>
  <c r="J7" i="19"/>
  <c r="H17" i="19"/>
  <c r="J16" i="19"/>
  <c r="N57" i="20"/>
  <c r="Y29" i="23"/>
  <c r="B6" i="21"/>
  <c r="H6" i="21"/>
  <c r="B9" i="21"/>
  <c r="C6" i="21"/>
  <c r="G93" i="21"/>
  <c r="D61" i="21"/>
  <c r="G61" i="21"/>
  <c r="G60" i="21"/>
  <c r="D95" i="21"/>
  <c r="G95" i="21"/>
  <c r="G94" i="21"/>
  <c r="H42" i="21"/>
  <c r="H43" i="21"/>
  <c r="H44" i="21"/>
  <c r="H76" i="21"/>
  <c r="X16" i="23"/>
  <c r="Z16" i="23"/>
  <c r="F14" i="21"/>
  <c r="F15" i="21"/>
  <c r="F16" i="21"/>
  <c r="J28" i="19"/>
  <c r="I18" i="19"/>
  <c r="I29" i="19"/>
  <c r="H18" i="19"/>
  <c r="H29" i="19"/>
  <c r="J17" i="19"/>
  <c r="J11" i="19"/>
  <c r="C10" i="21"/>
  <c r="I10" i="21"/>
  <c r="C9" i="21"/>
  <c r="I9" i="21"/>
  <c r="M57" i="20"/>
  <c r="B11" i="26"/>
  <c r="B12" i="26"/>
  <c r="X29" i="23"/>
  <c r="Z29" i="23"/>
  <c r="H9" i="21"/>
  <c r="H13" i="21"/>
  <c r="J12" i="21"/>
  <c r="B13" i="21"/>
  <c r="B14" i="21"/>
  <c r="B15" i="21"/>
  <c r="I6" i="21"/>
  <c r="H77" i="21"/>
  <c r="H78" i="21"/>
  <c r="I30" i="19"/>
  <c r="J18" i="19"/>
  <c r="J29" i="19"/>
  <c r="H30" i="19"/>
  <c r="C13" i="21"/>
  <c r="C14" i="21"/>
  <c r="C15" i="21"/>
  <c r="I15" i="21"/>
  <c r="I13" i="21"/>
  <c r="K6" i="21"/>
  <c r="Y7" i="23"/>
  <c r="H14" i="21"/>
  <c r="H15" i="21"/>
  <c r="J11" i="21"/>
  <c r="J10" i="21"/>
  <c r="J8" i="21"/>
  <c r="J6" i="21"/>
  <c r="J9" i="21"/>
  <c r="J7" i="21"/>
  <c r="J30" i="19"/>
  <c r="J31" i="19"/>
  <c r="I31" i="19"/>
  <c r="H31" i="19"/>
  <c r="H16" i="21"/>
  <c r="B16" i="21"/>
  <c r="X7" i="23"/>
  <c r="Z7" i="23"/>
  <c r="N41" i="20"/>
  <c r="N58" i="20"/>
  <c r="N59" i="20"/>
  <c r="J14" i="21"/>
  <c r="K12" i="21"/>
  <c r="K7" i="21"/>
  <c r="I14" i="21"/>
  <c r="K14" i="21"/>
  <c r="K8" i="21"/>
  <c r="K13" i="21"/>
  <c r="K11" i="21"/>
  <c r="K10" i="21"/>
  <c r="K9" i="21"/>
  <c r="J13" i="21"/>
  <c r="N60" i="20"/>
  <c r="F11" i="22"/>
  <c r="M41" i="20"/>
  <c r="M58" i="20"/>
  <c r="M59" i="20"/>
  <c r="B13" i="26"/>
  <c r="B14" i="26"/>
  <c r="J15" i="21"/>
  <c r="K15" i="21"/>
  <c r="L6" i="21"/>
  <c r="L10" i="21"/>
  <c r="L12" i="21"/>
  <c r="L9" i="21"/>
  <c r="L7" i="21"/>
  <c r="L11" i="21"/>
  <c r="L8" i="21"/>
  <c r="L13" i="21"/>
  <c r="L14" i="21"/>
  <c r="M60" i="20"/>
  <c r="E11" i="22"/>
  <c r="F6" i="22"/>
  <c r="F7" i="22"/>
  <c r="F8" i="22"/>
  <c r="F5" i="22"/>
  <c r="F9" i="22"/>
  <c r="F10" i="22"/>
  <c r="L15" i="21"/>
  <c r="E7" i="22"/>
  <c r="E9" i="22"/>
  <c r="E6" i="22"/>
  <c r="E8" i="22"/>
  <c r="E5" i="22"/>
  <c r="E10" i="22"/>
  <c r="L41" i="20"/>
  <c r="L58" i="20"/>
  <c r="L59" i="20"/>
  <c r="L60" i="20"/>
  <c r="D11" i="22"/>
  <c r="D6" i="22"/>
  <c r="D8" i="22"/>
  <c r="D10" i="22"/>
  <c r="D9" i="22"/>
  <c r="D5" i="22"/>
  <c r="D7"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<sst xmlns="http://schemas.openxmlformats.org/spreadsheetml/2006/main" count="554" uniqueCount="249">
  <si>
    <t>Outcome</t>
  </si>
  <si>
    <t xml:space="preserve">Output </t>
  </si>
  <si>
    <t xml:space="preserve">Outcome/Output Description </t>
  </si>
  <si>
    <t xml:space="preserve">TIME FRAME </t>
  </si>
  <si>
    <t>PLANNED BUDGET</t>
  </si>
  <si>
    <t>Recipient UN organization</t>
  </si>
  <si>
    <t>Y1</t>
  </si>
  <si>
    <t>Y2</t>
  </si>
  <si>
    <t>Y3</t>
  </si>
  <si>
    <t>A. PROGRAMME OUTCOME COSTS</t>
  </si>
  <si>
    <t>x</t>
  </si>
  <si>
    <t>UN Women</t>
  </si>
  <si>
    <t>TOTAL PROGRAMME OUTCOME COSTS</t>
  </si>
  <si>
    <t>N/A</t>
  </si>
  <si>
    <t>UNDP</t>
  </si>
  <si>
    <t>UN WOMEN</t>
  </si>
  <si>
    <t>UNFPA</t>
  </si>
  <si>
    <t>UNICEF</t>
  </si>
  <si>
    <t>EVALUATION</t>
  </si>
  <si>
    <t>Evaluation</t>
  </si>
  <si>
    <t>TOTAL PROGRAMME MANAGMENT COSTS</t>
  </si>
  <si>
    <t>TOTAL COSTS</t>
  </si>
  <si>
    <t>Unit quantity</t>
  </si>
  <si>
    <t>Unit Cost 
(USD)</t>
  </si>
  <si>
    <t>Duration</t>
  </si>
  <si>
    <t>% Charged to Programme</t>
  </si>
  <si>
    <t>UNDG Budget Category (1-7)</t>
  </si>
  <si>
    <t>Narrative description of budget lines</t>
  </si>
  <si>
    <t>Output</t>
  </si>
  <si>
    <t xml:space="preserve">Activity </t>
  </si>
  <si>
    <t>Budget Lines</t>
  </si>
  <si>
    <t xml:space="preserve">Sub-Total Activity 1.1.1:   </t>
  </si>
  <si>
    <t>Sub-Total Output 1.1:</t>
  </si>
  <si>
    <t xml:space="preserve">Sub-Total Activity 1.2.1:   </t>
  </si>
  <si>
    <t xml:space="preserve">Sub-Total Activity 1.2.2:   </t>
  </si>
  <si>
    <t>Sub-Total Output 1.2:</t>
  </si>
  <si>
    <t>Sub-Total OUTCOME 1:</t>
  </si>
  <si>
    <t>Lump Sum</t>
  </si>
  <si>
    <t>Sub-Total OUTCOME 2:</t>
  </si>
  <si>
    <t>Total PROGRAMME OUTCOME COSTS:</t>
  </si>
  <si>
    <t>TOTAL PROGRAMME MANAGEMENT COSTS:</t>
  </si>
  <si>
    <t>TOTAL DIRECT PROGRAMME COSTS</t>
  </si>
  <si>
    <t>UNDG BUDGET CATEGORIES</t>
  </si>
  <si>
    <t>TOTAL USD</t>
  </si>
  <si>
    <t>TOTAL % by UNDG category</t>
  </si>
  <si>
    <t>Spotlight 
(USD)</t>
  </si>
  <si>
    <t>RUNO Contrib. (USD)</t>
  </si>
  <si>
    <t xml:space="preserve">1. Staff and other personnel </t>
  </si>
  <si>
    <t xml:space="preserve">2. Supplies, Commodities, Materials </t>
  </si>
  <si>
    <t xml:space="preserve">3. Equipment, Vehicles, and Furniture (including Depreciation) </t>
  </si>
  <si>
    <t>4. Contractual services</t>
  </si>
  <si>
    <t xml:space="preserve">5.Travel </t>
  </si>
  <si>
    <t xml:space="preserve">6. Transfers and Grants to Counterparts </t>
  </si>
  <si>
    <t xml:space="preserve">7. General Operating and other Direct Costs </t>
  </si>
  <si>
    <t>Total Direct Costs</t>
  </si>
  <si>
    <t xml:space="preserve">8. Indirect Support Costs (Max. 7%)  </t>
  </si>
  <si>
    <t>UNHCR</t>
  </si>
  <si>
    <t>Y4</t>
  </si>
  <si>
    <t>Joint SDG Fund - GFCR Fiji</t>
  </si>
  <si>
    <t>Joint SDG Fund</t>
  </si>
  <si>
    <t>Global Fund for Coral Reefs</t>
  </si>
  <si>
    <t>Implementing Partners</t>
  </si>
  <si>
    <t>Total USD</t>
  </si>
  <si>
    <t>Outcome 2: Transforming the livelihoods of coral reef-dependent communities</t>
  </si>
  <si>
    <t>Sub-total Outcome 1</t>
  </si>
  <si>
    <t>Total Indirect Support Cost - GMS (7%)</t>
  </si>
  <si>
    <t>UNCDF</t>
  </si>
  <si>
    <t>UNEP</t>
  </si>
  <si>
    <t>B. PROGRAMME MANAGMENT COSTS</t>
  </si>
  <si>
    <t>Sub-total Outcome 2</t>
  </si>
  <si>
    <t>GFCR</t>
  </si>
  <si>
    <t>Total (USD)</t>
  </si>
  <si>
    <t>Budget</t>
  </si>
  <si>
    <t>Output 1.4: Established coral reef and ridge to reef conservation legal and regulatory frameworks to promote protection and mitigation of local threats.</t>
  </si>
  <si>
    <t>Travel, DSA etc</t>
  </si>
  <si>
    <t xml:space="preserve">Sub-Total Activity 2.1.1:   </t>
  </si>
  <si>
    <t>Sub-Total Output 2.1:</t>
  </si>
  <si>
    <t>Time unit (Time units or Lump sum)</t>
  </si>
  <si>
    <t>Operations (rental, internet, phone, laptop etc)</t>
  </si>
  <si>
    <t>Joint SDG Fund
(USD)</t>
  </si>
  <si>
    <t>GFCR (USD)</t>
  </si>
  <si>
    <t>BUDGET BY UNDG CATEGORIES</t>
  </si>
  <si>
    <t>BUDGET BY OUTCOME</t>
  </si>
  <si>
    <t>WORK PLAN</t>
  </si>
  <si>
    <t>TOTAL Budget</t>
  </si>
  <si>
    <t>Combined</t>
  </si>
  <si>
    <t>Total budget combined</t>
  </si>
  <si>
    <t xml:space="preserve">Sub-Total Activity 1.1.2:   </t>
  </si>
  <si>
    <t xml:space="preserve">Sub-Total Activity 1.1.3:   </t>
  </si>
  <si>
    <t>1.2.1.1</t>
  </si>
  <si>
    <t>1.2.1.2</t>
  </si>
  <si>
    <t>1.2.2.1</t>
  </si>
  <si>
    <t>Output 1.1: Increased area of new climate refugia and priority sites designated as MPAs or LMMAs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</si>
  <si>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</si>
  <si>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Output 1.2: Established SPEs financed by revenue generation activities within and around LMMAs and a blended finance facility with high leverage potential for the private sector</t>
  </si>
  <si>
    <t>2.1.1.2</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</si>
  <si>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</si>
  <si>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</si>
  <si>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</si>
  <si>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Activity 2.1.2: Technical assistance and training to upskill local businesses on methodology to measure, monitor and manage the environmental impact of their business operations</t>
  </si>
  <si>
    <t>B. PROGRAMME MANAGEMENT COSTS</t>
  </si>
  <si>
    <t>M&amp;E officer - SB4-3 (responsible for implementation of RM and Evaluation)</t>
  </si>
  <si>
    <t>Consultant to draft Learning and Sharing Plan</t>
  </si>
  <si>
    <t>4.2 Budget per SDG Targets</t>
  </si>
  <si>
    <t>SDG TARGETS</t>
  </si>
  <si>
    <t>%</t>
  </si>
  <si>
    <t>TOTAL</t>
  </si>
  <si>
    <t>4.3 Work plan</t>
  </si>
  <si>
    <t>List of activities</t>
  </si>
  <si>
    <t>Time frame</t>
  </si>
  <si>
    <t>PUNO/s involved</t>
  </si>
  <si>
    <t>Implementing partner/s involved</t>
  </si>
  <si>
    <t>Q1</t>
  </si>
  <si>
    <t>Q2</t>
  </si>
  <si>
    <t>Q3</t>
  </si>
  <si>
    <t>Q4</t>
  </si>
  <si>
    <t>Joint SDG Fund (USD)</t>
  </si>
  <si>
    <t>Total Cost (USD)</t>
  </si>
  <si>
    <t>Mid-term and End Evaluation</t>
  </si>
  <si>
    <t>Management and Operations</t>
  </si>
  <si>
    <t>Communications and Learning</t>
  </si>
  <si>
    <t>Sub-Total Management and Operations</t>
  </si>
  <si>
    <t>Sub-Total Communications and Learning</t>
  </si>
  <si>
    <t>Sub-Total Evaluation</t>
  </si>
  <si>
    <t>2.1.1.1</t>
  </si>
  <si>
    <t>See Annex 6 Communication Plan and Annex 7 Learning and Sharing Plan</t>
  </si>
  <si>
    <t>Mid-term and end-evaluation + ongoing RM activities</t>
  </si>
  <si>
    <t>Management of the implementation of the JP</t>
  </si>
  <si>
    <t>UNDP, UNCDF and UNEP</t>
  </si>
  <si>
    <t>UNDP and UNCDF</t>
  </si>
  <si>
    <t>UNDP and UNEP</t>
  </si>
  <si>
    <t>UNCDF and UNEP</t>
  </si>
  <si>
    <t>MoE, Blue Finance</t>
  </si>
  <si>
    <t>Blue Finance, FLMMA</t>
  </si>
  <si>
    <t xml:space="preserve">Matanataki, </t>
  </si>
  <si>
    <t>MoE, Blue Finance, Althelia/SOF, GFCR, Fiji Hotel and Tourism Association</t>
  </si>
  <si>
    <t>MoE, Invest Fiji</t>
  </si>
  <si>
    <t>Overall budget description*</t>
  </si>
  <si>
    <t>*For details on UNDG budget categories per activity, see sheet D. Budget by Outcome</t>
  </si>
  <si>
    <t>Staff: Communications officer, event costs (venue etc), printing, photography, etc</t>
  </si>
  <si>
    <t>Staff: M&amp;E Officer, Mid-term and end evaluation</t>
  </si>
  <si>
    <t>Staff: Project Mgr, Admin/Support officer, Project Support officer, office rent, utilities etc</t>
  </si>
  <si>
    <t>Annual target/s*</t>
  </si>
  <si>
    <t>Number of coral reef and ridge to reef conservation related resolutions, declarations and laws passed = 0</t>
  </si>
  <si>
    <t>Number of coral reef and ridge to reef conservation related resolutions, declarations and laws passed = 1</t>
  </si>
  <si>
    <t>Number of coral reef and ridge to reef conservation related resolutions, declarations and laws passed = 2</t>
  </si>
  <si>
    <t>Number of coral reef and ridge to reef conservation related resolutions, declarations and laws passed = 3</t>
  </si>
  <si>
    <t>1 MPA with METT score &gt;60</t>
  </si>
  <si>
    <t>2 MPAs with METT score &gt;70</t>
  </si>
  <si>
    <t>3 MPAs with METT score &gt;70</t>
  </si>
  <si>
    <t>4 MPAs with METT score &gt;70</t>
  </si>
  <si>
    <t>1 SPE</t>
  </si>
  <si>
    <t>2 SPE</t>
  </si>
  <si>
    <t>*Targets are cumulative. For details on these targets and other indicators, see Annex 2.2 Results Framework</t>
  </si>
  <si>
    <t>Number of new government strategies and plans to support financing for improved marine biodiversity protection and the blue economy = 0</t>
  </si>
  <si>
    <t>Number of new government strategies and plans to support financing for improved marine biodiversity protection and the blue economy = 1</t>
  </si>
  <si>
    <t>Number of new government incentives to support financing for improved marine biodiversity protection and the blue economy = 0</t>
  </si>
  <si>
    <t>Number of new government strategies and plans to support financing for improved marine biodiversity protection and the blue economy = 2</t>
  </si>
  <si>
    <t>Number of new government strategies and plans to support financing for improved marine biodiversity protection and the blue economy = 3</t>
  </si>
  <si>
    <t>Number of new government incentives to support financing for improved marine biodiversity protection and the blue economy = 1</t>
  </si>
  <si>
    <t>Number of new government incentives to support financing for improved marine biodiversity protection and the blue economy = 2</t>
  </si>
  <si>
    <t>Number of TAF incubated blue economy SMEs that become investment ready = 2</t>
  </si>
  <si>
    <t>Number of TAF incubated blue economy SMEs that become investment ready = 3</t>
  </si>
  <si>
    <t>Number of TAF incubated blue economy SMEs that become investment ready = 4</t>
  </si>
  <si>
    <t>Number of TAF incubated blue economy SMEs that become investment ready = 6</t>
  </si>
  <si>
    <t>Increased private investment in sustainable initiatives and blue economy SMEs related to Coral Reefs = TBD</t>
  </si>
  <si>
    <t>SDG 5.5</t>
  </si>
  <si>
    <t>SDG 10.b</t>
  </si>
  <si>
    <t>SDG 17.1 and 17.3</t>
  </si>
  <si>
    <t>SDG 14.1, 14.2, 14.3, 14.4, 14.5, 14.7</t>
  </si>
  <si>
    <t xml:space="preserve">SDG 1.a and SDG 1.b </t>
  </si>
  <si>
    <t>SDG 8.3, SDG 8.5 and SDG 8.9</t>
  </si>
  <si>
    <t>GFCR Philippines</t>
  </si>
  <si>
    <t>Co-financing</t>
  </si>
  <si>
    <t xml:space="preserve"> Organization</t>
  </si>
  <si>
    <t>Area of new climate refugia and priority sites designated as MPAs = 500</t>
  </si>
  <si>
    <t xml:space="preserve">Area of new climate refugia and priority sites designated as MPAs  = 0 </t>
  </si>
  <si>
    <t xml:space="preserve">Area of new climate refugia and priority sites designated as MPAs  = 1000 </t>
  </si>
  <si>
    <t>Area of new climate refugia and priority sites designated as MPAs  = 1500</t>
  </si>
  <si>
    <t xml:space="preserve">Outcome 1: Protection, effective management and sustainable financing of priority coral reef sites and climate change-affected refugia </t>
  </si>
  <si>
    <t>Blue finance</t>
  </si>
  <si>
    <t>Activity 1.1.1: Design of the MPAs high-level business plan and set-up of the Special Purpose Entities (SPEs - co-management body for the MPAs) in the 3 MPA networks</t>
  </si>
  <si>
    <t xml:space="preserve">Output 1.2: Strengthened management, enforcement and monitoring systems of MPAs by SPEs.  </t>
  </si>
  <si>
    <t>1.2.2.3</t>
  </si>
  <si>
    <t>Activity 1.1.2: Stakeholder engagement and advocacy  in the 3 MPA networks</t>
  </si>
  <si>
    <t xml:space="preserve">Activity 1.1.3: MPA screening, feasibility study and selection of new priority sites in Philippines  </t>
  </si>
  <si>
    <t>Activity 1.2.2: Project Management Office for the SPEs and capacity building to upskill SPEs and MPAs on social entrepreneurship and sustainable business management</t>
  </si>
  <si>
    <t>Conservation International</t>
  </si>
  <si>
    <t>Activity 1.2.1: Technical &amp; Scientific assistance and trainings  in coral reef conservation and natural resource management</t>
  </si>
  <si>
    <t>Activity 2.1.1: Scoping, technical assistance and training to develop a pipeline of investment ready projects in Blue economy sectors</t>
  </si>
  <si>
    <t>UBA Sustainability institute</t>
  </si>
  <si>
    <t>Blue you</t>
  </si>
  <si>
    <t>Output 2.1: Established Development Facility  to structure a pipeline of investment ready reef-positive sustainable businesses and projects within and around the MPA networks of Calamian Island, Tañon Strait and Verde Island Passage</t>
  </si>
  <si>
    <t>Timeline</t>
  </si>
  <si>
    <t>Milestones</t>
  </si>
  <si>
    <t>Activity 1.1.1: Design of the MPAs high-level business plan and set-up of the Special Purpose Entities in the MPA networks of Calamian Island, Tañon Strait and Verde Island Passage</t>
  </si>
  <si>
    <t>Activity 1.1.2: Stakeholder engagement and advocacy in the 3 MPA networks</t>
  </si>
  <si>
    <t>Activity 1.1.3: MPA screening, feasibility study and selection of new priority sites in Philippines</t>
  </si>
  <si>
    <t>Activity 1.2.1: Technical &amp; Scientific assistance and trainings in coral reef conservation and natural resource management</t>
  </si>
  <si>
    <t>Activity 1.2.2: Project Management Office for the SPEs and capacity building</t>
  </si>
  <si>
    <t>Activity 2.1.1: Scoping, technical assistance and training to develop a pipeline of investment ready projects in Blue economy sectors.</t>
  </si>
  <si>
    <t>Activity 2.2.1: Provide early stage costs of the SPE Blue Alliance for North Oriental Mindoro MPA network with leverage from the private sector</t>
  </si>
  <si>
    <t>Activity 2.2.2: Design of the blended finance facility for aggregating the investments in blue economy within and around the 3 MPA networks of Calamian Island, Tañon Strait and Verde Island Passage.</t>
  </si>
  <si>
    <t>Activity 2.2.3: Fundraising for the blended finance facility with donors, DFIs and impact investors. ?? NEEDED with GFCR investment window?</t>
  </si>
  <si>
    <t>Budget Bf + partners 2021 Q2-Q3</t>
  </si>
  <si>
    <t>Feb</t>
  </si>
  <si>
    <t>Mar</t>
  </si>
  <si>
    <t>Apr</t>
  </si>
  <si>
    <t>May</t>
  </si>
  <si>
    <t xml:space="preserve">Blue finance, </t>
  </si>
  <si>
    <t>Amount (US$)</t>
  </si>
  <si>
    <t>Monthly Target</t>
  </si>
  <si>
    <t>Overall budget description</t>
  </si>
  <si>
    <t>Co-financing (USD)</t>
  </si>
  <si>
    <t>X</t>
  </si>
  <si>
    <t xml:space="preserve">Provide initial support for the SPE in VIP Mindoro  to ensure management focus on strategy execution: project planning and reporting, resource forecasting, facilitate &amp; ensure communication to key stakeholders, alignment of interrelations between activities, management of project risks;  </t>
  </si>
  <si>
    <t xml:space="preserve">Includes pre-feasibility study in VIP and Calamian for blue carbon credits through mangrove restoration and conservation projects.. and supports to the initial steps for certification and implementation of the blue carbon project. The study allows to analyse additionality, conditions to fit the eligibility and to apply internationally recognized methodologies and standards, Social, economic and land use history and due diligence, Legal framework analysis, Economic viability analysis, GHGs impacts, SDGs impacts, market potential,  gaps and risks analysis and strategy, Action plan and project design. </t>
  </si>
  <si>
    <t>This output covers feasibility and implementation plan for nature-based businesses in VIP (phase 2), Calamian and TSPS. Business approaches will include MPA admission fees, visitor centers, eco-tourism products, tourism facilities, unerwater attractions, etc.  Activities include scoping, pre-selection, market analysis, due diligence, data gathering, need assessment, community and other stakeholder engagement, high-level business plan, regulatory strategy and financial structuring. Preliminary project design and implementation plan</t>
  </si>
  <si>
    <t>2.1.1.3</t>
  </si>
  <si>
    <t>2.1.1.4</t>
  </si>
  <si>
    <t>2.1.1.5</t>
  </si>
  <si>
    <t>2.1.1.6</t>
  </si>
  <si>
    <t>2.1.1.7</t>
  </si>
  <si>
    <t>2.1.1.8</t>
  </si>
  <si>
    <t xml:space="preserve">This output covers the feasibility study of the mud crab farming in Mindoro (VIP Phase 1). Activities include Scoping and mapping of eligible farming areas , Identification of community leaders / stakeholders, Identification of leaders for investable entity,  Impact intervention: mangrove restoration, Build business model with growout farms, Technical hatchery engineering &amp; design (scalable), CAPEX and OPEX.  </t>
  </si>
  <si>
    <t xml:space="preserve">This output covers the scoping study for aquaculture and fishery businesses in VIP (Phase 2), Calamian islands and TSPS. Target species for  scoping include Reef fish / Mud Crab/ Mollusks / other Crustaceans.  Activities include resource assessment, Identification of community leaders, Build business model, Project business case outline for 1-2 cases with reef fish/mollusks/crustaceans, Prelim CAPEX and OPEX plan, Prelim business plan outline and interventions and Prelim financial projection </t>
  </si>
  <si>
    <t>Update and strengthen MPA Management Plans in VIP Phase 1 in connection and preparation for new activities such as nature based-tourism, mud crab, blue carbon, mangrove-shrimp aquaculture.</t>
  </si>
  <si>
    <t>Travel and food&amp;accomodations</t>
  </si>
  <si>
    <t>Contractual Services</t>
  </si>
  <si>
    <t xml:space="preserve">Full project proposal with high-level business plans for the MPAs in the 3 networks will be developed with revenues from eco-tourism, nature fee solutions, blue carbon, aquaculture and other businesses linked to Blue Economy. Plans will include preliminary business model,  budgets  (Capex and Opex), financial strategy and de-risking aspects. Plans will be developed in consultations with local stakeholders. A coalition of local stakeholders (e.g. NGOs, associations, cooperatives, foundations) will be selected to become members of the SPE. Proper due diligence will be conducted beforehand on stakeholders. </t>
  </si>
  <si>
    <t>Rare Blended finance</t>
  </si>
  <si>
    <t xml:space="preserve">This output covers the feasibility study of the fish suplly chain improivement in TSPS (Fisjh landing center(s) in Bantayan LGU). Activities include target market assessment (e.g. Cebu), new niches, market linkages, identification of community leaders / stakeholders, assessment of policy improvement needs for formalizing businesses engagement in seafood supply and trading,  post harvest added value, build business model for fish landing center , Technical hatchery engineering &amp; design (scalable), CAPEX and OPEX.  </t>
  </si>
  <si>
    <t>Travel</t>
  </si>
  <si>
    <t xml:space="preserve">Programme Manager </t>
  </si>
  <si>
    <t xml:space="preserve">Director  </t>
  </si>
  <si>
    <t>COMMUNICATIONS: Design and Printing costs</t>
  </si>
  <si>
    <t xml:space="preserve">Output 1.2: Strengthened management, enforcement and monitoring systems of MPAs by SPEs.  				</t>
  </si>
  <si>
    <t>Conservation Internartional / Blue finance</t>
  </si>
  <si>
    <t xml:space="preserve">Full project proposal  for the MPAs in the 3 networks with business scoping and feasibility studies for nature based-tourism, nature fee solutions, blue carbon, aquaculture and other businesses linked to Blue Economy. </t>
  </si>
  <si>
    <t>Blue you / Blue finance / Ubá / Rare Blended finance</t>
  </si>
  <si>
    <t>Blue Alliance NGO</t>
  </si>
  <si>
    <t>General Operating and Other Direct Cost, Contractual servies</t>
  </si>
  <si>
    <t>Staff and Personnel, general operating costs</t>
  </si>
  <si>
    <t>Blue finance / Blue Alliance</t>
  </si>
  <si>
    <t xml:space="preserve">Indirect Programme Support Costs  (7%) </t>
  </si>
  <si>
    <t>June</t>
  </si>
  <si>
    <t xml:space="preserve">July </t>
  </si>
  <si>
    <t>August</t>
  </si>
  <si>
    <t>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</si>
</sst>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_(* #,##0.0_);_(* \(#,##0.0\);_(* &quot;-&quot;??_);_(@_)"/>
  </numFmts>
  <fonts count="68"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sz val="9"/>
      <color rgb="FF000000"/>
      <name val="Calibri"/>
      <family val="2"/>
      <scheme val="minor"/>
    </font>
    <font>
      <sz val="10"/>
      <name val="Calibri"/>
      <family val="2"/>
      <scheme val="minor"/>
    </font>
    <font>
      <b/>
      <sz val="10"/>
      <name val="Calibri"/>
      <family val="2"/>
      <scheme val="minor"/>
    </font>
    <font>
      <b/>
      <i/>
      <sz val="1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theme="0"/>
      <name val="Calibri"/>
      <family val="2"/>
      <scheme val="minor"/>
    </font>
    <font>
      <b/>
      <sz val="11"/>
      <name val="Calibri"/>
      <family val="2"/>
      <scheme val="minor"/>
    </font>
    <font>
      <b/>
      <sz val="10"/>
      <color rgb="FF000000"/>
      <name val="Arial"/>
      <family val="2"/>
    </font>
    <font>
      <b/>
      <i/>
      <sz val="12"/>
      <name val="Calibri"/>
      <family val="2"/>
      <scheme val="minor"/>
    </font>
    <font>
      <sz val="12"/>
      <name val="Calibri"/>
      <family val="2"/>
      <scheme val="minor"/>
    </font>
    <font>
      <b/>
      <sz val="12"/>
      <name val="Calibri"/>
      <family val="2"/>
      <scheme val="minor"/>
    </font>
    <font>
      <b/>
      <i/>
      <sz val="12"/>
      <color theme="0"/>
      <name val="Calibri"/>
      <family val="2"/>
      <scheme val="minor"/>
    </font>
    <font>
      <sz val="10"/>
      <color rgb="FF000000"/>
      <name val="Arial"/>
      <family val="2"/>
    </font>
    <font>
      <sz val="11"/>
      <name val="Calibri"/>
      <family val="2"/>
      <scheme val="minor"/>
    </font>
    <font>
      <b/>
      <i/>
      <sz val="11"/>
      <name val="Calibri"/>
      <family val="2"/>
      <scheme val="minor"/>
    </font>
    <font>
      <b/>
      <sz val="12"/>
      <color rgb="FF000000"/>
      <name val="Calibri"/>
      <family val="2"/>
      <scheme val="minor"/>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b/>
      <sz val="14"/>
      <name val="Calibri"/>
      <family val="2"/>
      <scheme val="minor"/>
    </font>
    <font>
      <sz val="10"/>
      <color rgb="FF000000"/>
      <name val="Arial"/>
      <family val="2"/>
    </font>
    <font>
      <sz val="11"/>
      <color theme="0"/>
      <name val="Calibri"/>
      <family val="2"/>
      <scheme val="minor"/>
    </font>
    <font>
      <i/>
      <sz val="10"/>
      <color rgb="FF000000"/>
      <name val="Arial"/>
      <family val="2"/>
    </font>
    <font>
      <sz val="10"/>
      <color rgb="FF000000"/>
      <name val="Arial"/>
      <family val="2"/>
    </font>
    <font>
      <b/>
      <sz val="14"/>
      <color theme="0"/>
      <name val="Calibri"/>
      <family val="2"/>
      <scheme val="minor"/>
    </font>
    <font>
      <sz val="12"/>
      <color rgb="FF000000"/>
      <name val="Calibri"/>
      <family val="2"/>
      <scheme val="minor"/>
    </font>
    <font>
      <sz val="12"/>
      <color theme="1"/>
      <name val="Calibri"/>
      <family val="2"/>
      <scheme val="minor"/>
    </font>
    <font>
      <i/>
      <sz val="11"/>
      <color rgb="FF000000"/>
      <name val="Calibri"/>
      <family val="2"/>
      <scheme val="minor"/>
    </font>
    <font>
      <sz val="8"/>
      <name val="Arial"/>
      <family val="2"/>
    </font>
    <font>
      <sz val="10"/>
      <name val="Calibri"/>
      <family val="2"/>
    </font>
    <font>
      <i/>
      <sz val="10"/>
      <color rgb="FF000000"/>
      <name val="Calibri"/>
      <family val="2"/>
      <scheme val="minor"/>
    </font>
    <font>
      <b/>
      <sz val="12"/>
      <color theme="1"/>
      <name val="Verdana"/>
      <family val="2"/>
    </font>
    <font>
      <b/>
      <sz val="10"/>
      <color theme="0"/>
      <name val="Verdana"/>
      <family val="2"/>
    </font>
    <font>
      <b/>
      <sz val="9"/>
      <color theme="0"/>
      <name val="Verdana"/>
      <family val="2"/>
    </font>
    <font>
      <sz val="9"/>
      <color theme="1"/>
      <name val="Verdana"/>
      <family val="2"/>
    </font>
    <font>
      <sz val="9"/>
      <color theme="1"/>
      <name val="Calibri"/>
      <family val="2"/>
      <scheme val="minor"/>
    </font>
    <font>
      <b/>
      <sz val="12"/>
      <color theme="0"/>
      <name val="Verdana"/>
      <family val="2"/>
    </font>
    <font>
      <sz val="10"/>
      <color theme="1"/>
      <name val="Calibri"/>
      <family val="2"/>
      <scheme val="minor"/>
    </font>
    <font>
      <b/>
      <sz val="11"/>
      <color theme="0"/>
      <name val="Verdana"/>
      <family val="2"/>
    </font>
    <font>
      <b/>
      <sz val="11"/>
      <color theme="1"/>
      <name val="Verdana"/>
      <family val="2"/>
    </font>
    <font>
      <b/>
      <sz val="10"/>
      <color theme="1"/>
      <name val="Verdana"/>
      <family val="2"/>
    </font>
    <font>
      <sz val="10"/>
      <color theme="1"/>
      <name val="Verdana"/>
      <family val="2"/>
    </font>
    <font>
      <b/>
      <sz val="10"/>
      <color theme="1"/>
      <name val="Calibri"/>
      <family val="2"/>
      <scheme val="minor"/>
    </font>
    <font>
      <i/>
      <sz val="11"/>
      <color theme="1"/>
      <name val="Calibri"/>
      <family val="2"/>
      <scheme val="minor"/>
    </font>
    <font>
      <sz val="10"/>
      <color rgb="FF000000"/>
      <name val="Verdana"/>
      <family val="2"/>
    </font>
    <font>
      <b/>
      <sz val="10"/>
      <color rgb="FF000000"/>
      <name val="Verdana"/>
      <family val="2"/>
    </font>
    <font>
      <sz val="9"/>
      <color rgb="FF002060"/>
      <name val="Verdana"/>
      <family val="2"/>
    </font>
    <font>
      <sz val="12"/>
      <color theme="0"/>
      <name val="Verdana"/>
      <family val="2"/>
    </font>
    <font>
      <sz val="11"/>
      <color theme="1"/>
      <name val="Verdana"/>
      <family val="2"/>
    </font>
  </fonts>
  <fills count="33">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A1BDD7"/>
      </patternFill>
    </fill>
    <fill>
      <patternFill patternType="solid">
        <fgColor rgb="FF336699"/>
        <bgColor indexed="64"/>
      </patternFill>
    </fill>
    <fill>
      <patternFill patternType="solid">
        <fgColor rgb="FF336699"/>
        <bgColor rgb="FF4172AD"/>
      </patternFill>
    </fill>
    <fill>
      <patternFill patternType="solid">
        <fgColor theme="4" tint="0.79998168889431442"/>
        <bgColor rgb="FFFFFFFF"/>
      </patternFill>
    </fill>
    <fill>
      <patternFill patternType="solid">
        <fgColor theme="4" tint="0.79998168889431442"/>
        <bgColor rgb="FFFDE9D9"/>
      </patternFill>
    </fill>
    <fill>
      <patternFill patternType="solid">
        <fgColor theme="4" tint="0.39997558519241921"/>
        <bgColor indexed="64"/>
      </patternFill>
    </fill>
    <fill>
      <patternFill patternType="solid">
        <fgColor rgb="FF336699"/>
        <bgColor rgb="FFA1BDD7"/>
      </patternFill>
    </fill>
    <fill>
      <patternFill patternType="solid">
        <fgColor theme="4" tint="0.39997558519241921"/>
        <bgColor rgb="FFA1BDD7"/>
      </patternFill>
    </fill>
    <fill>
      <patternFill patternType="solid">
        <fgColor theme="8" tint="-0.249977111117893"/>
        <bgColor indexed="64"/>
      </patternFill>
    </fill>
    <fill>
      <patternFill patternType="solid">
        <fgColor theme="8" tint="-0.249977111117893"/>
        <bgColor rgb="FFA1BDD7"/>
      </patternFill>
    </fill>
    <fill>
      <patternFill patternType="solid">
        <fgColor theme="0"/>
        <bgColor rgb="FFFFFFFF"/>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rgb="FFFDE9D9"/>
      </patternFill>
    </fill>
    <fill>
      <patternFill patternType="solid">
        <fgColor theme="5"/>
      </patternFill>
    </fill>
    <fill>
      <patternFill patternType="solid">
        <fgColor rgb="FFFFFFCC"/>
        <bgColor rgb="FFA1BDD7"/>
      </patternFill>
    </fill>
    <fill>
      <patternFill patternType="solid">
        <fgColor theme="8" tint="0.39997558519241921"/>
        <bgColor rgb="FFA1BDD7"/>
      </patternFill>
    </fill>
    <fill>
      <patternFill patternType="solid">
        <fgColor theme="8" tint="0.39997558519241921"/>
        <bgColor rgb="FFFFFFFF"/>
      </patternFill>
    </fill>
    <fill>
      <patternFill patternType="solid">
        <fgColor theme="0"/>
        <bgColor rgb="FFA1BDD7"/>
      </patternFill>
    </fill>
    <fill>
      <patternFill patternType="solid">
        <fgColor rgb="FFFFFFCC"/>
        <bgColor rgb="FFFFFFFF"/>
      </patternFill>
    </fill>
    <fill>
      <patternFill patternType="solid">
        <fgColor theme="9" tint="0.39997558519241921"/>
        <bgColor rgb="FFA1BDD7"/>
      </patternFill>
    </fill>
    <fill>
      <patternFill patternType="solid">
        <fgColor theme="9" tint="0.39997558519241921"/>
        <bgColor rgb="FFFFFFFF"/>
      </patternFill>
    </fill>
    <fill>
      <patternFill patternType="solid">
        <fgColor rgb="FF336699"/>
        <bgColor rgb="FFFDE9D9"/>
      </patternFill>
    </fill>
    <fill>
      <patternFill patternType="solid">
        <fgColor theme="7" tint="0.59999389629810485"/>
        <bgColor indexed="64"/>
      </patternFill>
    </fill>
    <fill>
      <patternFill patternType="solid">
        <fgColor rgb="FF0070C0"/>
        <bgColor indexed="64"/>
      </patternFill>
    </fill>
    <fill>
      <patternFill patternType="solid">
        <fgColor theme="0"/>
        <bgColor indexed="64"/>
      </patternFill>
    </fill>
  </fills>
  <borders count="141">
    <border>
      <left/>
      <right/>
      <top/>
      <bottom/>
      <diagonal/>
    </border>
    <border>
      <left/>
      <right/>
      <top/>
      <bottom/>
      <diagonal/>
    </border>
    <border>
      <left/>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auto="1"/>
      </top>
      <bottom/>
      <diagonal/>
    </border>
    <border>
      <left style="medium">
        <color auto="1"/>
      </left>
      <right style="medium">
        <color rgb="FF000000"/>
      </right>
      <top style="medium">
        <color auto="1"/>
      </top>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style="medium">
        <color rgb="FF000000"/>
      </bottom>
      <diagonal/>
    </border>
    <border>
      <left style="thin">
        <color indexed="64"/>
      </left>
      <right style="medium">
        <color rgb="FF000000"/>
      </right>
      <top/>
      <bottom style="thin">
        <color rgb="FF000000"/>
      </bottom>
      <diagonal/>
    </border>
    <border>
      <left style="thin">
        <color indexed="64"/>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auto="1"/>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thin">
        <color indexed="64"/>
      </left>
      <right style="medium">
        <color indexed="64"/>
      </right>
      <top/>
      <bottom style="thin">
        <color rgb="FF000000"/>
      </bottom>
      <diagonal/>
    </border>
    <border>
      <left style="medium">
        <color indexed="64"/>
      </left>
      <right style="medium">
        <color rgb="FF00000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thin">
        <color rgb="FF000000"/>
      </bottom>
      <diagonal/>
    </border>
    <border>
      <left style="thin">
        <color indexed="64"/>
      </left>
      <right style="medium">
        <color indexed="64"/>
      </right>
      <top/>
      <bottom style="medium">
        <color rgb="FF000000"/>
      </bottom>
      <diagonal/>
    </border>
    <border>
      <left style="medium">
        <color indexed="64"/>
      </left>
      <right/>
      <top/>
      <bottom style="thin">
        <color rgb="FF000000"/>
      </bottom>
      <diagonal/>
    </border>
    <border>
      <left style="medium">
        <color indexed="64"/>
      </left>
      <right/>
      <top/>
      <bottom style="medium">
        <color rgb="FF000000"/>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style="thin">
        <color indexed="64"/>
      </right>
      <top style="thick">
        <color indexed="64"/>
      </top>
      <bottom/>
      <diagonal/>
    </border>
    <border>
      <left style="thick">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diagonal/>
    </border>
    <border>
      <left style="thick">
        <color indexed="64"/>
      </left>
      <right style="thin">
        <color indexed="64"/>
      </right>
      <top/>
      <bottom/>
      <diagonal/>
    </border>
  </borders>
  <cellStyleXfs count="35">
    <xf numFmtId="0" fontId="0" fillId="0" borderId="0"/>
    <xf numFmtId="43" fontId="15" fillId="0" borderId="1" applyFont="0" applyFill="0" applyBorder="0" applyAlignment="0" applyProtection="0"/>
    <xf numFmtId="0" fontId="15" fillId="0" borderId="1"/>
    <xf numFmtId="0" fontId="15" fillId="0" borderId="1"/>
    <xf numFmtId="44" fontId="15" fillId="0" borderId="1" applyFont="0" applyFill="0" applyBorder="0" applyAlignment="0" applyProtection="0"/>
    <xf numFmtId="43" fontId="24" fillId="0" borderId="0" applyFont="0" applyFill="0" applyBorder="0" applyAlignment="0" applyProtection="0"/>
    <xf numFmtId="0" fontId="15" fillId="0" borderId="1"/>
    <xf numFmtId="0" fontId="15" fillId="0" borderId="1"/>
    <xf numFmtId="43" fontId="4" fillId="0" borderId="1" applyFont="0" applyFill="0" applyBorder="0" applyAlignment="0" applyProtection="0"/>
    <xf numFmtId="0" fontId="4" fillId="0" borderId="1"/>
    <xf numFmtId="9" fontId="39" fillId="0" borderId="0" applyFont="0" applyFill="0" applyBorder="0" applyAlignment="0" applyProtection="0"/>
    <xf numFmtId="0" fontId="40" fillId="21" borderId="0" applyNumberFormat="0" applyBorder="0" applyAlignment="0" applyProtection="0"/>
    <xf numFmtId="0" fontId="3" fillId="0" borderId="1"/>
    <xf numFmtId="43" fontId="3" fillId="0" borderId="1" applyFont="0" applyFill="0" applyBorder="0" applyAlignment="0" applyProtection="0"/>
    <xf numFmtId="0" fontId="15" fillId="0" borderId="1"/>
    <xf numFmtId="0" fontId="15" fillId="0" borderId="1"/>
    <xf numFmtId="0" fontId="15" fillId="0" borderId="1"/>
    <xf numFmtId="0" fontId="42" fillId="0" borderId="1"/>
    <xf numFmtId="43" fontId="2" fillId="0" borderId="1" applyFont="0" applyFill="0" applyBorder="0" applyAlignment="0" applyProtection="0"/>
    <xf numFmtId="0" fontId="2" fillId="0" borderId="1"/>
    <xf numFmtId="9" fontId="15" fillId="0" borderId="1" applyFont="0" applyFill="0" applyBorder="0" applyAlignment="0" applyProtection="0"/>
    <xf numFmtId="0" fontId="40" fillId="21" borderId="1" applyNumberFormat="0" applyBorder="0" applyAlignment="0" applyProtection="0"/>
    <xf numFmtId="0" fontId="2" fillId="0" borderId="1"/>
    <xf numFmtId="43" fontId="2" fillId="0" borderId="1" applyFont="0" applyFill="0" applyBorder="0" applyAlignment="0" applyProtection="0"/>
    <xf numFmtId="0" fontId="45"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5"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 fillId="0" borderId="1"/>
  </cellStyleXfs>
  <cellXfs count="605">
    <xf numFmtId="0" fontId="0" fillId="0" borderId="0" xfId="0" applyFont="1" applyAlignment="1"/>
    <xf numFmtId="0" fontId="5" fillId="0" borderId="0" xfId="0" applyFont="1" applyAlignment="1"/>
    <xf numFmtId="0" fontId="8" fillId="0" borderId="0" xfId="0" applyFont="1" applyAlignment="1"/>
    <xf numFmtId="0" fontId="13" fillId="0" borderId="0" xfId="0" applyFont="1" applyAlignment="1"/>
    <xf numFmtId="0" fontId="14" fillId="5" borderId="25" xfId="6" applyFont="1" applyFill="1" applyBorder="1" applyAlignment="1">
      <alignment horizontal="center" vertical="center" wrapText="1"/>
    </xf>
    <xf numFmtId="0" fontId="14" fillId="5" borderId="4" xfId="6" applyFont="1" applyFill="1" applyBorder="1" applyAlignment="1">
      <alignment horizontal="center" vertical="center" wrapText="1"/>
    </xf>
    <xf numFmtId="0" fontId="14" fillId="5" borderId="27" xfId="6" applyFont="1" applyFill="1" applyBorder="1" applyAlignment="1">
      <alignment horizontal="center" vertical="center" wrapText="1"/>
    </xf>
    <xf numFmtId="0" fontId="14" fillId="5" borderId="28" xfId="6" applyFont="1" applyFill="1" applyBorder="1" applyAlignment="1">
      <alignment horizontal="center" vertical="center" wrapText="1"/>
    </xf>
    <xf numFmtId="165" fontId="18" fillId="15" borderId="14" xfId="5" applyNumberFormat="1" applyFont="1" applyFill="1" applyBorder="1" applyAlignment="1">
      <alignment vertical="center" wrapText="1"/>
    </xf>
    <xf numFmtId="165" fontId="25" fillId="0" borderId="3" xfId="5" applyNumberFormat="1" applyFont="1" applyBorder="1" applyAlignment="1">
      <alignment vertical="center" wrapText="1"/>
    </xf>
    <xf numFmtId="165" fontId="22" fillId="3" borderId="3" xfId="5" applyNumberFormat="1" applyFont="1" applyFill="1" applyBorder="1" applyAlignment="1">
      <alignment vertical="center" wrapText="1"/>
    </xf>
    <xf numFmtId="165" fontId="6" fillId="0" borderId="29" xfId="5" applyNumberFormat="1" applyFont="1" applyBorder="1" applyAlignment="1">
      <alignment vertical="center" wrapText="1"/>
    </xf>
    <xf numFmtId="165" fontId="7" fillId="0" borderId="33" xfId="5" applyNumberFormat="1" applyFont="1" applyBorder="1" applyAlignment="1">
      <alignment vertical="center" wrapText="1"/>
    </xf>
    <xf numFmtId="165" fontId="7" fillId="0" borderId="30" xfId="5" applyNumberFormat="1" applyFont="1" applyBorder="1" applyAlignment="1">
      <alignment vertical="center" wrapText="1"/>
    </xf>
    <xf numFmtId="165" fontId="7" fillId="0" borderId="34" xfId="5" applyNumberFormat="1" applyFont="1" applyBorder="1" applyAlignment="1">
      <alignment vertical="center" wrapText="1"/>
    </xf>
    <xf numFmtId="165" fontId="7" fillId="0" borderId="29" xfId="5" applyNumberFormat="1" applyFont="1" applyBorder="1" applyAlignment="1">
      <alignment vertical="center" wrapText="1"/>
    </xf>
    <xf numFmtId="165" fontId="7" fillId="0" borderId="35" xfId="5" applyNumberFormat="1" applyFont="1" applyBorder="1" applyAlignment="1">
      <alignment vertical="center" wrapText="1"/>
    </xf>
    <xf numFmtId="165" fontId="7" fillId="0" borderId="36" xfId="5" applyNumberFormat="1" applyFont="1" applyBorder="1" applyAlignment="1">
      <alignment vertical="center" wrapText="1"/>
    </xf>
    <xf numFmtId="165" fontId="6" fillId="0" borderId="37" xfId="5" applyNumberFormat="1" applyFont="1" applyBorder="1" applyAlignment="1">
      <alignment vertical="center" wrapText="1"/>
    </xf>
    <xf numFmtId="165" fontId="26" fillId="3" borderId="36" xfId="5" applyNumberFormat="1" applyFont="1" applyFill="1" applyBorder="1" applyAlignment="1">
      <alignment vertical="center" wrapText="1"/>
    </xf>
    <xf numFmtId="165" fontId="26" fillId="15" borderId="36" xfId="5" applyNumberFormat="1" applyFont="1" applyFill="1" applyBorder="1" applyAlignment="1">
      <alignment vertical="center" wrapText="1"/>
    </xf>
    <xf numFmtId="0" fontId="27" fillId="0" borderId="0" xfId="0" applyFont="1" applyAlignment="1"/>
    <xf numFmtId="165" fontId="27" fillId="0" borderId="3" xfId="0" applyNumberFormat="1" applyFont="1" applyBorder="1" applyAlignment="1">
      <alignment vertical="center" wrapText="1"/>
    </xf>
    <xf numFmtId="165" fontId="27" fillId="3" borderId="3" xfId="5" applyNumberFormat="1" applyFont="1" applyFill="1" applyBorder="1" applyAlignment="1">
      <alignment vertical="center" wrapText="1"/>
    </xf>
    <xf numFmtId="0" fontId="13" fillId="0" borderId="1" xfId="7" applyFont="1" applyBorder="1" applyAlignment="1"/>
    <xf numFmtId="0" fontId="15" fillId="0" borderId="1" xfId="7" applyFont="1" applyBorder="1" applyAlignment="1"/>
    <xf numFmtId="165" fontId="15" fillId="0" borderId="1" xfId="8" applyNumberFormat="1" applyFont="1" applyBorder="1" applyAlignment="1"/>
    <xf numFmtId="165" fontId="19" fillId="0" borderId="1" xfId="8" applyNumberFormat="1" applyFont="1" applyBorder="1" applyAlignment="1"/>
    <xf numFmtId="0" fontId="15" fillId="0" borderId="1" xfId="7" applyFont="1" applyBorder="1" applyAlignment="1">
      <alignment horizontal="center"/>
    </xf>
    <xf numFmtId="165" fontId="29" fillId="5" borderId="45" xfId="8" applyNumberFormat="1" applyFont="1" applyFill="1" applyBorder="1" applyAlignment="1">
      <alignment horizontal="center" vertical="center" wrapText="1"/>
    </xf>
    <xf numFmtId="165" fontId="29" fillId="5" borderId="47" xfId="8" applyNumberFormat="1" applyFont="1" applyFill="1" applyBorder="1" applyAlignment="1">
      <alignment horizontal="center" vertical="center" wrapText="1"/>
    </xf>
    <xf numFmtId="165" fontId="30" fillId="9" borderId="21" xfId="8" applyNumberFormat="1" applyFont="1" applyFill="1" applyBorder="1" applyAlignment="1">
      <alignment horizontal="center" vertical="center" wrapText="1"/>
    </xf>
    <xf numFmtId="0" fontId="31" fillId="12" borderId="5" xfId="7" applyFont="1" applyFill="1" applyBorder="1" applyAlignment="1">
      <alignment horizontal="left" vertical="top"/>
    </xf>
    <xf numFmtId="0" fontId="31" fillId="12" borderId="6" xfId="7" applyFont="1" applyFill="1" applyBorder="1" applyAlignment="1">
      <alignment vertical="center" wrapText="1"/>
    </xf>
    <xf numFmtId="0" fontId="29" fillId="12" borderId="6" xfId="7" applyFont="1" applyFill="1" applyBorder="1" applyAlignment="1">
      <alignment vertical="center" wrapText="1"/>
    </xf>
    <xf numFmtId="165" fontId="31" fillId="12" borderId="6" xfId="8" applyNumberFormat="1" applyFont="1" applyFill="1" applyBorder="1" applyAlignment="1">
      <alignment vertical="center" wrapText="1"/>
    </xf>
    <xf numFmtId="0" fontId="31" fillId="12" borderId="6" xfId="7" applyFont="1" applyFill="1" applyBorder="1" applyAlignment="1">
      <alignment horizontal="center" vertical="center" wrapText="1"/>
    </xf>
    <xf numFmtId="0" fontId="31" fillId="12" borderId="7" xfId="7" applyFont="1" applyFill="1" applyBorder="1" applyAlignment="1">
      <alignment vertical="center" wrapText="1"/>
    </xf>
    <xf numFmtId="0" fontId="16" fillId="3" borderId="50" xfId="7" applyFont="1" applyFill="1" applyBorder="1" applyAlignment="1">
      <alignment vertical="top" wrapText="1"/>
    </xf>
    <xf numFmtId="0" fontId="34" fillId="0" borderId="50" xfId="7" applyFont="1" applyBorder="1" applyAlignment="1" applyProtection="1">
      <alignment horizontal="center" vertical="top" wrapText="1"/>
      <protection locked="0"/>
    </xf>
    <xf numFmtId="165" fontId="34" fillId="3" borderId="50" xfId="8" applyNumberFormat="1" applyFont="1" applyFill="1" applyBorder="1" applyAlignment="1">
      <alignment vertical="top" wrapText="1"/>
    </xf>
    <xf numFmtId="165" fontId="32" fillId="9" borderId="50" xfId="8" applyNumberFormat="1" applyFont="1" applyFill="1" applyBorder="1" applyAlignment="1">
      <alignment vertical="top" wrapText="1"/>
    </xf>
    <xf numFmtId="165" fontId="32" fillId="9" borderId="52" xfId="8" applyNumberFormat="1" applyFont="1" applyFill="1" applyBorder="1" applyAlignment="1">
      <alignment vertical="top" wrapText="1"/>
    </xf>
    <xf numFmtId="0" fontId="32" fillId="17" borderId="5" xfId="7" applyFont="1" applyFill="1" applyBorder="1" applyAlignment="1">
      <alignment horizontal="left" vertical="top"/>
    </xf>
    <xf numFmtId="0" fontId="32" fillId="17" borderId="6" xfId="7" applyFont="1" applyFill="1" applyBorder="1" applyAlignment="1">
      <alignment vertical="center" wrapText="1"/>
    </xf>
    <xf numFmtId="0" fontId="36" fillId="17" borderId="6" xfId="7" applyFont="1" applyFill="1" applyBorder="1" applyAlignment="1">
      <alignment vertical="center" wrapText="1"/>
    </xf>
    <xf numFmtId="165" fontId="32" fillId="17" borderId="53" xfId="8" applyNumberFormat="1" applyFont="1" applyFill="1" applyBorder="1" applyAlignment="1">
      <alignment vertical="center" wrapText="1"/>
    </xf>
    <xf numFmtId="0" fontId="32" fillId="17" borderId="6" xfId="7" applyFont="1" applyFill="1" applyBorder="1" applyAlignment="1">
      <alignment horizontal="center" vertical="center" wrapText="1"/>
    </xf>
    <xf numFmtId="0" fontId="32" fillId="17" borderId="7" xfId="7" applyFont="1" applyFill="1" applyBorder="1" applyAlignment="1">
      <alignment vertical="center" wrapText="1"/>
    </xf>
    <xf numFmtId="165" fontId="32" fillId="9" borderId="55" xfId="8" applyNumberFormat="1" applyFont="1" applyFill="1" applyBorder="1" applyAlignment="1">
      <alignment vertical="top" wrapText="1"/>
    </xf>
    <xf numFmtId="0" fontId="32" fillId="17" borderId="5" xfId="7" applyFont="1" applyFill="1" applyBorder="1" applyAlignment="1">
      <alignment horizontal="left" vertical="center"/>
    </xf>
    <xf numFmtId="165" fontId="30" fillId="17" borderId="53" xfId="8" applyNumberFormat="1" applyFont="1" applyFill="1" applyBorder="1" applyAlignment="1">
      <alignment vertical="center" wrapText="1"/>
    </xf>
    <xf numFmtId="0" fontId="32" fillId="18" borderId="5" xfId="7" applyFont="1" applyFill="1" applyBorder="1" applyAlignment="1">
      <alignment horizontal="left" vertical="center"/>
    </xf>
    <xf numFmtId="0" fontId="32" fillId="18" borderId="6" xfId="7" applyFont="1" applyFill="1" applyBorder="1" applyAlignment="1">
      <alignment vertical="center" wrapText="1"/>
    </xf>
    <xf numFmtId="0" fontId="36" fillId="18" borderId="6" xfId="7" applyFont="1" applyFill="1" applyBorder="1" applyAlignment="1">
      <alignment vertical="center" wrapText="1"/>
    </xf>
    <xf numFmtId="165" fontId="32" fillId="18" borderId="53" xfId="8" applyNumberFormat="1" applyFont="1" applyFill="1" applyBorder="1" applyAlignment="1">
      <alignment vertical="center" wrapText="1"/>
    </xf>
    <xf numFmtId="0" fontId="32" fillId="18" borderId="6" xfId="7" applyFont="1" applyFill="1" applyBorder="1" applyAlignment="1">
      <alignment horizontal="center" vertical="center" wrapText="1"/>
    </xf>
    <xf numFmtId="0" fontId="32" fillId="18" borderId="7" xfId="7" applyFont="1" applyFill="1" applyBorder="1" applyAlignment="1">
      <alignment vertical="center" wrapText="1"/>
    </xf>
    <xf numFmtId="0" fontId="31" fillId="12" borderId="5" xfId="7" applyFont="1" applyFill="1" applyBorder="1" applyAlignment="1">
      <alignment horizontal="left" vertical="center"/>
    </xf>
    <xf numFmtId="0" fontId="37" fillId="16" borderId="8" xfId="7" applyFont="1" applyFill="1" applyBorder="1" applyAlignment="1">
      <alignment horizontal="left" vertical="center"/>
    </xf>
    <xf numFmtId="0" fontId="31" fillId="16" borderId="9" xfId="7" applyFont="1" applyFill="1" applyBorder="1" applyAlignment="1">
      <alignment vertical="center" wrapText="1"/>
    </xf>
    <xf numFmtId="0" fontId="29" fillId="16" borderId="9" xfId="7" applyFont="1" applyFill="1" applyBorder="1" applyAlignment="1">
      <alignment vertical="center" wrapText="1"/>
    </xf>
    <xf numFmtId="165" fontId="31" fillId="16" borderId="9" xfId="8" applyNumberFormat="1" applyFont="1" applyFill="1" applyBorder="1" applyAlignment="1">
      <alignment vertical="center" wrapText="1"/>
    </xf>
    <xf numFmtId="0" fontId="31" fillId="16" borderId="9" xfId="7" applyFont="1" applyFill="1" applyBorder="1" applyAlignment="1">
      <alignment horizontal="center" vertical="center" wrapText="1"/>
    </xf>
    <xf numFmtId="0" fontId="31" fillId="16" borderId="10" xfId="7" applyFont="1" applyFill="1" applyBorder="1" applyAlignment="1">
      <alignment vertical="center" wrapText="1"/>
    </xf>
    <xf numFmtId="0" fontId="16" fillId="0" borderId="57" xfId="7" applyFont="1" applyBorder="1" applyAlignment="1">
      <alignment horizontal="center" vertical="center" wrapText="1"/>
    </xf>
    <xf numFmtId="0" fontId="16" fillId="0" borderId="58" xfId="7" applyFont="1" applyBorder="1" applyAlignment="1">
      <alignment vertical="center" wrapText="1"/>
    </xf>
    <xf numFmtId="0" fontId="16" fillId="0" borderId="58" xfId="7" applyFont="1" applyBorder="1" applyAlignment="1">
      <alignment vertical="top" wrapText="1"/>
    </xf>
    <xf numFmtId="0" fontId="34" fillId="0" borderId="58" xfId="7" applyFont="1" applyBorder="1" applyAlignment="1" applyProtection="1">
      <alignment vertical="top" wrapText="1"/>
      <protection locked="0"/>
    </xf>
    <xf numFmtId="165" fontId="34" fillId="0" borderId="58" xfId="8" applyNumberFormat="1" applyFont="1" applyBorder="1" applyAlignment="1">
      <alignment vertical="top" wrapText="1"/>
    </xf>
    <xf numFmtId="165" fontId="32" fillId="9" borderId="58" xfId="8" applyNumberFormat="1" applyFont="1" applyFill="1" applyBorder="1" applyAlignment="1">
      <alignment vertical="top" wrapText="1"/>
    </xf>
    <xf numFmtId="0" fontId="34" fillId="0" borderId="58" xfId="7" applyFont="1" applyBorder="1" applyAlignment="1" applyProtection="1">
      <alignment horizontal="center" vertical="top" wrapText="1"/>
      <protection locked="0"/>
    </xf>
    <xf numFmtId="0" fontId="34" fillId="0" borderId="21" xfId="7" applyFont="1" applyBorder="1" applyAlignment="1" applyProtection="1">
      <alignment vertical="top" wrapText="1"/>
      <protection locked="0"/>
    </xf>
    <xf numFmtId="0" fontId="31" fillId="16" borderId="9" xfId="7" applyFont="1" applyFill="1" applyBorder="1" applyAlignment="1" applyProtection="1">
      <alignment vertical="center" wrapText="1"/>
      <protection locked="0"/>
    </xf>
    <xf numFmtId="0" fontId="31" fillId="16" borderId="9" xfId="7" applyFont="1" applyFill="1" applyBorder="1" applyAlignment="1" applyProtection="1">
      <alignment horizontal="center" vertical="center" wrapText="1"/>
      <protection locked="0"/>
    </xf>
    <xf numFmtId="0" fontId="31" fillId="16" borderId="10" xfId="7" applyFont="1" applyFill="1" applyBorder="1" applyAlignment="1" applyProtection="1">
      <alignment vertical="center" wrapText="1"/>
      <protection locked="0"/>
    </xf>
    <xf numFmtId="0" fontId="32" fillId="3" borderId="5" xfId="7" applyFont="1" applyFill="1" applyBorder="1" applyAlignment="1">
      <alignment horizontal="left" vertical="center"/>
    </xf>
    <xf numFmtId="0" fontId="32" fillId="3" borderId="6" xfId="7" applyFont="1" applyFill="1" applyBorder="1" applyAlignment="1">
      <alignment vertical="center" wrapText="1"/>
    </xf>
    <xf numFmtId="0" fontId="36" fillId="3" borderId="6" xfId="7" applyFont="1" applyFill="1" applyBorder="1" applyAlignment="1">
      <alignment vertical="center" wrapText="1"/>
    </xf>
    <xf numFmtId="165" fontId="33" fillId="3" borderId="53" xfId="8" applyNumberFormat="1" applyFont="1" applyFill="1" applyBorder="1" applyAlignment="1">
      <alignment vertical="center" wrapText="1"/>
    </xf>
    <xf numFmtId="0" fontId="32" fillId="3" borderId="6" xfId="7" applyFont="1" applyFill="1" applyBorder="1" applyAlignment="1">
      <alignment horizontal="center" vertical="center" wrapText="1"/>
    </xf>
    <xf numFmtId="0" fontId="32" fillId="3" borderId="7" xfId="7" applyFont="1" applyFill="1" applyBorder="1" applyAlignment="1">
      <alignment vertical="center" wrapText="1"/>
    </xf>
    <xf numFmtId="0" fontId="35" fillId="19" borderId="11" xfId="7" applyFont="1" applyFill="1" applyBorder="1" applyAlignment="1">
      <alignment horizontal="left" vertical="center"/>
    </xf>
    <xf numFmtId="0" fontId="35" fillId="19" borderId="12" xfId="7" applyFont="1" applyFill="1" applyBorder="1" applyAlignment="1">
      <alignment vertical="center" wrapText="1"/>
    </xf>
    <xf numFmtId="0" fontId="36" fillId="19" borderId="12" xfId="7" applyFont="1" applyFill="1" applyBorder="1" applyAlignment="1">
      <alignment vertical="center" wrapText="1"/>
    </xf>
    <xf numFmtId="165" fontId="35" fillId="19" borderId="53" xfId="8" applyNumberFormat="1" applyFont="1" applyFill="1" applyBorder="1" applyAlignment="1">
      <alignment vertical="center" wrapText="1"/>
    </xf>
    <xf numFmtId="0" fontId="35" fillId="19" borderId="12" xfId="7" applyFont="1" applyFill="1" applyBorder="1" applyAlignment="1">
      <alignment horizontal="center" vertical="center" wrapText="1"/>
    </xf>
    <xf numFmtId="0" fontId="35" fillId="19" borderId="59" xfId="7" applyFont="1" applyFill="1" applyBorder="1" applyAlignment="1">
      <alignment vertical="center" wrapText="1"/>
    </xf>
    <xf numFmtId="0" fontId="19" fillId="0" borderId="1" xfId="7" applyFont="1" applyBorder="1" applyAlignment="1">
      <alignment horizontal="center"/>
    </xf>
    <xf numFmtId="0" fontId="28" fillId="5" borderId="5" xfId="0" applyFont="1" applyFill="1" applyBorder="1" applyAlignment="1">
      <alignment horizontal="center" vertical="center" wrapText="1"/>
    </xf>
    <xf numFmtId="165" fontId="7" fillId="0" borderId="60" xfId="5" applyNumberFormat="1" applyFont="1" applyBorder="1" applyAlignment="1">
      <alignment vertical="center" wrapText="1"/>
    </xf>
    <xf numFmtId="165" fontId="6" fillId="3" borderId="60" xfId="5" applyNumberFormat="1" applyFont="1" applyFill="1" applyBorder="1" applyAlignment="1">
      <alignment vertical="center" wrapText="1"/>
    </xf>
    <xf numFmtId="0" fontId="18" fillId="3" borderId="61" xfId="0" applyFont="1" applyFill="1" applyBorder="1" applyAlignment="1">
      <alignment horizontal="center" vertical="center" wrapText="1"/>
    </xf>
    <xf numFmtId="165" fontId="7" fillId="3" borderId="62" xfId="5" applyNumberFormat="1" applyFont="1" applyFill="1" applyBorder="1" applyAlignment="1">
      <alignment vertical="center" wrapText="1"/>
    </xf>
    <xf numFmtId="165" fontId="6" fillId="3" borderId="62" xfId="5" applyNumberFormat="1" applyFont="1" applyFill="1" applyBorder="1" applyAlignment="1">
      <alignment vertical="center" wrapText="1"/>
    </xf>
    <xf numFmtId="165" fontId="7" fillId="0" borderId="2" xfId="5" applyNumberFormat="1" applyFont="1" applyBorder="1" applyAlignment="1">
      <alignment vertical="center" wrapText="1"/>
    </xf>
    <xf numFmtId="165" fontId="7" fillId="3" borderId="63" xfId="5" applyNumberFormat="1" applyFont="1" applyFill="1" applyBorder="1" applyAlignment="1">
      <alignment vertical="center" wrapText="1"/>
    </xf>
    <xf numFmtId="165" fontId="27" fillId="0" borderId="22" xfId="0" applyNumberFormat="1" applyFont="1" applyBorder="1" applyAlignment="1">
      <alignment vertical="center" wrapText="1"/>
    </xf>
    <xf numFmtId="165" fontId="7" fillId="3" borderId="64" xfId="5" applyNumberFormat="1" applyFont="1" applyFill="1" applyBorder="1" applyAlignment="1">
      <alignment vertical="center" wrapText="1"/>
    </xf>
    <xf numFmtId="165" fontId="27" fillId="0" borderId="20" xfId="0" applyNumberFormat="1" applyFont="1" applyBorder="1" applyAlignment="1">
      <alignment vertical="center" wrapText="1"/>
    </xf>
    <xf numFmtId="0" fontId="34" fillId="0" borderId="50" xfId="7" applyFont="1" applyFill="1" applyBorder="1" applyAlignment="1" applyProtection="1">
      <alignment horizontal="center" vertical="top" wrapText="1"/>
      <protection locked="0"/>
    </xf>
    <xf numFmtId="0" fontId="34" fillId="0" borderId="51" xfId="7" applyFont="1" applyFill="1" applyBorder="1" applyAlignment="1" applyProtection="1">
      <alignment vertical="top" wrapText="1"/>
      <protection locked="0"/>
    </xf>
    <xf numFmtId="0" fontId="34" fillId="0" borderId="52" xfId="7" applyFont="1" applyFill="1" applyBorder="1" applyAlignment="1" applyProtection="1">
      <alignment horizontal="center" vertical="top" wrapText="1"/>
      <protection locked="0"/>
    </xf>
    <xf numFmtId="0" fontId="34" fillId="0" borderId="18" xfId="7" applyFont="1" applyFill="1" applyBorder="1" applyAlignment="1" applyProtection="1">
      <alignment vertical="top" wrapText="1"/>
      <protection locked="0"/>
    </xf>
    <xf numFmtId="0" fontId="34" fillId="0" borderId="54" xfId="7" applyFont="1" applyFill="1" applyBorder="1" applyAlignment="1" applyProtection="1">
      <alignment horizontal="center" vertical="top" wrapText="1"/>
      <protection locked="0"/>
    </xf>
    <xf numFmtId="0" fontId="34" fillId="0" borderId="56" xfId="7" applyFont="1" applyFill="1" applyBorder="1" applyAlignment="1" applyProtection="1">
      <alignment vertical="top" wrapText="1"/>
      <protection locked="0"/>
    </xf>
    <xf numFmtId="9" fontId="15" fillId="0" borderId="1" xfId="10" applyFont="1" applyBorder="1" applyAlignment="1"/>
    <xf numFmtId="0" fontId="41" fillId="0" borderId="1" xfId="14" applyFont="1" applyBorder="1" applyAlignment="1"/>
    <xf numFmtId="0" fontId="13" fillId="0" borderId="0" xfId="0" applyFont="1" applyAlignment="1" applyProtection="1"/>
    <xf numFmtId="0" fontId="14" fillId="13" borderId="65" xfId="0" applyFont="1" applyFill="1" applyBorder="1" applyAlignment="1" applyProtection="1">
      <alignment vertical="center"/>
    </xf>
    <xf numFmtId="0" fontId="14" fillId="13" borderId="65" xfId="0" applyFont="1" applyFill="1" applyBorder="1" applyAlignment="1" applyProtection="1">
      <alignment vertical="center" wrapText="1"/>
    </xf>
    <xf numFmtId="3" fontId="14" fillId="13" borderId="65" xfId="5" applyNumberFormat="1" applyFont="1" applyFill="1" applyBorder="1" applyAlignment="1" applyProtection="1">
      <alignment vertical="center" wrapText="1"/>
    </xf>
    <xf numFmtId="0" fontId="11" fillId="4" borderId="13" xfId="0" applyFont="1" applyFill="1" applyBorder="1" applyAlignment="1" applyProtection="1">
      <alignment vertical="top" wrapText="1"/>
    </xf>
    <xf numFmtId="3" fontId="11" fillId="4" borderId="13" xfId="5" applyNumberFormat="1" applyFont="1" applyFill="1" applyBorder="1" applyAlignment="1" applyProtection="1">
      <alignment vertical="top" wrapText="1"/>
    </xf>
    <xf numFmtId="3" fontId="10" fillId="0" borderId="13" xfId="0" applyNumberFormat="1" applyFont="1" applyFill="1" applyBorder="1" applyAlignment="1" applyProtection="1">
      <alignment horizontal="right" vertical="top" wrapText="1"/>
    </xf>
    <xf numFmtId="0" fontId="12" fillId="23" borderId="13" xfId="0" applyFont="1" applyFill="1" applyBorder="1" applyAlignment="1" applyProtection="1">
      <alignment horizontal="right" vertical="top" wrapText="1"/>
    </xf>
    <xf numFmtId="49" fontId="10" fillId="23" borderId="13" xfId="0" applyNumberFormat="1" applyFont="1" applyFill="1" applyBorder="1" applyAlignment="1" applyProtection="1">
      <alignment horizontal="left" vertical="top" wrapText="1"/>
    </xf>
    <xf numFmtId="0" fontId="11" fillId="23" borderId="13" xfId="0" applyFont="1" applyFill="1" applyBorder="1" applyAlignment="1" applyProtection="1">
      <alignment vertical="top" wrapText="1"/>
    </xf>
    <xf numFmtId="3" fontId="11" fillId="23" borderId="13" xfId="5" applyNumberFormat="1" applyFont="1" applyFill="1" applyBorder="1" applyAlignment="1" applyProtection="1">
      <alignment vertical="top" wrapText="1"/>
    </xf>
    <xf numFmtId="0" fontId="11" fillId="22" borderId="13" xfId="0" applyFont="1" applyFill="1" applyBorder="1" applyAlignment="1" applyProtection="1">
      <alignment vertical="top" wrapText="1"/>
    </xf>
    <xf numFmtId="3" fontId="11" fillId="22" borderId="13" xfId="5" applyNumberFormat="1" applyFont="1" applyFill="1" applyBorder="1" applyAlignment="1" applyProtection="1">
      <alignment vertical="top" wrapText="1"/>
    </xf>
    <xf numFmtId="0" fontId="26" fillId="27" borderId="13" xfId="0" applyFont="1" applyFill="1" applyBorder="1" applyAlignment="1" applyProtection="1">
      <alignment vertical="top"/>
    </xf>
    <xf numFmtId="0" fontId="26" fillId="27" borderId="13" xfId="0" applyFont="1" applyFill="1" applyBorder="1" applyAlignment="1" applyProtection="1">
      <alignment vertical="top" wrapText="1"/>
    </xf>
    <xf numFmtId="0" fontId="20" fillId="4" borderId="13" xfId="0" applyFont="1" applyFill="1" applyBorder="1" applyAlignment="1" applyProtection="1">
      <alignment vertical="top"/>
    </xf>
    <xf numFmtId="0" fontId="20" fillId="4" borderId="13" xfId="0" applyFont="1" applyFill="1" applyBorder="1" applyAlignment="1" applyProtection="1">
      <alignment vertical="top" wrapText="1"/>
    </xf>
    <xf numFmtId="3" fontId="22" fillId="4" borderId="13" xfId="5" applyNumberFormat="1" applyFont="1" applyFill="1" applyBorder="1" applyAlignment="1" applyProtection="1">
      <alignment vertical="top" wrapText="1"/>
    </xf>
    <xf numFmtId="0" fontId="14" fillId="13" borderId="13" xfId="0" applyFont="1" applyFill="1" applyBorder="1" applyAlignment="1" applyProtection="1">
      <alignment vertical="center"/>
    </xf>
    <xf numFmtId="0" fontId="9" fillId="2" borderId="1" xfId="0" applyFont="1" applyFill="1" applyBorder="1" applyAlignment="1" applyProtection="1">
      <alignment horizontal="left" vertical="top" wrapText="1"/>
      <protection locked="0"/>
    </xf>
    <xf numFmtId="0" fontId="17" fillId="12" borderId="65"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8" fillId="24" borderId="13" xfId="0" applyFont="1" applyFill="1" applyBorder="1" applyAlignment="1" applyProtection="1">
      <alignment horizontal="left" vertical="top" wrapText="1"/>
      <protection locked="0"/>
    </xf>
    <xf numFmtId="0" fontId="8" fillId="26" borderId="13" xfId="0" applyFont="1" applyFill="1" applyBorder="1" applyAlignment="1" applyProtection="1">
      <alignment horizontal="left" vertical="top" wrapText="1"/>
      <protection locked="0"/>
    </xf>
    <xf numFmtId="0" fontId="6" fillId="28" borderId="13"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11" fillId="4" borderId="13" xfId="0" applyFont="1" applyFill="1" applyBorder="1" applyAlignment="1" applyProtection="1">
      <alignment vertical="top" wrapText="1"/>
      <protection locked="0"/>
    </xf>
    <xf numFmtId="165" fontId="14" fillId="29" borderId="13" xfId="5" applyNumberFormat="1" applyFont="1" applyFill="1" applyBorder="1" applyAlignment="1" applyProtection="1">
      <alignment horizontal="left" vertical="top" wrapText="1"/>
      <protection locked="0"/>
    </xf>
    <xf numFmtId="0" fontId="21" fillId="8" borderId="13" xfId="0" applyFont="1" applyFill="1" applyBorder="1" applyAlignment="1" applyProtection="1">
      <alignment vertical="top" wrapText="1"/>
      <protection locked="0"/>
    </xf>
    <xf numFmtId="165" fontId="38" fillId="20" borderId="13" xfId="5" applyNumberFormat="1" applyFont="1" applyFill="1" applyBorder="1" applyAlignment="1" applyProtection="1">
      <alignment horizontal="right" vertical="top" wrapText="1"/>
      <protection locked="0"/>
    </xf>
    <xf numFmtId="166" fontId="11" fillId="23" borderId="13" xfId="0" applyNumberFormat="1" applyFont="1" applyFill="1" applyBorder="1" applyAlignment="1" applyProtection="1">
      <alignment horizontal="right" vertical="top" wrapText="1"/>
    </xf>
    <xf numFmtId="166" fontId="11" fillId="22" borderId="13" xfId="0" applyNumberFormat="1" applyFont="1" applyFill="1" applyBorder="1" applyAlignment="1" applyProtection="1">
      <alignment horizontal="right" vertical="top" wrapText="1"/>
    </xf>
    <xf numFmtId="166" fontId="26" fillId="27" borderId="13" xfId="0" applyNumberFormat="1" applyFont="1" applyFill="1" applyBorder="1" applyAlignment="1" applyProtection="1">
      <alignment horizontal="right" vertical="top" wrapText="1"/>
    </xf>
    <xf numFmtId="166" fontId="11" fillId="4" borderId="13" xfId="0" applyNumberFormat="1" applyFont="1" applyFill="1" applyBorder="1" applyAlignment="1" applyProtection="1">
      <alignment horizontal="right" vertical="top" wrapText="1"/>
    </xf>
    <xf numFmtId="166" fontId="20" fillId="4" borderId="13" xfId="0" applyNumberFormat="1" applyFont="1" applyFill="1" applyBorder="1" applyAlignment="1" applyProtection="1">
      <alignment horizontal="right" vertical="top" wrapText="1"/>
    </xf>
    <xf numFmtId="0" fontId="5" fillId="0" borderId="0" xfId="0" applyFont="1" applyAlignment="1" applyProtection="1"/>
    <xf numFmtId="0" fontId="5" fillId="0" borderId="0" xfId="0" applyFont="1" applyAlignment="1" applyProtection="1">
      <protection locked="0"/>
    </xf>
    <xf numFmtId="0" fontId="25" fillId="30" borderId="13" xfId="11" applyFont="1" applyFill="1" applyBorder="1" applyAlignment="1" applyProtection="1">
      <alignment vertical="top" wrapText="1"/>
      <protection locked="0"/>
    </xf>
    <xf numFmtId="0" fontId="14" fillId="5" borderId="5" xfId="0" applyFont="1" applyFill="1" applyBorder="1" applyAlignment="1">
      <alignment horizontal="center" vertical="center" wrapText="1"/>
    </xf>
    <xf numFmtId="0" fontId="22" fillId="3" borderId="61" xfId="0" applyFont="1" applyFill="1" applyBorder="1" applyAlignment="1">
      <alignment horizontal="center" vertical="center" wrapText="1"/>
    </xf>
    <xf numFmtId="1" fontId="10" fillId="2" borderId="13" xfId="0" applyNumberFormat="1" applyFont="1" applyFill="1" applyBorder="1" applyAlignment="1" applyProtection="1">
      <alignment horizontal="right" vertical="top" wrapText="1"/>
      <protection locked="0"/>
    </xf>
    <xf numFmtId="166" fontId="10" fillId="0" borderId="13" xfId="0" applyNumberFormat="1" applyFont="1" applyFill="1" applyBorder="1" applyAlignment="1" applyProtection="1">
      <alignment horizontal="right" vertical="top" wrapText="1"/>
      <protection locked="0"/>
    </xf>
    <xf numFmtId="1" fontId="10" fillId="0" borderId="13" xfId="0" applyNumberFormat="1" applyFont="1" applyFill="1" applyBorder="1" applyAlignment="1" applyProtection="1">
      <alignment horizontal="right" vertical="top" wrapText="1"/>
      <protection locked="0"/>
    </xf>
    <xf numFmtId="3" fontId="10" fillId="0" borderId="13" xfId="5" applyNumberFormat="1" applyFont="1" applyFill="1" applyBorder="1" applyAlignment="1" applyProtection="1">
      <alignment vertical="top" wrapText="1"/>
      <protection locked="0"/>
    </xf>
    <xf numFmtId="0" fontId="12" fillId="22" borderId="66" xfId="0" applyFont="1" applyFill="1" applyBorder="1" applyAlignment="1" applyProtection="1">
      <alignment horizontal="right" vertical="top" wrapText="1"/>
    </xf>
    <xf numFmtId="49" fontId="10" fillId="22" borderId="17" xfId="0" applyNumberFormat="1" applyFont="1" applyFill="1" applyBorder="1" applyAlignment="1" applyProtection="1">
      <alignment horizontal="left" vertical="top" wrapText="1"/>
    </xf>
    <xf numFmtId="0" fontId="12" fillId="23" borderId="66" xfId="0" applyFont="1" applyFill="1" applyBorder="1" applyAlignment="1" applyProtection="1">
      <alignment horizontal="right" vertical="top" wrapText="1"/>
    </xf>
    <xf numFmtId="49" fontId="10" fillId="23" borderId="17" xfId="0" applyNumberFormat="1" applyFont="1" applyFill="1" applyBorder="1" applyAlignment="1" applyProtection="1">
      <alignment horizontal="left" vertical="top" wrapText="1"/>
    </xf>
    <xf numFmtId="167" fontId="13" fillId="0" borderId="0" xfId="5" applyNumberFormat="1" applyFont="1" applyAlignment="1" applyProtection="1">
      <alignment horizontal="right"/>
    </xf>
    <xf numFmtId="167" fontId="14" fillId="13" borderId="65" xfId="5" applyNumberFormat="1" applyFont="1" applyFill="1" applyBorder="1" applyAlignment="1" applyProtection="1">
      <alignment horizontal="right" vertical="center" wrapText="1"/>
    </xf>
    <xf numFmtId="167" fontId="10" fillId="2" borderId="13" xfId="5" applyNumberFormat="1" applyFont="1" applyFill="1" applyBorder="1" applyAlignment="1" applyProtection="1">
      <alignment horizontal="right" vertical="top" wrapText="1"/>
      <protection locked="0"/>
    </xf>
    <xf numFmtId="167" fontId="11" fillId="23" borderId="13" xfId="5" applyNumberFormat="1" applyFont="1" applyFill="1" applyBorder="1" applyAlignment="1" applyProtection="1">
      <alignment horizontal="right" vertical="top" wrapText="1"/>
    </xf>
    <xf numFmtId="167" fontId="11" fillId="22" borderId="13" xfId="5" applyNumberFormat="1" applyFont="1" applyFill="1" applyBorder="1" applyAlignment="1" applyProtection="1">
      <alignment horizontal="right" vertical="top" wrapText="1"/>
    </xf>
    <xf numFmtId="167" fontId="26" fillId="27" borderId="13" xfId="5" applyNumberFormat="1" applyFont="1" applyFill="1" applyBorder="1" applyAlignment="1" applyProtection="1">
      <alignment horizontal="right" vertical="top" wrapText="1"/>
    </xf>
    <xf numFmtId="167" fontId="20" fillId="4" borderId="13" xfId="5" applyNumberFormat="1" applyFont="1" applyFill="1" applyBorder="1" applyAlignment="1" applyProtection="1">
      <alignment horizontal="right" vertical="top" wrapText="1"/>
    </xf>
    <xf numFmtId="167" fontId="11" fillId="4" borderId="13" xfId="5" applyNumberFormat="1" applyFont="1" applyFill="1" applyBorder="1" applyAlignment="1" applyProtection="1">
      <alignment horizontal="right" vertical="top" wrapText="1"/>
    </xf>
    <xf numFmtId="167" fontId="5" fillId="0" borderId="0" xfId="5" applyNumberFormat="1" applyFont="1" applyAlignment="1"/>
    <xf numFmtId="164" fontId="10" fillId="2" borderId="13" xfId="0" applyNumberFormat="1" applyFont="1" applyFill="1" applyBorder="1" applyAlignment="1" applyProtection="1">
      <alignment horizontal="left" vertical="top" wrapText="1"/>
      <protection locked="0"/>
    </xf>
    <xf numFmtId="0" fontId="14" fillId="10" borderId="16" xfId="0" applyFont="1" applyFill="1" applyBorder="1" applyAlignment="1" applyProtection="1">
      <alignment horizontal="center" vertical="center" wrapText="1"/>
    </xf>
    <xf numFmtId="0" fontId="23" fillId="10" borderId="66" xfId="0" applyFont="1" applyFill="1" applyBorder="1" applyAlignment="1" applyProtection="1">
      <alignment vertical="top" wrapText="1"/>
    </xf>
    <xf numFmtId="0" fontId="23" fillId="10" borderId="17" xfId="0" applyFont="1" applyFill="1" applyBorder="1" applyAlignment="1" applyProtection="1">
      <alignment vertical="top" wrapText="1"/>
    </xf>
    <xf numFmtId="0" fontId="25" fillId="30" borderId="16" xfId="11" applyFont="1" applyFill="1" applyBorder="1" applyAlignment="1" applyProtection="1">
      <alignment vertical="top"/>
    </xf>
    <xf numFmtId="0" fontId="25" fillId="30" borderId="66" xfId="11" applyFont="1" applyFill="1" applyBorder="1" applyAlignment="1" applyProtection="1">
      <alignment vertical="top" wrapText="1"/>
    </xf>
    <xf numFmtId="0" fontId="25" fillId="30" borderId="17" xfId="11" applyFont="1" applyFill="1" applyBorder="1" applyAlignment="1" applyProtection="1">
      <alignment vertical="top" wrapText="1"/>
    </xf>
    <xf numFmtId="0" fontId="10" fillId="8" borderId="16" xfId="0" applyFont="1" applyFill="1" applyBorder="1" applyAlignment="1" applyProtection="1">
      <alignment vertical="top"/>
    </xf>
    <xf numFmtId="0" fontId="10" fillId="8" borderId="17" xfId="0" applyFont="1" applyFill="1" applyBorder="1" applyAlignment="1" applyProtection="1">
      <alignment vertical="top" wrapText="1"/>
    </xf>
    <xf numFmtId="0" fontId="11" fillId="20" borderId="16" xfId="0" applyFont="1" applyFill="1" applyBorder="1" applyAlignment="1" applyProtection="1">
      <alignment horizontal="left" vertical="top"/>
    </xf>
    <xf numFmtId="0" fontId="11" fillId="20" borderId="66" xfId="0" applyFont="1" applyFill="1" applyBorder="1" applyAlignment="1" applyProtection="1">
      <alignment horizontal="left" vertical="top" wrapText="1"/>
    </xf>
    <xf numFmtId="0" fontId="11" fillId="20" borderId="17" xfId="0" applyFont="1" applyFill="1" applyBorder="1" applyAlignment="1" applyProtection="1">
      <alignment horizontal="left" vertical="top" wrapText="1"/>
    </xf>
    <xf numFmtId="0" fontId="14" fillId="13" borderId="65" xfId="0" applyFont="1" applyFill="1" applyBorder="1" applyAlignment="1" applyProtection="1">
      <alignment vertical="top" wrapText="1"/>
    </xf>
    <xf numFmtId="0" fontId="13" fillId="0" borderId="0" xfId="0" applyFont="1" applyAlignment="1" applyProtection="1">
      <alignment horizontal="left" vertical="top"/>
    </xf>
    <xf numFmtId="0" fontId="14" fillId="13" borderId="65" xfId="0" applyFont="1" applyFill="1" applyBorder="1" applyAlignment="1" applyProtection="1">
      <alignment horizontal="left" vertical="top" wrapText="1"/>
    </xf>
    <xf numFmtId="0" fontId="11" fillId="23" borderId="13" xfId="0" applyFont="1" applyFill="1" applyBorder="1" applyAlignment="1" applyProtection="1">
      <alignment horizontal="left" vertical="top" wrapText="1"/>
    </xf>
    <xf numFmtId="0" fontId="11" fillId="22" borderId="13" xfId="0" applyFont="1" applyFill="1" applyBorder="1" applyAlignment="1" applyProtection="1">
      <alignment horizontal="left" vertical="top" wrapText="1"/>
    </xf>
    <xf numFmtId="0" fontId="26" fillId="27" borderId="13" xfId="0" applyFont="1" applyFill="1" applyBorder="1" applyAlignment="1" applyProtection="1">
      <alignment horizontal="left" vertical="top" wrapText="1"/>
    </xf>
    <xf numFmtId="0" fontId="20" fillId="4" borderId="13" xfId="0" applyFont="1" applyFill="1" applyBorder="1" applyAlignment="1" applyProtection="1">
      <alignment horizontal="left" vertical="top" wrapText="1"/>
    </xf>
    <xf numFmtId="0" fontId="5" fillId="0" borderId="0" xfId="0" applyFont="1" applyAlignment="1">
      <alignment horizontal="left" vertical="top"/>
    </xf>
    <xf numFmtId="165" fontId="27" fillId="3" borderId="62" xfId="5" applyNumberFormat="1" applyFont="1" applyFill="1" applyBorder="1" applyAlignment="1">
      <alignment vertical="center" wrapText="1"/>
    </xf>
    <xf numFmtId="165" fontId="44" fillId="3" borderId="62" xfId="5" applyNumberFormat="1" applyFont="1" applyFill="1" applyBorder="1" applyAlignment="1">
      <alignment vertical="center" wrapText="1"/>
    </xf>
    <xf numFmtId="165" fontId="27" fillId="3" borderId="63" xfId="5" applyNumberFormat="1" applyFont="1" applyFill="1" applyBorder="1" applyAlignment="1">
      <alignment vertical="center" wrapText="1"/>
    </xf>
    <xf numFmtId="165" fontId="27" fillId="3" borderId="64" xfId="5" applyNumberFormat="1" applyFont="1" applyFill="1" applyBorder="1" applyAlignment="1">
      <alignment vertical="center" wrapText="1"/>
    </xf>
    <xf numFmtId="3" fontId="18" fillId="27" borderId="13" xfId="5" applyNumberFormat="1" applyFont="1" applyFill="1" applyBorder="1" applyAlignment="1" applyProtection="1">
      <alignment vertical="top" wrapText="1"/>
    </xf>
    <xf numFmtId="3" fontId="18" fillId="30" borderId="13" xfId="11" applyNumberFormat="1" applyFont="1" applyFill="1" applyBorder="1" applyAlignment="1" applyProtection="1">
      <alignment horizontal="center" vertical="top" wrapText="1"/>
    </xf>
    <xf numFmtId="3" fontId="22" fillId="8" borderId="13" xfId="5" applyNumberFormat="1" applyFont="1" applyFill="1" applyBorder="1" applyAlignment="1" applyProtection="1">
      <alignment horizontal="center" vertical="top" wrapText="1"/>
    </xf>
    <xf numFmtId="3" fontId="38" fillId="20" borderId="13" xfId="5" applyNumberFormat="1" applyFont="1" applyFill="1" applyBorder="1" applyAlignment="1" applyProtection="1">
      <alignment horizontal="center" vertical="top" wrapText="1"/>
    </xf>
    <xf numFmtId="165" fontId="5" fillId="0" borderId="0" xfId="0" applyNumberFormat="1" applyFont="1" applyAlignment="1"/>
    <xf numFmtId="0" fontId="6" fillId="0" borderId="1" xfId="7" applyFont="1" applyBorder="1" applyAlignment="1" applyProtection="1">
      <alignment horizontal="left" vertical="center"/>
      <protection locked="0"/>
    </xf>
    <xf numFmtId="0" fontId="15" fillId="0" borderId="1" xfId="7" applyFont="1" applyBorder="1" applyAlignment="1" applyProtection="1">
      <protection locked="0"/>
    </xf>
    <xf numFmtId="0" fontId="6" fillId="0" borderId="0" xfId="0" applyFont="1" applyAlignment="1" applyProtection="1">
      <protection locked="0"/>
    </xf>
    <xf numFmtId="0" fontId="13" fillId="0" borderId="0" xfId="0" applyFont="1" applyAlignment="1" applyProtection="1">
      <protection locked="0"/>
    </xf>
    <xf numFmtId="167" fontId="13" fillId="0" borderId="0" xfId="5" applyNumberFormat="1" applyFont="1" applyAlignment="1" applyProtection="1">
      <alignment horizontal="right"/>
      <protection locked="0"/>
    </xf>
    <xf numFmtId="164" fontId="10" fillId="0" borderId="13" xfId="0" applyNumberFormat="1"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xf>
    <xf numFmtId="0" fontId="22" fillId="8" borderId="16" xfId="0" applyFont="1" applyFill="1" applyBorder="1" applyAlignment="1" applyProtection="1">
      <alignment horizontal="left" vertical="top" wrapText="1"/>
    </xf>
    <xf numFmtId="0" fontId="22" fillId="8" borderId="66" xfId="0" applyFont="1" applyFill="1" applyBorder="1" applyAlignment="1" applyProtection="1">
      <alignment horizontal="left" vertical="top" wrapText="1"/>
    </xf>
    <xf numFmtId="0" fontId="22" fillId="8" borderId="17" xfId="0" applyFont="1" applyFill="1" applyBorder="1" applyAlignment="1" applyProtection="1">
      <alignment horizontal="left" vertical="top" wrapText="1"/>
    </xf>
    <xf numFmtId="0" fontId="22" fillId="30" borderId="16" xfId="11" applyFont="1" applyFill="1" applyBorder="1" applyAlignment="1" applyProtection="1">
      <alignment horizontal="left" vertical="top" wrapText="1"/>
    </xf>
    <xf numFmtId="0" fontId="22" fillId="30" borderId="66" xfId="11" applyFont="1" applyFill="1" applyBorder="1" applyAlignment="1" applyProtection="1">
      <alignment horizontal="left" vertical="top" wrapText="1"/>
    </xf>
    <xf numFmtId="0" fontId="22" fillId="30" borderId="17" xfId="11" applyFont="1" applyFill="1" applyBorder="1" applyAlignment="1" applyProtection="1">
      <alignment horizontal="left" vertical="top" wrapText="1"/>
    </xf>
    <xf numFmtId="0" fontId="38" fillId="20" borderId="66" xfId="0" applyFont="1" applyFill="1" applyBorder="1" applyAlignment="1" applyProtection="1">
      <alignment horizontal="center" vertical="top" wrapText="1"/>
    </xf>
    <xf numFmtId="0" fontId="38" fillId="20" borderId="17" xfId="0" applyFont="1" applyFill="1" applyBorder="1" applyAlignment="1" applyProtection="1">
      <alignment horizontal="center" vertical="top" wrapText="1"/>
    </xf>
    <xf numFmtId="9" fontId="10" fillId="0" borderId="13" xfId="0" applyNumberFormat="1" applyFont="1" applyFill="1" applyBorder="1" applyAlignment="1" applyProtection="1">
      <alignment horizontal="right" vertical="top" wrapText="1"/>
    </xf>
    <xf numFmtId="164" fontId="10" fillId="14" borderId="13" xfId="0" applyNumberFormat="1" applyFont="1" applyFill="1" applyBorder="1" applyAlignment="1" applyProtection="1">
      <alignment horizontal="left" vertical="top" wrapText="1"/>
      <protection locked="0"/>
    </xf>
    <xf numFmtId="3" fontId="14" fillId="29" borderId="13" xfId="5" applyNumberFormat="1" applyFont="1" applyFill="1" applyBorder="1" applyAlignment="1" applyProtection="1">
      <alignment horizontal="center" vertical="top" wrapText="1"/>
    </xf>
    <xf numFmtId="3" fontId="5" fillId="0" borderId="0" xfId="0" applyNumberFormat="1" applyFont="1" applyAlignment="1"/>
    <xf numFmtId="0" fontId="5" fillId="0" borderId="0" xfId="0" applyFont="1" applyAlignment="1">
      <alignment wrapText="1"/>
    </xf>
    <xf numFmtId="3" fontId="10" fillId="0" borderId="13" xfId="5" applyNumberFormat="1" applyFont="1" applyFill="1" applyBorder="1" applyAlignment="1" applyProtection="1">
      <alignment vertical="top" wrapText="1"/>
    </xf>
    <xf numFmtId="167" fontId="10" fillId="0" borderId="13" xfId="5" applyNumberFormat="1" applyFont="1" applyFill="1" applyBorder="1" applyAlignment="1" applyProtection="1">
      <alignment horizontal="right" vertical="top" wrapText="1"/>
      <protection locked="0"/>
    </xf>
    <xf numFmtId="165" fontId="36" fillId="0" borderId="0" xfId="0" applyNumberFormat="1" applyFont="1"/>
    <xf numFmtId="0" fontId="12" fillId="23" borderId="66" xfId="0" applyFont="1" applyFill="1" applyBorder="1" applyAlignment="1" applyProtection="1">
      <alignment horizontal="right" vertical="top" wrapText="1"/>
      <protection locked="0"/>
    </xf>
    <xf numFmtId="0" fontId="12" fillId="22" borderId="16" xfId="0" applyFont="1" applyFill="1" applyBorder="1" applyAlignment="1" applyProtection="1">
      <alignment horizontal="right" vertical="top" wrapText="1"/>
    </xf>
    <xf numFmtId="0" fontId="14" fillId="13" borderId="13" xfId="0" applyFont="1" applyFill="1" applyBorder="1" applyAlignment="1" applyProtection="1">
      <alignment vertical="center" wrapText="1"/>
    </xf>
    <xf numFmtId="0" fontId="14" fillId="13" borderId="13" xfId="0" applyFont="1" applyFill="1" applyBorder="1" applyAlignment="1" applyProtection="1">
      <alignment vertical="top" wrapText="1"/>
    </xf>
    <xf numFmtId="167" fontId="14" fillId="13" borderId="13" xfId="5" applyNumberFormat="1" applyFont="1" applyFill="1" applyBorder="1" applyAlignment="1" applyProtection="1">
      <alignment horizontal="right" vertical="center" wrapText="1"/>
    </xf>
    <xf numFmtId="166" fontId="14" fillId="13" borderId="13" xfId="0" applyNumberFormat="1" applyFont="1" applyFill="1" applyBorder="1" applyAlignment="1" applyProtection="1">
      <alignment horizontal="right" vertical="center" wrapText="1"/>
    </xf>
    <xf numFmtId="0" fontId="14" fillId="13" borderId="13" xfId="0" applyFont="1" applyFill="1" applyBorder="1" applyAlignment="1" applyProtection="1">
      <alignment horizontal="left" vertical="top" wrapText="1"/>
    </xf>
    <xf numFmtId="3" fontId="14" fillId="13" borderId="13" xfId="5" applyNumberFormat="1" applyFont="1" applyFill="1" applyBorder="1" applyAlignment="1" applyProtection="1">
      <alignment vertical="center" wrapText="1"/>
    </xf>
    <xf numFmtId="0" fontId="17" fillId="12" borderId="13" xfId="0" applyFont="1" applyFill="1" applyBorder="1" applyAlignment="1" applyProtection="1">
      <alignment horizontal="center" vertical="center" wrapText="1"/>
      <protection locked="0"/>
    </xf>
    <xf numFmtId="0" fontId="12" fillId="23" borderId="16" xfId="0" applyFont="1" applyFill="1" applyBorder="1" applyAlignment="1" applyProtection="1">
      <alignment horizontal="right" vertical="top" wrapText="1"/>
    </xf>
    <xf numFmtId="0" fontId="11" fillId="4" borderId="66" xfId="0" applyFont="1" applyFill="1" applyBorder="1" applyAlignment="1" applyProtection="1">
      <alignment horizontal="left" vertical="top" wrapText="1"/>
      <protection locked="0"/>
    </xf>
    <xf numFmtId="0" fontId="34" fillId="3" borderId="49" xfId="7" applyFont="1" applyFill="1" applyBorder="1" applyAlignment="1">
      <alignment horizontal="center" vertical="top" wrapText="1"/>
    </xf>
    <xf numFmtId="0" fontId="29" fillId="5" borderId="45" xfId="7" applyFont="1" applyFill="1" applyBorder="1" applyAlignment="1">
      <alignment horizontal="center" vertical="center" wrapText="1"/>
    </xf>
    <xf numFmtId="0" fontId="29" fillId="5" borderId="46" xfId="7" applyFont="1" applyFill="1" applyBorder="1" applyAlignment="1">
      <alignment horizontal="center" vertical="center" wrapText="1"/>
    </xf>
    <xf numFmtId="0" fontId="10" fillId="0" borderId="13" xfId="0" applyNumberFormat="1" applyFont="1" applyFill="1" applyBorder="1" applyAlignment="1" applyProtection="1">
      <alignment horizontal="left" vertical="top" wrapText="1"/>
    </xf>
    <xf numFmtId="49" fontId="10" fillId="0" borderId="13" xfId="0" applyNumberFormat="1" applyFont="1" applyFill="1" applyBorder="1" applyAlignment="1" applyProtection="1">
      <alignment horizontal="left" vertical="top" wrapText="1"/>
    </xf>
    <xf numFmtId="0" fontId="5" fillId="0" borderId="13" xfId="0" applyFont="1" applyFill="1" applyBorder="1" applyAlignment="1" applyProtection="1">
      <alignment vertical="top" wrapText="1"/>
    </xf>
    <xf numFmtId="0" fontId="5" fillId="0" borderId="13" xfId="0" applyFont="1" applyFill="1" applyBorder="1" applyAlignment="1" applyProtection="1">
      <alignment vertical="center" wrapText="1"/>
    </xf>
    <xf numFmtId="0" fontId="38" fillId="20" borderId="16" xfId="0" applyFont="1" applyFill="1" applyBorder="1" applyAlignment="1" applyProtection="1">
      <alignment horizontal="left" vertical="top" wrapText="1"/>
    </xf>
    <xf numFmtId="0" fontId="18" fillId="3" borderId="72" xfId="0" applyFont="1" applyFill="1" applyBorder="1" applyAlignment="1">
      <alignment horizontal="center" vertical="center" wrapText="1"/>
    </xf>
    <xf numFmtId="9" fontId="7" fillId="0" borderId="73" xfId="10" applyFont="1" applyBorder="1" applyAlignment="1">
      <alignment horizontal="center" vertical="center" wrapText="1"/>
    </xf>
    <xf numFmtId="9" fontId="7" fillId="0" borderId="73" xfId="10" applyFont="1" applyFill="1" applyBorder="1" applyAlignment="1">
      <alignment horizontal="center" vertical="center" wrapText="1"/>
    </xf>
    <xf numFmtId="9" fontId="7" fillId="0" borderId="75" xfId="10" applyFont="1" applyBorder="1" applyAlignment="1">
      <alignment horizontal="center" vertical="center" wrapText="1"/>
    </xf>
    <xf numFmtId="9" fontId="6" fillId="3" borderId="77" xfId="10" applyFont="1" applyFill="1" applyBorder="1" applyAlignment="1">
      <alignment horizontal="center" vertical="center" wrapText="1"/>
    </xf>
    <xf numFmtId="0" fontId="18" fillId="3" borderId="78" xfId="0" applyFont="1" applyFill="1" applyBorder="1" applyAlignment="1">
      <alignment horizontal="center" vertical="center" wrapText="1"/>
    </xf>
    <xf numFmtId="165" fontId="27" fillId="0" borderId="79" xfId="0" applyNumberFormat="1" applyFont="1" applyBorder="1" applyAlignment="1">
      <alignment vertical="center" wrapText="1"/>
    </xf>
    <xf numFmtId="165" fontId="27" fillId="3" borderId="76" xfId="5" applyNumberFormat="1" applyFont="1" applyFill="1" applyBorder="1" applyAlignment="1">
      <alignment vertical="center" wrapText="1"/>
    </xf>
    <xf numFmtId="165" fontId="27" fillId="3" borderId="75" xfId="5" applyNumberFormat="1" applyFont="1" applyFill="1" applyBorder="1" applyAlignment="1">
      <alignment vertical="center" wrapText="1"/>
    </xf>
    <xf numFmtId="165" fontId="27" fillId="3" borderId="80" xfId="5" applyNumberFormat="1" applyFont="1" applyFill="1" applyBorder="1" applyAlignment="1">
      <alignment vertical="center" wrapText="1"/>
    </xf>
    <xf numFmtId="165" fontId="44" fillId="0" borderId="75" xfId="0" applyNumberFormat="1" applyFont="1" applyBorder="1" applyAlignment="1">
      <alignment vertical="center" wrapText="1"/>
    </xf>
    <xf numFmtId="165" fontId="44" fillId="3" borderId="80" xfId="5" applyNumberFormat="1" applyFont="1" applyFill="1" applyBorder="1" applyAlignment="1">
      <alignment vertical="center" wrapText="1"/>
    </xf>
    <xf numFmtId="165" fontId="27" fillId="3" borderId="41" xfId="5" applyNumberFormat="1" applyFont="1" applyFill="1" applyBorder="1" applyAlignment="1">
      <alignment vertical="center" wrapText="1"/>
    </xf>
    <xf numFmtId="165" fontId="7" fillId="0" borderId="81" xfId="5" applyNumberFormat="1" applyFont="1" applyBorder="1" applyAlignment="1">
      <alignment vertical="center" wrapText="1"/>
    </xf>
    <xf numFmtId="165" fontId="7" fillId="3" borderId="76" xfId="5" applyNumberFormat="1" applyFont="1" applyFill="1" applyBorder="1" applyAlignment="1">
      <alignment vertical="center" wrapText="1"/>
    </xf>
    <xf numFmtId="165" fontId="6" fillId="3" borderId="82" xfId="5" applyNumberFormat="1" applyFont="1" applyFill="1" applyBorder="1" applyAlignment="1">
      <alignment vertical="center" wrapText="1"/>
    </xf>
    <xf numFmtId="165" fontId="6" fillId="3" borderId="80" xfId="5" applyNumberFormat="1" applyFont="1" applyFill="1" applyBorder="1" applyAlignment="1">
      <alignment vertical="center" wrapText="1"/>
    </xf>
    <xf numFmtId="165" fontId="7" fillId="0" borderId="82" xfId="5" applyNumberFormat="1" applyFont="1" applyBorder="1" applyAlignment="1">
      <alignment vertical="center" wrapText="1"/>
    </xf>
    <xf numFmtId="165" fontId="7" fillId="3" borderId="80" xfId="5" applyNumberFormat="1" applyFont="1" applyFill="1" applyBorder="1" applyAlignment="1">
      <alignment vertical="center" wrapText="1"/>
    </xf>
    <xf numFmtId="165" fontId="6" fillId="3" borderId="68" xfId="5" applyNumberFormat="1" applyFont="1" applyFill="1" applyBorder="1" applyAlignment="1">
      <alignment vertical="center" wrapText="1"/>
    </xf>
    <xf numFmtId="165" fontId="6" fillId="3" borderId="41" xfId="5" applyNumberFormat="1" applyFont="1" applyFill="1" applyBorder="1" applyAlignment="1">
      <alignment vertical="center" wrapText="1"/>
    </xf>
    <xf numFmtId="165" fontId="7" fillId="3" borderId="83" xfId="5" applyNumberFormat="1" applyFont="1" applyFill="1" applyBorder="1" applyAlignment="1">
      <alignment vertical="center" wrapText="1"/>
    </xf>
    <xf numFmtId="0" fontId="7" fillId="0" borderId="84" xfId="0" applyFont="1" applyBorder="1" applyAlignment="1">
      <alignment vertical="center" wrapText="1"/>
    </xf>
    <xf numFmtId="0" fontId="7" fillId="0" borderId="85" xfId="0" applyFont="1" applyBorder="1" applyAlignment="1">
      <alignment vertical="center" wrapText="1"/>
    </xf>
    <xf numFmtId="0" fontId="6" fillId="3" borderId="26" xfId="0" applyFont="1" applyFill="1" applyBorder="1" applyAlignment="1">
      <alignment vertical="center" wrapText="1"/>
    </xf>
    <xf numFmtId="0" fontId="7" fillId="0" borderId="26" xfId="0" applyFont="1" applyBorder="1" applyAlignment="1">
      <alignment vertical="center" wrapText="1"/>
    </xf>
    <xf numFmtId="0" fontId="6" fillId="3" borderId="23" xfId="0" applyFont="1" applyFill="1" applyBorder="1" applyAlignment="1">
      <alignment vertical="center" wrapText="1"/>
    </xf>
    <xf numFmtId="9" fontId="6" fillId="3" borderId="45" xfId="10" applyFont="1" applyFill="1" applyBorder="1" applyAlignment="1">
      <alignment horizontal="center" vertical="center" wrapText="1"/>
    </xf>
    <xf numFmtId="9" fontId="44" fillId="3" borderId="16" xfId="10" applyFont="1" applyFill="1" applyBorder="1" applyAlignment="1">
      <alignment horizontal="center" vertical="center" wrapText="1"/>
    </xf>
    <xf numFmtId="9" fontId="6" fillId="3" borderId="60" xfId="10" applyFont="1" applyFill="1" applyBorder="1" applyAlignment="1">
      <alignment horizontal="center" vertical="center" wrapText="1"/>
    </xf>
    <xf numFmtId="9" fontId="44" fillId="3" borderId="31" xfId="10" applyFont="1" applyFill="1" applyBorder="1" applyAlignment="1">
      <alignment horizontal="center" vertical="center" wrapText="1"/>
    </xf>
    <xf numFmtId="9" fontId="6" fillId="3" borderId="1" xfId="10" applyFont="1" applyFill="1" applyBorder="1" applyAlignment="1">
      <alignment horizontal="center" vertical="center" wrapText="1"/>
    </xf>
    <xf numFmtId="9" fontId="5" fillId="0" borderId="74" xfId="10" applyFont="1" applyBorder="1" applyAlignment="1">
      <alignment horizontal="center" vertical="center"/>
    </xf>
    <xf numFmtId="9" fontId="5" fillId="0" borderId="86" xfId="10" applyFont="1" applyBorder="1" applyAlignment="1">
      <alignment horizontal="center" vertical="center"/>
    </xf>
    <xf numFmtId="9" fontId="6" fillId="3" borderId="47" xfId="10" applyFont="1" applyFill="1" applyBorder="1" applyAlignment="1">
      <alignment horizontal="center" vertical="center" wrapText="1"/>
    </xf>
    <xf numFmtId="9" fontId="6" fillId="3" borderId="86" xfId="10" applyFont="1" applyFill="1" applyBorder="1" applyAlignment="1">
      <alignment horizontal="center" vertical="center" wrapText="1"/>
    </xf>
    <xf numFmtId="9" fontId="5" fillId="0" borderId="78" xfId="10" applyFont="1" applyBorder="1" applyAlignment="1">
      <alignment horizontal="center" vertical="center"/>
    </xf>
    <xf numFmtId="9" fontId="7" fillId="0" borderId="87" xfId="10" applyFont="1" applyBorder="1" applyAlignment="1">
      <alignment horizontal="center" vertical="center" wrapText="1"/>
    </xf>
    <xf numFmtId="9" fontId="44" fillId="3" borderId="88" xfId="10" applyFont="1" applyFill="1" applyBorder="1" applyAlignment="1">
      <alignment horizontal="center" vertical="center" wrapText="1"/>
    </xf>
    <xf numFmtId="0" fontId="8" fillId="0" borderId="78" xfId="0" applyFont="1" applyBorder="1" applyAlignment="1">
      <alignment horizontal="center" vertical="center"/>
    </xf>
    <xf numFmtId="0" fontId="46" fillId="0" borderId="19" xfId="0" applyFont="1" applyBorder="1" applyAlignment="1">
      <alignment horizontal="left"/>
    </xf>
    <xf numFmtId="0" fontId="32" fillId="9" borderId="50" xfId="7" applyFont="1" applyFill="1" applyBorder="1" applyAlignment="1" applyProtection="1">
      <alignment horizontal="center" vertical="top" wrapText="1"/>
      <protection locked="0"/>
    </xf>
    <xf numFmtId="3" fontId="48" fillId="0" borderId="13" xfId="0" applyNumberFormat="1" applyFont="1" applyBorder="1" applyAlignment="1" applyProtection="1">
      <alignment vertical="top" wrapText="1"/>
      <protection locked="0"/>
    </xf>
    <xf numFmtId="165" fontId="17" fillId="10" borderId="67" xfId="1" applyNumberFormat="1" applyFont="1" applyFill="1" applyBorder="1" applyAlignment="1" applyProtection="1">
      <alignment horizontal="left" vertical="center" wrapText="1"/>
    </xf>
    <xf numFmtId="0" fontId="49" fillId="0" borderId="0" xfId="0" applyFont="1" applyAlignment="1" applyProtection="1"/>
    <xf numFmtId="0" fontId="49" fillId="0" borderId="0" xfId="0" applyFont="1" applyAlignment="1"/>
    <xf numFmtId="165" fontId="49" fillId="0" borderId="0" xfId="5" applyNumberFormat="1" applyFont="1" applyAlignment="1"/>
    <xf numFmtId="165" fontId="49" fillId="0" borderId="0" xfId="0" applyNumberFormat="1" applyFont="1" applyAlignment="1"/>
    <xf numFmtId="0" fontId="1" fillId="0" borderId="1" xfId="31"/>
    <xf numFmtId="0" fontId="50" fillId="0" borderId="1" xfId="31" applyFont="1"/>
    <xf numFmtId="0" fontId="15" fillId="0" borderId="1" xfId="7"/>
    <xf numFmtId="0" fontId="52" fillId="31" borderId="71" xfId="7" applyFont="1" applyFill="1" applyBorder="1" applyAlignment="1">
      <alignment horizontal="center" vertical="center" wrapText="1"/>
    </xf>
    <xf numFmtId="165" fontId="51" fillId="31" borderId="71" xfId="25" applyNumberFormat="1" applyFont="1" applyFill="1" applyBorder="1" applyAlignment="1">
      <alignment horizontal="center" vertical="center" wrapText="1"/>
    </xf>
    <xf numFmtId="165" fontId="52" fillId="31" borderId="71" xfId="25" applyNumberFormat="1" applyFont="1" applyFill="1" applyBorder="1" applyAlignment="1">
      <alignment horizontal="center" vertical="center" wrapText="1"/>
    </xf>
    <xf numFmtId="0" fontId="56" fillId="0" borderId="102" xfId="31" applyFont="1" applyBorder="1" applyAlignment="1">
      <alignment horizontal="center" vertical="center" wrapText="1"/>
    </xf>
    <xf numFmtId="0" fontId="56" fillId="0" borderId="103" xfId="31" applyFont="1" applyBorder="1" applyAlignment="1">
      <alignment horizontal="center" vertical="center" wrapText="1"/>
    </xf>
    <xf numFmtId="0" fontId="56" fillId="0" borderId="101" xfId="31" applyFont="1" applyBorder="1" applyAlignment="1">
      <alignment horizontal="center" vertical="center" wrapText="1"/>
    </xf>
    <xf numFmtId="0" fontId="56" fillId="0" borderId="104" xfId="31" applyFont="1" applyBorder="1" applyAlignment="1">
      <alignment horizontal="center" vertical="center" wrapText="1"/>
    </xf>
    <xf numFmtId="0" fontId="60" fillId="32" borderId="106" xfId="7" applyFont="1" applyFill="1" applyBorder="1" applyAlignment="1">
      <alignment horizontal="center" vertical="center" wrapText="1"/>
    </xf>
    <xf numFmtId="0" fontId="60" fillId="32" borderId="13" xfId="7" applyFont="1" applyFill="1" applyBorder="1" applyAlignment="1">
      <alignment horizontal="center" vertical="center" wrapText="1"/>
    </xf>
    <xf numFmtId="0" fontId="60" fillId="32" borderId="16" xfId="7" applyFont="1" applyFill="1" applyBorder="1" applyAlignment="1">
      <alignment horizontal="center" vertical="center" wrapText="1"/>
    </xf>
    <xf numFmtId="0" fontId="60" fillId="32" borderId="107" xfId="7" applyFont="1" applyFill="1" applyBorder="1" applyAlignment="1">
      <alignment horizontal="center" vertical="center" wrapText="1"/>
    </xf>
    <xf numFmtId="0" fontId="60" fillId="32" borderId="111" xfId="7" applyFont="1" applyFill="1" applyBorder="1" applyAlignment="1">
      <alignment horizontal="center" vertical="center" wrapText="1"/>
    </xf>
    <xf numFmtId="0" fontId="60" fillId="32" borderId="112" xfId="7" applyFont="1" applyFill="1" applyBorder="1" applyAlignment="1">
      <alignment horizontal="center" vertical="center" wrapText="1"/>
    </xf>
    <xf numFmtId="0" fontId="60" fillId="32" borderId="110" xfId="7" applyFont="1" applyFill="1" applyBorder="1" applyAlignment="1">
      <alignment horizontal="center" vertical="center" wrapText="1"/>
    </xf>
    <xf numFmtId="0" fontId="60" fillId="32" borderId="113" xfId="7" applyFont="1" applyFill="1" applyBorder="1" applyAlignment="1">
      <alignment horizontal="center" vertical="center" wrapText="1"/>
    </xf>
    <xf numFmtId="0" fontId="60" fillId="32" borderId="123" xfId="7" applyFont="1" applyFill="1" applyBorder="1" applyAlignment="1">
      <alignment horizontal="center" vertical="center" wrapText="1"/>
    </xf>
    <xf numFmtId="0" fontId="60" fillId="32" borderId="71" xfId="7" applyFont="1" applyFill="1" applyBorder="1" applyAlignment="1">
      <alignment horizontal="center" vertical="center" wrapText="1"/>
    </xf>
    <xf numFmtId="0" fontId="60" fillId="32" borderId="122" xfId="7" applyFont="1" applyFill="1" applyBorder="1" applyAlignment="1">
      <alignment horizontal="center" vertical="center" wrapText="1"/>
    </xf>
    <xf numFmtId="0" fontId="60" fillId="32" borderId="124" xfId="7" applyFont="1" applyFill="1" applyBorder="1" applyAlignment="1">
      <alignment horizontal="center" vertical="center" wrapText="1"/>
    </xf>
    <xf numFmtId="0" fontId="53" fillId="32" borderId="101" xfId="7" applyFont="1" applyFill="1" applyBorder="1" applyAlignment="1">
      <alignment horizontal="left" vertical="center" wrapText="1"/>
    </xf>
    <xf numFmtId="0" fontId="53" fillId="32" borderId="16" xfId="7" applyFont="1" applyFill="1" applyBorder="1" applyAlignment="1">
      <alignment horizontal="left" vertical="center" wrapText="1"/>
    </xf>
    <xf numFmtId="0" fontId="53" fillId="32" borderId="122" xfId="7" applyFont="1" applyFill="1" applyBorder="1" applyAlignment="1">
      <alignment horizontal="left" vertical="center" wrapText="1"/>
    </xf>
    <xf numFmtId="0" fontId="53" fillId="32" borderId="110" xfId="7" applyFont="1" applyFill="1" applyBorder="1" applyAlignment="1">
      <alignment horizontal="left" vertical="center" wrapText="1"/>
    </xf>
    <xf numFmtId="0" fontId="58" fillId="32" borderId="99" xfId="7" applyFont="1" applyFill="1" applyBorder="1" applyAlignment="1">
      <alignment horizontal="left" vertical="center" wrapText="1"/>
    </xf>
    <xf numFmtId="0" fontId="1" fillId="0" borderId="109" xfId="31" applyBorder="1" applyAlignment="1">
      <alignment horizontal="center" vertical="center" wrapText="1"/>
    </xf>
    <xf numFmtId="3" fontId="53" fillId="32" borderId="103" xfId="25" applyNumberFormat="1" applyFont="1" applyFill="1" applyBorder="1" applyAlignment="1">
      <alignment horizontal="center" vertical="center" wrapText="1"/>
    </xf>
    <xf numFmtId="3" fontId="59" fillId="32" borderId="103" xfId="25" applyNumberFormat="1" applyFont="1" applyFill="1" applyBorder="1" applyAlignment="1">
      <alignment horizontal="center" vertical="center" wrapText="1"/>
    </xf>
    <xf numFmtId="0" fontId="53" fillId="32" borderId="100" xfId="7" applyFont="1" applyFill="1" applyBorder="1" applyAlignment="1">
      <alignment horizontal="center" vertical="center" wrapText="1"/>
    </xf>
    <xf numFmtId="3" fontId="1" fillId="0" borderId="112" xfId="31" applyNumberFormat="1" applyBorder="1" applyAlignment="1">
      <alignment horizontal="center" vertical="center" wrapText="1"/>
    </xf>
    <xf numFmtId="0" fontId="53" fillId="32" borderId="95" xfId="7" applyFont="1" applyFill="1" applyBorder="1" applyAlignment="1">
      <alignment horizontal="left" vertical="center" wrapText="1"/>
    </xf>
    <xf numFmtId="0" fontId="56" fillId="0" borderId="125" xfId="31" applyFont="1" applyBorder="1" applyAlignment="1">
      <alignment horizontal="center" vertical="center" wrapText="1"/>
    </xf>
    <xf numFmtId="0" fontId="56" fillId="0" borderId="97" xfId="31" applyFont="1" applyBorder="1" applyAlignment="1">
      <alignment horizontal="center" vertical="center" wrapText="1"/>
    </xf>
    <xf numFmtId="0" fontId="56" fillId="0" borderId="95" xfId="31" applyFont="1" applyBorder="1" applyAlignment="1">
      <alignment horizontal="center" vertical="center" wrapText="1"/>
    </xf>
    <xf numFmtId="0" fontId="56" fillId="0" borderId="126" xfId="31" applyFont="1" applyBorder="1" applyAlignment="1">
      <alignment horizontal="center" vertical="center" wrapText="1"/>
    </xf>
    <xf numFmtId="0" fontId="58" fillId="32" borderId="129" xfId="7" applyFont="1" applyFill="1" applyBorder="1" applyAlignment="1">
      <alignment horizontal="left" vertical="center" wrapText="1"/>
    </xf>
    <xf numFmtId="0" fontId="56" fillId="0" borderId="132" xfId="31" applyFont="1" applyBorder="1" applyAlignment="1">
      <alignment horizontal="center" vertical="center" wrapText="1"/>
    </xf>
    <xf numFmtId="0" fontId="56" fillId="0" borderId="130" xfId="31" applyFont="1" applyBorder="1" applyAlignment="1">
      <alignment horizontal="center" vertical="center" wrapText="1"/>
    </xf>
    <xf numFmtId="0" fontId="56" fillId="0" borderId="131" xfId="31" applyFont="1" applyBorder="1" applyAlignment="1">
      <alignment horizontal="center" vertical="center" wrapText="1"/>
    </xf>
    <xf numFmtId="0" fontId="56" fillId="0" borderId="133" xfId="31" applyFont="1" applyBorder="1" applyAlignment="1">
      <alignment horizontal="center" vertical="center" wrapText="1"/>
    </xf>
    <xf numFmtId="3" fontId="53" fillId="32" borderId="130" xfId="25" applyNumberFormat="1" applyFont="1" applyFill="1" applyBorder="1" applyAlignment="1">
      <alignment horizontal="center" vertical="center" wrapText="1"/>
    </xf>
    <xf numFmtId="3" fontId="59" fillId="32" borderId="130" xfId="25" applyNumberFormat="1" applyFont="1" applyFill="1" applyBorder="1" applyAlignment="1">
      <alignment horizontal="center" vertical="center" wrapText="1"/>
    </xf>
    <xf numFmtId="0" fontId="53" fillId="32" borderId="130" xfId="7" applyFont="1" applyFill="1" applyBorder="1" applyAlignment="1">
      <alignment horizontal="center" vertical="center" wrapText="1"/>
    </xf>
    <xf numFmtId="0" fontId="53" fillId="32" borderId="135" xfId="7" applyFont="1" applyFill="1" applyBorder="1" applyAlignment="1">
      <alignment horizontal="center" vertical="center" wrapText="1"/>
    </xf>
    <xf numFmtId="0" fontId="53" fillId="32" borderId="131" xfId="7" applyFont="1" applyFill="1" applyBorder="1" applyAlignment="1">
      <alignment horizontal="left" vertical="center" wrapText="1"/>
    </xf>
    <xf numFmtId="0" fontId="58" fillId="32" borderId="118" xfId="7" applyFont="1" applyFill="1" applyBorder="1" applyAlignment="1">
      <alignment horizontal="left" vertical="center" wrapText="1"/>
    </xf>
    <xf numFmtId="0" fontId="58" fillId="32" borderId="120" xfId="7" applyFont="1" applyFill="1" applyBorder="1" applyAlignment="1">
      <alignment horizontal="left" vertical="center" wrapText="1"/>
    </xf>
    <xf numFmtId="3" fontId="53" fillId="32" borderId="100" xfId="25" applyNumberFormat="1" applyFont="1" applyFill="1" applyBorder="1" applyAlignment="1">
      <alignment horizontal="center" vertical="center" wrapText="1"/>
    </xf>
    <xf numFmtId="3" fontId="59" fillId="32" borderId="100" xfId="25" applyNumberFormat="1" applyFont="1" applyFill="1" applyBorder="1" applyAlignment="1">
      <alignment horizontal="center" vertical="center" wrapText="1"/>
    </xf>
    <xf numFmtId="3" fontId="53" fillId="32" borderId="109" xfId="25" applyNumberFormat="1" applyFont="1" applyFill="1" applyBorder="1" applyAlignment="1">
      <alignment horizontal="center" vertical="center" wrapText="1"/>
    </xf>
    <xf numFmtId="3" fontId="59" fillId="32" borderId="109" xfId="25" applyNumberFormat="1" applyFont="1" applyFill="1" applyBorder="1" applyAlignment="1">
      <alignment horizontal="center" vertical="center" wrapText="1"/>
    </xf>
    <xf numFmtId="0" fontId="53" fillId="32" borderId="109" xfId="7" applyFont="1" applyFill="1" applyBorder="1" applyAlignment="1">
      <alignment horizontal="center" vertical="center" wrapText="1"/>
    </xf>
    <xf numFmtId="0" fontId="60" fillId="16" borderId="111" xfId="7" applyFont="1" applyFill="1" applyBorder="1" applyAlignment="1">
      <alignment horizontal="center" vertical="center" wrapText="1"/>
    </xf>
    <xf numFmtId="0" fontId="60" fillId="16" borderId="112" xfId="7" applyFont="1" applyFill="1" applyBorder="1" applyAlignment="1">
      <alignment horizontal="center" vertical="center" wrapText="1"/>
    </xf>
    <xf numFmtId="0" fontId="60" fillId="16" borderId="110" xfId="7" applyFont="1" applyFill="1" applyBorder="1" applyAlignment="1">
      <alignment horizontal="center" vertical="center" wrapText="1"/>
    </xf>
    <xf numFmtId="0" fontId="60" fillId="16" borderId="113" xfId="7" applyFont="1" applyFill="1" applyBorder="1" applyAlignment="1">
      <alignment horizontal="center" vertical="center" wrapText="1"/>
    </xf>
    <xf numFmtId="3" fontId="1" fillId="0" borderId="1" xfId="31" applyNumberFormat="1"/>
    <xf numFmtId="0" fontId="53" fillId="0" borderId="114" xfId="31" applyFont="1" applyBorder="1" applyAlignment="1">
      <alignment horizontal="center" vertical="center" wrapText="1"/>
    </xf>
    <xf numFmtId="0" fontId="53" fillId="0" borderId="121" xfId="31" applyFont="1" applyBorder="1" applyAlignment="1">
      <alignment horizontal="center" vertical="center" wrapText="1"/>
    </xf>
    <xf numFmtId="0" fontId="56" fillId="16" borderId="125" xfId="31" applyFont="1" applyFill="1" applyBorder="1" applyAlignment="1">
      <alignment horizontal="center" vertical="center" wrapText="1"/>
    </xf>
    <xf numFmtId="0" fontId="56" fillId="16" borderId="97" xfId="31" applyFont="1" applyFill="1" applyBorder="1" applyAlignment="1">
      <alignment horizontal="center" vertical="center" wrapText="1"/>
    </xf>
    <xf numFmtId="0" fontId="56" fillId="16" borderId="95" xfId="31" applyFont="1" applyFill="1" applyBorder="1" applyAlignment="1">
      <alignment horizontal="center" vertical="center" wrapText="1"/>
    </xf>
    <xf numFmtId="0" fontId="56" fillId="16" borderId="126" xfId="31" applyFont="1" applyFill="1" applyBorder="1" applyAlignment="1">
      <alignment horizontal="center" vertical="center" wrapText="1"/>
    </xf>
    <xf numFmtId="0" fontId="60" fillId="16" borderId="106" xfId="7" applyFont="1" applyFill="1" applyBorder="1" applyAlignment="1">
      <alignment horizontal="center" vertical="center" wrapText="1"/>
    </xf>
    <xf numFmtId="0" fontId="60" fillId="16" borderId="13" xfId="7" applyFont="1" applyFill="1" applyBorder="1" applyAlignment="1">
      <alignment horizontal="center" vertical="center" wrapText="1"/>
    </xf>
    <xf numFmtId="0" fontId="60" fillId="16" borderId="16" xfId="7" applyFont="1" applyFill="1" applyBorder="1" applyAlignment="1">
      <alignment horizontal="center" vertical="center" wrapText="1"/>
    </xf>
    <xf numFmtId="0" fontId="60" fillId="16" borderId="107" xfId="7" applyFont="1" applyFill="1" applyBorder="1" applyAlignment="1">
      <alignment horizontal="center" vertical="center" wrapText="1"/>
    </xf>
    <xf numFmtId="0" fontId="60" fillId="16" borderId="123" xfId="7" applyFont="1" applyFill="1" applyBorder="1" applyAlignment="1">
      <alignment horizontal="center" vertical="center" wrapText="1"/>
    </xf>
    <xf numFmtId="0" fontId="60" fillId="16" borderId="71" xfId="7" applyFont="1" applyFill="1" applyBorder="1" applyAlignment="1">
      <alignment horizontal="center" vertical="center" wrapText="1"/>
    </xf>
    <xf numFmtId="0" fontId="60" fillId="16" borderId="122" xfId="7" applyFont="1" applyFill="1" applyBorder="1" applyAlignment="1">
      <alignment horizontal="center" vertical="center" wrapText="1"/>
    </xf>
    <xf numFmtId="0" fontId="60" fillId="16" borderId="124" xfId="7" applyFont="1" applyFill="1" applyBorder="1" applyAlignment="1">
      <alignment horizontal="center" vertical="center" wrapText="1"/>
    </xf>
    <xf numFmtId="0" fontId="60" fillId="0" borderId="106" xfId="7" applyFont="1" applyFill="1" applyBorder="1" applyAlignment="1">
      <alignment horizontal="center" vertical="center" wrapText="1"/>
    </xf>
    <xf numFmtId="0" fontId="60" fillId="0" borderId="13" xfId="7" applyFont="1" applyFill="1" applyBorder="1" applyAlignment="1">
      <alignment horizontal="center" vertical="center" wrapText="1"/>
    </xf>
    <xf numFmtId="0" fontId="60" fillId="0" borderId="123" xfId="7" applyFont="1" applyFill="1" applyBorder="1" applyAlignment="1">
      <alignment horizontal="center" vertical="center" wrapText="1"/>
    </xf>
    <xf numFmtId="0" fontId="60" fillId="0" borderId="71" xfId="7" applyFont="1" applyFill="1" applyBorder="1" applyAlignment="1">
      <alignment horizontal="center" vertical="center" wrapText="1"/>
    </xf>
    <xf numFmtId="0" fontId="56" fillId="16" borderId="102" xfId="31" applyFont="1" applyFill="1" applyBorder="1" applyAlignment="1">
      <alignment horizontal="center" vertical="center" wrapText="1"/>
    </xf>
    <xf numFmtId="0" fontId="56" fillId="16" borderId="103" xfId="31" applyFont="1" applyFill="1" applyBorder="1" applyAlignment="1">
      <alignment horizontal="center" vertical="center" wrapText="1"/>
    </xf>
    <xf numFmtId="0" fontId="56" fillId="16" borderId="101" xfId="31" applyFont="1" applyFill="1" applyBorder="1" applyAlignment="1">
      <alignment horizontal="center" vertical="center" wrapText="1"/>
    </xf>
    <xf numFmtId="0" fontId="60" fillId="0" borderId="111" xfId="7" applyFont="1" applyFill="1" applyBorder="1" applyAlignment="1">
      <alignment horizontal="center" vertical="center" wrapText="1"/>
    </xf>
    <xf numFmtId="0" fontId="60" fillId="0" borderId="112" xfId="7" applyFont="1" applyFill="1" applyBorder="1" applyAlignment="1">
      <alignment horizontal="center" vertical="center" wrapText="1"/>
    </xf>
    <xf numFmtId="0" fontId="60" fillId="0" borderId="113" xfId="7" applyFont="1" applyFill="1" applyBorder="1" applyAlignment="1">
      <alignment horizontal="center" vertical="center" wrapText="1"/>
    </xf>
    <xf numFmtId="0" fontId="56" fillId="0" borderId="103" xfId="31" applyFont="1" applyFill="1" applyBorder="1" applyAlignment="1">
      <alignment horizontal="center" vertical="center" wrapText="1"/>
    </xf>
    <xf numFmtId="0" fontId="56" fillId="0" borderId="101" xfId="31" applyFont="1" applyFill="1" applyBorder="1" applyAlignment="1">
      <alignment horizontal="center" vertical="center" wrapText="1"/>
    </xf>
    <xf numFmtId="0" fontId="60" fillId="0" borderId="16" xfId="7" applyFont="1" applyFill="1" applyBorder="1" applyAlignment="1">
      <alignment horizontal="center" vertical="center" wrapText="1"/>
    </xf>
    <xf numFmtId="0" fontId="56" fillId="16" borderId="104" xfId="31" applyFont="1" applyFill="1" applyBorder="1" applyAlignment="1">
      <alignment horizontal="center" vertical="center" wrapText="1"/>
    </xf>
    <xf numFmtId="0" fontId="56" fillId="16" borderId="130" xfId="31" applyFont="1" applyFill="1" applyBorder="1" applyAlignment="1">
      <alignment horizontal="center" vertical="center" wrapText="1"/>
    </xf>
    <xf numFmtId="0" fontId="56" fillId="16" borderId="133" xfId="31" applyFont="1" applyFill="1" applyBorder="1" applyAlignment="1">
      <alignment horizontal="center" vertical="center" wrapText="1"/>
    </xf>
    <xf numFmtId="0" fontId="56" fillId="16" borderId="132" xfId="31" applyFont="1" applyFill="1" applyBorder="1" applyAlignment="1">
      <alignment horizontal="center" vertical="center" wrapText="1"/>
    </xf>
    <xf numFmtId="0" fontId="53" fillId="0" borderId="96" xfId="31" applyFont="1" applyBorder="1" applyAlignment="1">
      <alignment vertical="center" wrapText="1"/>
    </xf>
    <xf numFmtId="0" fontId="53" fillId="0" borderId="17" xfId="31" applyFont="1" applyBorder="1" applyAlignment="1">
      <alignment vertical="center" wrapText="1"/>
    </xf>
    <xf numFmtId="0" fontId="53" fillId="0" borderId="93" xfId="31" applyFont="1" applyBorder="1" applyAlignment="1">
      <alignment vertical="center" wrapText="1"/>
    </xf>
    <xf numFmtId="0" fontId="53" fillId="0" borderId="114" xfId="31" applyFont="1" applyBorder="1" applyAlignment="1">
      <alignment vertical="center" wrapText="1"/>
    </xf>
    <xf numFmtId="0" fontId="53" fillId="0" borderId="105" xfId="31" applyFont="1" applyBorder="1" applyAlignment="1">
      <alignment vertical="center" wrapText="1"/>
    </xf>
    <xf numFmtId="0" fontId="62" fillId="0" borderId="1" xfId="31" applyFont="1"/>
    <xf numFmtId="0" fontId="53" fillId="0" borderId="134" xfId="31" applyFont="1" applyBorder="1" applyAlignment="1">
      <alignment horizontal="left" vertical="center" wrapText="1"/>
    </xf>
    <xf numFmtId="0" fontId="53" fillId="0" borderId="114" xfId="31" applyFont="1" applyBorder="1" applyAlignment="1">
      <alignment horizontal="left" vertical="center" wrapText="1"/>
    </xf>
    <xf numFmtId="0" fontId="53" fillId="0" borderId="121" xfId="31" applyFont="1" applyBorder="1" applyAlignment="1">
      <alignment horizontal="left" vertical="center" wrapText="1"/>
    </xf>
    <xf numFmtId="0" fontId="53" fillId="0" borderId="105" xfId="31" applyFont="1" applyBorder="1" applyAlignment="1">
      <alignment horizontal="left" vertical="center" wrapText="1"/>
    </xf>
    <xf numFmtId="0" fontId="53" fillId="0" borderId="17" xfId="31" applyFont="1" applyBorder="1" applyAlignment="1">
      <alignment horizontal="left" vertical="center" wrapText="1"/>
    </xf>
    <xf numFmtId="0" fontId="53" fillId="0" borderId="119" xfId="31" applyFont="1" applyBorder="1" applyAlignment="1">
      <alignment horizontal="left" vertical="center" wrapText="1"/>
    </xf>
    <xf numFmtId="0" fontId="53" fillId="0" borderId="109" xfId="31" applyFont="1" applyBorder="1" applyAlignment="1">
      <alignment horizontal="center" vertical="center" wrapText="1"/>
    </xf>
    <xf numFmtId="0" fontId="60" fillId="0" borderId="13" xfId="31" applyFont="1" applyBorder="1" applyAlignment="1">
      <alignment horizontal="center" vertical="center" wrapText="1"/>
    </xf>
    <xf numFmtId="0" fontId="63" fillId="32" borderId="13" xfId="31" applyFont="1" applyFill="1" applyBorder="1" applyAlignment="1">
      <alignment horizontal="left" vertical="center" wrapText="1"/>
    </xf>
    <xf numFmtId="9" fontId="63" fillId="32" borderId="13" xfId="10" applyFont="1" applyFill="1" applyBorder="1" applyAlignment="1" applyProtection="1">
      <alignment horizontal="center" vertical="center" wrapText="1"/>
      <protection locked="0"/>
    </xf>
    <xf numFmtId="37" fontId="63" fillId="32" borderId="13" xfId="1" applyNumberFormat="1" applyFont="1" applyFill="1" applyBorder="1" applyAlignment="1" applyProtection="1">
      <alignment horizontal="right" vertical="center" wrapText="1"/>
      <protection locked="0"/>
    </xf>
    <xf numFmtId="9" fontId="64" fillId="32" borderId="13" xfId="10" applyFont="1" applyFill="1" applyBorder="1" applyAlignment="1" applyProtection="1">
      <alignment horizontal="center" vertical="center" wrapText="1"/>
      <protection locked="0"/>
    </xf>
    <xf numFmtId="165" fontId="64" fillId="32" borderId="13" xfId="1" applyNumberFormat="1" applyFont="1" applyFill="1" applyBorder="1" applyAlignment="1">
      <alignment horizontal="right" vertical="center" wrapText="1"/>
    </xf>
    <xf numFmtId="3" fontId="59" fillId="0" borderId="13" xfId="31" applyNumberFormat="1" applyFont="1" applyBorder="1" applyAlignment="1"/>
    <xf numFmtId="0" fontId="51" fillId="12" borderId="13" xfId="31" applyFont="1" applyFill="1" applyBorder="1" applyAlignment="1">
      <alignment horizontal="center" vertical="center" wrapText="1"/>
    </xf>
    <xf numFmtId="167" fontId="5" fillId="0" borderId="13" xfId="5" applyNumberFormat="1" applyFont="1" applyFill="1" applyBorder="1" applyAlignment="1" applyProtection="1">
      <alignment horizontal="center" vertical="top" wrapText="1"/>
    </xf>
    <xf numFmtId="0" fontId="13" fillId="0" borderId="0" xfId="0" applyFont="1" applyAlignment="1" applyProtection="1">
      <alignment vertical="top" wrapText="1"/>
    </xf>
    <xf numFmtId="0" fontId="13" fillId="0" borderId="0" xfId="0" applyFont="1" applyAlignment="1" applyProtection="1">
      <alignment vertical="top" wrapText="1"/>
      <protection locked="0"/>
    </xf>
    <xf numFmtId="167" fontId="5" fillId="0" borderId="13" xfId="5" applyNumberFormat="1" applyFont="1" applyBorder="1" applyAlignment="1" applyProtection="1">
      <alignment horizontal="center" vertical="top" wrapText="1"/>
    </xf>
    <xf numFmtId="0" fontId="5" fillId="0" borderId="0" xfId="0" applyFont="1" applyAlignment="1">
      <alignment vertical="top" wrapText="1"/>
    </xf>
    <xf numFmtId="0" fontId="65" fillId="0" borderId="136" xfId="0" applyFont="1" applyBorder="1" applyAlignment="1">
      <alignment horizontal="justify" vertical="center" wrapText="1"/>
    </xf>
    <xf numFmtId="0" fontId="65" fillId="0" borderId="7" xfId="0" applyFont="1" applyBorder="1" applyAlignment="1">
      <alignment horizontal="justify" vertical="center" wrapText="1"/>
    </xf>
    <xf numFmtId="0" fontId="65" fillId="0" borderId="137" xfId="0" applyFont="1" applyBorder="1" applyAlignment="1">
      <alignment horizontal="justify" vertical="center" wrapText="1"/>
    </xf>
    <xf numFmtId="0" fontId="65" fillId="0" borderId="59" xfId="0" applyFont="1" applyBorder="1" applyAlignment="1">
      <alignment horizontal="justify" vertical="center" wrapText="1"/>
    </xf>
    <xf numFmtId="0" fontId="8" fillId="0" borderId="0" xfId="0" applyFont="1" applyAlignment="1">
      <alignment wrapText="1"/>
    </xf>
    <xf numFmtId="0" fontId="11" fillId="4" borderId="13" xfId="0" applyFont="1" applyFill="1" applyBorder="1" applyAlignment="1" applyProtection="1">
      <alignment horizontal="left" vertical="top" wrapText="1"/>
    </xf>
    <xf numFmtId="3" fontId="1" fillId="0" borderId="112" xfId="31" applyNumberFormat="1" applyBorder="1" applyAlignment="1">
      <alignment horizontal="center" vertical="center" wrapText="1"/>
    </xf>
    <xf numFmtId="0" fontId="1" fillId="0" borderId="109" xfId="31" applyBorder="1" applyAlignment="1">
      <alignment horizontal="center" vertical="center" wrapText="1"/>
    </xf>
    <xf numFmtId="0" fontId="58" fillId="32" borderId="99" xfId="7" applyFont="1" applyFill="1" applyBorder="1" applyAlignment="1">
      <alignment horizontal="left" vertical="center" wrapText="1"/>
    </xf>
    <xf numFmtId="0" fontId="53" fillId="32" borderId="100" xfId="7" applyFont="1" applyFill="1" applyBorder="1" applyAlignment="1">
      <alignment horizontal="center" vertical="center" wrapText="1"/>
    </xf>
    <xf numFmtId="3" fontId="53" fillId="32" borderId="103" xfId="25" applyNumberFormat="1" applyFont="1" applyFill="1" applyBorder="1" applyAlignment="1">
      <alignment horizontal="center" vertical="center" wrapText="1"/>
    </xf>
    <xf numFmtId="3" fontId="59" fillId="32" borderId="103" xfId="25" applyNumberFormat="1" applyFont="1" applyFill="1" applyBorder="1" applyAlignment="1">
      <alignment horizontal="center" vertical="center" wrapText="1"/>
    </xf>
    <xf numFmtId="0" fontId="11" fillId="25" borderId="66" xfId="0" applyFont="1" applyFill="1" applyBorder="1" applyAlignment="1" applyProtection="1">
      <alignment horizontal="left" vertical="top" wrapText="1"/>
      <protection locked="0"/>
    </xf>
    <xf numFmtId="0" fontId="11" fillId="25" borderId="17" xfId="0" applyFont="1" applyFill="1" applyBorder="1" applyAlignment="1" applyProtection="1">
      <alignment horizontal="left" vertical="top" wrapText="1"/>
      <protection locked="0"/>
    </xf>
    <xf numFmtId="0" fontId="11" fillId="0" borderId="66"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1" fillId="4" borderId="66" xfId="0" applyFont="1" applyFill="1" applyBorder="1" applyAlignment="1" applyProtection="1">
      <alignment horizontal="left" vertical="top" wrapText="1"/>
    </xf>
    <xf numFmtId="0" fontId="11" fillId="4" borderId="17" xfId="0" applyFont="1" applyFill="1" applyBorder="1" applyAlignment="1" applyProtection="1">
      <alignment horizontal="left" vertical="top" wrapText="1"/>
    </xf>
    <xf numFmtId="0" fontId="18" fillId="11" borderId="66" xfId="0" applyFont="1" applyFill="1" applyBorder="1" applyAlignment="1" applyProtection="1">
      <alignment horizontal="left" vertical="top" wrapText="1"/>
    </xf>
    <xf numFmtId="165" fontId="49" fillId="0" borderId="0" xfId="5" applyNumberFormat="1" applyFont="1" applyAlignment="1">
      <alignment horizontal="center"/>
    </xf>
    <xf numFmtId="165" fontId="49" fillId="0" borderId="0" xfId="0" applyNumberFormat="1" applyFont="1" applyAlignment="1">
      <alignment horizontal="center"/>
    </xf>
    <xf numFmtId="165" fontId="17" fillId="10" borderId="67" xfId="1" applyNumberFormat="1" applyFont="1" applyFill="1" applyBorder="1" applyAlignment="1" applyProtection="1">
      <alignment horizontal="center" vertical="center" wrapText="1"/>
    </xf>
    <xf numFmtId="3" fontId="14" fillId="13" borderId="65" xfId="5" applyNumberFormat="1" applyFont="1" applyFill="1" applyBorder="1" applyAlignment="1" applyProtection="1">
      <alignment horizontal="center" vertical="center" wrapText="1"/>
    </xf>
    <xf numFmtId="3" fontId="10" fillId="0" borderId="13" xfId="0" applyNumberFormat="1" applyFont="1" applyFill="1" applyBorder="1" applyAlignment="1" applyProtection="1">
      <alignment horizontal="center" vertical="top" wrapText="1"/>
    </xf>
    <xf numFmtId="3" fontId="11" fillId="23" borderId="13" xfId="5" applyNumberFormat="1" applyFont="1" applyFill="1" applyBorder="1" applyAlignment="1" applyProtection="1">
      <alignment horizontal="center" vertical="top" wrapText="1"/>
    </xf>
    <xf numFmtId="3" fontId="11" fillId="22" borderId="13" xfId="5" applyNumberFormat="1" applyFont="1" applyFill="1" applyBorder="1" applyAlignment="1" applyProtection="1">
      <alignment horizontal="center" vertical="top" wrapText="1"/>
    </xf>
    <xf numFmtId="3" fontId="18" fillId="27" borderId="13" xfId="5" applyNumberFormat="1" applyFont="1" applyFill="1" applyBorder="1" applyAlignment="1" applyProtection="1">
      <alignment horizontal="center" vertical="top" wrapText="1"/>
    </xf>
    <xf numFmtId="3" fontId="22" fillId="4" borderId="13" xfId="5" applyNumberFormat="1" applyFont="1" applyFill="1" applyBorder="1" applyAlignment="1" applyProtection="1">
      <alignment horizontal="center" vertical="top" wrapText="1"/>
    </xf>
    <xf numFmtId="3" fontId="14" fillId="13" borderId="13" xfId="5" applyNumberFormat="1" applyFont="1" applyFill="1" applyBorder="1" applyAlignment="1" applyProtection="1">
      <alignment horizontal="center" vertical="center" wrapText="1"/>
    </xf>
    <xf numFmtId="3" fontId="11" fillId="4" borderId="13" xfId="5" applyNumberFormat="1" applyFont="1" applyFill="1" applyBorder="1" applyAlignment="1" applyProtection="1">
      <alignment horizontal="center" vertical="top" wrapText="1"/>
    </xf>
    <xf numFmtId="3" fontId="10" fillId="0" borderId="13" xfId="5" applyNumberFormat="1" applyFont="1" applyFill="1" applyBorder="1" applyAlignment="1" applyProtection="1">
      <alignment horizontal="center" vertical="top" wrapText="1"/>
    </xf>
    <xf numFmtId="0" fontId="5" fillId="0" borderId="0" xfId="0" applyFont="1" applyAlignment="1">
      <alignment horizontal="center"/>
    </xf>
    <xf numFmtId="3" fontId="5" fillId="0" borderId="0" xfId="0" applyNumberFormat="1" applyFont="1" applyAlignment="1">
      <alignment horizontal="center"/>
    </xf>
    <xf numFmtId="3" fontId="43" fillId="6" borderId="16" xfId="15" applyNumberFormat="1" applyFont="1" applyFill="1" applyBorder="1" applyAlignment="1" applyProtection="1">
      <alignment vertical="center" wrapText="1"/>
    </xf>
    <xf numFmtId="3" fontId="43" fillId="6" borderId="66" xfId="15" applyNumberFormat="1" applyFont="1" applyFill="1" applyBorder="1" applyAlignment="1" applyProtection="1">
      <alignment vertical="center" wrapText="1"/>
    </xf>
    <xf numFmtId="3" fontId="43" fillId="6" borderId="17" xfId="15" applyNumberFormat="1" applyFont="1" applyFill="1" applyBorder="1" applyAlignment="1" applyProtection="1">
      <alignment vertical="center" wrapText="1"/>
    </xf>
    <xf numFmtId="0" fontId="18" fillId="11" borderId="13" xfId="0" applyFont="1" applyFill="1" applyBorder="1" applyAlignment="1" applyProtection="1">
      <alignment vertical="top" wrapText="1"/>
    </xf>
    <xf numFmtId="0" fontId="14" fillId="10" borderId="16" xfId="0" applyFont="1" applyFill="1" applyBorder="1" applyAlignment="1" applyProtection="1">
      <alignment vertical="top" wrapText="1"/>
    </xf>
    <xf numFmtId="0" fontId="14" fillId="10" borderId="66" xfId="0" applyFont="1" applyFill="1" applyBorder="1" applyAlignment="1" applyProtection="1">
      <alignment vertical="top" wrapText="1"/>
    </xf>
    <xf numFmtId="0" fontId="14" fillId="10" borderId="17" xfId="0" applyFont="1" applyFill="1" applyBorder="1" applyAlignment="1" applyProtection="1">
      <alignment vertical="top" wrapText="1"/>
    </xf>
    <xf numFmtId="0" fontId="11" fillId="4" borderId="66" xfId="0" applyFont="1" applyFill="1" applyBorder="1" applyAlignment="1" applyProtection="1">
      <alignment vertical="top" wrapText="1"/>
    </xf>
    <xf numFmtId="0" fontId="18" fillId="11" borderId="66" xfId="0" applyFont="1" applyFill="1" applyBorder="1" applyAlignment="1" applyProtection="1">
      <alignment vertical="top" wrapText="1"/>
    </xf>
    <xf numFmtId="0" fontId="11" fillId="0" borderId="66" xfId="0" applyFont="1" applyFill="1" applyBorder="1" applyAlignment="1" applyProtection="1">
      <alignment vertical="top" wrapText="1"/>
      <protection locked="0"/>
    </xf>
    <xf numFmtId="0" fontId="11" fillId="25" borderId="66" xfId="0" applyFont="1" applyFill="1" applyBorder="1" applyAlignment="1" applyProtection="1">
      <alignment vertical="top" wrapText="1"/>
      <protection locked="0"/>
    </xf>
    <xf numFmtId="0" fontId="18" fillId="11" borderId="17" xfId="0" applyFont="1" applyFill="1" applyBorder="1" applyAlignment="1" applyProtection="1">
      <alignment horizontal="left" vertical="top" wrapText="1"/>
    </xf>
    <xf numFmtId="0" fontId="13" fillId="0" borderId="1" xfId="15" applyFont="1"/>
    <xf numFmtId="0" fontId="5" fillId="0" borderId="1" xfId="15" applyFont="1"/>
    <xf numFmtId="0" fontId="6" fillId="0" borderId="1" xfId="7" applyFont="1" applyAlignment="1" applyProtection="1">
      <alignment horizontal="left" vertical="center"/>
      <protection locked="0"/>
    </xf>
    <xf numFmtId="0" fontId="5" fillId="0" borderId="1" xfId="15" applyFont="1" applyProtection="1">
      <protection locked="0"/>
    </xf>
    <xf numFmtId="0" fontId="14" fillId="5" borderId="15" xfId="15" applyFont="1" applyFill="1" applyBorder="1" applyAlignment="1">
      <alignment vertical="center" wrapText="1"/>
    </xf>
    <xf numFmtId="0" fontId="28" fillId="5" borderId="136" xfId="15" applyFont="1" applyFill="1" applyBorder="1" applyAlignment="1">
      <alignment horizontal="center" vertical="center" wrapText="1"/>
    </xf>
    <xf numFmtId="0" fontId="7" fillId="0" borderId="84" xfId="15" applyFont="1" applyBorder="1" applyAlignment="1">
      <alignment vertical="center" wrapText="1"/>
    </xf>
    <xf numFmtId="165" fontId="7" fillId="0" borderId="84" xfId="1" applyNumberFormat="1" applyFont="1" applyBorder="1" applyAlignment="1">
      <alignment vertical="center" wrapText="1"/>
    </xf>
    <xf numFmtId="0" fontId="7" fillId="0" borderId="85" xfId="15" applyFont="1" applyBorder="1" applyAlignment="1">
      <alignment vertical="center" wrapText="1"/>
    </xf>
    <xf numFmtId="0" fontId="6" fillId="3" borderId="26" xfId="15" applyFont="1" applyFill="1" applyBorder="1" applyAlignment="1">
      <alignment vertical="center" wrapText="1"/>
    </xf>
    <xf numFmtId="165" fontId="6" fillId="3" borderId="26" xfId="1" applyNumberFormat="1" applyFont="1" applyFill="1" applyBorder="1" applyAlignment="1">
      <alignment vertical="center" wrapText="1"/>
    </xf>
    <xf numFmtId="0" fontId="8" fillId="0" borderId="1" xfId="15" applyFont="1"/>
    <xf numFmtId="0" fontId="7" fillId="0" borderId="26" xfId="15" applyFont="1" applyBorder="1" applyAlignment="1">
      <alignment vertical="center" wrapText="1"/>
    </xf>
    <xf numFmtId="165" fontId="7" fillId="0" borderId="26" xfId="1" applyNumberFormat="1" applyFont="1" applyBorder="1" applyAlignment="1">
      <alignment vertical="center" wrapText="1"/>
    </xf>
    <xf numFmtId="0" fontId="6" fillId="3" borderId="137" xfId="15" applyFont="1" applyFill="1" applyBorder="1" applyAlignment="1">
      <alignment vertical="center" wrapText="1"/>
    </xf>
    <xf numFmtId="165" fontId="6" fillId="3" borderId="137" xfId="1" applyNumberFormat="1" applyFont="1" applyFill="1" applyBorder="1" applyAlignment="1">
      <alignment vertical="center" wrapText="1"/>
    </xf>
    <xf numFmtId="165" fontId="36" fillId="0" borderId="1" xfId="15" applyNumberFormat="1" applyFont="1"/>
    <xf numFmtId="0" fontId="28" fillId="5" borderId="31" xfId="15" applyFont="1" applyFill="1" applyBorder="1" applyAlignment="1">
      <alignment horizontal="center" vertical="center" wrapText="1"/>
    </xf>
    <xf numFmtId="0" fontId="28" fillId="5" borderId="5" xfId="15" applyFont="1" applyFill="1" applyBorder="1" applyAlignment="1">
      <alignment horizontal="center" vertical="center" wrapText="1"/>
    </xf>
    <xf numFmtId="165" fontId="7" fillId="0" borderId="2" xfId="1" applyNumberFormat="1" applyFont="1" applyBorder="1" applyAlignment="1">
      <alignment vertical="center" wrapText="1"/>
    </xf>
    <xf numFmtId="165" fontId="6" fillId="3" borderId="60" xfId="1" applyNumberFormat="1" applyFont="1" applyFill="1" applyBorder="1" applyAlignment="1">
      <alignment vertical="center" wrapText="1"/>
    </xf>
    <xf numFmtId="165" fontId="7" fillId="0" borderId="60" xfId="1" applyNumberFormat="1" applyFont="1" applyBorder="1" applyAlignment="1">
      <alignment vertical="center" wrapText="1"/>
    </xf>
    <xf numFmtId="165" fontId="7" fillId="0" borderId="33" xfId="1" applyNumberFormat="1" applyFont="1" applyBorder="1" applyAlignment="1">
      <alignment vertical="center" wrapText="1"/>
    </xf>
    <xf numFmtId="165" fontId="18" fillId="15" borderId="14" xfId="1" applyNumberFormat="1" applyFont="1" applyFill="1" applyBorder="1" applyAlignment="1">
      <alignment vertical="center" wrapText="1"/>
    </xf>
    <xf numFmtId="165" fontId="7" fillId="0" borderId="34" xfId="1" applyNumberFormat="1" applyFont="1" applyBorder="1" applyAlignment="1">
      <alignment vertical="center" wrapText="1"/>
    </xf>
    <xf numFmtId="165" fontId="7" fillId="0" borderId="35" xfId="1" applyNumberFormat="1" applyFont="1" applyBorder="1" applyAlignment="1">
      <alignment vertical="center" wrapText="1"/>
    </xf>
    <xf numFmtId="165" fontId="26" fillId="3" borderId="36" xfId="1" applyNumberFormat="1" applyFont="1" applyFill="1" applyBorder="1" applyAlignment="1">
      <alignment vertical="center" wrapText="1"/>
    </xf>
    <xf numFmtId="165" fontId="25" fillId="0" borderId="3" xfId="1" applyNumberFormat="1" applyFont="1" applyBorder="1" applyAlignment="1">
      <alignment vertical="center" wrapText="1"/>
    </xf>
    <xf numFmtId="165" fontId="22" fillId="3" borderId="3" xfId="1" applyNumberFormat="1" applyFont="1" applyFill="1" applyBorder="1" applyAlignment="1">
      <alignment vertical="center" wrapText="1"/>
    </xf>
    <xf numFmtId="165" fontId="5" fillId="0" borderId="1" xfId="15" applyNumberFormat="1" applyFont="1"/>
    <xf numFmtId="9" fontId="10" fillId="8" borderId="66" xfId="0" applyNumberFormat="1" applyFont="1" applyFill="1" applyBorder="1" applyAlignment="1" applyProtection="1">
      <alignment vertical="top" wrapText="1"/>
    </xf>
    <xf numFmtId="0" fontId="55" fillId="31" borderId="11" xfId="7" applyFont="1" applyFill="1" applyBorder="1" applyAlignment="1">
      <alignment vertical="center" wrapText="1"/>
    </xf>
    <xf numFmtId="0" fontId="55" fillId="31" borderId="12" xfId="7" applyFont="1" applyFill="1" applyBorder="1" applyAlignment="1">
      <alignment vertical="center" wrapText="1"/>
    </xf>
    <xf numFmtId="0" fontId="55" fillId="31" borderId="48" xfId="7" applyFont="1" applyFill="1" applyBorder="1" applyAlignment="1">
      <alignment vertical="center" wrapText="1"/>
    </xf>
    <xf numFmtId="0" fontId="66" fillId="31" borderId="12" xfId="7" applyFont="1" applyFill="1" applyBorder="1" applyAlignment="1">
      <alignment vertical="center" wrapText="1"/>
    </xf>
    <xf numFmtId="0" fontId="66" fillId="31" borderId="48" xfId="7" applyFont="1" applyFill="1" applyBorder="1" applyAlignment="1">
      <alignment vertical="center" wrapText="1"/>
    </xf>
    <xf numFmtId="0" fontId="53" fillId="32" borderId="88" xfId="7" applyFont="1" applyFill="1" applyBorder="1" applyAlignment="1">
      <alignment horizontal="left" vertical="center" wrapText="1"/>
    </xf>
    <xf numFmtId="0" fontId="53" fillId="0" borderId="138" xfId="31" applyFont="1" applyBorder="1" applyAlignment="1">
      <alignment vertical="center" wrapText="1"/>
    </xf>
    <xf numFmtId="0" fontId="53" fillId="32" borderId="97" xfId="7" applyFont="1" applyFill="1" applyBorder="1" applyAlignment="1">
      <alignment vertical="center" wrapText="1"/>
    </xf>
    <xf numFmtId="0" fontId="66" fillId="31" borderId="12" xfId="7" applyFont="1" applyFill="1" applyBorder="1" applyAlignment="1">
      <alignment vertical="center"/>
    </xf>
    <xf numFmtId="3" fontId="59" fillId="32" borderId="103" xfId="25" applyNumberFormat="1" applyFont="1" applyFill="1" applyBorder="1" applyAlignment="1">
      <alignment horizontal="center" vertical="center" wrapText="1"/>
    </xf>
    <xf numFmtId="0" fontId="53" fillId="32" borderId="100" xfId="7" applyFont="1" applyFill="1" applyBorder="1" applyAlignment="1">
      <alignment horizontal="center" vertical="center" wrapText="1"/>
    </xf>
    <xf numFmtId="3" fontId="53" fillId="32" borderId="103" xfId="25" applyNumberFormat="1" applyFont="1" applyFill="1" applyBorder="1" applyAlignment="1">
      <alignment horizontal="center" vertical="center" wrapText="1"/>
    </xf>
    <xf numFmtId="0" fontId="58" fillId="32" borderId="99" xfId="7" applyFont="1" applyFill="1" applyBorder="1" applyAlignment="1">
      <alignment horizontal="left" vertical="top" wrapText="1"/>
    </xf>
    <xf numFmtId="3" fontId="10" fillId="3" borderId="13" xfId="0" applyNumberFormat="1" applyFont="1" applyFill="1" applyBorder="1" applyAlignment="1" applyProtection="1">
      <alignment horizontal="center" vertical="top" wrapText="1"/>
    </xf>
    <xf numFmtId="0" fontId="53" fillId="3" borderId="97" xfId="7" applyFont="1" applyFill="1" applyBorder="1" applyAlignment="1">
      <alignment horizontal="center" vertical="center" wrapText="1"/>
    </xf>
    <xf numFmtId="0" fontId="53" fillId="3" borderId="13" xfId="7" applyFont="1" applyFill="1" applyBorder="1" applyAlignment="1">
      <alignment vertical="center" wrapText="1"/>
    </xf>
    <xf numFmtId="0" fontId="53" fillId="3" borderId="109" xfId="31" applyFont="1" applyFill="1" applyBorder="1" applyAlignment="1">
      <alignment horizontal="center" vertical="center" wrapText="1"/>
    </xf>
    <xf numFmtId="0" fontId="53" fillId="32" borderId="139" xfId="7" applyFont="1" applyFill="1" applyBorder="1" applyAlignment="1">
      <alignment horizontal="left" vertical="center" wrapText="1"/>
    </xf>
    <xf numFmtId="0" fontId="29" fillId="5" borderId="39"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33" fillId="9" borderId="42" xfId="7" applyFont="1" applyFill="1" applyBorder="1" applyAlignment="1">
      <alignment horizontal="left" vertical="top" wrapText="1"/>
    </xf>
    <xf numFmtId="0" fontId="33" fillId="9" borderId="43" xfId="7" applyFont="1" applyFill="1" applyBorder="1" applyAlignment="1">
      <alignment horizontal="left" vertical="top" wrapText="1"/>
    </xf>
    <xf numFmtId="0" fontId="33" fillId="9" borderId="44" xfId="7" applyFont="1" applyFill="1" applyBorder="1" applyAlignment="1">
      <alignment horizontal="left" vertical="top" wrapText="1"/>
    </xf>
    <xf numFmtId="0" fontId="29" fillId="5" borderId="8" xfId="7" applyFont="1" applyFill="1" applyBorder="1" applyAlignment="1">
      <alignment horizontal="center" vertical="center" wrapText="1"/>
    </xf>
    <xf numFmtId="0" fontId="29" fillId="5" borderId="9" xfId="7" applyFont="1" applyFill="1" applyBorder="1" applyAlignment="1">
      <alignment horizontal="center" vertical="center" wrapText="1"/>
    </xf>
    <xf numFmtId="165" fontId="29" fillId="5" borderId="8" xfId="8" applyNumberFormat="1" applyFont="1" applyFill="1" applyBorder="1" applyAlignment="1">
      <alignment horizontal="center" vertical="center" wrapText="1"/>
    </xf>
    <xf numFmtId="165" fontId="29" fillId="5" borderId="9" xfId="8" applyNumberFormat="1" applyFont="1" applyFill="1" applyBorder="1" applyAlignment="1">
      <alignment horizontal="center" vertical="center" wrapText="1"/>
    </xf>
    <xf numFmtId="0" fontId="29" fillId="5" borderId="38" xfId="7" applyFont="1" applyFill="1" applyBorder="1" applyAlignment="1">
      <alignment horizontal="center" vertical="center" wrapText="1"/>
    </xf>
    <xf numFmtId="0" fontId="29" fillId="5" borderId="48" xfId="7"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7" fillId="0" borderId="70" xfId="0" applyFont="1" applyBorder="1" applyAlignment="1">
      <alignment horizontal="center"/>
    </xf>
    <xf numFmtId="0" fontId="7" fillId="0" borderId="69" xfId="0" applyFont="1" applyBorder="1" applyAlignment="1">
      <alignment horizontal="center"/>
    </xf>
    <xf numFmtId="0" fontId="7" fillId="0" borderId="21" xfId="0" applyFont="1" applyBorder="1" applyAlignment="1">
      <alignment horizontal="center"/>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5" borderId="32"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165" fontId="46" fillId="0" borderId="45" xfId="0" applyNumberFormat="1" applyFont="1" applyBorder="1" applyAlignment="1">
      <alignment horizontal="center" vertical="center"/>
    </xf>
    <xf numFmtId="165" fontId="46" fillId="0" borderId="47" xfId="0" applyNumberFormat="1" applyFont="1" applyBorder="1" applyAlignment="1">
      <alignment horizontal="center" vertical="center"/>
    </xf>
    <xf numFmtId="0" fontId="14" fillId="5" borderId="15" xfId="0" applyFont="1" applyFill="1" applyBorder="1" applyAlignment="1">
      <alignment vertical="center" wrapText="1"/>
    </xf>
    <xf numFmtId="0" fontId="14" fillId="5" borderId="26" xfId="0" applyFont="1" applyFill="1" applyBorder="1" applyAlignment="1">
      <alignment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165" fontId="46" fillId="0" borderId="70" xfId="0" applyNumberFormat="1" applyFont="1" applyBorder="1" applyAlignment="1">
      <alignment horizontal="left" vertical="center" indent="1"/>
    </xf>
    <xf numFmtId="165" fontId="46" fillId="0" borderId="21" xfId="0" applyNumberFormat="1" applyFont="1" applyBorder="1" applyAlignment="1">
      <alignment horizontal="left" vertical="center" indent="1"/>
    </xf>
    <xf numFmtId="0" fontId="51" fillId="31" borderId="13" xfId="31" applyFont="1" applyFill="1" applyBorder="1" applyAlignment="1">
      <alignment horizontal="left" vertical="center" wrapText="1"/>
    </xf>
    <xf numFmtId="0" fontId="59" fillId="0" borderId="13" xfId="31" applyFont="1" applyBorder="1" applyAlignment="1">
      <alignment horizontal="right" vertical="center" wrapText="1"/>
    </xf>
    <xf numFmtId="0" fontId="51" fillId="31" borderId="97" xfId="7" applyFont="1" applyFill="1" applyBorder="1" applyAlignment="1">
      <alignment horizontal="center" vertical="center" wrapText="1"/>
    </xf>
    <xf numFmtId="0" fontId="51" fillId="31" borderId="71" xfId="7" applyFont="1" applyFill="1" applyBorder="1" applyAlignment="1">
      <alignment horizontal="center" vertical="center" wrapText="1"/>
    </xf>
    <xf numFmtId="0" fontId="51" fillId="31" borderId="98" xfId="7" applyFont="1" applyFill="1" applyBorder="1" applyAlignment="1">
      <alignment horizontal="center" vertical="center" wrapText="1"/>
    </xf>
    <xf numFmtId="0" fontId="51" fillId="31" borderId="91" xfId="7" applyFont="1" applyFill="1" applyBorder="1" applyAlignment="1">
      <alignment horizontal="center" vertical="center" wrapText="1"/>
    </xf>
    <xf numFmtId="0" fontId="55" fillId="31" borderId="11" xfId="7" applyFont="1" applyFill="1" applyBorder="1" applyAlignment="1">
      <alignment horizontal="left" vertical="center" wrapText="1"/>
    </xf>
    <xf numFmtId="0" fontId="55" fillId="31" borderId="12" xfId="7" applyFont="1" applyFill="1" applyBorder="1" applyAlignment="1">
      <alignment horizontal="left" vertical="center" wrapText="1"/>
    </xf>
    <xf numFmtId="0" fontId="55" fillId="31" borderId="48" xfId="7" applyFont="1" applyFill="1" applyBorder="1" applyAlignment="1">
      <alignment horizontal="left" vertical="center" wrapText="1"/>
    </xf>
    <xf numFmtId="0" fontId="57" fillId="31" borderId="94" xfId="7" applyFont="1" applyFill="1" applyBorder="1" applyAlignment="1">
      <alignment horizontal="center" vertical="center" wrapText="1"/>
    </xf>
    <xf numFmtId="0" fontId="57" fillId="31" borderId="90" xfId="7" applyFont="1" applyFill="1" applyBorder="1" applyAlignment="1">
      <alignment horizontal="center" vertical="center" wrapText="1"/>
    </xf>
    <xf numFmtId="0" fontId="51" fillId="31" borderId="95" xfId="7" applyFont="1" applyFill="1" applyBorder="1" applyAlignment="1">
      <alignment horizontal="center" vertical="center" wrapText="1"/>
    </xf>
    <xf numFmtId="0" fontId="51" fillId="31" borderId="43" xfId="7" applyFont="1" applyFill="1" applyBorder="1" applyAlignment="1">
      <alignment horizontal="center" vertical="center" wrapText="1"/>
    </xf>
    <xf numFmtId="0" fontId="51" fillId="31" borderId="96" xfId="7" applyFont="1" applyFill="1" applyBorder="1" applyAlignment="1">
      <alignment horizontal="center" vertical="center" wrapText="1"/>
    </xf>
    <xf numFmtId="165" fontId="51" fillId="31" borderId="97" xfId="25" applyNumberFormat="1" applyFont="1" applyFill="1" applyBorder="1" applyAlignment="1">
      <alignment horizontal="center" vertical="center" wrapText="1"/>
    </xf>
    <xf numFmtId="0" fontId="58" fillId="32" borderId="94" xfId="7" applyFont="1" applyFill="1" applyBorder="1" applyAlignment="1">
      <alignment horizontal="left" vertical="center" wrapText="1"/>
    </xf>
    <xf numFmtId="0" fontId="1" fillId="0" borderId="73" xfId="31" applyBorder="1" applyAlignment="1">
      <alignment horizontal="left" vertical="center" wrapText="1"/>
    </xf>
    <xf numFmtId="0" fontId="1" fillId="0" borderId="90" xfId="31" applyBorder="1" applyAlignment="1">
      <alignment horizontal="left" vertical="center" wrapText="1"/>
    </xf>
    <xf numFmtId="0" fontId="1" fillId="0" borderId="108" xfId="31" applyBorder="1" applyAlignment="1">
      <alignment horizontal="left" vertical="center" wrapText="1"/>
    </xf>
    <xf numFmtId="0" fontId="53" fillId="32" borderId="38" xfId="7" applyFont="1" applyFill="1" applyBorder="1" applyAlignment="1">
      <alignment horizontal="center" vertical="center" wrapText="1"/>
    </xf>
    <xf numFmtId="0" fontId="54" fillId="0" borderId="40" xfId="31" applyFont="1" applyBorder="1" applyAlignment="1">
      <alignment horizontal="center" vertical="center" wrapText="1"/>
    </xf>
    <xf numFmtId="0" fontId="54" fillId="0" borderId="109" xfId="31" applyFont="1" applyBorder="1" applyAlignment="1">
      <alignment horizontal="center" vertical="center" wrapText="1"/>
    </xf>
    <xf numFmtId="3" fontId="53" fillId="32" borderId="97" xfId="25" applyNumberFormat="1" applyFont="1" applyFill="1" applyBorder="1" applyAlignment="1">
      <alignment horizontal="center" vertical="center" wrapText="1"/>
    </xf>
    <xf numFmtId="3" fontId="1" fillId="0" borderId="13" xfId="31" applyNumberFormat="1" applyBorder="1" applyAlignment="1">
      <alignment horizontal="center" vertical="center" wrapText="1"/>
    </xf>
    <xf numFmtId="3" fontId="1" fillId="0" borderId="71" xfId="31" applyNumberFormat="1" applyBorder="1" applyAlignment="1">
      <alignment horizontal="center" vertical="center" wrapText="1"/>
    </xf>
    <xf numFmtId="3" fontId="1" fillId="0" borderId="112" xfId="31" applyNumberFormat="1" applyBorder="1" applyAlignment="1">
      <alignment horizontal="center" vertical="center" wrapText="1"/>
    </xf>
    <xf numFmtId="3" fontId="59" fillId="32" borderId="97" xfId="25" applyNumberFormat="1" applyFont="1" applyFill="1" applyBorder="1" applyAlignment="1">
      <alignment horizontal="center" vertical="center" wrapText="1"/>
    </xf>
    <xf numFmtId="3" fontId="61" fillId="0" borderId="13" xfId="31" applyNumberFormat="1" applyFont="1" applyBorder="1" applyAlignment="1">
      <alignment horizontal="center" vertical="center" wrapText="1"/>
    </xf>
    <xf numFmtId="3" fontId="61" fillId="0" borderId="71" xfId="31" applyNumberFormat="1" applyFont="1" applyBorder="1" applyAlignment="1">
      <alignment horizontal="center" vertical="center" wrapText="1"/>
    </xf>
    <xf numFmtId="3" fontId="61" fillId="0" borderId="112" xfId="31" applyNumberFormat="1" applyFont="1" applyBorder="1" applyAlignment="1">
      <alignment horizontal="center" vertical="center" wrapText="1"/>
    </xf>
    <xf numFmtId="0" fontId="1" fillId="0" borderId="40" xfId="31" applyBorder="1" applyAlignment="1">
      <alignment horizontal="center" vertical="center" wrapText="1"/>
    </xf>
    <xf numFmtId="0" fontId="1" fillId="0" borderId="109" xfId="31" applyBorder="1" applyAlignment="1">
      <alignment horizontal="center" vertical="center" wrapText="1"/>
    </xf>
    <xf numFmtId="0" fontId="53" fillId="32" borderId="39" xfId="7" applyFont="1" applyFill="1" applyBorder="1" applyAlignment="1">
      <alignment horizontal="center" vertical="center" wrapText="1"/>
    </xf>
    <xf numFmtId="0" fontId="1" fillId="0" borderId="41" xfId="31" applyBorder="1" applyAlignment="1">
      <alignment horizontal="center" vertical="center" wrapText="1"/>
    </xf>
    <xf numFmtId="0" fontId="1" fillId="0" borderId="127" xfId="31" applyBorder="1" applyAlignment="1">
      <alignment horizontal="center" vertical="center" wrapText="1"/>
    </xf>
    <xf numFmtId="3" fontId="59" fillId="32" borderId="103" xfId="25" applyNumberFormat="1" applyFont="1" applyFill="1" applyBorder="1" applyAlignment="1">
      <alignment horizontal="center" vertical="center" wrapText="1"/>
    </xf>
    <xf numFmtId="0" fontId="53" fillId="32" borderId="100" xfId="7" applyFont="1" applyFill="1" applyBorder="1" applyAlignment="1">
      <alignment horizontal="center" vertical="center" wrapText="1"/>
    </xf>
    <xf numFmtId="0" fontId="53" fillId="32" borderId="128" xfId="7" applyFont="1" applyFill="1" applyBorder="1" applyAlignment="1">
      <alignment horizontal="center" vertical="center" wrapText="1"/>
    </xf>
    <xf numFmtId="0" fontId="58" fillId="32" borderId="99" xfId="7" applyFont="1" applyFill="1" applyBorder="1" applyAlignment="1">
      <alignment horizontal="left" vertical="center" wrapText="1"/>
    </xf>
    <xf numFmtId="3" fontId="53" fillId="32" borderId="103" xfId="25" applyNumberFormat="1" applyFont="1" applyFill="1" applyBorder="1" applyAlignment="1">
      <alignment horizontal="center" vertical="center" wrapText="1"/>
    </xf>
    <xf numFmtId="0" fontId="57" fillId="31" borderId="8" xfId="7" applyFont="1" applyFill="1" applyBorder="1" applyAlignment="1">
      <alignment horizontal="left" vertical="center" wrapText="1"/>
    </xf>
    <xf numFmtId="0" fontId="57" fillId="31" borderId="9" xfId="7" applyFont="1" applyFill="1" applyBorder="1" applyAlignment="1">
      <alignment horizontal="left" vertical="center" wrapText="1"/>
    </xf>
    <xf numFmtId="0" fontId="1" fillId="0" borderId="9" xfId="31" applyBorder="1" applyAlignment="1">
      <alignment horizontal="left" vertical="center" wrapText="1"/>
    </xf>
    <xf numFmtId="0" fontId="1" fillId="0" borderId="92" xfId="31" applyBorder="1" applyAlignment="1">
      <alignment horizontal="left" vertical="center" wrapText="1"/>
    </xf>
    <xf numFmtId="0" fontId="57" fillId="31" borderId="115" xfId="7" applyFont="1" applyFill="1" applyBorder="1" applyAlignment="1">
      <alignment horizontal="left" vertical="center" wrapText="1"/>
    </xf>
    <xf numFmtId="0" fontId="57" fillId="31" borderId="116" xfId="7" applyFont="1" applyFill="1" applyBorder="1" applyAlignment="1">
      <alignment horizontal="left" vertical="center" wrapText="1"/>
    </xf>
    <xf numFmtId="0" fontId="1" fillId="0" borderId="116" xfId="31" applyBorder="1" applyAlignment="1">
      <alignment horizontal="left" vertical="center" wrapText="1"/>
    </xf>
    <xf numFmtId="0" fontId="1" fillId="0" borderId="117" xfId="31" applyBorder="1" applyAlignment="1">
      <alignment horizontal="left" vertical="center" wrapText="1"/>
    </xf>
    <xf numFmtId="0" fontId="55" fillId="31" borderId="5" xfId="7" applyFont="1" applyFill="1" applyBorder="1" applyAlignment="1">
      <alignment horizontal="left" vertical="center" wrapText="1"/>
    </xf>
    <xf numFmtId="0" fontId="55" fillId="31" borderId="6" xfId="7" applyFont="1" applyFill="1" applyBorder="1" applyAlignment="1">
      <alignment horizontal="left" vertical="center" wrapText="1"/>
    </xf>
    <xf numFmtId="0" fontId="55" fillId="31" borderId="89" xfId="7" applyFont="1" applyFill="1" applyBorder="1" applyAlignment="1">
      <alignment horizontal="left" vertical="center" wrapText="1"/>
    </xf>
    <xf numFmtId="0" fontId="17" fillId="10" borderId="71" xfId="0" applyFont="1" applyFill="1" applyBorder="1" applyAlignment="1" applyProtection="1">
      <alignment horizontal="center" vertical="center" wrapText="1"/>
    </xf>
    <xf numFmtId="0" fontId="17" fillId="10" borderId="65" xfId="0" applyFont="1" applyFill="1" applyBorder="1" applyAlignment="1" applyProtection="1">
      <alignment horizontal="center" vertical="center" wrapText="1"/>
    </xf>
    <xf numFmtId="165" fontId="17" fillId="10" borderId="71" xfId="1" applyNumberFormat="1" applyFont="1" applyFill="1" applyBorder="1" applyAlignment="1" applyProtection="1">
      <alignment horizontal="left" vertical="center" wrapText="1"/>
    </xf>
    <xf numFmtId="165" fontId="17" fillId="10" borderId="40" xfId="1" applyNumberFormat="1" applyFont="1" applyFill="1" applyBorder="1" applyAlignment="1" applyProtection="1">
      <alignment horizontal="left" vertical="center" wrapText="1"/>
    </xf>
    <xf numFmtId="0" fontId="11" fillId="0" borderId="16" xfId="0" applyFont="1" applyFill="1" applyBorder="1" applyAlignment="1" applyProtection="1">
      <alignment horizontal="left" vertical="top" wrapText="1"/>
      <protection locked="0"/>
    </xf>
    <xf numFmtId="0" fontId="11" fillId="0" borderId="66" xfId="0" applyFont="1" applyFill="1" applyBorder="1" applyAlignment="1" applyProtection="1">
      <alignment horizontal="left" vertical="top" wrapText="1"/>
      <protection locked="0"/>
    </xf>
    <xf numFmtId="9" fontId="17" fillId="10" borderId="71" xfId="0" applyNumberFormat="1" applyFont="1" applyFill="1" applyBorder="1" applyAlignment="1" applyProtection="1">
      <alignment horizontal="center" vertical="center" wrapText="1"/>
    </xf>
    <xf numFmtId="9" fontId="17" fillId="10" borderId="65" xfId="0" applyNumberFormat="1" applyFont="1" applyFill="1" applyBorder="1" applyAlignment="1" applyProtection="1">
      <alignment horizontal="center" vertical="center" wrapText="1"/>
    </xf>
    <xf numFmtId="0" fontId="18" fillId="11" borderId="16" xfId="0" applyFont="1" applyFill="1" applyBorder="1" applyAlignment="1" applyProtection="1">
      <alignment horizontal="center" vertical="top" wrapText="1"/>
    </xf>
    <xf numFmtId="0" fontId="18" fillId="11" borderId="66" xfId="0" applyFont="1" applyFill="1" applyBorder="1" applyAlignment="1" applyProtection="1">
      <alignment horizontal="center" vertical="top" wrapText="1"/>
    </xf>
    <xf numFmtId="0" fontId="18" fillId="11" borderId="17" xfId="0" applyFont="1" applyFill="1" applyBorder="1" applyAlignment="1" applyProtection="1">
      <alignment horizontal="center" vertical="top" wrapText="1"/>
    </xf>
    <xf numFmtId="0" fontId="11" fillId="4" borderId="16" xfId="0" applyFont="1" applyFill="1" applyBorder="1" applyAlignment="1" applyProtection="1">
      <alignment horizontal="left" vertical="top" wrapText="1"/>
    </xf>
    <xf numFmtId="0" fontId="11" fillId="4" borderId="66" xfId="0" applyFont="1" applyFill="1" applyBorder="1" applyAlignment="1" applyProtection="1">
      <alignment horizontal="left" vertical="top" wrapText="1"/>
    </xf>
    <xf numFmtId="0" fontId="11" fillId="4" borderId="17" xfId="0" applyFont="1" applyFill="1" applyBorder="1" applyAlignment="1" applyProtection="1">
      <alignment horizontal="left" vertical="top" wrapText="1"/>
    </xf>
    <xf numFmtId="0" fontId="11" fillId="25" borderId="16" xfId="0" applyFont="1" applyFill="1" applyBorder="1" applyAlignment="1" applyProtection="1">
      <alignment horizontal="left" vertical="top" wrapText="1"/>
      <protection locked="0"/>
    </xf>
    <xf numFmtId="0" fontId="11" fillId="25" borderId="66" xfId="0" applyFont="1" applyFill="1" applyBorder="1" applyAlignment="1" applyProtection="1">
      <alignment horizontal="left" vertical="top" wrapText="1"/>
      <protection locked="0"/>
    </xf>
    <xf numFmtId="0" fontId="18" fillId="11" borderId="16" xfId="0" applyFont="1" applyFill="1" applyBorder="1" applyAlignment="1" applyProtection="1">
      <alignment horizontal="left" vertical="top" wrapText="1"/>
    </xf>
    <xf numFmtId="0" fontId="18" fillId="11" borderId="66" xfId="0" applyFont="1" applyFill="1" applyBorder="1" applyAlignment="1" applyProtection="1">
      <alignment horizontal="left" vertical="top" wrapText="1"/>
    </xf>
    <xf numFmtId="3" fontId="53" fillId="32" borderId="65" xfId="25" applyNumberFormat="1" applyFont="1" applyFill="1" applyBorder="1" applyAlignment="1">
      <alignment horizontal="center" vertical="center" wrapText="1"/>
    </xf>
    <xf numFmtId="3" fontId="59" fillId="32" borderId="65" xfId="25" applyNumberFormat="1" applyFont="1" applyFill="1" applyBorder="1" applyAlignment="1">
      <alignment horizontal="center" vertical="center" wrapText="1"/>
    </xf>
    <xf numFmtId="0" fontId="53" fillId="32" borderId="41" xfId="7" applyFont="1" applyFill="1" applyBorder="1" applyAlignment="1">
      <alignment horizontal="center" vertical="center" wrapText="1"/>
    </xf>
    <xf numFmtId="0" fontId="58" fillId="32" borderId="87" xfId="7" applyFont="1" applyFill="1" applyBorder="1" applyAlignment="1">
      <alignment horizontal="left" vertical="center" wrapText="1"/>
    </xf>
    <xf numFmtId="0" fontId="53" fillId="0" borderId="140" xfId="31" applyFont="1" applyBorder="1" applyAlignment="1">
      <alignment horizontal="left" vertical="center" wrapText="1"/>
    </xf>
    <xf numFmtId="3" fontId="53" fillId="32" borderId="40" xfId="25" applyNumberFormat="1" applyFont="1" applyFill="1" applyBorder="1" applyAlignment="1">
      <alignment horizontal="center" vertical="center" wrapText="1"/>
    </xf>
    <xf numFmtId="3" fontId="59" fillId="32" borderId="40" xfId="25" applyNumberFormat="1" applyFont="1" applyFill="1" applyBorder="1" applyAlignment="1">
      <alignment horizontal="center" vertical="center" wrapText="1"/>
    </xf>
    <xf numFmtId="0" fontId="58" fillId="0" borderId="5" xfId="31" applyFont="1" applyBorder="1"/>
    <xf numFmtId="3" fontId="67" fillId="0" borderId="6" xfId="31" applyNumberFormat="1" applyFont="1" applyBorder="1"/>
    <xf numFmtId="3" fontId="67" fillId="0" borderId="7" xfId="31" applyNumberFormat="1" applyFont="1" applyBorder="1"/>
  </cellXfs>
  <cellStyles count="35">
    <cellStyle name="Accent2" xfId="11" builtinId="33"/>
    <cellStyle name="Accent2 2" xfId="21" xr:uid="{00000000-0005-0000-0000-000001000000}"/>
    <cellStyle name="Comma" xfId="5" builtinId="3"/>
    <cellStyle name="Comma 2" xfId="1" xr:uid="{00000000-0005-0000-0000-000003000000}"/>
    <cellStyle name="Comma 3" xfId="13" xr:uid="{00000000-0005-0000-0000-000004000000}"/>
    <cellStyle name="Comma 3 2" xfId="23" xr:uid="{00000000-0005-0000-0000-000005000000}"/>
    <cellStyle name="Comma 3 2 2" xfId="33" xr:uid="{00000000-0005-0000-0000-000006000000}"/>
    <cellStyle name="Comma 3 3" xfId="28" xr:uid="{00000000-0005-0000-0000-000007000000}"/>
    <cellStyle name="Comma 4 2 2" xfId="8" xr:uid="{00000000-0005-0000-0000-000008000000}"/>
    <cellStyle name="Comma 4 2 2 2" xfId="18" xr:uid="{00000000-0005-0000-0000-000009000000}"/>
    <cellStyle name="Comma 4 2 2 2 2" xfId="30" xr:uid="{00000000-0005-0000-0000-00000A000000}"/>
    <cellStyle name="Comma 4 2 2 3" xfId="25" xr:uid="{00000000-0005-0000-0000-00000B000000}"/>
    <cellStyle name="Currency 2" xfId="4" xr:uid="{00000000-0005-0000-0000-00000C000000}"/>
    <cellStyle name="Normal" xfId="0" builtinId="0"/>
    <cellStyle name="Normal 10 2" xfId="15" xr:uid="{00000000-0005-0000-0000-00000E000000}"/>
    <cellStyle name="Normal 2" xfId="2" xr:uid="{00000000-0005-0000-0000-00000F000000}"/>
    <cellStyle name="Normal 2 2 2 2" xfId="24" xr:uid="{00000000-0005-0000-0000-000010000000}"/>
    <cellStyle name="Normal 20" xfId="9" xr:uid="{00000000-0005-0000-0000-000011000000}"/>
    <cellStyle name="Normal 20 2" xfId="19" xr:uid="{00000000-0005-0000-0000-000012000000}"/>
    <cellStyle name="Normal 20 2 2" xfId="31" xr:uid="{00000000-0005-0000-0000-000013000000}"/>
    <cellStyle name="Normal 20 3" xfId="34" xr:uid="{00000000-0005-0000-0000-000014000000}"/>
    <cellStyle name="Normal 20 4" xfId="26" xr:uid="{00000000-0005-0000-0000-000015000000}"/>
    <cellStyle name="Normal 3" xfId="3" xr:uid="{00000000-0005-0000-0000-000016000000}"/>
    <cellStyle name="Normal 3 2" xfId="6" xr:uid="{00000000-0005-0000-0000-000017000000}"/>
    <cellStyle name="Normal 3 2 2" xfId="7" xr:uid="{00000000-0005-0000-0000-000018000000}"/>
    <cellStyle name="Normal 3 2 5" xfId="14" xr:uid="{00000000-0005-0000-0000-000019000000}"/>
    <cellStyle name="Normal 4" xfId="12" xr:uid="{00000000-0005-0000-0000-00001A000000}"/>
    <cellStyle name="Normal 4 2" xfId="16" xr:uid="{00000000-0005-0000-0000-00001B000000}"/>
    <cellStyle name="Normal 4 3" xfId="22" xr:uid="{00000000-0005-0000-0000-00001C000000}"/>
    <cellStyle name="Normal 4 3 2" xfId="32" xr:uid="{00000000-0005-0000-0000-00001D000000}"/>
    <cellStyle name="Normal 4 4" xfId="27" xr:uid="{00000000-0005-0000-0000-00001E000000}"/>
    <cellStyle name="Normal 5" xfId="17" xr:uid="{00000000-0005-0000-0000-00001F000000}"/>
    <cellStyle name="Normal 5 2" xfId="29" xr:uid="{00000000-0005-0000-0000-000020000000}"/>
    <cellStyle name="Percent" xfId="10" builtinId="5"/>
    <cellStyle name="Percent 2" xfId="20" xr:uid="{00000000-0005-0000-0000-00002200000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dp-my.sharepoint.com/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dp-my.sharepoint.com/Users/bongani.ncube/Desktop/spotlight/BUDGET%20Template%20Spotlight-With%20link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assan1/Library/Containers/com.apple.mail/Data/Library/Mail%20Downloads/6E5F0794-5DB1-4CBD-A65A-87F325EAF66C/GFCR%20detailed%20budget%20and%20work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Budget by Outcom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C3BC-496C-1D4B-9224-B1B8E93446B1}">
  <sheetPr>
    <tabColor rgb="FFFFFF00"/>
  </sheetPr>
  <dimension ref="A1:M33"/>
  <sheetViews>
    <sheetView zoomScale="170" zoomScaleNormal="170" workbookViewId="0">
      <pane ySplit="4" topLeftCell="A5" activePane="bottomLeft" state="frozen"/>
      <selection activeCell="A3" sqref="A3:L16"/>
      <selection pane="bottomLeft" activeCell="A3" sqref="A3:L16"/>
    </sheetView>
  </sheetViews>
  <sheetFormatPr defaultColWidth="4.33203125" defaultRowHeight="13.2" x14ac:dyDescent="0.25"/>
  <cols>
    <col min="1" max="1" width="7.6640625" style="25" customWidth="1"/>
    <col min="2" max="2" width="6.6640625" style="25" customWidth="1"/>
    <col min="3" max="3" width="53.44140625" style="25" customWidth="1"/>
    <col min="4" max="4" width="5.109375" style="25" customWidth="1"/>
    <col min="5" max="5" width="5.33203125" style="25" customWidth="1"/>
    <col min="6" max="7" width="5.109375" style="25" customWidth="1"/>
    <col min="8" max="9" width="16" style="26" customWidth="1"/>
    <col min="10" max="10" width="16" style="27" customWidth="1"/>
    <col min="11" max="11" width="14.33203125" style="88" customWidth="1"/>
    <col min="12" max="12" width="20.6640625" style="25" customWidth="1"/>
    <col min="13" max="13" width="17" style="25" customWidth="1"/>
    <col min="14" max="16" width="4.33203125" style="25"/>
    <col min="17" max="17" width="7.109375" style="25" bestFit="1" customWidth="1"/>
    <col min="18" max="16384" width="4.33203125" style="25"/>
  </cols>
  <sheetData>
    <row r="1" spans="1:12" ht="21" x14ac:dyDescent="0.4">
      <c r="A1" s="24" t="s">
        <v>83</v>
      </c>
      <c r="K1" s="28"/>
    </row>
    <row r="2" spans="1:12" ht="27" customHeight="1" thickBot="1" x14ac:dyDescent="0.3">
      <c r="A2" s="195" t="s">
        <v>58</v>
      </c>
      <c r="B2" s="196"/>
      <c r="C2" s="196"/>
      <c r="K2" s="28"/>
    </row>
    <row r="3" spans="1:12" ht="15.75" customHeight="1" x14ac:dyDescent="0.25">
      <c r="A3" s="495" t="s">
        <v>0</v>
      </c>
      <c r="B3" s="495" t="s">
        <v>1</v>
      </c>
      <c r="C3" s="495" t="s">
        <v>2</v>
      </c>
      <c r="D3" s="500" t="s">
        <v>3</v>
      </c>
      <c r="E3" s="501"/>
      <c r="F3" s="501"/>
      <c r="G3" s="501"/>
      <c r="H3" s="502" t="s">
        <v>4</v>
      </c>
      <c r="I3" s="503"/>
      <c r="J3" s="503"/>
      <c r="K3" s="504" t="s">
        <v>5</v>
      </c>
      <c r="L3" s="495" t="s">
        <v>61</v>
      </c>
    </row>
    <row r="4" spans="1:12" ht="28.2" thickBot="1" x14ac:dyDescent="0.3">
      <c r="A4" s="496"/>
      <c r="B4" s="496"/>
      <c r="C4" s="496"/>
      <c r="D4" s="230" t="s">
        <v>6</v>
      </c>
      <c r="E4" s="231" t="s">
        <v>7</v>
      </c>
      <c r="F4" s="231" t="s">
        <v>8</v>
      </c>
      <c r="G4" s="231" t="s">
        <v>57</v>
      </c>
      <c r="H4" s="29" t="s">
        <v>59</v>
      </c>
      <c r="I4" s="30" t="s">
        <v>60</v>
      </c>
      <c r="J4" s="31" t="s">
        <v>62</v>
      </c>
      <c r="K4" s="505"/>
      <c r="L4" s="496"/>
    </row>
    <row r="5" spans="1:12" ht="21" customHeight="1" thickBot="1" x14ac:dyDescent="0.3">
      <c r="A5" s="32" t="s">
        <v>9</v>
      </c>
      <c r="B5" s="33"/>
      <c r="C5" s="34"/>
      <c r="D5" s="33"/>
      <c r="E5" s="33"/>
      <c r="F5" s="33"/>
      <c r="G5" s="33"/>
      <c r="H5" s="35"/>
      <c r="I5" s="35"/>
      <c r="J5" s="35"/>
      <c r="K5" s="36"/>
      <c r="L5" s="37"/>
    </row>
    <row r="6" spans="1:12" ht="15.6" x14ac:dyDescent="0.25">
      <c r="A6" s="278">
        <v>1</v>
      </c>
      <c r="B6" s="497" t="s">
        <v>179</v>
      </c>
      <c r="C6" s="498"/>
      <c r="D6" s="498"/>
      <c r="E6" s="498"/>
      <c r="F6" s="498"/>
      <c r="G6" s="498"/>
      <c r="H6" s="498"/>
      <c r="I6" s="498"/>
      <c r="J6" s="498"/>
      <c r="K6" s="498"/>
      <c r="L6" s="499"/>
    </row>
    <row r="7" spans="1:12" ht="30" customHeight="1" x14ac:dyDescent="0.25">
      <c r="A7" s="229">
        <f>A6</f>
        <v>1</v>
      </c>
      <c r="B7" s="39">
        <v>1.1000000000000001</v>
      </c>
      <c r="C7" s="38" t="s">
        <v>92</v>
      </c>
      <c r="D7" s="39" t="s">
        <v>10</v>
      </c>
      <c r="E7" s="39" t="s">
        <v>10</v>
      </c>
      <c r="F7" s="39" t="s">
        <v>10</v>
      </c>
      <c r="G7" s="39" t="s">
        <v>10</v>
      </c>
      <c r="H7" s="40"/>
      <c r="I7" s="40"/>
      <c r="J7" s="41">
        <f>SUM(H7:I7)</f>
        <v>0</v>
      </c>
      <c r="K7" s="100"/>
      <c r="L7" s="101"/>
    </row>
    <row r="8" spans="1:12" ht="41.4" x14ac:dyDescent="0.25">
      <c r="A8" s="229">
        <f>A7</f>
        <v>1</v>
      </c>
      <c r="B8" s="39">
        <v>1.2</v>
      </c>
      <c r="C8" s="38" t="s">
        <v>94</v>
      </c>
      <c r="D8" s="39" t="s">
        <v>10</v>
      </c>
      <c r="E8" s="39" t="s">
        <v>10</v>
      </c>
      <c r="F8" s="39" t="s">
        <v>10</v>
      </c>
      <c r="G8" s="39" t="s">
        <v>10</v>
      </c>
      <c r="H8" s="40"/>
      <c r="I8" s="40"/>
      <c r="J8" s="41">
        <f>SUM(H8:I8)</f>
        <v>0</v>
      </c>
      <c r="K8" s="100"/>
      <c r="L8" s="101"/>
    </row>
    <row r="9" spans="1:12" ht="30" customHeight="1" x14ac:dyDescent="0.25">
      <c r="A9" s="229">
        <f>A7</f>
        <v>1</v>
      </c>
      <c r="B9" s="39">
        <v>1.3</v>
      </c>
      <c r="C9" s="38" t="s">
        <v>182</v>
      </c>
      <c r="D9" s="39" t="s">
        <v>10</v>
      </c>
      <c r="E9" s="39" t="s">
        <v>10</v>
      </c>
      <c r="F9" s="39" t="s">
        <v>10</v>
      </c>
      <c r="G9" s="39" t="s">
        <v>10</v>
      </c>
      <c r="H9" s="40"/>
      <c r="I9" s="40"/>
      <c r="J9" s="41">
        <f>SUM(H9:I9)</f>
        <v>0</v>
      </c>
      <c r="K9" s="100"/>
      <c r="L9" s="101"/>
    </row>
    <row r="10" spans="1:12" ht="30" customHeight="1" thickBot="1" x14ac:dyDescent="0.3">
      <c r="A10" s="229">
        <f>A8</f>
        <v>1</v>
      </c>
      <c r="B10" s="39">
        <v>1.4</v>
      </c>
      <c r="C10" s="38" t="s">
        <v>73</v>
      </c>
      <c r="D10" s="39" t="s">
        <v>10</v>
      </c>
      <c r="E10" s="39" t="s">
        <v>10</v>
      </c>
      <c r="F10" s="39" t="s">
        <v>10</v>
      </c>
      <c r="G10" s="39" t="s">
        <v>10</v>
      </c>
      <c r="H10" s="40"/>
      <c r="I10" s="40"/>
      <c r="J10" s="41">
        <f>SUM(H10:I10)</f>
        <v>0</v>
      </c>
      <c r="K10" s="100"/>
      <c r="L10" s="101"/>
    </row>
    <row r="11" spans="1:12" ht="16.2" thickBot="1" x14ac:dyDescent="0.3">
      <c r="A11" s="43" t="s">
        <v>64</v>
      </c>
      <c r="B11" s="44"/>
      <c r="C11" s="45"/>
      <c r="D11" s="44"/>
      <c r="E11" s="44"/>
      <c r="F11" s="44"/>
      <c r="G11" s="44"/>
      <c r="H11" s="46">
        <f>SUM(H7:H10)</f>
        <v>0</v>
      </c>
      <c r="I11" s="46">
        <f>SUM(I7:I10)</f>
        <v>0</v>
      </c>
      <c r="J11" s="46">
        <f>SUM(J7:J10)</f>
        <v>0</v>
      </c>
      <c r="K11" s="47"/>
      <c r="L11" s="48"/>
    </row>
    <row r="12" spans="1:12" ht="15.6" x14ac:dyDescent="0.25">
      <c r="A12" s="278">
        <v>2</v>
      </c>
      <c r="B12" s="497" t="s">
        <v>63</v>
      </c>
      <c r="C12" s="498"/>
      <c r="D12" s="498"/>
      <c r="E12" s="498"/>
      <c r="F12" s="498"/>
      <c r="G12" s="498"/>
      <c r="H12" s="498"/>
      <c r="I12" s="498"/>
      <c r="J12" s="498"/>
      <c r="K12" s="498"/>
      <c r="L12" s="499"/>
    </row>
    <row r="13" spans="1:12" ht="69" x14ac:dyDescent="0.25">
      <c r="A13" s="229">
        <f>A12</f>
        <v>2</v>
      </c>
      <c r="B13" s="39">
        <v>2.1</v>
      </c>
      <c r="C13" s="38" t="s">
        <v>93</v>
      </c>
      <c r="D13" s="39" t="s">
        <v>10</v>
      </c>
      <c r="E13" s="39" t="s">
        <v>10</v>
      </c>
      <c r="F13" s="39" t="s">
        <v>10</v>
      </c>
      <c r="G13" s="39" t="s">
        <v>10</v>
      </c>
      <c r="H13" s="40"/>
      <c r="I13" s="40"/>
      <c r="J13" s="41">
        <f>SUM(H13:I13)</f>
        <v>0</v>
      </c>
      <c r="K13" s="100"/>
      <c r="L13" s="101"/>
    </row>
    <row r="14" spans="1:12" ht="41.4" x14ac:dyDescent="0.25">
      <c r="A14" s="229">
        <f>A12</f>
        <v>2</v>
      </c>
      <c r="B14" s="39">
        <v>2.2000000000000002</v>
      </c>
      <c r="C14" s="38" t="s">
        <v>96</v>
      </c>
      <c r="D14" s="39" t="s">
        <v>10</v>
      </c>
      <c r="E14" s="39" t="s">
        <v>10</v>
      </c>
      <c r="F14" s="39" t="s">
        <v>10</v>
      </c>
      <c r="G14" s="39" t="s">
        <v>10</v>
      </c>
      <c r="H14" s="40"/>
      <c r="I14" s="40"/>
      <c r="J14" s="42">
        <f>SUM(H14:I14)</f>
        <v>0</v>
      </c>
      <c r="K14" s="102"/>
      <c r="L14" s="103"/>
    </row>
    <row r="15" spans="1:12" ht="41.4" x14ac:dyDescent="0.25">
      <c r="A15" s="229">
        <f>A13</f>
        <v>2</v>
      </c>
      <c r="B15" s="39">
        <v>2.2999999999999998</v>
      </c>
      <c r="C15" s="38" t="s">
        <v>97</v>
      </c>
      <c r="D15" s="39" t="s">
        <v>10</v>
      </c>
      <c r="E15" s="39" t="s">
        <v>10</v>
      </c>
      <c r="F15" s="39" t="s">
        <v>10</v>
      </c>
      <c r="G15" s="39" t="s">
        <v>10</v>
      </c>
      <c r="H15" s="40"/>
      <c r="I15" s="40"/>
      <c r="J15" s="42">
        <f>SUM(H15:I15)</f>
        <v>0</v>
      </c>
      <c r="K15" s="102"/>
      <c r="L15" s="103"/>
    </row>
    <row r="16" spans="1:12" ht="28.2" thickBot="1" x14ac:dyDescent="0.3">
      <c r="A16" s="229">
        <f>A13</f>
        <v>2</v>
      </c>
      <c r="B16" s="39">
        <v>2.4</v>
      </c>
      <c r="C16" s="38" t="s">
        <v>98</v>
      </c>
      <c r="D16" s="39" t="s">
        <v>10</v>
      </c>
      <c r="E16" s="39" t="s">
        <v>10</v>
      </c>
      <c r="F16" s="39" t="s">
        <v>10</v>
      </c>
      <c r="G16" s="39" t="s">
        <v>10</v>
      </c>
      <c r="H16" s="40"/>
      <c r="I16" s="40"/>
      <c r="J16" s="49">
        <f>SUM(H16:I16)</f>
        <v>0</v>
      </c>
      <c r="K16" s="104"/>
      <c r="L16" s="105"/>
    </row>
    <row r="17" spans="1:13" ht="16.2" thickBot="1" x14ac:dyDescent="0.3">
      <c r="A17" s="43" t="s">
        <v>69</v>
      </c>
      <c r="B17" s="44"/>
      <c r="C17" s="45"/>
      <c r="D17" s="44"/>
      <c r="E17" s="44"/>
      <c r="F17" s="44"/>
      <c r="G17" s="44"/>
      <c r="H17" s="46">
        <f>SUM(H13:H16)</f>
        <v>0</v>
      </c>
      <c r="I17" s="46">
        <f>SUM(I13:I16)</f>
        <v>0</v>
      </c>
      <c r="J17" s="46">
        <f>SUM(J13:J16)</f>
        <v>0</v>
      </c>
      <c r="K17" s="47"/>
      <c r="L17" s="48"/>
    </row>
    <row r="18" spans="1:13" ht="16.2" thickBot="1" x14ac:dyDescent="0.3">
      <c r="A18" s="52" t="s">
        <v>12</v>
      </c>
      <c r="B18" s="53"/>
      <c r="C18" s="54"/>
      <c r="D18" s="53"/>
      <c r="E18" s="53"/>
      <c r="F18" s="53"/>
      <c r="G18" s="53"/>
      <c r="H18" s="55">
        <f>H11+H17</f>
        <v>0</v>
      </c>
      <c r="I18" s="55">
        <f>I11+I17</f>
        <v>0</v>
      </c>
      <c r="J18" s="55">
        <f>J11+J17</f>
        <v>0</v>
      </c>
      <c r="K18" s="56"/>
      <c r="L18" s="57"/>
    </row>
    <row r="19" spans="1:13" ht="15" thickBot="1" x14ac:dyDescent="0.3">
      <c r="A19" s="58" t="s">
        <v>68</v>
      </c>
      <c r="B19" s="33"/>
      <c r="C19" s="34"/>
      <c r="D19" s="33"/>
      <c r="E19" s="33"/>
      <c r="F19" s="33"/>
      <c r="G19" s="33"/>
      <c r="H19" s="35"/>
      <c r="I19" s="35"/>
      <c r="J19" s="35"/>
      <c r="K19" s="36"/>
      <c r="L19" s="37"/>
    </row>
    <row r="20" spans="1:13" ht="14.4" x14ac:dyDescent="0.25">
      <c r="A20" s="59" t="s">
        <v>14</v>
      </c>
      <c r="B20" s="60"/>
      <c r="C20" s="61"/>
      <c r="D20" s="60"/>
      <c r="E20" s="60"/>
      <c r="F20" s="60"/>
      <c r="G20" s="60"/>
      <c r="H20" s="62"/>
      <c r="I20" s="62"/>
      <c r="J20" s="62"/>
      <c r="K20" s="63"/>
      <c r="L20" s="64"/>
    </row>
    <row r="21" spans="1:13" ht="16.2" thickBot="1" x14ac:dyDescent="0.3">
      <c r="A21" s="65" t="s">
        <v>13</v>
      </c>
      <c r="B21" s="66" t="s">
        <v>13</v>
      </c>
      <c r="C21" s="67"/>
      <c r="D21" s="68" t="s">
        <v>10</v>
      </c>
      <c r="E21" s="68" t="s">
        <v>10</v>
      </c>
      <c r="F21" s="68" t="s">
        <v>10</v>
      </c>
      <c r="G21" s="68" t="s">
        <v>10</v>
      </c>
      <c r="H21" s="69"/>
      <c r="I21" s="69"/>
      <c r="J21" s="70">
        <f>SUM(H21:I21)</f>
        <v>0</v>
      </c>
      <c r="K21" s="71" t="s">
        <v>14</v>
      </c>
      <c r="L21" s="72" t="s">
        <v>13</v>
      </c>
    </row>
    <row r="22" spans="1:13" ht="14.4" x14ac:dyDescent="0.25">
      <c r="A22" s="59" t="s">
        <v>66</v>
      </c>
      <c r="B22" s="60"/>
      <c r="C22" s="61"/>
      <c r="D22" s="73"/>
      <c r="E22" s="73"/>
      <c r="F22" s="73"/>
      <c r="G22" s="73"/>
      <c r="H22" s="62"/>
      <c r="I22" s="62"/>
      <c r="J22" s="62"/>
      <c r="K22" s="74"/>
      <c r="L22" s="75"/>
    </row>
    <row r="23" spans="1:13" ht="16.2" thickBot="1" x14ac:dyDescent="0.3">
      <c r="A23" s="65" t="s">
        <v>13</v>
      </c>
      <c r="B23" s="66" t="s">
        <v>13</v>
      </c>
      <c r="C23" s="67"/>
      <c r="D23" s="68" t="s">
        <v>10</v>
      </c>
      <c r="E23" s="68" t="s">
        <v>10</v>
      </c>
      <c r="F23" s="68" t="s">
        <v>10</v>
      </c>
      <c r="G23" s="68" t="s">
        <v>10</v>
      </c>
      <c r="H23" s="69"/>
      <c r="I23" s="69"/>
      <c r="J23" s="70">
        <f>SUM(H23:I23)</f>
        <v>0</v>
      </c>
      <c r="K23" s="71" t="s">
        <v>66</v>
      </c>
      <c r="L23" s="72" t="s">
        <v>13</v>
      </c>
    </row>
    <row r="24" spans="1:13" ht="14.4" x14ac:dyDescent="0.25">
      <c r="A24" s="59" t="s">
        <v>67</v>
      </c>
      <c r="B24" s="60"/>
      <c r="C24" s="61"/>
      <c r="D24" s="73"/>
      <c r="E24" s="73"/>
      <c r="F24" s="73"/>
      <c r="G24" s="73"/>
      <c r="H24" s="62"/>
      <c r="I24" s="62"/>
      <c r="J24" s="62"/>
      <c r="K24" s="74"/>
      <c r="L24" s="75"/>
    </row>
    <row r="25" spans="1:13" ht="16.2" thickBot="1" x14ac:dyDescent="0.3">
      <c r="A25" s="65" t="s">
        <v>13</v>
      </c>
      <c r="B25" s="66" t="s">
        <v>13</v>
      </c>
      <c r="C25" s="67"/>
      <c r="D25" s="68" t="s">
        <v>10</v>
      </c>
      <c r="E25" s="68" t="s">
        <v>10</v>
      </c>
      <c r="F25" s="68" t="s">
        <v>10</v>
      </c>
      <c r="G25" s="68" t="s">
        <v>10</v>
      </c>
      <c r="H25" s="69"/>
      <c r="I25" s="69"/>
      <c r="J25" s="70">
        <f>SUM(H25:I25)</f>
        <v>0</v>
      </c>
      <c r="K25" s="71" t="s">
        <v>67</v>
      </c>
      <c r="L25" s="72" t="s">
        <v>13</v>
      </c>
    </row>
    <row r="26" spans="1:13" ht="14.4" x14ac:dyDescent="0.25">
      <c r="A26" s="59" t="s">
        <v>18</v>
      </c>
      <c r="B26" s="60"/>
      <c r="C26" s="61"/>
      <c r="D26" s="73"/>
      <c r="E26" s="73"/>
      <c r="F26" s="73"/>
      <c r="G26" s="73"/>
      <c r="H26" s="62"/>
      <c r="I26" s="62"/>
      <c r="J26" s="62"/>
      <c r="K26" s="74"/>
      <c r="L26" s="75"/>
    </row>
    <row r="27" spans="1:13" ht="16.2" thickBot="1" x14ac:dyDescent="0.3">
      <c r="A27" s="65" t="s">
        <v>13</v>
      </c>
      <c r="B27" s="66" t="s">
        <v>13</v>
      </c>
      <c r="C27" s="67"/>
      <c r="D27" s="68" t="s">
        <v>10</v>
      </c>
      <c r="E27" s="68" t="s">
        <v>10</v>
      </c>
      <c r="F27" s="68" t="s">
        <v>10</v>
      </c>
      <c r="G27" s="68" t="s">
        <v>10</v>
      </c>
      <c r="H27" s="69"/>
      <c r="I27" s="69"/>
      <c r="J27" s="70">
        <f>SUM(H27:I27)</f>
        <v>0</v>
      </c>
      <c r="K27" s="71" t="s">
        <v>19</v>
      </c>
      <c r="L27" s="72" t="s">
        <v>13</v>
      </c>
    </row>
    <row r="28" spans="1:13" ht="16.2" thickBot="1" x14ac:dyDescent="0.3">
      <c r="A28" s="50" t="s">
        <v>20</v>
      </c>
      <c r="B28" s="44"/>
      <c r="C28" s="45"/>
      <c r="D28" s="44"/>
      <c r="E28" s="44"/>
      <c r="F28" s="44"/>
      <c r="G28" s="44"/>
      <c r="H28" s="51">
        <f>SUM(H21:H27)</f>
        <v>0</v>
      </c>
      <c r="I28" s="51">
        <f>SUM(I21:I27)</f>
        <v>0</v>
      </c>
      <c r="J28" s="51">
        <f>SUM(J21:J27)</f>
        <v>0</v>
      </c>
      <c r="K28" s="47"/>
      <c r="L28" s="48"/>
      <c r="M28" s="106"/>
    </row>
    <row r="29" spans="1:13" ht="16.2" thickBot="1" x14ac:dyDescent="0.3">
      <c r="A29" s="52" t="s">
        <v>41</v>
      </c>
      <c r="B29" s="53"/>
      <c r="C29" s="54"/>
      <c r="D29" s="53"/>
      <c r="E29" s="53"/>
      <c r="F29" s="53"/>
      <c r="G29" s="53"/>
      <c r="H29" s="55">
        <f>H28+H18</f>
        <v>0</v>
      </c>
      <c r="I29" s="55">
        <f>I28+I18</f>
        <v>0</v>
      </c>
      <c r="J29" s="55">
        <f>J28+J18</f>
        <v>0</v>
      </c>
      <c r="K29" s="56"/>
      <c r="L29" s="57"/>
    </row>
    <row r="30" spans="1:13" ht="16.2" thickBot="1" x14ac:dyDescent="0.3">
      <c r="A30" s="76" t="s">
        <v>65</v>
      </c>
      <c r="B30" s="77"/>
      <c r="C30" s="78"/>
      <c r="D30" s="77"/>
      <c r="E30" s="77"/>
      <c r="F30" s="77"/>
      <c r="G30" s="77"/>
      <c r="H30" s="79">
        <f>H29*7%</f>
        <v>0</v>
      </c>
      <c r="I30" s="79">
        <f>I29*7%</f>
        <v>0</v>
      </c>
      <c r="J30" s="79">
        <f>H30+I30</f>
        <v>0</v>
      </c>
      <c r="K30" s="80"/>
      <c r="L30" s="81"/>
    </row>
    <row r="31" spans="1:13" ht="18.600000000000001" thickBot="1" x14ac:dyDescent="0.3">
      <c r="A31" s="82" t="s">
        <v>21</v>
      </c>
      <c r="B31" s="83"/>
      <c r="C31" s="84"/>
      <c r="D31" s="83"/>
      <c r="E31" s="83"/>
      <c r="F31" s="83"/>
      <c r="G31" s="83"/>
      <c r="H31" s="85">
        <f>SUM(H29:H30)</f>
        <v>0</v>
      </c>
      <c r="I31" s="85">
        <f>SUM(I29:I30)</f>
        <v>0</v>
      </c>
      <c r="J31" s="85">
        <f>SUM(J29:J30)</f>
        <v>0</v>
      </c>
      <c r="K31" s="86"/>
      <c r="L31" s="87"/>
    </row>
    <row r="33" spans="1:1" x14ac:dyDescent="0.25">
      <c r="A33" s="107"/>
    </row>
  </sheetData>
  <mergeCells count="9">
    <mergeCell ref="L3:L4"/>
    <mergeCell ref="B6:L6"/>
    <mergeCell ref="B12:L12"/>
    <mergeCell ref="A3:A4"/>
    <mergeCell ref="B3:B4"/>
    <mergeCell ref="C3:C4"/>
    <mergeCell ref="D3:G3"/>
    <mergeCell ref="H3:J3"/>
    <mergeCell ref="K3: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FF06-09A6-6943-8383-58357454DFE9}">
  <dimension ref="A1:L97"/>
  <sheetViews>
    <sheetView zoomScale="170" zoomScaleNormal="170" workbookViewId="0">
      <selection activeCell="A3" sqref="A3:L16"/>
    </sheetView>
  </sheetViews>
  <sheetFormatPr defaultColWidth="8.6640625" defaultRowHeight="15.6" x14ac:dyDescent="0.3"/>
  <cols>
    <col min="1" max="1" width="28.44140625" style="1" customWidth="1"/>
    <col min="2" max="2" width="12.6640625" style="1" customWidth="1"/>
    <col min="3" max="3" width="13.44140625" style="1" customWidth="1"/>
    <col min="4" max="4" width="12.6640625" style="1" customWidth="1"/>
    <col min="5" max="5" width="13.77734375" style="1" customWidth="1"/>
    <col min="6" max="6" width="12.6640625" style="1" customWidth="1"/>
    <col min="7" max="7" width="14.44140625" style="1" customWidth="1"/>
    <col min="8" max="8" width="14.109375" style="21" customWidth="1"/>
    <col min="9" max="9" width="15.44140625" style="21" customWidth="1"/>
    <col min="10" max="11" width="12.6640625" style="1" customWidth="1"/>
    <col min="12" max="12" width="11" style="1" bestFit="1" customWidth="1"/>
    <col min="13" max="16384" width="8.6640625" style="1"/>
  </cols>
  <sheetData>
    <row r="1" spans="1:12" ht="21" x14ac:dyDescent="0.4">
      <c r="A1" s="3" t="s">
        <v>81</v>
      </c>
    </row>
    <row r="2" spans="1:12" x14ac:dyDescent="0.3">
      <c r="A2" s="195" t="s">
        <v>58</v>
      </c>
      <c r="B2" s="145"/>
      <c r="C2" s="145"/>
    </row>
    <row r="3" spans="1:12" ht="16.2" thickBot="1" x14ac:dyDescent="0.35"/>
    <row r="4" spans="1:12" ht="45" customHeight="1" thickBot="1" x14ac:dyDescent="0.35">
      <c r="A4" s="520" t="s">
        <v>42</v>
      </c>
      <c r="B4" s="522" t="s">
        <v>14</v>
      </c>
      <c r="C4" s="523"/>
      <c r="D4" s="522" t="s">
        <v>66</v>
      </c>
      <c r="E4" s="523"/>
      <c r="F4" s="522" t="s">
        <v>67</v>
      </c>
      <c r="G4" s="523"/>
      <c r="H4" s="512" t="s">
        <v>43</v>
      </c>
      <c r="I4" s="513"/>
      <c r="J4" s="506" t="s">
        <v>44</v>
      </c>
      <c r="K4" s="507"/>
      <c r="L4" s="508"/>
    </row>
    <row r="5" spans="1:12" ht="34.5" customHeight="1" thickBot="1" x14ac:dyDescent="0.35">
      <c r="A5" s="521"/>
      <c r="B5" s="89" t="s">
        <v>79</v>
      </c>
      <c r="C5" s="242" t="s">
        <v>80</v>
      </c>
      <c r="D5" s="89" t="s">
        <v>79</v>
      </c>
      <c r="E5" s="242" t="s">
        <v>80</v>
      </c>
      <c r="F5" s="89" t="s">
        <v>79</v>
      </c>
      <c r="G5" s="242" t="s">
        <v>80</v>
      </c>
      <c r="H5" s="89" t="s">
        <v>79</v>
      </c>
      <c r="I5" s="242" t="s">
        <v>80</v>
      </c>
      <c r="J5" s="89" t="s">
        <v>59</v>
      </c>
      <c r="K5" s="237" t="s">
        <v>70</v>
      </c>
      <c r="L5" s="276" t="s">
        <v>85</v>
      </c>
    </row>
    <row r="6" spans="1:12" ht="33.75" customHeight="1" x14ac:dyDescent="0.3">
      <c r="A6" s="259" t="s">
        <v>47</v>
      </c>
      <c r="B6" s="250">
        <f>SUMIFS('D. Budget by Outcome Febjun2021'!$N$13:$N$56,'D. Budget by Outcome Febjun2021'!$E$13:$E$56,"UNDP",'D. Budget by Outcome Febjun2021'!$K$13:$K$56,1)</f>
        <v>0</v>
      </c>
      <c r="C6" s="258">
        <f>SUMIFS('D. Budget by Outcome Febjun2021'!$M$13:$M$56,'D. Budget by Outcome Febjun2021'!$E$13:$E$56,"UNDP",'D. Budget by Outcome Febjun2021'!$K$13:$K$56,1)</f>
        <v>0</v>
      </c>
      <c r="D6" s="250">
        <f>SUMIFS('D. Budget by Outcome Febjun2021'!$N$13:$N$56,'D. Budget by Outcome Febjun2021'!$E$13:$E$56,"UNCDF",'D. Budget by Outcome Febjun2021'!$K$13:$K$56,1)</f>
        <v>0</v>
      </c>
      <c r="E6" s="251">
        <f>SUMIFS('D. Budget by Outcome Febjun2021'!$M$13:$M$56,'D. Budget by Outcome Febjun2021'!$E$13:$E$56,"UNCDF",'D. Budget by Outcome Febjun2021'!$K$13:$K$56,1)</f>
        <v>0</v>
      </c>
      <c r="F6" s="250">
        <f>SUMIFS('D. Budget by Outcome Febjun2021'!$N$13:$N$56,'D. Budget by Outcome Febjun2021'!$E$13:$E$56,"UNEP",'D. Budget by Outcome Febjun2021'!$K$13:$K$56,1)</f>
        <v>0</v>
      </c>
      <c r="G6" s="251">
        <f>SUMIFS('D. Budget by Outcome Febjun2021'!$M$13:$M$56,'D. Budget by Outcome Febjun2021'!$E$13:$E$56,"UNEP",'D. Budget by Outcome Febjun2021'!$K$13:$K$56,1)</f>
        <v>0</v>
      </c>
      <c r="H6" s="243">
        <f t="shared" ref="H6:I11" si="0">B6+D6+F6</f>
        <v>0</v>
      </c>
      <c r="I6" s="244">
        <f t="shared" si="0"/>
        <v>0</v>
      </c>
      <c r="J6" s="274" t="e">
        <f>H6/$H$13</f>
        <v>#DIV/0!</v>
      </c>
      <c r="K6" s="275" t="e">
        <f>I6/$I$13</f>
        <v>#DIV/0!</v>
      </c>
      <c r="L6" s="270" t="e">
        <f>(H6+I6)/$H$16</f>
        <v>#DIV/0!</v>
      </c>
    </row>
    <row r="7" spans="1:12" ht="33.75" customHeight="1" x14ac:dyDescent="0.3">
      <c r="A7" s="260" t="s">
        <v>48</v>
      </c>
      <c r="B7" s="250">
        <f>SUMIFS('D. Budget by Outcome Febjun2021'!$N$13:$N$56,'D. Budget by Outcome Febjun2021'!$E$13:$E$56,"UNDP",'D. Budget by Outcome Febjun2021'!$K$13:$K$56,2)</f>
        <v>0</v>
      </c>
      <c r="C7" s="258">
        <f>SUMIFS('D. Budget by Outcome Febjun2021'!$M$13:$M$56,'D. Budget by Outcome Febjun2021'!$E$13:$E$56,"UNDP",'D. Budget by Outcome Febjun2021'!$K$13:$K$56,2)</f>
        <v>0</v>
      </c>
      <c r="D7" s="250">
        <f>SUMIFS('D. Budget by Outcome Febjun2021'!$N$13:$N$56,'D. Budget by Outcome Febjun2021'!$E$13:$E$56,"UNCDF",'D. Budget by Outcome Febjun2021'!$K$13:$K$56,2)</f>
        <v>0</v>
      </c>
      <c r="E7" s="251">
        <f>SUMIFS('D. Budget by Outcome Febjun2021'!$M$13:$M$56,'D. Budget by Outcome Febjun2021'!$E$13:$E$56,"UNCDF",'D. Budget by Outcome Febjun2021'!$K$13:$K$56,2)</f>
        <v>0</v>
      </c>
      <c r="F7" s="250">
        <f>SUMIFS('D. Budget by Outcome Febjun2021'!$N$13:$N$56,'D. Budget by Outcome Febjun2021'!$E$13:$E$56,"UNEP",'D. Budget by Outcome Febjun2021'!$K$13:$K$56,2)</f>
        <v>0</v>
      </c>
      <c r="G7" s="251">
        <f>SUMIFS('D. Budget by Outcome Febjun2021'!$M$13:$M$56,'D. Budget by Outcome Febjun2021'!$E$13:$E$56,"UNEP",'D. Budget by Outcome Febjun2021'!$K$13:$K$56,2)</f>
        <v>0</v>
      </c>
      <c r="H7" s="243">
        <f t="shared" si="0"/>
        <v>0</v>
      </c>
      <c r="I7" s="244">
        <f t="shared" si="0"/>
        <v>0</v>
      </c>
      <c r="J7" s="238" t="e">
        <f t="shared" ref="J7:J12" si="1">H7/$H$13</f>
        <v>#DIV/0!</v>
      </c>
      <c r="K7" s="265" t="e">
        <f t="shared" ref="K7:K12" si="2">I7/$I$13</f>
        <v>#DIV/0!</v>
      </c>
      <c r="L7" s="269" t="e">
        <f t="shared" ref="L7:L12" si="3">(H7+I7)/$H$16</f>
        <v>#DIV/0!</v>
      </c>
    </row>
    <row r="8" spans="1:12" ht="33.75" customHeight="1" x14ac:dyDescent="0.3">
      <c r="A8" s="260" t="s">
        <v>49</v>
      </c>
      <c r="B8" s="250">
        <f>SUMIFS('D. Budget by Outcome Febjun2021'!$N$13:$N$56,'D. Budget by Outcome Febjun2021'!$E$13:$E$56,"UNDP",'D. Budget by Outcome Febjun2021'!$K$13:$K$56,3)</f>
        <v>0</v>
      </c>
      <c r="C8" s="258">
        <f>SUMIFS('D. Budget by Outcome Febjun2021'!$M$13:$M$56,'D. Budget by Outcome Febjun2021'!$E$13:$E$56,"UNDP",'D. Budget by Outcome Febjun2021'!$K$13:$K$56,3)</f>
        <v>0</v>
      </c>
      <c r="D8" s="250">
        <f>SUMIFS('D. Budget by Outcome Febjun2021'!$N$13:$N$56,'D. Budget by Outcome Febjun2021'!$E$13:$E$56,"UNCDF",'D. Budget by Outcome Febjun2021'!$K$13:$K$56,3)</f>
        <v>0</v>
      </c>
      <c r="E8" s="251">
        <f>SUMIFS('D. Budget by Outcome Febjun2021'!$M$13:$M$56,'D. Budget by Outcome Febjun2021'!$E$13:$E$56,"UNCDF",'D. Budget by Outcome Febjun2021'!$K$13:$K$56,3)</f>
        <v>0</v>
      </c>
      <c r="F8" s="250">
        <f>SUMIFS('D. Budget by Outcome Febjun2021'!$N$13:$N$56,'D. Budget by Outcome Febjun2021'!$E$13:$E$56,"UNEP",'D. Budget by Outcome Febjun2021'!$K$13:$K$56,3)</f>
        <v>0</v>
      </c>
      <c r="G8" s="251">
        <f>SUMIFS('D. Budget by Outcome Febjun2021'!$M$13:$M$56,'D. Budget by Outcome Febjun2021'!$E$13:$E$56,"UNEP",'D. Budget by Outcome Febjun2021'!$K$13:$K$56,3)</f>
        <v>0</v>
      </c>
      <c r="H8" s="243">
        <f t="shared" si="0"/>
        <v>0</v>
      </c>
      <c r="I8" s="244">
        <f t="shared" si="0"/>
        <v>0</v>
      </c>
      <c r="J8" s="238" t="e">
        <f t="shared" si="1"/>
        <v>#DIV/0!</v>
      </c>
      <c r="K8" s="265" t="e">
        <f t="shared" si="2"/>
        <v>#DIV/0!</v>
      </c>
      <c r="L8" s="269" t="e">
        <f t="shared" si="3"/>
        <v>#DIV/0!</v>
      </c>
    </row>
    <row r="9" spans="1:12" ht="33.75" customHeight="1" x14ac:dyDescent="0.3">
      <c r="A9" s="260" t="s">
        <v>50</v>
      </c>
      <c r="B9" s="250">
        <f>SUMIFS('D. Budget by Outcome Febjun2021'!$N$13:$N$56,'D. Budget by Outcome Febjun2021'!$E$13:$E$56,"UNDP",'D. Budget by Outcome Febjun2021'!$K$13:$K$56,4)</f>
        <v>0</v>
      </c>
      <c r="C9" s="258">
        <f>SUMIFS('D. Budget by Outcome Febjun2021'!$M$13:$M$56,'D. Budget by Outcome Febjun2021'!$E$13:$E$56,"UNDP",'D. Budget by Outcome Febjun2021'!$K$13:$K$56,4)</f>
        <v>0</v>
      </c>
      <c r="D9" s="250">
        <f>SUMIFS('D. Budget by Outcome Febjun2021'!$N$13:$N$56,'D. Budget by Outcome Febjun2021'!$E$13:$E$56,"UNCDF",'D. Budget by Outcome Febjun2021'!$K$13:$K$56,4)</f>
        <v>0</v>
      </c>
      <c r="E9" s="251">
        <f>SUMIFS('D. Budget by Outcome Febjun2021'!$M$13:$M$56,'D. Budget by Outcome Febjun2021'!$E$13:$E$56,"UNCDF",'D. Budget by Outcome Febjun2021'!$K$13:$K$56,4)</f>
        <v>0</v>
      </c>
      <c r="F9" s="250">
        <f>SUMIFS('D. Budget by Outcome Febjun2021'!$N$13:$N$56,'D. Budget by Outcome Febjun2021'!$E$13:$E$56,"UNEP",'D. Budget by Outcome Febjun2021'!$K$13:$K$56,4)</f>
        <v>0</v>
      </c>
      <c r="G9" s="251">
        <f>SUMIFS('D. Budget by Outcome Febjun2021'!$M$13:$M$56,'D. Budget by Outcome Febjun2021'!$E$13:$E$56,"UNEP",'D. Budget by Outcome Febjun2021'!$K$13:$K$56,4)</f>
        <v>0</v>
      </c>
      <c r="H9" s="243">
        <f t="shared" si="0"/>
        <v>0</v>
      </c>
      <c r="I9" s="244">
        <f t="shared" si="0"/>
        <v>0</v>
      </c>
      <c r="J9" s="238" t="e">
        <f t="shared" si="1"/>
        <v>#DIV/0!</v>
      </c>
      <c r="K9" s="265" t="e">
        <f t="shared" si="2"/>
        <v>#DIV/0!</v>
      </c>
      <c r="L9" s="269" t="e">
        <f t="shared" si="3"/>
        <v>#DIV/0!</v>
      </c>
    </row>
    <row r="10" spans="1:12" ht="33.75" customHeight="1" x14ac:dyDescent="0.3">
      <c r="A10" s="260" t="s">
        <v>51</v>
      </c>
      <c r="B10" s="250">
        <f>SUMIFS('D. Budget by Outcome Febjun2021'!$N$13:$N$56,'D. Budget by Outcome Febjun2021'!$E$13:$E$56,"UNDP",'D. Budget by Outcome Febjun2021'!$K$13:$K$56,5)</f>
        <v>0</v>
      </c>
      <c r="C10" s="258">
        <f>SUMIFS('D. Budget by Outcome Febjun2021'!$M$13:$M$56,'D. Budget by Outcome Febjun2021'!$E$13:$E$56,"UNDP",'D. Budget by Outcome Febjun2021'!$K$13:$K$56,5)</f>
        <v>0</v>
      </c>
      <c r="D10" s="250">
        <f>SUMIFS('D. Budget by Outcome Febjun2021'!$N$13:$N$56,'D. Budget by Outcome Febjun2021'!$E$13:$E$56,"UNCDF",'D. Budget by Outcome Febjun2021'!$K$13:$K$56,5)</f>
        <v>0</v>
      </c>
      <c r="E10" s="251">
        <f>SUMIFS('D. Budget by Outcome Febjun2021'!$M$13:$M$56,'D. Budget by Outcome Febjun2021'!$E$13:$E$56,"UNCDF",'D. Budget by Outcome Febjun2021'!$K$13:$K$56,5)</f>
        <v>0</v>
      </c>
      <c r="F10" s="250">
        <f>SUMIFS('D. Budget by Outcome Febjun2021'!$N$13:$N$56,'D. Budget by Outcome Febjun2021'!$E$13:$E$56,"UNEP",'D. Budget by Outcome Febjun2021'!$K$13:$K$56,5)</f>
        <v>0</v>
      </c>
      <c r="G10" s="251">
        <f>SUMIFS('D. Budget by Outcome Febjun2021'!$M$13:$M$56,'D. Budget by Outcome Febjun2021'!$E$13:$E$56,"UNEP",'D. Budget by Outcome Febjun2021'!$K$13:$K$56,5)</f>
        <v>0</v>
      </c>
      <c r="H10" s="243">
        <f t="shared" si="0"/>
        <v>0</v>
      </c>
      <c r="I10" s="244">
        <f t="shared" si="0"/>
        <v>0</v>
      </c>
      <c r="J10" s="239" t="e">
        <f t="shared" si="1"/>
        <v>#DIV/0!</v>
      </c>
      <c r="K10" s="265" t="e">
        <f t="shared" si="2"/>
        <v>#DIV/0!</v>
      </c>
      <c r="L10" s="269" t="e">
        <f t="shared" si="3"/>
        <v>#DIV/0!</v>
      </c>
    </row>
    <row r="11" spans="1:12" ht="33.75" customHeight="1" x14ac:dyDescent="0.3">
      <c r="A11" s="260" t="s">
        <v>52</v>
      </c>
      <c r="B11" s="250">
        <f>SUMIFS('D. Budget by Outcome Febjun2021'!$N$13:$N$56,'D. Budget by Outcome Febjun2021'!$E$13:$E$56,"UNDP",'D. Budget by Outcome Febjun2021'!$K$13:$K$56,6)</f>
        <v>0</v>
      </c>
      <c r="C11" s="258">
        <f>SUMIFS('D. Budget by Outcome Febjun2021'!$M$13:$M$56,'D. Budget by Outcome Febjun2021'!$E$13:$E$56,"UNDP",'D. Budget by Outcome Febjun2021'!$K$13:$K$56,6)</f>
        <v>0</v>
      </c>
      <c r="D11" s="250">
        <f>SUMIFS('D. Budget by Outcome Febjun2021'!$N$13:$N$56,'D. Budget by Outcome Febjun2021'!$E$13:$E$56,"UNCDF",'D. Budget by Outcome Febjun2021'!$K$13:$K$56,6)</f>
        <v>0</v>
      </c>
      <c r="E11" s="251">
        <f>SUMIFS('D. Budget by Outcome Febjun2021'!$M$13:$M$56,'D. Budget by Outcome Febjun2021'!$E$13:$E$56,"UNCDF",'D. Budget by Outcome Febjun2021'!$K$13:$K$56,6)</f>
        <v>0</v>
      </c>
      <c r="F11" s="250">
        <f>SUMIFS('D. Budget by Outcome Febjun2021'!$N$13:$N$56,'D. Budget by Outcome Febjun2021'!$E$13:$E$56,"UNEP",'D. Budget by Outcome Febjun2021'!$K$13:$K$56,6)</f>
        <v>0</v>
      </c>
      <c r="G11" s="251">
        <f>SUMIFS('D. Budget by Outcome Febjun2021'!$M$13:$M$56,'D. Budget by Outcome Febjun2021'!$E$13:$E$56,"UNEP",'D. Budget by Outcome Febjun2021'!$K$13:$K$56,6)</f>
        <v>0</v>
      </c>
      <c r="H11" s="243">
        <f t="shared" si="0"/>
        <v>0</v>
      </c>
      <c r="I11" s="244">
        <f t="shared" si="0"/>
        <v>0</v>
      </c>
      <c r="J11" s="239" t="e">
        <f t="shared" si="1"/>
        <v>#DIV/0!</v>
      </c>
      <c r="K11" s="265" t="e">
        <f t="shared" si="2"/>
        <v>#DIV/0!</v>
      </c>
      <c r="L11" s="269" t="e">
        <f t="shared" si="3"/>
        <v>#DIV/0!</v>
      </c>
    </row>
    <row r="12" spans="1:12" ht="33.75" customHeight="1" x14ac:dyDescent="0.3">
      <c r="A12" s="260" t="s">
        <v>53</v>
      </c>
      <c r="B12" s="250">
        <f>SUMIFS('D. Budget by Outcome Febjun2021'!$N$13:$N$56,'D. Budget by Outcome Febjun2021'!$E$13:$E$56,"UNDP",'D. Budget by Outcome Febjun2021'!$K$13:$K$56,7)</f>
        <v>0</v>
      </c>
      <c r="C12" s="258">
        <f>SUMIFS('D. Budget by Outcome Febjun2021'!$M$13:$M$56,'D. Budget by Outcome Febjun2021'!$E$13:$E$56,"UNDP",'D. Budget by Outcome Febjun2021'!$K$13:$K$56,7)</f>
        <v>0</v>
      </c>
      <c r="D12" s="250">
        <f>SUMIFS('D. Budget by Outcome Febjun2021'!$N$13:$N$56,'D. Budget by Outcome Febjun2021'!$E$13:$E$56,"UNCDF",'D. Budget by Outcome Febjun2021'!$K$13:$K$56,7)</f>
        <v>0</v>
      </c>
      <c r="E12" s="251">
        <f>SUMIFS('D. Budget by Outcome Febjun2021'!$M$13:$M$56,'D. Budget by Outcome Febjun2021'!$E$13:$E$56,"UNCDF",'D. Budget by Outcome Febjun2021'!$K$13:$K$56,7)</f>
        <v>0</v>
      </c>
      <c r="F12" s="250">
        <f>SUMIFS('D. Budget by Outcome Febjun2021'!$N$13:$N$56,'D. Budget by Outcome Febjun2021'!$E$13:$E$56,"UNEP",'D. Budget by Outcome Febjun2021'!$K$13:$K$56,7)</f>
        <v>0</v>
      </c>
      <c r="G12" s="251">
        <f>SUMIFS('D. Budget by Outcome Febjun2021'!$M$13:$M$56,'D. Budget by Outcome Febjun2021'!$E$13:$E$56,"UNEP",'D. Budget by Outcome Febjun2021'!$K$13:$K$56,7)</f>
        <v>0</v>
      </c>
      <c r="H12" s="243">
        <f>B12+D12+F12</f>
        <v>0</v>
      </c>
      <c r="I12" s="244">
        <f>C12+E12+G12</f>
        <v>0</v>
      </c>
      <c r="J12" s="238" t="e">
        <f t="shared" si="1"/>
        <v>#DIV/0!</v>
      </c>
      <c r="K12" s="265" t="e">
        <f t="shared" si="2"/>
        <v>#DIV/0!</v>
      </c>
      <c r="L12" s="269" t="e">
        <f t="shared" si="3"/>
        <v>#DIV/0!</v>
      </c>
    </row>
    <row r="13" spans="1:12" s="2" customFormat="1" ht="16.2" thickBot="1" x14ac:dyDescent="0.35">
      <c r="A13" s="261" t="s">
        <v>54</v>
      </c>
      <c r="B13" s="252">
        <f t="shared" ref="B13:H13" si="4">SUM(B6:B12)</f>
        <v>0</v>
      </c>
      <c r="C13" s="253">
        <f t="shared" si="4"/>
        <v>0</v>
      </c>
      <c r="D13" s="252">
        <f t="shared" si="4"/>
        <v>0</v>
      </c>
      <c r="E13" s="253">
        <f t="shared" si="4"/>
        <v>0</v>
      </c>
      <c r="F13" s="252">
        <f t="shared" si="4"/>
        <v>0</v>
      </c>
      <c r="G13" s="253">
        <f t="shared" si="4"/>
        <v>0</v>
      </c>
      <c r="H13" s="245">
        <f t="shared" si="4"/>
        <v>0</v>
      </c>
      <c r="I13" s="246">
        <f>SUM(I6:I12)</f>
        <v>0</v>
      </c>
      <c r="J13" s="264" t="e">
        <f>H13/$H$15</f>
        <v>#DIV/0!</v>
      </c>
      <c r="K13" s="266" t="e">
        <f>I13/$I$15</f>
        <v>#DIV/0!</v>
      </c>
      <c r="L13" s="271" t="e">
        <f>(H13+I13)/$H$16</f>
        <v>#DIV/0!</v>
      </c>
    </row>
    <row r="14" spans="1:12" ht="29.4" thickBot="1" x14ac:dyDescent="0.35">
      <c r="A14" s="262" t="s">
        <v>55</v>
      </c>
      <c r="B14" s="254">
        <f t="shared" ref="B14:I14" si="5">B13*0.07</f>
        <v>0</v>
      </c>
      <c r="C14" s="255">
        <f t="shared" si="5"/>
        <v>0</v>
      </c>
      <c r="D14" s="254">
        <f t="shared" si="5"/>
        <v>0</v>
      </c>
      <c r="E14" s="255">
        <f t="shared" si="5"/>
        <v>0</v>
      </c>
      <c r="F14" s="254">
        <f t="shared" si="5"/>
        <v>0</v>
      </c>
      <c r="G14" s="255">
        <f t="shared" si="5"/>
        <v>0</v>
      </c>
      <c r="H14" s="247">
        <f t="shared" si="5"/>
        <v>0</v>
      </c>
      <c r="I14" s="248">
        <f t="shared" si="5"/>
        <v>0</v>
      </c>
      <c r="J14" s="240" t="e">
        <f>H14/$H$15</f>
        <v>#DIV/0!</v>
      </c>
      <c r="K14" s="267" t="e">
        <f>I14/$I$15</f>
        <v>#DIV/0!</v>
      </c>
      <c r="L14" s="273" t="e">
        <f>(H14+I14)/$H$16</f>
        <v>#DIV/0!</v>
      </c>
    </row>
    <row r="15" spans="1:12" s="2" customFormat="1" x14ac:dyDescent="0.3">
      <c r="A15" s="263" t="s">
        <v>84</v>
      </c>
      <c r="B15" s="256">
        <f t="shared" ref="B15:H15" si="6">SUM(B13:B14)</f>
        <v>0</v>
      </c>
      <c r="C15" s="257">
        <f t="shared" si="6"/>
        <v>0</v>
      </c>
      <c r="D15" s="256">
        <f t="shared" si="6"/>
        <v>0</v>
      </c>
      <c r="E15" s="257">
        <f t="shared" si="6"/>
        <v>0</v>
      </c>
      <c r="F15" s="256">
        <f t="shared" si="6"/>
        <v>0</v>
      </c>
      <c r="G15" s="257">
        <f t="shared" si="6"/>
        <v>0</v>
      </c>
      <c r="H15" s="256">
        <f t="shared" si="6"/>
        <v>0</v>
      </c>
      <c r="I15" s="249">
        <f>C15+E15+G15</f>
        <v>0</v>
      </c>
      <c r="J15" s="241" t="e">
        <f>J14+J13</f>
        <v>#DIV/0!</v>
      </c>
      <c r="K15" s="268" t="e">
        <f>K14+K13</f>
        <v>#DIV/0!</v>
      </c>
      <c r="L15" s="272" t="e">
        <f>L14+L13</f>
        <v>#DIV/0!</v>
      </c>
    </row>
    <row r="16" spans="1:12" ht="15" thickBot="1" x14ac:dyDescent="0.35">
      <c r="A16" s="277" t="s">
        <v>86</v>
      </c>
      <c r="B16" s="518">
        <f>B15+C15</f>
        <v>0</v>
      </c>
      <c r="C16" s="519"/>
      <c r="D16" s="518">
        <f>D15+E15</f>
        <v>0</v>
      </c>
      <c r="E16" s="519"/>
      <c r="F16" s="518">
        <f>F15+G15</f>
        <v>0</v>
      </c>
      <c r="G16" s="519"/>
      <c r="H16" s="524">
        <f>H15+I15</f>
        <v>0</v>
      </c>
      <c r="I16" s="525"/>
      <c r="J16" s="509"/>
      <c r="K16" s="510"/>
      <c r="L16" s="511"/>
    </row>
    <row r="17" spans="2:2" x14ac:dyDescent="0.3">
      <c r="B17" s="217"/>
    </row>
    <row r="18" spans="2:2" ht="16.05" hidden="1" customHeight="1" x14ac:dyDescent="0.3">
      <c r="B18" s="217"/>
    </row>
    <row r="19" spans="2:2" ht="16.05" hidden="1" customHeight="1" x14ac:dyDescent="0.3"/>
    <row r="20" spans="2:2" ht="16.05" hidden="1" customHeight="1" x14ac:dyDescent="0.3"/>
    <row r="21" spans="2:2" ht="16.05" hidden="1" customHeight="1" x14ac:dyDescent="0.3"/>
    <row r="22" spans="2:2" ht="16.05" hidden="1" customHeight="1" x14ac:dyDescent="0.3"/>
    <row r="23" spans="2:2" ht="16.05" hidden="1" customHeight="1" x14ac:dyDescent="0.3"/>
    <row r="24" spans="2:2" ht="16.05" hidden="1" customHeight="1" x14ac:dyDescent="0.3"/>
    <row r="25" spans="2:2" ht="16.05" hidden="1" customHeight="1" x14ac:dyDescent="0.3"/>
    <row r="26" spans="2:2" ht="16.05" hidden="1" customHeight="1" x14ac:dyDescent="0.3"/>
    <row r="27" spans="2:2" ht="16.05" hidden="1" customHeight="1" x14ac:dyDescent="0.3"/>
    <row r="28" spans="2:2" ht="16.05" hidden="1" customHeight="1" x14ac:dyDescent="0.3"/>
    <row r="29" spans="2:2" ht="16.05" hidden="1" customHeight="1" x14ac:dyDescent="0.3"/>
    <row r="30" spans="2:2" ht="16.05" hidden="1" customHeight="1" x14ac:dyDescent="0.3"/>
    <row r="31" spans="2:2" ht="16.05" hidden="1" customHeight="1" x14ac:dyDescent="0.3"/>
    <row r="32" spans="2:2" ht="16.05" hidden="1" customHeight="1" x14ac:dyDescent="0.3"/>
    <row r="33" spans="2:9" ht="16.95" hidden="1" customHeight="1" x14ac:dyDescent="0.3">
      <c r="B33" s="514"/>
      <c r="C33" s="515"/>
      <c r="D33" s="514" t="s">
        <v>16</v>
      </c>
      <c r="E33" s="515"/>
      <c r="F33" s="514" t="s">
        <v>15</v>
      </c>
      <c r="G33" s="515"/>
      <c r="H33" s="516" t="s">
        <v>43</v>
      </c>
      <c r="I33" s="517"/>
    </row>
    <row r="34" spans="2:9" ht="34.950000000000003" hidden="1" customHeight="1" x14ac:dyDescent="0.3">
      <c r="B34" s="89"/>
      <c r="C34" s="92"/>
      <c r="D34" s="89" t="s">
        <v>45</v>
      </c>
      <c r="E34" s="92" t="s">
        <v>46</v>
      </c>
      <c r="F34" s="89" t="s">
        <v>45</v>
      </c>
      <c r="G34" s="92" t="s">
        <v>46</v>
      </c>
      <c r="H34" s="147" t="s">
        <v>45</v>
      </c>
      <c r="I34" s="148" t="s">
        <v>46</v>
      </c>
    </row>
    <row r="35" spans="2:9" ht="27.75" hidden="1" customHeight="1" x14ac:dyDescent="0.3">
      <c r="B35" s="95"/>
      <c r="C35" s="98"/>
      <c r="D35" s="95" t="e">
        <f>SUMIFS(#REF!,#REF!,"UNFPA",#REF!,1)</f>
        <v>#REF!</v>
      </c>
      <c r="E35" s="96" t="e">
        <f>SUMIFS(#REF!,#REF!,"UNFPA",#REF!,1)</f>
        <v>#REF!</v>
      </c>
      <c r="F35" s="95" t="e">
        <f>SUMIFS(#REF!,#REF!,"UNWOMEN",#REF!,1)</f>
        <v>#REF!</v>
      </c>
      <c r="G35" s="96" t="e">
        <f>SUMIFS(#REF!,#REF!,"UNWomen",#REF!,1)</f>
        <v>#REF!</v>
      </c>
      <c r="H35" s="97" t="e">
        <f>B35+D35+F35+#REF!+#REF!</f>
        <v>#REF!</v>
      </c>
      <c r="I35" s="188" t="e">
        <f>C35+E35+G35+#REF!+#REF!</f>
        <v>#REF!</v>
      </c>
    </row>
    <row r="36" spans="2:9" ht="30" hidden="1" customHeight="1" x14ac:dyDescent="0.3">
      <c r="B36" s="95"/>
      <c r="C36" s="98"/>
      <c r="D36" s="95" t="e">
        <f>SUMIFS(#REF!,#REF!,"UNFPA",#REF!,2)</f>
        <v>#REF!</v>
      </c>
      <c r="E36" s="96" t="e">
        <f>SUMIFS(#REF!,#REF!,"UNFPA",#REF!,2)</f>
        <v>#REF!</v>
      </c>
      <c r="F36" s="95" t="e">
        <f>SUMIFS(#REF!,#REF!,"UNWOMEN",#REF!,2)</f>
        <v>#REF!</v>
      </c>
      <c r="G36" s="96" t="e">
        <f>SUMIFS(#REF!,#REF!,"UNWomen",#REF!,2)</f>
        <v>#REF!</v>
      </c>
      <c r="H36" s="99" t="e">
        <f>B36+D36+F36+#REF!+#REF!</f>
        <v>#REF!</v>
      </c>
      <c r="I36" s="189" t="e">
        <f>C36+E36+G36+#REF!+#REF!</f>
        <v>#REF!</v>
      </c>
    </row>
    <row r="37" spans="2:9" ht="16.05" hidden="1" customHeight="1" x14ac:dyDescent="0.3">
      <c r="B37" s="95"/>
      <c r="C37" s="98"/>
      <c r="D37" s="95" t="e">
        <f>SUMIFS(#REF!,#REF!,"UNFPA",#REF!,3)</f>
        <v>#REF!</v>
      </c>
      <c r="E37" s="96" t="e">
        <f>SUMIFS(#REF!,#REF!,"UNFPA",#REF!,3)</f>
        <v>#REF!</v>
      </c>
      <c r="F37" s="95" t="e">
        <f>SUMIFS(#REF!,#REF!,"UNWOMEN",#REF!,3)</f>
        <v>#REF!</v>
      </c>
      <c r="G37" s="96" t="e">
        <f>SUMIFS(#REF!,#REF!,"UNWomen",#REF!,3)</f>
        <v>#REF!</v>
      </c>
      <c r="H37" s="99" t="e">
        <f>B37+D37+F37+#REF!+#REF!</f>
        <v>#REF!</v>
      </c>
      <c r="I37" s="189" t="e">
        <f>C37+E37+G37+#REF!+#REF!</f>
        <v>#REF!</v>
      </c>
    </row>
    <row r="38" spans="2:9" ht="16.05" hidden="1" customHeight="1" x14ac:dyDescent="0.3">
      <c r="B38" s="95"/>
      <c r="C38" s="98"/>
      <c r="D38" s="95" t="e">
        <f>SUMIFS(#REF!,#REF!,"UNFPA",#REF!,4)</f>
        <v>#REF!</v>
      </c>
      <c r="E38" s="96" t="e">
        <f>SUMIFS(#REF!,#REF!,"UNFPA",#REF!,4)</f>
        <v>#REF!</v>
      </c>
      <c r="F38" s="95" t="e">
        <f>SUMIFS(#REF!,#REF!,"UNWOMEN",#REF!,4)</f>
        <v>#REF!</v>
      </c>
      <c r="G38" s="96" t="e">
        <f>SUMIFS(#REF!,#REF!,"UNWomen",#REF!,4)</f>
        <v>#REF!</v>
      </c>
      <c r="H38" s="99" t="e">
        <f>B38+D38+F38+#REF!+#REF!</f>
        <v>#REF!</v>
      </c>
      <c r="I38" s="189" t="e">
        <f>C38+E38+G38+#REF!+#REF!</f>
        <v>#REF!</v>
      </c>
    </row>
    <row r="39" spans="2:9" ht="23.25" hidden="1" customHeight="1" x14ac:dyDescent="0.3">
      <c r="B39" s="95"/>
      <c r="C39" s="98"/>
      <c r="D39" s="95" t="e">
        <f>SUMIFS(#REF!,#REF!,"UNFPA",#REF!,5)</f>
        <v>#REF!</v>
      </c>
      <c r="E39" s="96" t="e">
        <f>SUMIFS(#REF!,#REF!,"UNFPA",#REF!,5)</f>
        <v>#REF!</v>
      </c>
      <c r="F39" s="95" t="e">
        <f>SUMIFS(#REF!,#REF!,"UNWOMEN",#REF!,5)</f>
        <v>#REF!</v>
      </c>
      <c r="G39" s="96" t="e">
        <f>SUMIFS(#REF!,#REF!,"UNWomen",#REF!,5)</f>
        <v>#REF!</v>
      </c>
      <c r="H39" s="99" t="e">
        <f>B39+D39+F39+#REF!+#REF!</f>
        <v>#REF!</v>
      </c>
      <c r="I39" s="189" t="e">
        <f>C39+E39+G39+#REF!+#REF!</f>
        <v>#REF!</v>
      </c>
    </row>
    <row r="40" spans="2:9" ht="16.05" hidden="1" customHeight="1" x14ac:dyDescent="0.3">
      <c r="B40" s="95"/>
      <c r="C40" s="98"/>
      <c r="D40" s="95" t="e">
        <f>SUMIFS(#REF!,#REF!,"UNFPA",#REF!,6)</f>
        <v>#REF!</v>
      </c>
      <c r="E40" s="96" t="e">
        <f>SUMIFS(#REF!,#REF!,"UNFPA",#REF!,6)</f>
        <v>#REF!</v>
      </c>
      <c r="F40" s="95" t="e">
        <f>SUMIFS(#REF!,#REF!,"UNWOMEN",#REF!,6)</f>
        <v>#REF!</v>
      </c>
      <c r="G40" s="96" t="e">
        <f>SUMIFS(#REF!,#REF!,"UNWomen",#REF!,6)</f>
        <v>#REF!</v>
      </c>
      <c r="H40" s="99" t="e">
        <f>B40+D40+F40+#REF!+#REF!</f>
        <v>#REF!</v>
      </c>
      <c r="I40" s="189" t="e">
        <f>C40+E40+G40+#REF!+#REF!</f>
        <v>#REF!</v>
      </c>
    </row>
    <row r="41" spans="2:9" ht="16.05" hidden="1" customHeight="1" x14ac:dyDescent="0.3">
      <c r="B41" s="95"/>
      <c r="C41" s="98"/>
      <c r="D41" s="95" t="e">
        <f>SUMIFS(#REF!,#REF!,"UNFPA",#REF!,7)</f>
        <v>#REF!</v>
      </c>
      <c r="E41" s="96" t="e">
        <f>SUMIFS(#REF!,#REF!,"UNFPA",#REF!,7)</f>
        <v>#REF!</v>
      </c>
      <c r="F41" s="95" t="e">
        <f>SUMIFS(#REF!,#REF!,"UNWOMEN",#REF!,7)</f>
        <v>#REF!</v>
      </c>
      <c r="G41" s="96" t="e">
        <f>SUMIFS(#REF!,#REF!,"UNWomen",#REF!,7)</f>
        <v>#REF!</v>
      </c>
      <c r="H41" s="99" t="e">
        <f>B41+D41+F41+#REF!+#REF!</f>
        <v>#REF!</v>
      </c>
      <c r="I41" s="189" t="e">
        <f>C41+E41+G41+#REF!+#REF!</f>
        <v>#REF!</v>
      </c>
    </row>
    <row r="42" spans="2:9" ht="16.95" hidden="1" customHeight="1" x14ac:dyDescent="0.3">
      <c r="B42" s="91"/>
      <c r="C42" s="94"/>
      <c r="D42" s="91" t="e">
        <f t="shared" ref="D42:I42" si="7">SUM(D35:D41)</f>
        <v>#REF!</v>
      </c>
      <c r="E42" s="94" t="e">
        <f t="shared" si="7"/>
        <v>#REF!</v>
      </c>
      <c r="F42" s="91" t="e">
        <f t="shared" si="7"/>
        <v>#REF!</v>
      </c>
      <c r="G42" s="94" t="e">
        <f t="shared" si="7"/>
        <v>#REF!</v>
      </c>
      <c r="H42" s="23" t="e">
        <f t="shared" si="7"/>
        <v>#REF!</v>
      </c>
      <c r="I42" s="186" t="e">
        <f t="shared" si="7"/>
        <v>#REF!</v>
      </c>
    </row>
    <row r="43" spans="2:9" ht="16.95" hidden="1" customHeight="1" x14ac:dyDescent="0.3">
      <c r="B43" s="90"/>
      <c r="C43" s="93"/>
      <c r="D43" s="90" t="e">
        <f>D42*0.07</f>
        <v>#REF!</v>
      </c>
      <c r="E43" s="93"/>
      <c r="F43" s="90" t="e">
        <f>F42*0.07</f>
        <v>#REF!</v>
      </c>
      <c r="G43" s="93"/>
      <c r="H43" s="22" t="e">
        <f>H42*0.07</f>
        <v>#REF!</v>
      </c>
      <c r="I43" s="187" t="e">
        <f>C43+E43+G43+#REF!</f>
        <v>#REF!</v>
      </c>
    </row>
    <row r="44" spans="2:9" ht="16.95" hidden="1" customHeight="1" x14ac:dyDescent="0.3">
      <c r="B44" s="91"/>
      <c r="C44" s="94"/>
      <c r="D44" s="91" t="e">
        <f>SUM(D42:D43)</f>
        <v>#REF!</v>
      </c>
      <c r="E44" s="94" t="e">
        <f>SUM(E42:E43)</f>
        <v>#REF!</v>
      </c>
      <c r="F44" s="91" t="e">
        <f>SUM(F42:F43)</f>
        <v>#REF!</v>
      </c>
      <c r="G44" s="94" t="e">
        <f>SUM(G42:G43)</f>
        <v>#REF!</v>
      </c>
      <c r="H44" s="22" t="e">
        <f>SUM(H42:H43)</f>
        <v>#REF!</v>
      </c>
      <c r="I44" s="186" t="e">
        <f>C44+E44+G44+#REF!+#REF!</f>
        <v>#REF!</v>
      </c>
    </row>
    <row r="45" spans="2:9" ht="16.05" hidden="1" customHeight="1" x14ac:dyDescent="0.3"/>
    <row r="46" spans="2:9" ht="16.05" hidden="1" customHeight="1" x14ac:dyDescent="0.3"/>
    <row r="47" spans="2:9" ht="16.05" hidden="1" customHeight="1" x14ac:dyDescent="0.3"/>
    <row r="48" spans="2:9" ht="16.95" hidden="1" customHeight="1" x14ac:dyDescent="0.3">
      <c r="B48" s="4"/>
      <c r="C48" s="5"/>
      <c r="D48" s="5" t="s">
        <v>11</v>
      </c>
      <c r="E48" s="5" t="s">
        <v>17</v>
      </c>
      <c r="F48" s="5" t="s">
        <v>56</v>
      </c>
      <c r="G48" s="5" t="s">
        <v>43</v>
      </c>
    </row>
    <row r="49" spans="2:7" ht="34.950000000000003" hidden="1" customHeight="1" x14ac:dyDescent="0.3">
      <c r="B49" s="6"/>
      <c r="C49" s="7"/>
      <c r="D49" s="7" t="s">
        <v>45</v>
      </c>
      <c r="E49" s="7" t="s">
        <v>45</v>
      </c>
      <c r="F49" s="7" t="s">
        <v>45</v>
      </c>
      <c r="G49" s="7" t="s">
        <v>45</v>
      </c>
    </row>
    <row r="50" spans="2:7" ht="16.05" hidden="1" customHeight="1" x14ac:dyDescent="0.3">
      <c r="B50" s="12"/>
      <c r="C50" s="13"/>
      <c r="D50" s="13" t="e">
        <f>SUMIFS(#REF!,#REF!,"UNWomen",#REF!,1)</f>
        <v>#REF!</v>
      </c>
      <c r="E50" s="13" t="e">
        <f>SUMIFS(#REF!,#REF!,"UNICEF",#REF!,1)</f>
        <v>#REF!</v>
      </c>
      <c r="F50" s="13" t="e">
        <f>SUMIFS(#REF!,#REF!,"UNHCR",#REF!,1)</f>
        <v>#REF!</v>
      </c>
      <c r="G50" s="11" t="e">
        <f t="shared" ref="G50:G55" si="8">SUM(B50:F50)</f>
        <v>#REF!</v>
      </c>
    </row>
    <row r="51" spans="2:7" ht="16.05" hidden="1" customHeight="1" x14ac:dyDescent="0.3">
      <c r="B51" s="12"/>
      <c r="C51" s="13"/>
      <c r="D51" s="13" t="e">
        <f>SUMIFS(#REF!,#REF!,"UNWomen",#REF!,2)</f>
        <v>#REF!</v>
      </c>
      <c r="E51" s="13" t="e">
        <f>SUMIFS(#REF!,#REF!,"UNICEF",#REF!,2)</f>
        <v>#REF!</v>
      </c>
      <c r="F51" s="13" t="e">
        <f>SUMIFS(#REF!,#REF!,"UNHCR",#REF!,2)</f>
        <v>#REF!</v>
      </c>
      <c r="G51" s="11" t="e">
        <f t="shared" si="8"/>
        <v>#REF!</v>
      </c>
    </row>
    <row r="52" spans="2:7" ht="16.05" hidden="1" customHeight="1" x14ac:dyDescent="0.3">
      <c r="B52" s="12"/>
      <c r="C52" s="13"/>
      <c r="D52" s="13" t="e">
        <f>SUMIFS(#REF!,#REF!,"UNWomen",#REF!,3)</f>
        <v>#REF!</v>
      </c>
      <c r="E52" s="13" t="e">
        <f>SUMIFS(#REF!,#REF!,"UNICEF",#REF!,3)</f>
        <v>#REF!</v>
      </c>
      <c r="F52" s="13" t="e">
        <f>SUMIFS(#REF!,#REF!,"UNHCR",#REF!,3)</f>
        <v>#REF!</v>
      </c>
      <c r="G52" s="11" t="e">
        <f t="shared" si="8"/>
        <v>#REF!</v>
      </c>
    </row>
    <row r="53" spans="2:7" ht="16.05" hidden="1" customHeight="1" x14ac:dyDescent="0.3">
      <c r="B53" s="12"/>
      <c r="C53" s="13"/>
      <c r="D53" s="13" t="e">
        <f>SUMIFS(#REF!,#REF!,"UNWomen",#REF!,4)</f>
        <v>#REF!</v>
      </c>
      <c r="E53" s="13" t="e">
        <f>SUMIFS(#REF!,#REF!,"UNICEF",#REF!,4)</f>
        <v>#REF!</v>
      </c>
      <c r="F53" s="13" t="e">
        <f>SUMIFS(#REF!,#REF!,"UNHCR",#REF!,4)</f>
        <v>#REF!</v>
      </c>
      <c r="G53" s="11" t="e">
        <f t="shared" si="8"/>
        <v>#REF!</v>
      </c>
    </row>
    <row r="54" spans="2:7" ht="16.05" hidden="1" customHeight="1" x14ac:dyDescent="0.3">
      <c r="B54" s="12"/>
      <c r="C54" s="13"/>
      <c r="D54" s="13" t="e">
        <f>SUMIFS(#REF!,#REF!,"UNWomen",#REF!,5)</f>
        <v>#REF!</v>
      </c>
      <c r="E54" s="13" t="e">
        <f>SUMIFS(#REF!,#REF!,"UNICEF",#REF!,5)</f>
        <v>#REF!</v>
      </c>
      <c r="F54" s="13" t="e">
        <f>SUMIFS(#REF!,#REF!,"UNHCR",#REF!,5)</f>
        <v>#REF!</v>
      </c>
      <c r="G54" s="11" t="e">
        <f t="shared" si="8"/>
        <v>#REF!</v>
      </c>
    </row>
    <row r="55" spans="2:7" ht="16.05" hidden="1" customHeight="1" x14ac:dyDescent="0.3">
      <c r="B55" s="12"/>
      <c r="C55" s="13"/>
      <c r="D55" s="13" t="e">
        <f>SUMIFS(#REF!,#REF!,"UNWomen",#REF!,6)</f>
        <v>#REF!</v>
      </c>
      <c r="E55" s="13" t="e">
        <f>SUMIFS(#REF!,#REF!,"UNICEF",#REF!,6)</f>
        <v>#REF!</v>
      </c>
      <c r="F55" s="13" t="e">
        <f>SUMIFS(#REF!,#REF!,"UNHCR",#REF!,6)</f>
        <v>#REF!</v>
      </c>
      <c r="G55" s="11" t="e">
        <f t="shared" si="8"/>
        <v>#REF!</v>
      </c>
    </row>
    <row r="56" spans="2:7" ht="16.95" hidden="1" customHeight="1" x14ac:dyDescent="0.3">
      <c r="B56" s="8"/>
      <c r="C56" s="8"/>
      <c r="D56" s="8" t="e">
        <f>SUM(D50:D55)</f>
        <v>#REF!</v>
      </c>
      <c r="E56" s="8" t="e">
        <f>SUM(E50:E55)</f>
        <v>#REF!</v>
      </c>
      <c r="F56" s="8" t="e">
        <f>SUM(F50:F55)</f>
        <v>#REF!</v>
      </c>
      <c r="G56" s="8" t="e">
        <f>SUM(G50:G55)</f>
        <v>#REF!</v>
      </c>
    </row>
    <row r="57" spans="2:7" ht="16.05" hidden="1" customHeight="1" x14ac:dyDescent="0.3">
      <c r="B57" s="14"/>
      <c r="C57" s="15"/>
      <c r="D57" s="15" t="e">
        <f>SUMIFS(#REF!,#REF!,"UNWomen",#REF!,"N/A")</f>
        <v>#REF!</v>
      </c>
      <c r="E57" s="15" t="e">
        <f>SUMIFS(#REF!,#REF!,"UNICEF",#REF!,"N/A")</f>
        <v>#REF!</v>
      </c>
      <c r="F57" s="15" t="e">
        <f>SUMIFS(#REF!,#REF!,"UNHCR",#REF!,"N/A")</f>
        <v>#REF!</v>
      </c>
      <c r="G57" s="18" t="e">
        <f>SUM(B57:F57)</f>
        <v>#REF!</v>
      </c>
    </row>
    <row r="58" spans="2:7" ht="16.95" hidden="1" customHeight="1" x14ac:dyDescent="0.3">
      <c r="B58" s="16"/>
      <c r="C58" s="17"/>
      <c r="D58" s="17"/>
      <c r="E58" s="17"/>
      <c r="F58" s="17"/>
      <c r="G58" s="18">
        <f>SUM(B58:F58)</f>
        <v>0</v>
      </c>
    </row>
    <row r="59" spans="2:7" ht="16.95" hidden="1" customHeight="1" x14ac:dyDescent="0.3">
      <c r="B59" s="19"/>
      <c r="C59" s="19"/>
      <c r="D59" s="19" t="e">
        <f>SUM(D56:D58)</f>
        <v>#REF!</v>
      </c>
      <c r="E59" s="19" t="e">
        <f>SUM(E56:E58)</f>
        <v>#REF!</v>
      </c>
      <c r="F59" s="19" t="e">
        <f>SUM(F56:F58)</f>
        <v>#REF!</v>
      </c>
      <c r="G59" s="20" t="e">
        <f>SUM(G56:G58)</f>
        <v>#REF!</v>
      </c>
    </row>
    <row r="60" spans="2:7" ht="16.95" hidden="1" customHeight="1" x14ac:dyDescent="0.3">
      <c r="B60" s="9"/>
      <c r="C60" s="9"/>
      <c r="D60" s="9" t="e">
        <f>D59*0.07</f>
        <v>#REF!</v>
      </c>
      <c r="E60" s="9" t="e">
        <f>E59*0.07</f>
        <v>#REF!</v>
      </c>
      <c r="F60" s="9" t="e">
        <f>F59*0.07</f>
        <v>#REF!</v>
      </c>
      <c r="G60" s="9" t="e">
        <f>SUM(B60:F60)</f>
        <v>#REF!</v>
      </c>
    </row>
    <row r="61" spans="2:7" ht="16.95" hidden="1" customHeight="1" x14ac:dyDescent="0.3">
      <c r="B61" s="10"/>
      <c r="C61" s="10"/>
      <c r="D61" s="10" t="e">
        <f>SUM(D59:D60)</f>
        <v>#REF!</v>
      </c>
      <c r="E61" s="10" t="e">
        <f>SUM(E59:E60)</f>
        <v>#REF!</v>
      </c>
      <c r="F61" s="10" t="e">
        <f>SUM(F59:F60)</f>
        <v>#REF!</v>
      </c>
      <c r="G61" s="10" t="e">
        <f>SUM(B61:F61)</f>
        <v>#REF!</v>
      </c>
    </row>
    <row r="62" spans="2:7" ht="16.05" hidden="1" customHeight="1" x14ac:dyDescent="0.3"/>
    <row r="63" spans="2:7" ht="16.05" hidden="1" customHeight="1" x14ac:dyDescent="0.3"/>
    <row r="64" spans="2:7" ht="16.05" hidden="1" customHeight="1" x14ac:dyDescent="0.3"/>
    <row r="65" spans="2:9" ht="16.05" hidden="1" customHeight="1" x14ac:dyDescent="0.3"/>
    <row r="66" spans="2:9" ht="16.05" hidden="1" customHeight="1" x14ac:dyDescent="0.3"/>
    <row r="67" spans="2:9" ht="16.95" hidden="1" customHeight="1" x14ac:dyDescent="0.3">
      <c r="B67" s="514"/>
      <c r="C67" s="515"/>
      <c r="D67" s="514" t="s">
        <v>16</v>
      </c>
      <c r="E67" s="515"/>
      <c r="F67" s="514" t="s">
        <v>15</v>
      </c>
      <c r="G67" s="515"/>
      <c r="H67" s="516" t="s">
        <v>43</v>
      </c>
      <c r="I67" s="517"/>
    </row>
    <row r="68" spans="2:9" ht="34.950000000000003" hidden="1" customHeight="1" x14ac:dyDescent="0.3">
      <c r="B68" s="89"/>
      <c r="C68" s="92"/>
      <c r="D68" s="89" t="s">
        <v>45</v>
      </c>
      <c r="E68" s="92" t="s">
        <v>46</v>
      </c>
      <c r="F68" s="89" t="s">
        <v>45</v>
      </c>
      <c r="G68" s="92" t="s">
        <v>46</v>
      </c>
      <c r="H68" s="147" t="s">
        <v>45</v>
      </c>
      <c r="I68" s="148" t="s">
        <v>46</v>
      </c>
    </row>
    <row r="69" spans="2:9" ht="16.05" hidden="1" customHeight="1" x14ac:dyDescent="0.3">
      <c r="B69" s="95"/>
      <c r="C69" s="98"/>
      <c r="D69" s="95" t="e">
        <f>SUMIFS(#REF!,#REF!,"UNFPA",#REF!,1)</f>
        <v>#REF!</v>
      </c>
      <c r="E69" s="96" t="e">
        <f>SUMIFS(#REF!,#REF!,"UNFPA",#REF!,1)</f>
        <v>#REF!</v>
      </c>
      <c r="F69" s="95" t="e">
        <f>SUMIFS(#REF!,#REF!,"UNWOMEN",#REF!,1)</f>
        <v>#REF!</v>
      </c>
      <c r="G69" s="96" t="e">
        <f>SUMIFS(#REF!,#REF!,"UNWomen",#REF!,1)</f>
        <v>#REF!</v>
      </c>
      <c r="H69" s="97" t="e">
        <f>B69+D69+F69+#REF!+#REF!</f>
        <v>#REF!</v>
      </c>
      <c r="I69" s="188" t="e">
        <f>C69+E69+G69+#REF!+#REF!</f>
        <v>#REF!</v>
      </c>
    </row>
    <row r="70" spans="2:9" ht="31.5" hidden="1" customHeight="1" x14ac:dyDescent="0.3">
      <c r="B70" s="95"/>
      <c r="C70" s="98"/>
      <c r="D70" s="95" t="e">
        <f>SUMIFS(#REF!,#REF!,"UNFPA",#REF!,2)</f>
        <v>#REF!</v>
      </c>
      <c r="E70" s="96" t="e">
        <f>SUMIFS(#REF!,#REF!,"UNFPA",#REF!,2)</f>
        <v>#REF!</v>
      </c>
      <c r="F70" s="95" t="e">
        <f>SUMIFS(#REF!,#REF!,"UNWOMEN",#REF!,2)</f>
        <v>#REF!</v>
      </c>
      <c r="G70" s="96" t="e">
        <f>SUMIFS(#REF!,#REF!,"UNWomen",#REF!,2)</f>
        <v>#REF!</v>
      </c>
      <c r="H70" s="99" t="e">
        <f>B70+D70+F70+#REF!+#REF!</f>
        <v>#REF!</v>
      </c>
      <c r="I70" s="189" t="e">
        <f>C70+E70+G70+#REF!+#REF!</f>
        <v>#REF!</v>
      </c>
    </row>
    <row r="71" spans="2:9" ht="16.05" hidden="1" customHeight="1" x14ac:dyDescent="0.3">
      <c r="B71" s="95"/>
      <c r="C71" s="98"/>
      <c r="D71" s="95" t="e">
        <f>SUMIFS(#REF!,#REF!,"UNFPA",#REF!,3)</f>
        <v>#REF!</v>
      </c>
      <c r="E71" s="96" t="e">
        <f>SUMIFS(#REF!,#REF!,"UNFPA",#REF!,3)</f>
        <v>#REF!</v>
      </c>
      <c r="F71" s="95" t="e">
        <f>SUMIFS(#REF!,#REF!,"UNWOMEN",#REF!,3)</f>
        <v>#REF!</v>
      </c>
      <c r="G71" s="96" t="e">
        <f>SUMIFS(#REF!,#REF!,"UNWomen",#REF!,3)</f>
        <v>#REF!</v>
      </c>
      <c r="H71" s="99" t="e">
        <f>B71+D71+F71+#REF!+#REF!</f>
        <v>#REF!</v>
      </c>
      <c r="I71" s="189" t="e">
        <f>C71+E71+G71+#REF!+#REF!</f>
        <v>#REF!</v>
      </c>
    </row>
    <row r="72" spans="2:9" ht="16.05" hidden="1" customHeight="1" x14ac:dyDescent="0.3">
      <c r="B72" s="95"/>
      <c r="C72" s="98"/>
      <c r="D72" s="95" t="e">
        <f>SUMIFS(#REF!,#REF!,"UNFPA",#REF!,4)</f>
        <v>#REF!</v>
      </c>
      <c r="E72" s="96" t="e">
        <f>SUMIFS(#REF!,#REF!,"UNFPA",#REF!,4)</f>
        <v>#REF!</v>
      </c>
      <c r="F72" s="95" t="e">
        <f>SUMIFS(#REF!,#REF!,"UNWOMEN",#REF!,4)</f>
        <v>#REF!</v>
      </c>
      <c r="G72" s="96" t="e">
        <f>SUMIFS(#REF!,#REF!,"UNWomen",#REF!,4)</f>
        <v>#REF!</v>
      </c>
      <c r="H72" s="99" t="e">
        <f>B72+D72+F72+#REF!+#REF!</f>
        <v>#REF!</v>
      </c>
      <c r="I72" s="189" t="e">
        <f>C72+E72+G72+#REF!+#REF!</f>
        <v>#REF!</v>
      </c>
    </row>
    <row r="73" spans="2:9" ht="16.05" hidden="1" customHeight="1" x14ac:dyDescent="0.3">
      <c r="B73" s="95"/>
      <c r="C73" s="98"/>
      <c r="D73" s="95" t="e">
        <f>SUMIFS(#REF!,#REF!,"UNFPA",#REF!,5)</f>
        <v>#REF!</v>
      </c>
      <c r="E73" s="96" t="e">
        <f>SUMIFS(#REF!,#REF!,"UNFPA",#REF!,5)</f>
        <v>#REF!</v>
      </c>
      <c r="F73" s="95" t="e">
        <f>SUMIFS(#REF!,#REF!,"UNWOMEN",#REF!,5)</f>
        <v>#REF!</v>
      </c>
      <c r="G73" s="96" t="e">
        <f>SUMIFS(#REF!,#REF!,"UNWomen",#REF!,5)</f>
        <v>#REF!</v>
      </c>
      <c r="H73" s="99" t="e">
        <f>B73+D73+F73+#REF!+#REF!</f>
        <v>#REF!</v>
      </c>
      <c r="I73" s="189" t="e">
        <f>C73+E73+G73+#REF!+#REF!</f>
        <v>#REF!</v>
      </c>
    </row>
    <row r="74" spans="2:9" ht="16.05" hidden="1" customHeight="1" x14ac:dyDescent="0.3">
      <c r="B74" s="95"/>
      <c r="C74" s="98"/>
      <c r="D74" s="95" t="e">
        <f>SUMIFS(#REF!,#REF!,"UNFPA",#REF!,6)</f>
        <v>#REF!</v>
      </c>
      <c r="E74" s="96" t="e">
        <f>SUMIFS(#REF!,#REF!,"UNFPA",#REF!,6)</f>
        <v>#REF!</v>
      </c>
      <c r="F74" s="95" t="e">
        <f>SUMIFS(#REF!,#REF!,"UNWOMEN",#REF!,6)</f>
        <v>#REF!</v>
      </c>
      <c r="G74" s="96" t="e">
        <f>SUMIFS(#REF!,#REF!,"UNWomen",#REF!,6)</f>
        <v>#REF!</v>
      </c>
      <c r="H74" s="99" t="e">
        <f>B74+D74+F74+#REF!+#REF!</f>
        <v>#REF!</v>
      </c>
      <c r="I74" s="189" t="e">
        <f>C74+E74+G74+#REF!+#REF!</f>
        <v>#REF!</v>
      </c>
    </row>
    <row r="75" spans="2:9" ht="16.05" hidden="1" customHeight="1" x14ac:dyDescent="0.3">
      <c r="B75" s="95"/>
      <c r="C75" s="98"/>
      <c r="D75" s="95" t="e">
        <f>SUMIFS(#REF!,#REF!,"UNFPA",#REF!,7)</f>
        <v>#REF!</v>
      </c>
      <c r="E75" s="96" t="e">
        <f>SUMIFS(#REF!,#REF!,"UNFPA",#REF!,7)</f>
        <v>#REF!</v>
      </c>
      <c r="F75" s="95" t="e">
        <f>SUMIFS(#REF!,#REF!,"UNWOMEN",#REF!,7)</f>
        <v>#REF!</v>
      </c>
      <c r="G75" s="96" t="e">
        <f>SUMIFS(#REF!,#REF!,"UNWomen",#REF!,7)</f>
        <v>#REF!</v>
      </c>
      <c r="H75" s="99" t="e">
        <f>B75+D75+F75+#REF!+#REF!</f>
        <v>#REF!</v>
      </c>
      <c r="I75" s="189" t="e">
        <f>C75+E75+G75+#REF!+#REF!</f>
        <v>#REF!</v>
      </c>
    </row>
    <row r="76" spans="2:9" ht="16.95" hidden="1" customHeight="1" x14ac:dyDescent="0.3">
      <c r="B76" s="91"/>
      <c r="C76" s="94"/>
      <c r="D76" s="91" t="e">
        <f t="shared" ref="D76:I76" si="9">SUM(D69:D75)</f>
        <v>#REF!</v>
      </c>
      <c r="E76" s="94" t="e">
        <f t="shared" si="9"/>
        <v>#REF!</v>
      </c>
      <c r="F76" s="91" t="e">
        <f t="shared" si="9"/>
        <v>#REF!</v>
      </c>
      <c r="G76" s="94" t="e">
        <f t="shared" si="9"/>
        <v>#REF!</v>
      </c>
      <c r="H76" s="23" t="e">
        <f t="shared" si="9"/>
        <v>#REF!</v>
      </c>
      <c r="I76" s="186" t="e">
        <f t="shared" si="9"/>
        <v>#REF!</v>
      </c>
    </row>
    <row r="77" spans="2:9" ht="16.95" hidden="1" customHeight="1" x14ac:dyDescent="0.3">
      <c r="B77" s="90"/>
      <c r="C77" s="93"/>
      <c r="D77" s="90" t="e">
        <f>D76*0.07</f>
        <v>#REF!</v>
      </c>
      <c r="E77" s="93"/>
      <c r="F77" s="90" t="e">
        <f>F76*0.07</f>
        <v>#REF!</v>
      </c>
      <c r="G77" s="93"/>
      <c r="H77" s="22" t="e">
        <f>H76*0.07</f>
        <v>#REF!</v>
      </c>
      <c r="I77" s="187" t="e">
        <f>C77+E77+G77+#REF!</f>
        <v>#REF!</v>
      </c>
    </row>
    <row r="78" spans="2:9" ht="16.95" hidden="1" customHeight="1" x14ac:dyDescent="0.3">
      <c r="B78" s="91"/>
      <c r="C78" s="94"/>
      <c r="D78" s="91" t="e">
        <f>SUM(D76:D77)</f>
        <v>#REF!</v>
      </c>
      <c r="E78" s="94" t="e">
        <f>SUM(E76:E77)</f>
        <v>#REF!</v>
      </c>
      <c r="F78" s="91" t="e">
        <f>SUM(F76:F77)</f>
        <v>#REF!</v>
      </c>
      <c r="G78" s="94" t="e">
        <f>SUM(G76:G77)</f>
        <v>#REF!</v>
      </c>
      <c r="H78" s="22" t="e">
        <f>SUM(H76:H77)</f>
        <v>#REF!</v>
      </c>
      <c r="I78" s="186" t="e">
        <f>C78+E78+G78+#REF!+#REF!</f>
        <v>#REF!</v>
      </c>
    </row>
    <row r="79" spans="2:9" ht="16.05" hidden="1" customHeight="1" x14ac:dyDescent="0.3"/>
    <row r="80" spans="2:9" ht="16.05" hidden="1" customHeight="1" x14ac:dyDescent="0.3"/>
    <row r="81" spans="2:7" ht="16.05" hidden="1" customHeight="1" x14ac:dyDescent="0.3"/>
    <row r="82" spans="2:7" ht="16.95" hidden="1" customHeight="1" x14ac:dyDescent="0.3">
      <c r="B82" s="4"/>
      <c r="C82" s="5"/>
      <c r="D82" s="5" t="s">
        <v>11</v>
      </c>
      <c r="E82" s="5" t="s">
        <v>17</v>
      </c>
      <c r="F82" s="5" t="s">
        <v>56</v>
      </c>
      <c r="G82" s="5" t="s">
        <v>43</v>
      </c>
    </row>
    <row r="83" spans="2:7" ht="34.950000000000003" hidden="1" customHeight="1" x14ac:dyDescent="0.3">
      <c r="B83" s="6"/>
      <c r="C83" s="7"/>
      <c r="D83" s="7" t="s">
        <v>45</v>
      </c>
      <c r="E83" s="7" t="s">
        <v>45</v>
      </c>
      <c r="F83" s="7" t="s">
        <v>45</v>
      </c>
      <c r="G83" s="7" t="s">
        <v>45</v>
      </c>
    </row>
    <row r="84" spans="2:7" ht="16.05" hidden="1" customHeight="1" x14ac:dyDescent="0.3">
      <c r="B84" s="12"/>
      <c r="C84" s="13"/>
      <c r="D84" s="13" t="e">
        <f>SUMIFS(#REF!,#REF!,"UNWomen",#REF!,1)</f>
        <v>#REF!</v>
      </c>
      <c r="E84" s="13" t="e">
        <f>SUMIFS(#REF!,#REF!,"UNICEF",#REF!,1)</f>
        <v>#REF!</v>
      </c>
      <c r="F84" s="13" t="e">
        <f>SUMIFS(#REF!,#REF!,"UNHCR",#REF!,1)</f>
        <v>#REF!</v>
      </c>
      <c r="G84" s="11" t="e">
        <f t="shared" ref="G84:G89" si="10">SUM(B84:F84)</f>
        <v>#REF!</v>
      </c>
    </row>
    <row r="85" spans="2:7" ht="16.05" hidden="1" customHeight="1" x14ac:dyDescent="0.3">
      <c r="B85" s="12"/>
      <c r="C85" s="13"/>
      <c r="D85" s="13" t="e">
        <f>SUMIFS(#REF!,#REF!,"UNWomen",#REF!,2)</f>
        <v>#REF!</v>
      </c>
      <c r="E85" s="13" t="e">
        <f>SUMIFS(#REF!,#REF!,"UNICEF",#REF!,2)</f>
        <v>#REF!</v>
      </c>
      <c r="F85" s="13" t="e">
        <f>SUMIFS(#REF!,#REF!,"UNHCR",#REF!,2)</f>
        <v>#REF!</v>
      </c>
      <c r="G85" s="11" t="e">
        <f t="shared" si="10"/>
        <v>#REF!</v>
      </c>
    </row>
    <row r="86" spans="2:7" ht="16.05" hidden="1" customHeight="1" x14ac:dyDescent="0.3">
      <c r="B86" s="12"/>
      <c r="C86" s="13"/>
      <c r="D86" s="13" t="e">
        <f>SUMIFS(#REF!,#REF!,"UNWomen",#REF!,3)</f>
        <v>#REF!</v>
      </c>
      <c r="E86" s="13" t="e">
        <f>SUMIFS(#REF!,#REF!,"UNICEF",#REF!,3)</f>
        <v>#REF!</v>
      </c>
      <c r="F86" s="13" t="e">
        <f>SUMIFS(#REF!,#REF!,"UNHCR",#REF!,3)</f>
        <v>#REF!</v>
      </c>
      <c r="G86" s="11" t="e">
        <f t="shared" si="10"/>
        <v>#REF!</v>
      </c>
    </row>
    <row r="87" spans="2:7" ht="16.05" hidden="1" customHeight="1" x14ac:dyDescent="0.3">
      <c r="B87" s="12"/>
      <c r="C87" s="13"/>
      <c r="D87" s="13" t="e">
        <f>SUMIFS(#REF!,#REF!,"UNWomen",#REF!,4)</f>
        <v>#REF!</v>
      </c>
      <c r="E87" s="13" t="e">
        <f>SUMIFS(#REF!,#REF!,"UNICEF",#REF!,4)</f>
        <v>#REF!</v>
      </c>
      <c r="F87" s="13" t="e">
        <f>SUMIFS(#REF!,#REF!,"UNHCR",#REF!,4)</f>
        <v>#REF!</v>
      </c>
      <c r="G87" s="11" t="e">
        <f t="shared" si="10"/>
        <v>#REF!</v>
      </c>
    </row>
    <row r="88" spans="2:7" ht="16.05" hidden="1" customHeight="1" x14ac:dyDescent="0.3">
      <c r="B88" s="12"/>
      <c r="C88" s="13"/>
      <c r="D88" s="13" t="e">
        <f>SUMIFS(#REF!,#REF!,"UNWomen",#REF!,5)</f>
        <v>#REF!</v>
      </c>
      <c r="E88" s="13" t="e">
        <f>SUMIFS(#REF!,#REF!,"UNICEF",#REF!,5)</f>
        <v>#REF!</v>
      </c>
      <c r="F88" s="13" t="e">
        <f>SUMIFS(#REF!,#REF!,"UNHCR",#REF!,5)</f>
        <v>#REF!</v>
      </c>
      <c r="G88" s="11" t="e">
        <f t="shared" si="10"/>
        <v>#REF!</v>
      </c>
    </row>
    <row r="89" spans="2:7" ht="16.05" hidden="1" customHeight="1" x14ac:dyDescent="0.3">
      <c r="B89" s="12"/>
      <c r="C89" s="13"/>
      <c r="D89" s="13" t="e">
        <f>SUMIFS(#REF!,#REF!,"UNWomen",#REF!,6)</f>
        <v>#REF!</v>
      </c>
      <c r="E89" s="13" t="e">
        <f>SUMIFS(#REF!,#REF!,"UNICEF",#REF!,6)</f>
        <v>#REF!</v>
      </c>
      <c r="F89" s="13" t="e">
        <f>SUMIFS(#REF!,#REF!,"UNHCR",#REF!,6)</f>
        <v>#REF!</v>
      </c>
      <c r="G89" s="11" t="e">
        <f t="shared" si="10"/>
        <v>#REF!</v>
      </c>
    </row>
    <row r="90" spans="2:7" ht="16.95" hidden="1" customHeight="1" x14ac:dyDescent="0.3">
      <c r="B90" s="8"/>
      <c r="C90" s="8"/>
      <c r="D90" s="8" t="e">
        <f>SUM(D84:D89)</f>
        <v>#REF!</v>
      </c>
      <c r="E90" s="8" t="e">
        <f>SUM(E84:E89)</f>
        <v>#REF!</v>
      </c>
      <c r="F90" s="8" t="e">
        <f>SUM(F84:F89)</f>
        <v>#REF!</v>
      </c>
      <c r="G90" s="8" t="e">
        <f>SUM(G84:G89)</f>
        <v>#REF!</v>
      </c>
    </row>
    <row r="91" spans="2:7" ht="16.05" hidden="1" customHeight="1" x14ac:dyDescent="0.3">
      <c r="B91" s="14"/>
      <c r="C91" s="15"/>
      <c r="D91" s="15" t="e">
        <f>SUMIFS(#REF!,#REF!,"UNWomen",#REF!,"N/A")</f>
        <v>#REF!</v>
      </c>
      <c r="E91" s="15" t="e">
        <f>SUMIFS(#REF!,#REF!,"UNICEF",#REF!,"N/A")</f>
        <v>#REF!</v>
      </c>
      <c r="F91" s="15" t="e">
        <f>SUMIFS(#REF!,#REF!,"UNHCR",#REF!,"N/A")</f>
        <v>#REF!</v>
      </c>
      <c r="G91" s="18" t="e">
        <f>SUM(B91:F91)</f>
        <v>#REF!</v>
      </c>
    </row>
    <row r="92" spans="2:7" ht="16.95" hidden="1" customHeight="1" x14ac:dyDescent="0.3">
      <c r="B92" s="16"/>
      <c r="C92" s="17"/>
      <c r="D92" s="17"/>
      <c r="E92" s="17"/>
      <c r="F92" s="17"/>
      <c r="G92" s="18">
        <f>SUM(B92:F92)</f>
        <v>0</v>
      </c>
    </row>
    <row r="93" spans="2:7" ht="16.95" hidden="1" customHeight="1" x14ac:dyDescent="0.3">
      <c r="B93" s="19"/>
      <c r="C93" s="19"/>
      <c r="D93" s="19" t="e">
        <f>SUM(D90:D92)</f>
        <v>#REF!</v>
      </c>
      <c r="E93" s="19" t="e">
        <f>SUM(E90:E92)</f>
        <v>#REF!</v>
      </c>
      <c r="F93" s="19" t="e">
        <f>SUM(F90:F92)</f>
        <v>#REF!</v>
      </c>
      <c r="G93" s="20" t="e">
        <f>SUM(G90:G92)</f>
        <v>#REF!</v>
      </c>
    </row>
    <row r="94" spans="2:7" ht="16.95" hidden="1" customHeight="1" x14ac:dyDescent="0.3">
      <c r="B94" s="9"/>
      <c r="C94" s="9"/>
      <c r="D94" s="9" t="e">
        <f>D93*0.07</f>
        <v>#REF!</v>
      </c>
      <c r="E94" s="9" t="e">
        <f>E93*0.07</f>
        <v>#REF!</v>
      </c>
      <c r="F94" s="9" t="e">
        <f>F93*0.07</f>
        <v>#REF!</v>
      </c>
      <c r="G94" s="9" t="e">
        <f>SUM(B94:F94)</f>
        <v>#REF!</v>
      </c>
    </row>
    <row r="95" spans="2:7" ht="16.95" hidden="1" customHeight="1" x14ac:dyDescent="0.3">
      <c r="B95" s="10"/>
      <c r="C95" s="10"/>
      <c r="D95" s="10" t="e">
        <f>SUM(D93:D94)</f>
        <v>#REF!</v>
      </c>
      <c r="E95" s="10" t="e">
        <f>SUM(E93:E94)</f>
        <v>#REF!</v>
      </c>
      <c r="F95" s="10" t="e">
        <f>SUM(F93:F94)</f>
        <v>#REF!</v>
      </c>
      <c r="G95" s="10" t="e">
        <f>SUM(B95:F95)</f>
        <v>#REF!</v>
      </c>
    </row>
    <row r="96" spans="2:7" ht="16.05" hidden="1" customHeight="1" x14ac:dyDescent="0.3"/>
    <row r="97" spans="2:2" x14ac:dyDescent="0.3">
      <c r="B97" s="194"/>
    </row>
  </sheetData>
  <mergeCells count="19">
    <mergeCell ref="A4:A5"/>
    <mergeCell ref="B4:C4"/>
    <mergeCell ref="D4:E4"/>
    <mergeCell ref="F4:G4"/>
    <mergeCell ref="H67:I67"/>
    <mergeCell ref="H16:I16"/>
    <mergeCell ref="F67:G67"/>
    <mergeCell ref="D67:E67"/>
    <mergeCell ref="B67:C67"/>
    <mergeCell ref="J4:L4"/>
    <mergeCell ref="J16:L16"/>
    <mergeCell ref="H4:I4"/>
    <mergeCell ref="B33:C33"/>
    <mergeCell ref="D33:E33"/>
    <mergeCell ref="F33:G33"/>
    <mergeCell ref="H33:I33"/>
    <mergeCell ref="B16:C16"/>
    <mergeCell ref="D16:E16"/>
    <mergeCell ref="F16:G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0E60-BA21-AD4F-AA1E-90D8BB285431}">
  <dimension ref="A2:F11"/>
  <sheetViews>
    <sheetView zoomScale="240" zoomScaleNormal="240" workbookViewId="0">
      <selection activeCell="A3" sqref="A3:L16"/>
    </sheetView>
  </sheetViews>
  <sheetFormatPr defaultColWidth="8.77734375" defaultRowHeight="14.4" x14ac:dyDescent="0.3"/>
  <cols>
    <col min="1" max="1" width="5" style="285" customWidth="1"/>
    <col min="2" max="2" width="37.6640625" style="285" customWidth="1"/>
    <col min="3" max="3" width="8.77734375" style="285" customWidth="1"/>
    <col min="4" max="4" width="13" style="285" bestFit="1" customWidth="1"/>
    <col min="5" max="5" width="16" style="285" customWidth="1"/>
    <col min="6" max="6" width="17.6640625" style="285" customWidth="1"/>
    <col min="7" max="16384" width="8.77734375" style="285"/>
  </cols>
  <sheetData>
    <row r="2" spans="1:6" ht="16.2" x14ac:dyDescent="0.3">
      <c r="B2" s="286" t="s">
        <v>103</v>
      </c>
    </row>
    <row r="4" spans="1:6" ht="22.2" customHeight="1" x14ac:dyDescent="0.3">
      <c r="A4" s="526" t="s">
        <v>104</v>
      </c>
      <c r="B4" s="526"/>
      <c r="C4" s="395" t="s">
        <v>105</v>
      </c>
      <c r="D4" s="395" t="s">
        <v>71</v>
      </c>
      <c r="E4" s="395" t="s">
        <v>70</v>
      </c>
      <c r="F4" s="395" t="s">
        <v>59</v>
      </c>
    </row>
    <row r="5" spans="1:6" x14ac:dyDescent="0.3">
      <c r="A5" s="388">
        <v>1</v>
      </c>
      <c r="B5" s="389" t="s">
        <v>170</v>
      </c>
      <c r="C5" s="390">
        <v>0.1</v>
      </c>
      <c r="D5" s="391">
        <f>C5*$D$11</f>
        <v>15065.6</v>
      </c>
      <c r="E5" s="391">
        <f>C5*$E$11</f>
        <v>13118.2</v>
      </c>
      <c r="F5" s="391">
        <f>C5*$F$11</f>
        <v>1947.4</v>
      </c>
    </row>
    <row r="6" spans="1:6" x14ac:dyDescent="0.3">
      <c r="A6" s="388">
        <v>5</v>
      </c>
      <c r="B6" s="389" t="s">
        <v>166</v>
      </c>
      <c r="C6" s="390">
        <v>0.05</v>
      </c>
      <c r="D6" s="391">
        <f t="shared" ref="D6:D10" si="0">C6*$D$11</f>
        <v>7532.8</v>
      </c>
      <c r="E6" s="391">
        <f t="shared" ref="E6:E10" si="1">C6*$E$11</f>
        <v>6559.1</v>
      </c>
      <c r="F6" s="391">
        <f t="shared" ref="F6:F10" si="2">C6*$F$11</f>
        <v>973.7</v>
      </c>
    </row>
    <row r="7" spans="1:6" x14ac:dyDescent="0.3">
      <c r="A7" s="388">
        <v>8</v>
      </c>
      <c r="B7" s="389" t="s">
        <v>171</v>
      </c>
      <c r="C7" s="390">
        <v>0.1</v>
      </c>
      <c r="D7" s="391">
        <f t="shared" si="0"/>
        <v>15065.6</v>
      </c>
      <c r="E7" s="391">
        <f t="shared" si="1"/>
        <v>13118.2</v>
      </c>
      <c r="F7" s="391">
        <f t="shared" si="2"/>
        <v>1947.4</v>
      </c>
    </row>
    <row r="8" spans="1:6" x14ac:dyDescent="0.3">
      <c r="A8" s="388">
        <v>10</v>
      </c>
      <c r="B8" s="389" t="s">
        <v>167</v>
      </c>
      <c r="C8" s="390">
        <v>0.05</v>
      </c>
      <c r="D8" s="391">
        <f t="shared" si="0"/>
        <v>7532.8</v>
      </c>
      <c r="E8" s="391">
        <f t="shared" si="1"/>
        <v>6559.1</v>
      </c>
      <c r="F8" s="391">
        <f t="shared" si="2"/>
        <v>973.7</v>
      </c>
    </row>
    <row r="9" spans="1:6" ht="25.2" x14ac:dyDescent="0.3">
      <c r="A9" s="388">
        <v>14</v>
      </c>
      <c r="B9" s="389" t="s">
        <v>169</v>
      </c>
      <c r="C9" s="390">
        <v>0.6</v>
      </c>
      <c r="D9" s="391">
        <f t="shared" si="0"/>
        <v>90393.599999999991</v>
      </c>
      <c r="E9" s="391">
        <f t="shared" si="1"/>
        <v>78709.2</v>
      </c>
      <c r="F9" s="391">
        <f t="shared" si="2"/>
        <v>11684.4</v>
      </c>
    </row>
    <row r="10" spans="1:6" x14ac:dyDescent="0.3">
      <c r="A10" s="388">
        <v>17</v>
      </c>
      <c r="B10" s="389" t="s">
        <v>168</v>
      </c>
      <c r="C10" s="390">
        <v>0.1</v>
      </c>
      <c r="D10" s="391">
        <f t="shared" si="0"/>
        <v>15065.6</v>
      </c>
      <c r="E10" s="391">
        <f t="shared" si="1"/>
        <v>13118.2</v>
      </c>
      <c r="F10" s="391">
        <f t="shared" si="2"/>
        <v>1947.4</v>
      </c>
    </row>
    <row r="11" spans="1:6" x14ac:dyDescent="0.3">
      <c r="A11" s="527" t="s">
        <v>106</v>
      </c>
      <c r="B11" s="527"/>
      <c r="C11" s="392">
        <f>SUM(C5:C10)</f>
        <v>0.99999999999999989</v>
      </c>
      <c r="D11" s="393">
        <f>'D. Budget by Outcome Febjun2021'!L60</f>
        <v>150656</v>
      </c>
      <c r="E11" s="394">
        <f>'D. Budget by Outcome Febjun2021'!M60</f>
        <v>131182</v>
      </c>
      <c r="F11" s="394">
        <f>'D. Budget by Outcome Febjun2021'!N60</f>
        <v>19474</v>
      </c>
    </row>
  </sheetData>
  <mergeCells count="2">
    <mergeCell ref="A4:B4"/>
    <mergeCell ref="A11:B11"/>
  </mergeCells>
  <pageMargins left="0.7" right="0.7" top="0.75" bottom="0.75" header="0.3" footer="0.3"/>
  <pageSetup orientation="portrait" r:id="rId1"/>
  <ignoredErrors>
    <ignoredError sqref="C11 D5:D10 E5:E10 F5:F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8AB6-FA23-364B-8629-20421F8A52BD}">
  <dimension ref="A2:AB33"/>
  <sheetViews>
    <sheetView zoomScale="125" zoomScaleNormal="90" workbookViewId="0">
      <selection activeCell="A3" sqref="A3:AB16"/>
    </sheetView>
  </sheetViews>
  <sheetFormatPr defaultColWidth="8.77734375" defaultRowHeight="14.4" x14ac:dyDescent="0.3"/>
  <cols>
    <col min="1" max="1" width="34.44140625" style="285" customWidth="1"/>
    <col min="2" max="2" width="15.33203125" style="285" customWidth="1"/>
    <col min="3" max="3" width="15.6640625" style="285" customWidth="1"/>
    <col min="4" max="4" width="15.33203125" style="285" customWidth="1"/>
    <col min="5" max="5" width="15.6640625" style="285" customWidth="1"/>
    <col min="6" max="6" width="35.33203125" style="285" customWidth="1"/>
    <col min="7" max="11" width="2.6640625" style="285" bestFit="1" customWidth="1"/>
    <col min="12" max="12" width="3" style="285" customWidth="1"/>
    <col min="13" max="13" width="3.109375" style="285" customWidth="1"/>
    <col min="14" max="14" width="2.6640625" style="285" customWidth="1"/>
    <col min="15" max="19" width="2.6640625" style="285" bestFit="1" customWidth="1"/>
    <col min="20" max="20" width="3" style="285" customWidth="1"/>
    <col min="21" max="21" width="3.109375" style="285" customWidth="1"/>
    <col min="22" max="22" width="2.6640625" style="285" customWidth="1"/>
    <col min="23" max="23" width="62.77734375" style="285" customWidth="1"/>
    <col min="24" max="25" width="15.33203125" style="285" customWidth="1"/>
    <col min="26" max="26" width="15.109375" style="285" customWidth="1"/>
    <col min="27" max="27" width="16.6640625" style="285" customWidth="1"/>
    <col min="28" max="28" width="25" style="285" customWidth="1"/>
    <col min="29" max="16384" width="8.77734375" style="285"/>
  </cols>
  <sheetData>
    <row r="2" spans="1:28" ht="16.2" x14ac:dyDescent="0.3">
      <c r="A2" s="286" t="s">
        <v>107</v>
      </c>
      <c r="B2" s="286"/>
      <c r="C2" s="286"/>
      <c r="D2" s="286"/>
      <c r="E2" s="286"/>
      <c r="F2" s="286"/>
    </row>
    <row r="4" spans="1:28" s="287" customFormat="1" ht="32.25" customHeight="1" thickBot="1" x14ac:dyDescent="0.3">
      <c r="A4" s="532" t="str">
        <f>'D. Budget by Outcome Febjun2021'!A6</f>
        <v xml:space="preserve">Outcome 1: Protection, effective management and sustainable financing of priority coral reef sites and climate change-affected refugia </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4"/>
    </row>
    <row r="5" spans="1:28" s="287" customFormat="1" ht="32.700000000000003" customHeight="1" x14ac:dyDescent="0.25">
      <c r="A5" s="535" t="s">
        <v>28</v>
      </c>
      <c r="B5" s="537" t="s">
        <v>142</v>
      </c>
      <c r="C5" s="538"/>
      <c r="D5" s="538"/>
      <c r="E5" s="539"/>
      <c r="F5" s="528" t="s">
        <v>108</v>
      </c>
      <c r="G5" s="537" t="s">
        <v>109</v>
      </c>
      <c r="H5" s="538"/>
      <c r="I5" s="538"/>
      <c r="J5" s="538"/>
      <c r="K5" s="538"/>
      <c r="L5" s="538"/>
      <c r="M5" s="538"/>
      <c r="N5" s="538"/>
      <c r="O5" s="538"/>
      <c r="P5" s="538"/>
      <c r="Q5" s="538"/>
      <c r="R5" s="538"/>
      <c r="S5" s="538"/>
      <c r="T5" s="538"/>
      <c r="U5" s="538"/>
      <c r="V5" s="539"/>
      <c r="W5" s="540" t="s">
        <v>4</v>
      </c>
      <c r="X5" s="540"/>
      <c r="Y5" s="540"/>
      <c r="Z5" s="540"/>
      <c r="AA5" s="528" t="s">
        <v>110</v>
      </c>
      <c r="AB5" s="530" t="s">
        <v>111</v>
      </c>
    </row>
    <row r="6" spans="1:28" s="287" customFormat="1" ht="40.200000000000003" customHeight="1" thickBot="1" x14ac:dyDescent="0.3">
      <c r="A6" s="536"/>
      <c r="B6" s="288">
        <v>2021</v>
      </c>
      <c r="C6" s="288">
        <v>2022</v>
      </c>
      <c r="D6" s="288">
        <v>2023</v>
      </c>
      <c r="E6" s="288">
        <v>2024</v>
      </c>
      <c r="F6" s="529"/>
      <c r="G6" s="288" t="s">
        <v>112</v>
      </c>
      <c r="H6" s="288" t="s">
        <v>113</v>
      </c>
      <c r="I6" s="288" t="s">
        <v>114</v>
      </c>
      <c r="J6" s="288" t="s">
        <v>115</v>
      </c>
      <c r="K6" s="288" t="s">
        <v>112</v>
      </c>
      <c r="L6" s="288" t="s">
        <v>113</v>
      </c>
      <c r="M6" s="288" t="s">
        <v>114</v>
      </c>
      <c r="N6" s="288" t="s">
        <v>115</v>
      </c>
      <c r="O6" s="288" t="s">
        <v>112</v>
      </c>
      <c r="P6" s="288" t="s">
        <v>113</v>
      </c>
      <c r="Q6" s="288" t="s">
        <v>114</v>
      </c>
      <c r="R6" s="288" t="s">
        <v>115</v>
      </c>
      <c r="S6" s="288" t="s">
        <v>112</v>
      </c>
      <c r="T6" s="288" t="s">
        <v>113</v>
      </c>
      <c r="U6" s="288" t="s">
        <v>114</v>
      </c>
      <c r="V6" s="288" t="s">
        <v>115</v>
      </c>
      <c r="W6" s="289" t="s">
        <v>137</v>
      </c>
      <c r="X6" s="290" t="s">
        <v>80</v>
      </c>
      <c r="Y6" s="290" t="s">
        <v>116</v>
      </c>
      <c r="Z6" s="290" t="s">
        <v>117</v>
      </c>
      <c r="AA6" s="529"/>
      <c r="AB6" s="531"/>
    </row>
    <row r="7" spans="1:28" s="287" customFormat="1" ht="34.200000000000003" x14ac:dyDescent="0.25">
      <c r="A7" s="541" t="str">
        <f>'D. Budget by Outcome Febjun2021'!A7</f>
        <v>Output 1.1: Increased area of new climate refugia and priority sites designated as MPAs or LMMAs</v>
      </c>
      <c r="B7" s="545" t="s">
        <v>176</v>
      </c>
      <c r="C7" s="545" t="s">
        <v>175</v>
      </c>
      <c r="D7" s="545" t="s">
        <v>177</v>
      </c>
      <c r="E7" s="545" t="s">
        <v>178</v>
      </c>
      <c r="F7" s="317" t="str">
        <f>'D. Budget by Outcome Febjun2021'!A12</f>
        <v xml:space="preserve">Activity 1.1.3: MPA screening, feasibility study and selection of new priority sites in Philippines  </v>
      </c>
      <c r="G7" s="346"/>
      <c r="H7" s="347"/>
      <c r="I7" s="347"/>
      <c r="J7" s="348"/>
      <c r="K7" s="346"/>
      <c r="L7" s="347"/>
      <c r="M7" s="347"/>
      <c r="N7" s="349"/>
      <c r="O7" s="318"/>
      <c r="P7" s="319"/>
      <c r="Q7" s="319"/>
      <c r="R7" s="320"/>
      <c r="S7" s="318"/>
      <c r="T7" s="319"/>
      <c r="U7" s="319"/>
      <c r="V7" s="321"/>
      <c r="W7" s="375" t="e">
        <f>'D. Budget by Outcome Febjun2021'!#REF!</f>
        <v>#REF!</v>
      </c>
      <c r="X7" s="548">
        <f>'D. Budget by Outcome Febjun2021'!M14</f>
        <v>0</v>
      </c>
      <c r="Y7" s="548">
        <f>'D. Budget by Outcome Febjun2021'!N14</f>
        <v>0</v>
      </c>
      <c r="Z7" s="552">
        <f>SUM(X7,Y7)</f>
        <v>0</v>
      </c>
      <c r="AA7" s="545" t="s">
        <v>14</v>
      </c>
      <c r="AB7" s="558" t="s">
        <v>132</v>
      </c>
    </row>
    <row r="8" spans="1:28" s="287" customFormat="1" ht="57" x14ac:dyDescent="0.25">
      <c r="A8" s="542"/>
      <c r="B8" s="546"/>
      <c r="C8" s="546"/>
      <c r="D8" s="546"/>
      <c r="E8" s="546"/>
      <c r="F8" s="308" t="str">
        <f>'D. Budget by Outcome Febjun2021'!A8</f>
        <v>Activity 1.1.1: Design of the MPAs high-level business plan and set-up of the Special Purpose Entities (SPEs - co-management body for the MPAs) in the 3 MPA networks</v>
      </c>
      <c r="G8" s="358"/>
      <c r="H8" s="359"/>
      <c r="I8" s="351"/>
      <c r="J8" s="352"/>
      <c r="K8" s="350"/>
      <c r="L8" s="351"/>
      <c r="M8" s="351"/>
      <c r="N8" s="353"/>
      <c r="O8" s="350"/>
      <c r="P8" s="351"/>
      <c r="Q8" s="296"/>
      <c r="R8" s="297"/>
      <c r="S8" s="295"/>
      <c r="T8" s="296"/>
      <c r="U8" s="296"/>
      <c r="V8" s="298"/>
      <c r="W8" s="376" t="e">
        <f>'D. Budget by Outcome Febjun2021'!#REF!</f>
        <v>#REF!</v>
      </c>
      <c r="X8" s="549"/>
      <c r="Y8" s="549"/>
      <c r="Z8" s="553"/>
      <c r="AA8" s="556"/>
      <c r="AB8" s="559"/>
    </row>
    <row r="9" spans="1:28" s="287" customFormat="1" ht="13.2" x14ac:dyDescent="0.25">
      <c r="A9" s="543"/>
      <c r="B9" s="546"/>
      <c r="C9" s="546"/>
      <c r="D9" s="546"/>
      <c r="E9" s="546"/>
      <c r="F9" s="309" t="e">
        <f>'D. Budget by Outcome Febjun2021'!#REF!</f>
        <v>#REF!</v>
      </c>
      <c r="G9" s="360"/>
      <c r="H9" s="361"/>
      <c r="I9" s="361"/>
      <c r="J9" s="356"/>
      <c r="K9" s="354"/>
      <c r="L9" s="355"/>
      <c r="M9" s="355"/>
      <c r="N9" s="357"/>
      <c r="O9" s="354"/>
      <c r="P9" s="355"/>
      <c r="Q9" s="355"/>
      <c r="R9" s="305"/>
      <c r="S9" s="303"/>
      <c r="T9" s="304"/>
      <c r="U9" s="304"/>
      <c r="V9" s="306"/>
      <c r="W9" s="377" t="e">
        <f>'D. Budget by Outcome Febjun2021'!#REF!</f>
        <v>#REF!</v>
      </c>
      <c r="X9" s="550"/>
      <c r="Y9" s="550"/>
      <c r="Z9" s="554"/>
      <c r="AA9" s="556"/>
      <c r="AB9" s="559"/>
    </row>
    <row r="10" spans="1:28" s="287" customFormat="1" ht="23.4" thickBot="1" x14ac:dyDescent="0.3">
      <c r="A10" s="544"/>
      <c r="B10" s="547"/>
      <c r="C10" s="547"/>
      <c r="D10" s="547"/>
      <c r="E10" s="547"/>
      <c r="F10" s="310" t="str">
        <f>'D. Budget by Outcome Febjun2021'!A10</f>
        <v>Activity 1.1.2: Stakeholder engagement and advocacy  in the 3 MPA networks</v>
      </c>
      <c r="G10" s="339"/>
      <c r="H10" s="340"/>
      <c r="I10" s="340"/>
      <c r="J10" s="341"/>
      <c r="K10" s="339"/>
      <c r="L10" s="340"/>
      <c r="M10" s="340"/>
      <c r="N10" s="342"/>
      <c r="O10" s="339"/>
      <c r="P10" s="340"/>
      <c r="Q10" s="340"/>
      <c r="R10" s="342"/>
      <c r="S10" s="365"/>
      <c r="T10" s="366"/>
      <c r="U10" s="366"/>
      <c r="V10" s="367"/>
      <c r="W10" s="378" t="e">
        <f>'D. Budget by Outcome Febjun2021'!#REF!</f>
        <v>#REF!</v>
      </c>
      <c r="X10" s="551"/>
      <c r="Y10" s="551"/>
      <c r="Z10" s="555"/>
      <c r="AA10" s="557"/>
      <c r="AB10" s="560"/>
    </row>
    <row r="11" spans="1:28" s="287" customFormat="1" thickTop="1" x14ac:dyDescent="0.25">
      <c r="A11" s="564" t="e">
        <f>'D. Budget by Outcome Febjun2021'!#REF!</f>
        <v>#REF!</v>
      </c>
      <c r="B11" s="562">
        <v>0</v>
      </c>
      <c r="C11" s="562" t="s">
        <v>151</v>
      </c>
      <c r="D11" s="562" t="s">
        <v>152</v>
      </c>
      <c r="E11" s="562" t="s">
        <v>152</v>
      </c>
      <c r="F11" s="307" t="e">
        <f>'D. Budget by Outcome Febjun2021'!#REF!</f>
        <v>#REF!</v>
      </c>
      <c r="G11" s="291"/>
      <c r="H11" s="292"/>
      <c r="I11" s="292"/>
      <c r="J11" s="293"/>
      <c r="K11" s="291"/>
      <c r="L11" s="292"/>
      <c r="M11" s="363"/>
      <c r="N11" s="371"/>
      <c r="O11" s="362"/>
      <c r="P11" s="363"/>
      <c r="Q11" s="368"/>
      <c r="R11" s="369"/>
      <c r="S11" s="291"/>
      <c r="T11" s="292"/>
      <c r="U11" s="292"/>
      <c r="V11" s="294"/>
      <c r="W11" s="379" t="e">
        <f>'D. Budget by Outcome Febjun2021'!#REF!</f>
        <v>#REF!</v>
      </c>
      <c r="X11" s="565" t="e">
        <f>'D. Budget by Outcome Febjun2021'!#REF!</f>
        <v>#REF!</v>
      </c>
      <c r="Y11" s="565" t="e">
        <f>'D. Budget by Outcome Febjun2021'!#REF!</f>
        <v>#REF!</v>
      </c>
      <c r="Z11" s="561" t="e">
        <f>SUM(X11,Y11)</f>
        <v>#REF!</v>
      </c>
      <c r="AA11" s="562" t="s">
        <v>129</v>
      </c>
      <c r="AB11" s="563" t="s">
        <v>135</v>
      </c>
    </row>
    <row r="12" spans="1:28" s="287" customFormat="1" ht="13.2" x14ac:dyDescent="0.25">
      <c r="A12" s="542"/>
      <c r="B12" s="546"/>
      <c r="C12" s="546"/>
      <c r="D12" s="546"/>
      <c r="E12" s="546"/>
      <c r="F12" s="308" t="e">
        <f>'D. Budget by Outcome Febjun2021'!#REF!</f>
        <v>#REF!</v>
      </c>
      <c r="G12" s="295"/>
      <c r="H12" s="296"/>
      <c r="I12" s="296"/>
      <c r="J12" s="297"/>
      <c r="K12" s="295"/>
      <c r="L12" s="296"/>
      <c r="M12" s="351"/>
      <c r="N12" s="353"/>
      <c r="O12" s="350"/>
      <c r="P12" s="351"/>
      <c r="Q12" s="359"/>
      <c r="R12" s="370"/>
      <c r="S12" s="295"/>
      <c r="T12" s="296"/>
      <c r="U12" s="296"/>
      <c r="V12" s="298"/>
      <c r="W12" s="376" t="e">
        <f>'D. Budget by Outcome Febjun2021'!#REF!</f>
        <v>#REF!</v>
      </c>
      <c r="X12" s="549"/>
      <c r="Y12" s="549"/>
      <c r="Z12" s="553"/>
      <c r="AA12" s="556"/>
      <c r="AB12" s="559"/>
    </row>
    <row r="13" spans="1:28" s="287" customFormat="1" ht="13.8" thickBot="1" x14ac:dyDescent="0.3">
      <c r="A13" s="544"/>
      <c r="B13" s="547"/>
      <c r="C13" s="547"/>
      <c r="D13" s="547"/>
      <c r="E13" s="547"/>
      <c r="F13" s="310" t="e">
        <f>'D. Budget by Outcome Febjun2021'!#REF!</f>
        <v>#REF!</v>
      </c>
      <c r="G13" s="299"/>
      <c r="H13" s="300"/>
      <c r="I13" s="300"/>
      <c r="J13" s="301"/>
      <c r="K13" s="365"/>
      <c r="L13" s="366"/>
      <c r="M13" s="340"/>
      <c r="N13" s="342"/>
      <c r="O13" s="339"/>
      <c r="P13" s="340"/>
      <c r="Q13" s="340"/>
      <c r="R13" s="341"/>
      <c r="S13" s="339"/>
      <c r="T13" s="340"/>
      <c r="U13" s="366"/>
      <c r="V13" s="367"/>
      <c r="W13" s="378" t="e">
        <f>'D. Budget by Outcome Febjun2021'!#REF!</f>
        <v>#REF!</v>
      </c>
      <c r="X13" s="551"/>
      <c r="Y13" s="551"/>
      <c r="Z13" s="555"/>
      <c r="AA13" s="557"/>
      <c r="AB13" s="560"/>
    </row>
    <row r="14" spans="1:28" s="287" customFormat="1" ht="46.2" thickTop="1" x14ac:dyDescent="0.25">
      <c r="A14" s="564" t="str">
        <f>'D. Budget by Outcome Febjun2021'!A15</f>
        <v xml:space="preserve">Output 1.2: Strengthened management, enforcement and monitoring systems of MPAs by SPEs.  </v>
      </c>
      <c r="B14" s="562" t="s">
        <v>147</v>
      </c>
      <c r="C14" s="562" t="s">
        <v>148</v>
      </c>
      <c r="D14" s="562" t="s">
        <v>149</v>
      </c>
      <c r="E14" s="562" t="s">
        <v>150</v>
      </c>
      <c r="F14" s="307" t="str">
        <f>'D. Budget by Outcome Febjun2021'!A16</f>
        <v>Activity 1.2.1: Technical &amp; Scientific assistance and trainings  in coral reef conservation and natural resource management</v>
      </c>
      <c r="G14" s="362"/>
      <c r="H14" s="363"/>
      <c r="I14" s="363"/>
      <c r="J14" s="364"/>
      <c r="K14" s="362"/>
      <c r="L14" s="363"/>
      <c r="M14" s="363"/>
      <c r="N14" s="371"/>
      <c r="O14" s="362"/>
      <c r="P14" s="363"/>
      <c r="Q14" s="363"/>
      <c r="R14" s="364"/>
      <c r="S14" s="291"/>
      <c r="T14" s="292"/>
      <c r="U14" s="292"/>
      <c r="V14" s="294"/>
      <c r="W14" s="379" t="e">
        <f>'D. Budget by Outcome Febjun2021'!#REF!</f>
        <v>#REF!</v>
      </c>
      <c r="X14" s="565">
        <f>'D. Budget by Outcome Febjun2021'!M24</f>
        <v>15500</v>
      </c>
      <c r="Y14" s="565">
        <f>'D. Budget by Outcome Febjun2021'!N24</f>
        <v>5000</v>
      </c>
      <c r="Z14" s="561">
        <f>SUM(X14,Y14)</f>
        <v>20500</v>
      </c>
      <c r="AA14" s="562" t="s">
        <v>130</v>
      </c>
      <c r="AB14" s="563" t="s">
        <v>133</v>
      </c>
    </row>
    <row r="15" spans="1:28" s="287" customFormat="1" ht="13.8" thickBot="1" x14ac:dyDescent="0.3">
      <c r="A15" s="544"/>
      <c r="B15" s="547"/>
      <c r="C15" s="547"/>
      <c r="D15" s="547"/>
      <c r="E15" s="547"/>
      <c r="F15" s="310" t="e">
        <f>'D. Budget by Outcome Febjun2021'!#REF!</f>
        <v>#REF!</v>
      </c>
      <c r="G15" s="299"/>
      <c r="H15" s="300"/>
      <c r="I15" s="300"/>
      <c r="J15" s="301"/>
      <c r="K15" s="339"/>
      <c r="L15" s="340"/>
      <c r="M15" s="340"/>
      <c r="N15" s="342"/>
      <c r="O15" s="299"/>
      <c r="P15" s="300"/>
      <c r="Q15" s="300"/>
      <c r="R15" s="301"/>
      <c r="S15" s="299"/>
      <c r="T15" s="300"/>
      <c r="U15" s="300"/>
      <c r="V15" s="302"/>
      <c r="W15" s="378" t="e">
        <f>'D. Budget by Outcome Febjun2021'!#REF!</f>
        <v>#REF!</v>
      </c>
      <c r="X15" s="551"/>
      <c r="Y15" s="551"/>
      <c r="Z15" s="555"/>
      <c r="AA15" s="557"/>
      <c r="AB15" s="560"/>
    </row>
    <row r="16" spans="1:28" s="287" customFormat="1" ht="92.4" thickTop="1" thickBot="1" x14ac:dyDescent="0.3">
      <c r="A16" s="322" t="e">
        <f>'D. Budget by Outcome Febjun2021'!#REF!</f>
        <v>#REF!</v>
      </c>
      <c r="B16" s="329" t="s">
        <v>143</v>
      </c>
      <c r="C16" s="329" t="s">
        <v>144</v>
      </c>
      <c r="D16" s="329" t="s">
        <v>145</v>
      </c>
      <c r="E16" s="329" t="s">
        <v>146</v>
      </c>
      <c r="F16" s="331" t="e">
        <f>'D. Budget by Outcome Febjun2021'!#REF!</f>
        <v>#REF!</v>
      </c>
      <c r="G16" s="323"/>
      <c r="H16" s="324"/>
      <c r="I16" s="324"/>
      <c r="J16" s="325"/>
      <c r="K16" s="323"/>
      <c r="L16" s="324"/>
      <c r="M16" s="372"/>
      <c r="N16" s="373"/>
      <c r="O16" s="374"/>
      <c r="P16" s="372"/>
      <c r="Q16" s="324"/>
      <c r="R16" s="325"/>
      <c r="S16" s="323"/>
      <c r="T16" s="324"/>
      <c r="U16" s="324"/>
      <c r="V16" s="326"/>
      <c r="W16" s="381" t="e">
        <f>'D. Budget by Outcome Febjun2021'!#REF!</f>
        <v>#REF!</v>
      </c>
      <c r="X16" s="327" t="e">
        <f>'D. Budget by Outcome Febjun2021'!#REF!</f>
        <v>#REF!</v>
      </c>
      <c r="Y16" s="327" t="e">
        <f>'D. Budget by Outcome Febjun2021'!#REF!</f>
        <v>#REF!</v>
      </c>
      <c r="Z16" s="328" t="e">
        <f>SUM(X16,Y16)</f>
        <v>#REF!</v>
      </c>
      <c r="AA16" s="329" t="s">
        <v>14</v>
      </c>
      <c r="AB16" s="330" t="s">
        <v>136</v>
      </c>
    </row>
    <row r="17" spans="1:28" s="287" customFormat="1" ht="32.25" customHeight="1" thickBot="1" x14ac:dyDescent="0.3">
      <c r="A17" s="574" t="str">
        <f>'D. Budget by Outcome Febjun2021'!A26</f>
        <v>Outcome 2: Transforming the livelihoods of coral reef-dependent communities</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6"/>
    </row>
    <row r="18" spans="1:28" s="287" customFormat="1" ht="32.700000000000003" customHeight="1" x14ac:dyDescent="0.25">
      <c r="A18" s="535" t="s">
        <v>28</v>
      </c>
      <c r="B18" s="537" t="s">
        <v>142</v>
      </c>
      <c r="C18" s="538"/>
      <c r="D18" s="538"/>
      <c r="E18" s="539"/>
      <c r="F18" s="528" t="s">
        <v>108</v>
      </c>
      <c r="G18" s="537" t="s">
        <v>109</v>
      </c>
      <c r="H18" s="538"/>
      <c r="I18" s="538"/>
      <c r="J18" s="538"/>
      <c r="K18" s="538"/>
      <c r="L18" s="538"/>
      <c r="M18" s="538"/>
      <c r="N18" s="538"/>
      <c r="O18" s="538"/>
      <c r="P18" s="538"/>
      <c r="Q18" s="538"/>
      <c r="R18" s="538"/>
      <c r="S18" s="538"/>
      <c r="T18" s="538"/>
      <c r="U18" s="538"/>
      <c r="V18" s="539"/>
      <c r="W18" s="540" t="s">
        <v>4</v>
      </c>
      <c r="X18" s="540"/>
      <c r="Y18" s="540"/>
      <c r="Z18" s="540"/>
      <c r="AA18" s="528" t="s">
        <v>110</v>
      </c>
      <c r="AB18" s="530" t="s">
        <v>111</v>
      </c>
    </row>
    <row r="19" spans="1:28" s="287" customFormat="1" ht="40.200000000000003" customHeight="1" thickBot="1" x14ac:dyDescent="0.3">
      <c r="A19" s="536"/>
      <c r="B19" s="288">
        <v>2021</v>
      </c>
      <c r="C19" s="288">
        <v>2022</v>
      </c>
      <c r="D19" s="288">
        <v>2023</v>
      </c>
      <c r="E19" s="288">
        <v>2024</v>
      </c>
      <c r="F19" s="529"/>
      <c r="G19" s="288" t="s">
        <v>112</v>
      </c>
      <c r="H19" s="288" t="s">
        <v>113</v>
      </c>
      <c r="I19" s="288" t="s">
        <v>114</v>
      </c>
      <c r="J19" s="288" t="s">
        <v>115</v>
      </c>
      <c r="K19" s="288" t="s">
        <v>112</v>
      </c>
      <c r="L19" s="288" t="s">
        <v>113</v>
      </c>
      <c r="M19" s="288" t="s">
        <v>114</v>
      </c>
      <c r="N19" s="288" t="s">
        <v>115</v>
      </c>
      <c r="O19" s="288" t="s">
        <v>112</v>
      </c>
      <c r="P19" s="288" t="s">
        <v>113</v>
      </c>
      <c r="Q19" s="288" t="s">
        <v>114</v>
      </c>
      <c r="R19" s="288" t="s">
        <v>115</v>
      </c>
      <c r="S19" s="288" t="s">
        <v>112</v>
      </c>
      <c r="T19" s="288" t="s">
        <v>113</v>
      </c>
      <c r="U19" s="288" t="s">
        <v>114</v>
      </c>
      <c r="V19" s="288" t="s">
        <v>115</v>
      </c>
      <c r="W19" s="289" t="s">
        <v>137</v>
      </c>
      <c r="X19" s="290" t="s">
        <v>80</v>
      </c>
      <c r="Y19" s="290" t="s">
        <v>116</v>
      </c>
      <c r="Z19" s="290" t="s">
        <v>117</v>
      </c>
      <c r="AA19" s="529"/>
      <c r="AB19" s="531"/>
    </row>
    <row r="20" spans="1:28" s="287" customFormat="1" ht="91.8" thickTop="1" x14ac:dyDescent="0.25">
      <c r="A20" s="564" t="str">
        <f>'D. Budget by Outcome Febjun2021'!A27</f>
        <v>Output 2.1: Established Development Facility  to structure a pipeline of investment ready reef-positive sustainable businesses and projects within and around the MPA networks of Calamian Island, Tañon Strait and Verde Island Passage</v>
      </c>
      <c r="B20" s="562" t="s">
        <v>161</v>
      </c>
      <c r="C20" s="562" t="s">
        <v>162</v>
      </c>
      <c r="D20" s="562" t="s">
        <v>163</v>
      </c>
      <c r="E20" s="562" t="s">
        <v>164</v>
      </c>
      <c r="F20" s="307" t="str">
        <f>'D. Budget by Outcome Febjun2021'!A28</f>
        <v>Activity 2.1.1: Scoping, technical assistance and training to develop a pipeline of investment ready projects in Blue economy sectors</v>
      </c>
      <c r="G20" s="362"/>
      <c r="H20" s="363"/>
      <c r="I20" s="363"/>
      <c r="J20" s="364"/>
      <c r="K20" s="362"/>
      <c r="L20" s="363"/>
      <c r="M20" s="363"/>
      <c r="N20" s="371"/>
      <c r="O20" s="362"/>
      <c r="P20" s="363"/>
      <c r="Q20" s="363"/>
      <c r="R20" s="364"/>
      <c r="S20" s="362"/>
      <c r="T20" s="363"/>
      <c r="U20" s="363"/>
      <c r="V20" s="371"/>
      <c r="W20" s="384" t="str">
        <f>'D. Budget by Outcome Febjun2021'!S30</f>
        <v>This output covers feasibility and implementation plan for nature-based businesses in VIP (phase 2), Calamian and TSPS. Business approaches will include MPA admission fees, visitor centers, eco-tourism products, tourism facilities, unerwater attractions, etc.  Activities include scoping, pre-selection, market analysis, due diligence, data gathering, need assessment, community and other stakeholder engagement, high-level business plan, regulatory strategy and financial structuring. Preliminary project design and implementation plan</v>
      </c>
      <c r="X20" s="565">
        <f>'D. Budget by Outcome Febjun2021'!M39</f>
        <v>96000</v>
      </c>
      <c r="Y20" s="565">
        <f>'D. Budget by Outcome Febjun2021'!N39</f>
        <v>10000</v>
      </c>
      <c r="Z20" s="561">
        <f>SUM(X20,Y20)</f>
        <v>106000</v>
      </c>
      <c r="AA20" s="562" t="s">
        <v>131</v>
      </c>
      <c r="AB20" s="562" t="s">
        <v>134</v>
      </c>
    </row>
    <row r="21" spans="1:28" s="287" customFormat="1" ht="13.8" thickBot="1" x14ac:dyDescent="0.3">
      <c r="A21" s="544"/>
      <c r="B21" s="547"/>
      <c r="C21" s="547"/>
      <c r="D21" s="547"/>
      <c r="E21" s="547"/>
      <c r="F21" s="310" t="e">
        <f>'D. Budget by Outcome Febjun2021'!#REF!</f>
        <v>#REF!</v>
      </c>
      <c r="G21" s="339"/>
      <c r="H21" s="340"/>
      <c r="I21" s="340"/>
      <c r="J21" s="341"/>
      <c r="K21" s="339"/>
      <c r="L21" s="340"/>
      <c r="M21" s="340"/>
      <c r="N21" s="342"/>
      <c r="O21" s="339"/>
      <c r="P21" s="340"/>
      <c r="Q21" s="340"/>
      <c r="R21" s="341"/>
      <c r="S21" s="339"/>
      <c r="T21" s="340"/>
      <c r="U21" s="340"/>
      <c r="V21" s="342"/>
      <c r="W21" s="382" t="e">
        <f>'D. Budget by Outcome Febjun2021'!#REF!</f>
        <v>#REF!</v>
      </c>
      <c r="X21" s="551"/>
      <c r="Y21" s="551"/>
      <c r="Z21" s="555"/>
      <c r="AA21" s="557"/>
      <c r="AB21" s="557"/>
    </row>
    <row r="22" spans="1:28" s="287" customFormat="1" thickTop="1" x14ac:dyDescent="0.25">
      <c r="A22" s="564" t="e">
        <f>'D. Budget by Outcome Febjun2021'!#REF!</f>
        <v>#REF!</v>
      </c>
      <c r="B22" s="562" t="s">
        <v>165</v>
      </c>
      <c r="C22" s="562" t="s">
        <v>165</v>
      </c>
      <c r="D22" s="562" t="s">
        <v>165</v>
      </c>
      <c r="E22" s="562" t="s">
        <v>165</v>
      </c>
      <c r="F22" s="307" t="e">
        <f>'D. Budget by Outcome Febjun2021'!#REF!</f>
        <v>#REF!</v>
      </c>
      <c r="G22" s="362"/>
      <c r="H22" s="363"/>
      <c r="I22" s="363"/>
      <c r="J22" s="364"/>
      <c r="K22" s="362"/>
      <c r="L22" s="363"/>
      <c r="M22" s="363"/>
      <c r="N22" s="371"/>
      <c r="O22" s="291"/>
      <c r="P22" s="292"/>
      <c r="Q22" s="292"/>
      <c r="R22" s="293"/>
      <c r="S22" s="291"/>
      <c r="T22" s="292"/>
      <c r="U22" s="292"/>
      <c r="V22" s="294"/>
      <c r="W22" s="384" t="e">
        <f>'D. Budget by Outcome Febjun2021'!#REF!</f>
        <v>#REF!</v>
      </c>
      <c r="X22" s="565" t="e">
        <f>'D. Budget by Outcome Febjun2021'!#REF!</f>
        <v>#REF!</v>
      </c>
      <c r="Y22" s="565" t="e">
        <f>'D. Budget by Outcome Febjun2021'!#REF!</f>
        <v>#REF!</v>
      </c>
      <c r="Z22" s="561" t="e">
        <f>SUM(X22,Y22)</f>
        <v>#REF!</v>
      </c>
      <c r="AA22" s="562" t="s">
        <v>66</v>
      </c>
      <c r="AB22" s="562"/>
    </row>
    <row r="23" spans="1:28" s="287" customFormat="1" ht="13.2" x14ac:dyDescent="0.25">
      <c r="A23" s="542"/>
      <c r="B23" s="546"/>
      <c r="C23" s="546"/>
      <c r="D23" s="546"/>
      <c r="E23" s="546"/>
      <c r="F23" s="308" t="e">
        <f>'D. Budget by Outcome Febjun2021'!#REF!</f>
        <v>#REF!</v>
      </c>
      <c r="G23" s="350"/>
      <c r="H23" s="351"/>
      <c r="I23" s="351"/>
      <c r="J23" s="352"/>
      <c r="K23" s="350"/>
      <c r="L23" s="351"/>
      <c r="M23" s="351"/>
      <c r="N23" s="353"/>
      <c r="O23" s="295"/>
      <c r="P23" s="296"/>
      <c r="Q23" s="296"/>
      <c r="R23" s="297"/>
      <c r="S23" s="295"/>
      <c r="T23" s="296"/>
      <c r="U23" s="296"/>
      <c r="V23" s="298"/>
      <c r="W23" s="385" t="e">
        <f>'D. Budget by Outcome Febjun2021'!#REF!</f>
        <v>#REF!</v>
      </c>
      <c r="X23" s="549"/>
      <c r="Y23" s="549"/>
      <c r="Z23" s="553"/>
      <c r="AA23" s="556"/>
      <c r="AB23" s="556"/>
    </row>
    <row r="24" spans="1:28" s="287" customFormat="1" ht="13.8" thickBot="1" x14ac:dyDescent="0.3">
      <c r="A24" s="544"/>
      <c r="B24" s="547"/>
      <c r="C24" s="547"/>
      <c r="D24" s="547"/>
      <c r="E24" s="547"/>
      <c r="F24" s="310" t="e">
        <f>'D. Budget by Outcome Febjun2021'!#REF!</f>
        <v>#REF!</v>
      </c>
      <c r="G24" s="339"/>
      <c r="H24" s="340"/>
      <c r="I24" s="340"/>
      <c r="J24" s="341"/>
      <c r="K24" s="339"/>
      <c r="L24" s="340"/>
      <c r="M24" s="340"/>
      <c r="N24" s="342"/>
      <c r="O24" s="339"/>
      <c r="P24" s="340"/>
      <c r="Q24" s="340"/>
      <c r="R24" s="341"/>
      <c r="S24" s="339"/>
      <c r="T24" s="340"/>
      <c r="U24" s="340"/>
      <c r="V24" s="342"/>
      <c r="W24" s="382" t="e">
        <f>'D. Budget by Outcome Febjun2021'!#REF!</f>
        <v>#REF!</v>
      </c>
      <c r="X24" s="551"/>
      <c r="Y24" s="551"/>
      <c r="Z24" s="555"/>
      <c r="AA24" s="557"/>
      <c r="AB24" s="557"/>
    </row>
    <row r="25" spans="1:28" s="287" customFormat="1" ht="126.6" thickTop="1" thickBot="1" x14ac:dyDescent="0.3">
      <c r="A25" s="311" t="e">
        <f>'D. Budget by Outcome Febjun2021'!#REF!</f>
        <v>#REF!</v>
      </c>
      <c r="B25" s="315" t="s">
        <v>154</v>
      </c>
      <c r="C25" s="315" t="s">
        <v>155</v>
      </c>
      <c r="D25" s="315" t="s">
        <v>157</v>
      </c>
      <c r="E25" s="315" t="s">
        <v>158</v>
      </c>
      <c r="F25" s="307" t="e">
        <f>'D. Budget by Outcome Febjun2021'!#REF!</f>
        <v>#REF!</v>
      </c>
      <c r="G25" s="291"/>
      <c r="H25" s="292"/>
      <c r="I25" s="363"/>
      <c r="J25" s="364"/>
      <c r="K25" s="362"/>
      <c r="L25" s="363"/>
      <c r="M25" s="292"/>
      <c r="N25" s="294"/>
      <c r="O25" s="291"/>
      <c r="P25" s="292"/>
      <c r="Q25" s="292"/>
      <c r="R25" s="293"/>
      <c r="S25" s="291"/>
      <c r="T25" s="292"/>
      <c r="U25" s="292"/>
      <c r="V25" s="294"/>
      <c r="W25" s="384" t="e">
        <f>'D. Budget by Outcome Febjun2021'!#REF!</f>
        <v>#REF!</v>
      </c>
      <c r="X25" s="313" t="e">
        <f>'D. Budget by Outcome Febjun2021'!#REF!</f>
        <v>#REF!</v>
      </c>
      <c r="Y25" s="313" t="e">
        <f>'D. Budget by Outcome Febjun2021'!#REF!</f>
        <v>#REF!</v>
      </c>
      <c r="Z25" s="314" t="e">
        <f>SUM(X25,Y25)</f>
        <v>#REF!</v>
      </c>
      <c r="AA25" s="315" t="s">
        <v>14</v>
      </c>
      <c r="AB25" s="315"/>
    </row>
    <row r="26" spans="1:28" s="287" customFormat="1" ht="126.6" thickTop="1" thickBot="1" x14ac:dyDescent="0.3">
      <c r="A26" s="332" t="e">
        <f>'D. Budget by Outcome Febjun2021'!#REF!</f>
        <v>#REF!</v>
      </c>
      <c r="B26" s="315" t="s">
        <v>156</v>
      </c>
      <c r="C26" s="315" t="s">
        <v>159</v>
      </c>
      <c r="D26" s="315" t="s">
        <v>160</v>
      </c>
      <c r="E26" s="315" t="s">
        <v>160</v>
      </c>
      <c r="F26" s="307" t="e">
        <f>'D. Budget by Outcome Febjun2021'!#REF!</f>
        <v>#REF!</v>
      </c>
      <c r="G26" s="291"/>
      <c r="H26" s="292"/>
      <c r="I26" s="292"/>
      <c r="J26" s="293"/>
      <c r="K26" s="362"/>
      <c r="L26" s="363"/>
      <c r="M26" s="363"/>
      <c r="N26" s="371"/>
      <c r="O26" s="291"/>
      <c r="P26" s="292"/>
      <c r="Q26" s="292"/>
      <c r="R26" s="293"/>
      <c r="S26" s="291"/>
      <c r="T26" s="292"/>
      <c r="U26" s="292"/>
      <c r="V26" s="294"/>
      <c r="W26" s="386" t="e">
        <f>'D. Budget by Outcome Febjun2021'!#REF!</f>
        <v>#REF!</v>
      </c>
      <c r="X26" s="334" t="e">
        <f>'D. Budget by Outcome Febjun2021'!#REF!</f>
        <v>#REF!</v>
      </c>
      <c r="Y26" s="334" t="e">
        <f>'D. Budget by Outcome Febjun2021'!#REF!</f>
        <v>#REF!</v>
      </c>
      <c r="Z26" s="335" t="e">
        <f>SUM(X26,Y26)</f>
        <v>#REF!</v>
      </c>
      <c r="AA26" s="315" t="s">
        <v>14</v>
      </c>
      <c r="AB26" s="315"/>
    </row>
    <row r="27" spans="1:28" s="287" customFormat="1" ht="32.700000000000003" customHeight="1" x14ac:dyDescent="0.25">
      <c r="A27" s="566" t="str">
        <f>'D. Budget by Outcome Febjun2021'!A42</f>
        <v>B. PROGRAMME MANAGEMENT COSTS</v>
      </c>
      <c r="B27" s="567"/>
      <c r="C27" s="567"/>
      <c r="D27" s="568"/>
      <c r="E27" s="569"/>
      <c r="F27" s="528" t="s">
        <v>108</v>
      </c>
      <c r="G27" s="537" t="s">
        <v>109</v>
      </c>
      <c r="H27" s="538"/>
      <c r="I27" s="538"/>
      <c r="J27" s="538"/>
      <c r="K27" s="538"/>
      <c r="L27" s="538"/>
      <c r="M27" s="538"/>
      <c r="N27" s="538"/>
      <c r="O27" s="538"/>
      <c r="P27" s="538"/>
      <c r="Q27" s="538"/>
      <c r="R27" s="538"/>
      <c r="S27" s="538"/>
      <c r="T27" s="538"/>
      <c r="U27" s="538"/>
      <c r="V27" s="539"/>
      <c r="W27" s="540" t="s">
        <v>4</v>
      </c>
      <c r="X27" s="540"/>
      <c r="Y27" s="540"/>
      <c r="Z27" s="540"/>
      <c r="AA27" s="528" t="s">
        <v>110</v>
      </c>
      <c r="AB27" s="530" t="s">
        <v>111</v>
      </c>
    </row>
    <row r="28" spans="1:28" s="287" customFormat="1" ht="40.200000000000003" customHeight="1" thickBot="1" x14ac:dyDescent="0.3">
      <c r="A28" s="570"/>
      <c r="B28" s="571"/>
      <c r="C28" s="571"/>
      <c r="D28" s="572"/>
      <c r="E28" s="573"/>
      <c r="F28" s="529"/>
      <c r="G28" s="288" t="s">
        <v>112</v>
      </c>
      <c r="H28" s="288" t="s">
        <v>113</v>
      </c>
      <c r="I28" s="288" t="s">
        <v>114</v>
      </c>
      <c r="J28" s="288" t="s">
        <v>115</v>
      </c>
      <c r="K28" s="288" t="s">
        <v>112</v>
      </c>
      <c r="L28" s="288" t="s">
        <v>113</v>
      </c>
      <c r="M28" s="288" t="s">
        <v>114</v>
      </c>
      <c r="N28" s="288" t="s">
        <v>115</v>
      </c>
      <c r="O28" s="288" t="s">
        <v>112</v>
      </c>
      <c r="P28" s="288" t="s">
        <v>113</v>
      </c>
      <c r="Q28" s="288" t="s">
        <v>114</v>
      </c>
      <c r="R28" s="288" t="s">
        <v>115</v>
      </c>
      <c r="S28" s="288" t="s">
        <v>112</v>
      </c>
      <c r="T28" s="288" t="s">
        <v>113</v>
      </c>
      <c r="U28" s="288" t="s">
        <v>114</v>
      </c>
      <c r="V28" s="288" t="s">
        <v>115</v>
      </c>
      <c r="W28" s="289" t="s">
        <v>137</v>
      </c>
      <c r="X28" s="290" t="s">
        <v>80</v>
      </c>
      <c r="Y28" s="290" t="s">
        <v>116</v>
      </c>
      <c r="Z28" s="290" t="s">
        <v>117</v>
      </c>
      <c r="AA28" s="529"/>
      <c r="AB28" s="531"/>
    </row>
    <row r="29" spans="1:28" s="287" customFormat="1" ht="32.25" customHeight="1" thickTop="1" thickBot="1" x14ac:dyDescent="0.3">
      <c r="A29" s="333" t="str">
        <f>'D. Budget by Outcome Febjun2021'!A43</f>
        <v>Management and Operations</v>
      </c>
      <c r="B29" s="387" t="s">
        <v>13</v>
      </c>
      <c r="C29" s="387" t="s">
        <v>13</v>
      </c>
      <c r="D29" s="387" t="s">
        <v>13</v>
      </c>
      <c r="E29" s="387" t="s">
        <v>13</v>
      </c>
      <c r="F29" s="310" t="s">
        <v>127</v>
      </c>
      <c r="G29" s="339"/>
      <c r="H29" s="340"/>
      <c r="I29" s="340"/>
      <c r="J29" s="341"/>
      <c r="K29" s="339"/>
      <c r="L29" s="340"/>
      <c r="M29" s="340"/>
      <c r="N29" s="342"/>
      <c r="O29" s="339"/>
      <c r="P29" s="340"/>
      <c r="Q29" s="340"/>
      <c r="R29" s="341"/>
      <c r="S29" s="339"/>
      <c r="T29" s="340"/>
      <c r="U29" s="340"/>
      <c r="V29" s="342"/>
      <c r="W29" s="382" t="s">
        <v>141</v>
      </c>
      <c r="X29" s="316">
        <f>'D. Budget by Outcome Febjun2021'!M48</f>
        <v>9600</v>
      </c>
      <c r="Y29" s="316">
        <f>'D. Budget by Outcome Febjun2021'!N48</f>
        <v>3200</v>
      </c>
      <c r="Z29" s="314">
        <f>SUM(X29,Y29)</f>
        <v>12800</v>
      </c>
      <c r="AA29" s="344" t="s">
        <v>128</v>
      </c>
      <c r="AB29" s="312"/>
    </row>
    <row r="30" spans="1:28" s="287" customFormat="1" ht="32.25" customHeight="1" thickTop="1" thickBot="1" x14ac:dyDescent="0.3">
      <c r="A30" s="333" t="str">
        <f>'D. Budget by Outcome Febjun2021'!A49</f>
        <v>Communications and Learning</v>
      </c>
      <c r="B30" s="387" t="s">
        <v>13</v>
      </c>
      <c r="C30" s="387" t="s">
        <v>13</v>
      </c>
      <c r="D30" s="387" t="s">
        <v>13</v>
      </c>
      <c r="E30" s="387" t="s">
        <v>13</v>
      </c>
      <c r="F30" s="310" t="s">
        <v>125</v>
      </c>
      <c r="G30" s="339"/>
      <c r="H30" s="340"/>
      <c r="I30" s="340"/>
      <c r="J30" s="341"/>
      <c r="K30" s="339"/>
      <c r="L30" s="340"/>
      <c r="M30" s="340"/>
      <c r="N30" s="342"/>
      <c r="O30" s="339"/>
      <c r="P30" s="340"/>
      <c r="Q30" s="340"/>
      <c r="R30" s="341"/>
      <c r="S30" s="339"/>
      <c r="T30" s="340"/>
      <c r="U30" s="340"/>
      <c r="V30" s="342"/>
      <c r="W30" s="383" t="s">
        <v>139</v>
      </c>
      <c r="X30" s="336">
        <f>'D. Budget by Outcome Febjun2021'!M52</f>
        <v>1500</v>
      </c>
      <c r="Y30" s="336">
        <f>'D. Budget by Outcome Febjun2021'!N52</f>
        <v>0</v>
      </c>
      <c r="Z30" s="314">
        <f>SUM(X30,Y30)</f>
        <v>1500</v>
      </c>
      <c r="AA30" s="345" t="s">
        <v>14</v>
      </c>
      <c r="AB30" s="338"/>
    </row>
    <row r="31" spans="1:28" s="287" customFormat="1" ht="32.25" customHeight="1" thickTop="1" thickBot="1" x14ac:dyDescent="0.3">
      <c r="A31" s="333" t="str">
        <f>'D. Budget by Outcome Febjun2021'!A53</f>
        <v>Evaluation</v>
      </c>
      <c r="B31" s="387" t="s">
        <v>13</v>
      </c>
      <c r="C31" s="387" t="s">
        <v>13</v>
      </c>
      <c r="D31" s="387" t="s">
        <v>13</v>
      </c>
      <c r="E31" s="387" t="s">
        <v>13</v>
      </c>
      <c r="F31" s="310" t="s">
        <v>126</v>
      </c>
      <c r="G31" s="339"/>
      <c r="H31" s="340"/>
      <c r="I31" s="340"/>
      <c r="J31" s="341"/>
      <c r="K31" s="339"/>
      <c r="L31" s="340"/>
      <c r="M31" s="340"/>
      <c r="N31" s="342"/>
      <c r="O31" s="339"/>
      <c r="P31" s="340"/>
      <c r="Q31" s="340"/>
      <c r="R31" s="341"/>
      <c r="S31" s="339"/>
      <c r="T31" s="340"/>
      <c r="U31" s="340"/>
      <c r="V31" s="342"/>
      <c r="W31" s="383" t="s">
        <v>140</v>
      </c>
      <c r="X31" s="336">
        <f>'D. Budget by Outcome Febjun2021'!M56</f>
        <v>0</v>
      </c>
      <c r="Y31" s="336">
        <f>'D. Budget by Outcome Febjun2021'!N56</f>
        <v>0</v>
      </c>
      <c r="Z31" s="337">
        <f>SUM(X31,Y31)</f>
        <v>0</v>
      </c>
      <c r="AA31" s="345" t="s">
        <v>14</v>
      </c>
      <c r="AB31" s="338"/>
    </row>
    <row r="32" spans="1:28" ht="15" thickTop="1" x14ac:dyDescent="0.3">
      <c r="Z32" s="343"/>
    </row>
    <row r="33" spans="2:23" x14ac:dyDescent="0.3">
      <c r="B33" s="380" t="s">
        <v>153</v>
      </c>
      <c r="W33" s="380" t="s">
        <v>138</v>
      </c>
    </row>
  </sheetData>
  <mergeCells count="72">
    <mergeCell ref="Z14:Z15"/>
    <mergeCell ref="AA14:AA15"/>
    <mergeCell ref="AB14:AB15"/>
    <mergeCell ref="Z22:Z24"/>
    <mergeCell ref="AA18:AA19"/>
    <mergeCell ref="AB18:AB19"/>
    <mergeCell ref="A17:AB17"/>
    <mergeCell ref="A14:A15"/>
    <mergeCell ref="B14:B15"/>
    <mergeCell ref="C14:C15"/>
    <mergeCell ref="D14:D15"/>
    <mergeCell ref="E14:E15"/>
    <mergeCell ref="X14:X15"/>
    <mergeCell ref="AA20:AA21"/>
    <mergeCell ref="AB20:AB21"/>
    <mergeCell ref="A22:A24"/>
    <mergeCell ref="AB27:AB28"/>
    <mergeCell ref="A27:E28"/>
    <mergeCell ref="F27:F28"/>
    <mergeCell ref="W27:Z27"/>
    <mergeCell ref="AA27:AA28"/>
    <mergeCell ref="G27:V27"/>
    <mergeCell ref="B22:B24"/>
    <mergeCell ref="C22:C24"/>
    <mergeCell ref="D22:D24"/>
    <mergeCell ref="E22:E24"/>
    <mergeCell ref="X22:X24"/>
    <mergeCell ref="Y22:Y24"/>
    <mergeCell ref="AA22:AA24"/>
    <mergeCell ref="AB22:AB24"/>
    <mergeCell ref="G18:V18"/>
    <mergeCell ref="W18:Z18"/>
    <mergeCell ref="X20:X21"/>
    <mergeCell ref="Y20:Y21"/>
    <mergeCell ref="Z20:Z21"/>
    <mergeCell ref="A20:A21"/>
    <mergeCell ref="B20:B21"/>
    <mergeCell ref="C20:C21"/>
    <mergeCell ref="D20:D21"/>
    <mergeCell ref="E20:E21"/>
    <mergeCell ref="A18:A19"/>
    <mergeCell ref="B18:E18"/>
    <mergeCell ref="F18:F19"/>
    <mergeCell ref="X11:X13"/>
    <mergeCell ref="Y11:Y13"/>
    <mergeCell ref="Y14:Y15"/>
    <mergeCell ref="Z11:Z13"/>
    <mergeCell ref="AA11:AA13"/>
    <mergeCell ref="AB11:AB13"/>
    <mergeCell ref="A11:A13"/>
    <mergeCell ref="B11:B13"/>
    <mergeCell ref="C11:C13"/>
    <mergeCell ref="D11:D13"/>
    <mergeCell ref="E11:E13"/>
    <mergeCell ref="X7:X10"/>
    <mergeCell ref="Y7:Y10"/>
    <mergeCell ref="Z7:Z10"/>
    <mergeCell ref="AA7:AA10"/>
    <mergeCell ref="AB7:AB10"/>
    <mergeCell ref="A7:A10"/>
    <mergeCell ref="B7:B10"/>
    <mergeCell ref="C7:C10"/>
    <mergeCell ref="D7:D10"/>
    <mergeCell ref="E7:E10"/>
    <mergeCell ref="AA5:AA6"/>
    <mergeCell ref="AB5:AB6"/>
    <mergeCell ref="A4:AB4"/>
    <mergeCell ref="A5:A6"/>
    <mergeCell ref="B5:E5"/>
    <mergeCell ref="F5:F6"/>
    <mergeCell ref="G5:V5"/>
    <mergeCell ref="W5:Z5"/>
  </mergeCells>
  <pageMargins left="0.7" right="0.7" top="0.75" bottom="0.75" header="0.3" footer="0.3"/>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D6FA-A040-764C-97C7-15B6003BD4BD}">
  <dimension ref="A3:C16"/>
  <sheetViews>
    <sheetView workbookViewId="0">
      <selection activeCell="A3" sqref="A3:L16"/>
    </sheetView>
  </sheetViews>
  <sheetFormatPr defaultColWidth="11.5546875" defaultRowHeight="13.2" x14ac:dyDescent="0.25"/>
  <cols>
    <col min="1" max="1" width="85.33203125" customWidth="1"/>
  </cols>
  <sheetData>
    <row r="3" spans="1:3" ht="13.8" thickBot="1" x14ac:dyDescent="0.3"/>
    <row r="4" spans="1:3" ht="13.8" thickBot="1" x14ac:dyDescent="0.3">
      <c r="A4" s="401"/>
      <c r="B4" s="402" t="s">
        <v>193</v>
      </c>
      <c r="C4" s="402" t="s">
        <v>194</v>
      </c>
    </row>
    <row r="5" spans="1:3" ht="23.4" thickBot="1" x14ac:dyDescent="0.3">
      <c r="A5" s="403" t="s">
        <v>195</v>
      </c>
      <c r="B5" s="404"/>
      <c r="C5" s="404"/>
    </row>
    <row r="6" spans="1:3" ht="13.8" thickBot="1" x14ac:dyDescent="0.3">
      <c r="A6" s="403" t="s">
        <v>196</v>
      </c>
      <c r="B6" s="404"/>
      <c r="C6" s="404"/>
    </row>
    <row r="7" spans="1:3" ht="13.8" thickBot="1" x14ac:dyDescent="0.3">
      <c r="A7" s="403" t="s">
        <v>197</v>
      </c>
      <c r="B7" s="404"/>
      <c r="C7" s="404"/>
    </row>
    <row r="8" spans="1:3" ht="23.4" thickBot="1" x14ac:dyDescent="0.3">
      <c r="A8" s="403" t="s">
        <v>198</v>
      </c>
      <c r="B8" s="404"/>
      <c r="C8" s="404"/>
    </row>
    <row r="9" spans="1:3" ht="13.8" thickBot="1" x14ac:dyDescent="0.3">
      <c r="A9" s="403" t="s">
        <v>199</v>
      </c>
      <c r="B9" s="404"/>
      <c r="C9" s="404"/>
    </row>
    <row r="10" spans="1:3" ht="23.4" thickBot="1" x14ac:dyDescent="0.3">
      <c r="A10" s="403" t="s">
        <v>200</v>
      </c>
      <c r="B10" s="404"/>
      <c r="C10" s="404"/>
    </row>
    <row r="11" spans="1:3" ht="23.4" thickBot="1" x14ac:dyDescent="0.3">
      <c r="A11" s="403" t="s">
        <v>99</v>
      </c>
      <c r="B11" s="404"/>
      <c r="C11" s="404"/>
    </row>
    <row r="12" spans="1:3" ht="23.4" thickBot="1" x14ac:dyDescent="0.3">
      <c r="A12" s="403" t="s">
        <v>201</v>
      </c>
      <c r="B12" s="404"/>
      <c r="C12" s="404"/>
    </row>
    <row r="13" spans="1:3" ht="34.799999999999997" thickBot="1" x14ac:dyDescent="0.3">
      <c r="A13" s="403" t="s">
        <v>202</v>
      </c>
      <c r="B13" s="404"/>
      <c r="C13" s="404"/>
    </row>
    <row r="14" spans="1:3" ht="23.4" thickBot="1" x14ac:dyDescent="0.3">
      <c r="A14" s="403" t="s">
        <v>203</v>
      </c>
      <c r="B14" s="404"/>
      <c r="C14" s="404"/>
    </row>
    <row r="15" spans="1:3" ht="13.8" thickBot="1" x14ac:dyDescent="0.3">
      <c r="A15" s="403"/>
      <c r="B15" s="404"/>
      <c r="C15" s="404"/>
    </row>
    <row r="16" spans="1:3" ht="13.8" thickBot="1" x14ac:dyDescent="0.3">
      <c r="A16" s="403"/>
      <c r="B16" s="404"/>
      <c r="C16" s="4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DA11-7956-0E4A-979C-89747EC37D85}">
  <dimension ref="A1:B95"/>
  <sheetViews>
    <sheetView zoomScale="115" zoomScaleNormal="115" workbookViewId="0">
      <selection activeCell="A14" sqref="A14"/>
    </sheetView>
  </sheetViews>
  <sheetFormatPr defaultColWidth="8.6640625" defaultRowHeight="13.8" x14ac:dyDescent="0.3"/>
  <cols>
    <col min="1" max="1" width="39" style="447" customWidth="1"/>
    <col min="2" max="2" width="12.6640625" style="447" customWidth="1"/>
    <col min="3" max="16384" width="8.6640625" style="447"/>
  </cols>
  <sheetData>
    <row r="1" spans="1:2" ht="21" x14ac:dyDescent="0.4">
      <c r="A1" s="446" t="s">
        <v>81</v>
      </c>
    </row>
    <row r="2" spans="1:2" ht="14.4" x14ac:dyDescent="0.3">
      <c r="A2" s="448" t="s">
        <v>172</v>
      </c>
      <c r="B2" s="449"/>
    </row>
    <row r="3" spans="1:2" ht="14.4" thickBot="1" x14ac:dyDescent="0.35"/>
    <row r="4" spans="1:2" ht="45" customHeight="1" thickBot="1" x14ac:dyDescent="0.35">
      <c r="A4" s="450" t="s">
        <v>42</v>
      </c>
      <c r="B4" s="451" t="s">
        <v>210</v>
      </c>
    </row>
    <row r="5" spans="1:2" ht="18.600000000000001" customHeight="1" x14ac:dyDescent="0.3">
      <c r="A5" s="452" t="s">
        <v>47</v>
      </c>
      <c r="B5" s="453">
        <v>0</v>
      </c>
    </row>
    <row r="6" spans="1:2" ht="16.8" customHeight="1" x14ac:dyDescent="0.3">
      <c r="A6" s="454" t="s">
        <v>48</v>
      </c>
      <c r="B6" s="453">
        <v>0</v>
      </c>
    </row>
    <row r="7" spans="1:2" ht="28.2" customHeight="1" x14ac:dyDescent="0.3">
      <c r="A7" s="454" t="s">
        <v>49</v>
      </c>
      <c r="B7" s="453">
        <v>0</v>
      </c>
    </row>
    <row r="8" spans="1:2" ht="17.399999999999999" customHeight="1" x14ac:dyDescent="0.3">
      <c r="A8" s="454" t="s">
        <v>50</v>
      </c>
      <c r="B8" s="453">
        <v>100000</v>
      </c>
    </row>
    <row r="9" spans="1:2" ht="16.2" customHeight="1" x14ac:dyDescent="0.3">
      <c r="A9" s="454" t="s">
        <v>51</v>
      </c>
      <c r="B9" s="453">
        <v>11500</v>
      </c>
    </row>
    <row r="10" spans="1:2" ht="16.2" customHeight="1" x14ac:dyDescent="0.3">
      <c r="A10" s="454" t="s">
        <v>52</v>
      </c>
      <c r="B10" s="453"/>
    </row>
    <row r="11" spans="1:2" ht="21" customHeight="1" x14ac:dyDescent="0.3">
      <c r="A11" s="454" t="s">
        <v>53</v>
      </c>
      <c r="B11" s="453">
        <f>'D. Budget by Outcome Febjun2021'!M57</f>
        <v>11100</v>
      </c>
    </row>
    <row r="12" spans="1:2" s="457" customFormat="1" ht="15" thickBot="1" x14ac:dyDescent="0.35">
      <c r="A12" s="455" t="s">
        <v>54</v>
      </c>
      <c r="B12" s="456">
        <f t="shared" ref="B12" si="0">SUM(B5:B11)</f>
        <v>122600</v>
      </c>
    </row>
    <row r="13" spans="1:2" ht="15" thickBot="1" x14ac:dyDescent="0.35">
      <c r="A13" s="458" t="s">
        <v>55</v>
      </c>
      <c r="B13" s="459">
        <f>'D. Budget by Outcome Febjun2021'!M59</f>
        <v>8582</v>
      </c>
    </row>
    <row r="14" spans="1:2" s="457" customFormat="1" ht="15" thickBot="1" x14ac:dyDescent="0.35">
      <c r="A14" s="460" t="s">
        <v>84</v>
      </c>
      <c r="B14" s="461">
        <f t="shared" ref="B14" si="1">SUM(B12:B13)</f>
        <v>131182</v>
      </c>
    </row>
    <row r="15" spans="1:2" x14ac:dyDescent="0.3">
      <c r="B15" s="462"/>
    </row>
    <row r="16" spans="1:2" ht="16.2" hidden="1" customHeight="1" x14ac:dyDescent="0.3">
      <c r="B16" s="462"/>
    </row>
    <row r="17" spans="2:2" ht="16.2" hidden="1" customHeight="1" x14ac:dyDescent="0.3"/>
    <row r="18" spans="2:2" ht="16.2" hidden="1" customHeight="1" x14ac:dyDescent="0.3"/>
    <row r="19" spans="2:2" ht="16.2" hidden="1" customHeight="1" x14ac:dyDescent="0.3"/>
    <row r="20" spans="2:2" ht="16.2" hidden="1" customHeight="1" x14ac:dyDescent="0.3"/>
    <row r="21" spans="2:2" ht="16.2" hidden="1" customHeight="1" x14ac:dyDescent="0.3"/>
    <row r="22" spans="2:2" ht="16.2" hidden="1" customHeight="1" x14ac:dyDescent="0.3"/>
    <row r="23" spans="2:2" ht="16.2" hidden="1" customHeight="1" x14ac:dyDescent="0.3"/>
    <row r="24" spans="2:2" ht="16.2" hidden="1" customHeight="1" x14ac:dyDescent="0.3"/>
    <row r="25" spans="2:2" ht="16.2" hidden="1" customHeight="1" x14ac:dyDescent="0.3"/>
    <row r="26" spans="2:2" ht="16.2" hidden="1" customHeight="1" x14ac:dyDescent="0.3"/>
    <row r="27" spans="2:2" ht="16.2" hidden="1" customHeight="1" x14ac:dyDescent="0.3"/>
    <row r="28" spans="2:2" ht="16.2" hidden="1" customHeight="1" x14ac:dyDescent="0.3"/>
    <row r="29" spans="2:2" ht="16.2" hidden="1" customHeight="1" x14ac:dyDescent="0.3"/>
    <row r="30" spans="2:2" ht="16.2" hidden="1" customHeight="1" x14ac:dyDescent="0.3"/>
    <row r="31" spans="2:2" ht="16.95" hidden="1" customHeight="1" x14ac:dyDescent="0.3">
      <c r="B31" s="463"/>
    </row>
    <row r="32" spans="2:2" ht="34.950000000000003" hidden="1" customHeight="1" x14ac:dyDescent="0.3">
      <c r="B32" s="464"/>
    </row>
    <row r="33" spans="2:2" ht="27.75" hidden="1" customHeight="1" x14ac:dyDescent="0.3">
      <c r="B33" s="465"/>
    </row>
    <row r="34" spans="2:2" ht="30" hidden="1" customHeight="1" x14ac:dyDescent="0.3">
      <c r="B34" s="465"/>
    </row>
    <row r="35" spans="2:2" ht="16.2" hidden="1" customHeight="1" x14ac:dyDescent="0.3">
      <c r="B35" s="465"/>
    </row>
    <row r="36" spans="2:2" ht="16.2" hidden="1" customHeight="1" x14ac:dyDescent="0.3">
      <c r="B36" s="465"/>
    </row>
    <row r="37" spans="2:2" ht="23.25" hidden="1" customHeight="1" x14ac:dyDescent="0.3">
      <c r="B37" s="465"/>
    </row>
    <row r="38" spans="2:2" ht="16.2" hidden="1" customHeight="1" x14ac:dyDescent="0.3">
      <c r="B38" s="465"/>
    </row>
    <row r="39" spans="2:2" ht="16.2" hidden="1" customHeight="1" x14ac:dyDescent="0.3">
      <c r="B39" s="465"/>
    </row>
    <row r="40" spans="2:2" ht="16.95" hidden="1" customHeight="1" x14ac:dyDescent="0.3">
      <c r="B40" s="466"/>
    </row>
    <row r="41" spans="2:2" ht="16.95" hidden="1" customHeight="1" x14ac:dyDescent="0.3">
      <c r="B41" s="467"/>
    </row>
    <row r="42" spans="2:2" ht="16.95" hidden="1" customHeight="1" x14ac:dyDescent="0.3">
      <c r="B42" s="466"/>
    </row>
    <row r="43" spans="2:2" ht="16.2" hidden="1" customHeight="1" x14ac:dyDescent="0.3"/>
    <row r="44" spans="2:2" ht="16.2" hidden="1" customHeight="1" x14ac:dyDescent="0.3"/>
    <row r="45" spans="2:2" ht="16.2" hidden="1" customHeight="1" x14ac:dyDescent="0.3"/>
    <row r="46" spans="2:2" ht="16.95" hidden="1" customHeight="1" x14ac:dyDescent="0.3">
      <c r="B46" s="4"/>
    </row>
    <row r="47" spans="2:2" ht="34.950000000000003" hidden="1" customHeight="1" x14ac:dyDescent="0.3">
      <c r="B47" s="6"/>
    </row>
    <row r="48" spans="2:2" ht="16.2" hidden="1" customHeight="1" x14ac:dyDescent="0.3">
      <c r="B48" s="468"/>
    </row>
    <row r="49" spans="2:2" ht="16.2" hidden="1" customHeight="1" x14ac:dyDescent="0.3">
      <c r="B49" s="468"/>
    </row>
    <row r="50" spans="2:2" ht="16.2" hidden="1" customHeight="1" x14ac:dyDescent="0.3">
      <c r="B50" s="468"/>
    </row>
    <row r="51" spans="2:2" ht="16.2" hidden="1" customHeight="1" x14ac:dyDescent="0.3">
      <c r="B51" s="468"/>
    </row>
    <row r="52" spans="2:2" ht="16.2" hidden="1" customHeight="1" x14ac:dyDescent="0.3">
      <c r="B52" s="468"/>
    </row>
    <row r="53" spans="2:2" ht="16.2" hidden="1" customHeight="1" x14ac:dyDescent="0.3">
      <c r="B53" s="468"/>
    </row>
    <row r="54" spans="2:2" ht="16.95" hidden="1" customHeight="1" x14ac:dyDescent="0.3">
      <c r="B54" s="469"/>
    </row>
    <row r="55" spans="2:2" ht="16.2" hidden="1" customHeight="1" x14ac:dyDescent="0.3">
      <c r="B55" s="470"/>
    </row>
    <row r="56" spans="2:2" ht="16.95" hidden="1" customHeight="1" x14ac:dyDescent="0.3">
      <c r="B56" s="471"/>
    </row>
    <row r="57" spans="2:2" ht="16.95" hidden="1" customHeight="1" x14ac:dyDescent="0.3">
      <c r="B57" s="472"/>
    </row>
    <row r="58" spans="2:2" ht="16.95" hidden="1" customHeight="1" x14ac:dyDescent="0.3">
      <c r="B58" s="473"/>
    </row>
    <row r="59" spans="2:2" ht="16.95" hidden="1" customHeight="1" x14ac:dyDescent="0.3">
      <c r="B59" s="474"/>
    </row>
    <row r="60" spans="2:2" ht="16.2" hidden="1" customHeight="1" x14ac:dyDescent="0.3"/>
    <row r="61" spans="2:2" ht="16.2" hidden="1" customHeight="1" x14ac:dyDescent="0.3"/>
    <row r="62" spans="2:2" ht="16.2" hidden="1" customHeight="1" x14ac:dyDescent="0.3"/>
    <row r="63" spans="2:2" ht="16.2" hidden="1" customHeight="1" x14ac:dyDescent="0.3"/>
    <row r="64" spans="2:2" ht="16.2" hidden="1" customHeight="1" x14ac:dyDescent="0.3"/>
    <row r="65" spans="2:2" ht="16.95" hidden="1" customHeight="1" x14ac:dyDescent="0.3">
      <c r="B65" s="463"/>
    </row>
    <row r="66" spans="2:2" ht="34.950000000000003" hidden="1" customHeight="1" x14ac:dyDescent="0.3">
      <c r="B66" s="464"/>
    </row>
    <row r="67" spans="2:2" ht="16.2" hidden="1" customHeight="1" x14ac:dyDescent="0.3">
      <c r="B67" s="465"/>
    </row>
    <row r="68" spans="2:2" ht="31.5" hidden="1" customHeight="1" x14ac:dyDescent="0.3">
      <c r="B68" s="465"/>
    </row>
    <row r="69" spans="2:2" ht="16.2" hidden="1" customHeight="1" x14ac:dyDescent="0.3">
      <c r="B69" s="465"/>
    </row>
    <row r="70" spans="2:2" ht="16.2" hidden="1" customHeight="1" x14ac:dyDescent="0.3">
      <c r="B70" s="465"/>
    </row>
    <row r="71" spans="2:2" ht="16.2" hidden="1" customHeight="1" x14ac:dyDescent="0.3">
      <c r="B71" s="465"/>
    </row>
    <row r="72" spans="2:2" ht="16.2" hidden="1" customHeight="1" x14ac:dyDescent="0.3">
      <c r="B72" s="465"/>
    </row>
    <row r="73" spans="2:2" ht="16.2" hidden="1" customHeight="1" x14ac:dyDescent="0.3">
      <c r="B73" s="465"/>
    </row>
    <row r="74" spans="2:2" ht="16.95" hidden="1" customHeight="1" x14ac:dyDescent="0.3">
      <c r="B74" s="466"/>
    </row>
    <row r="75" spans="2:2" ht="16.95" hidden="1" customHeight="1" x14ac:dyDescent="0.3">
      <c r="B75" s="467"/>
    </row>
    <row r="76" spans="2:2" ht="16.95" hidden="1" customHeight="1" x14ac:dyDescent="0.3">
      <c r="B76" s="466"/>
    </row>
    <row r="77" spans="2:2" ht="16.2" hidden="1" customHeight="1" x14ac:dyDescent="0.3"/>
    <row r="78" spans="2:2" ht="16.2" hidden="1" customHeight="1" x14ac:dyDescent="0.3"/>
    <row r="79" spans="2:2" ht="16.2" hidden="1" customHeight="1" x14ac:dyDescent="0.3"/>
    <row r="80" spans="2:2" ht="16.95" hidden="1" customHeight="1" x14ac:dyDescent="0.3">
      <c r="B80" s="4"/>
    </row>
    <row r="81" spans="2:2" ht="34.950000000000003" hidden="1" customHeight="1" x14ac:dyDescent="0.3">
      <c r="B81" s="6"/>
    </row>
    <row r="82" spans="2:2" ht="16.2" hidden="1" customHeight="1" x14ac:dyDescent="0.3">
      <c r="B82" s="468"/>
    </row>
    <row r="83" spans="2:2" ht="16.2" hidden="1" customHeight="1" x14ac:dyDescent="0.3">
      <c r="B83" s="468"/>
    </row>
    <row r="84" spans="2:2" ht="16.2" hidden="1" customHeight="1" x14ac:dyDescent="0.3">
      <c r="B84" s="468"/>
    </row>
    <row r="85" spans="2:2" ht="16.2" hidden="1" customHeight="1" x14ac:dyDescent="0.3">
      <c r="B85" s="468"/>
    </row>
    <row r="86" spans="2:2" ht="16.2" hidden="1" customHeight="1" x14ac:dyDescent="0.3">
      <c r="B86" s="468"/>
    </row>
    <row r="87" spans="2:2" ht="16.2" hidden="1" customHeight="1" x14ac:dyDescent="0.3">
      <c r="B87" s="468"/>
    </row>
    <row r="88" spans="2:2" ht="16.95" hidden="1" customHeight="1" x14ac:dyDescent="0.3">
      <c r="B88" s="469"/>
    </row>
    <row r="89" spans="2:2" ht="16.2" hidden="1" customHeight="1" x14ac:dyDescent="0.3">
      <c r="B89" s="470"/>
    </row>
    <row r="90" spans="2:2" ht="16.95" hidden="1" customHeight="1" x14ac:dyDescent="0.3">
      <c r="B90" s="471"/>
    </row>
    <row r="91" spans="2:2" ht="16.95" hidden="1" customHeight="1" x14ac:dyDescent="0.3">
      <c r="B91" s="472"/>
    </row>
    <row r="92" spans="2:2" ht="16.95" hidden="1" customHeight="1" x14ac:dyDescent="0.3">
      <c r="B92" s="473"/>
    </row>
    <row r="93" spans="2:2" ht="16.95" hidden="1" customHeight="1" x14ac:dyDescent="0.3">
      <c r="B93" s="474"/>
    </row>
    <row r="94" spans="2:2" ht="16.2" hidden="1" customHeight="1" x14ac:dyDescent="0.3"/>
    <row r="95" spans="2:2" x14ac:dyDescent="0.3">
      <c r="B95" s="47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6D3E-DAA7-904D-A383-8AEDB6BB6B72}">
  <dimension ref="A1:U65"/>
  <sheetViews>
    <sheetView zoomScale="70" zoomScaleNormal="70" workbookViewId="0">
      <pane xSplit="4" ySplit="4" topLeftCell="E5" activePane="bottomRight" state="frozen"/>
      <selection pane="topRight" activeCell="E1" sqref="E1"/>
      <selection pane="bottomLeft" activeCell="A5" sqref="A5"/>
      <selection pane="bottomRight" activeCell="J46" sqref="J46"/>
    </sheetView>
  </sheetViews>
  <sheetFormatPr defaultColWidth="9.109375" defaultRowHeight="13.8" outlineLevelRow="1" outlineLevelCol="2" x14ac:dyDescent="0.3"/>
  <cols>
    <col min="1" max="1" width="38.109375" style="1" bestFit="1" customWidth="1"/>
    <col min="2" max="2" width="8.44140625" style="1" bestFit="1" customWidth="1"/>
    <col min="3" max="3" width="9.44140625" style="1" bestFit="1" customWidth="1"/>
    <col min="4" max="4" width="43.109375" style="1" bestFit="1" customWidth="1"/>
    <col min="5" max="5" width="19.5546875" style="400" bestFit="1" customWidth="1"/>
    <col min="6" max="6" width="14.44140625" style="165" bestFit="1" customWidth="1"/>
    <col min="7" max="7" width="11.21875" style="1" bestFit="1" customWidth="1"/>
    <col min="8" max="8" width="10.44140625" style="1" bestFit="1" customWidth="1" outlineLevel="1"/>
    <col min="9" max="9" width="38.5546875" style="185" bestFit="1" customWidth="1" outlineLevel="1"/>
    <col min="10" max="10" width="28" style="144" bestFit="1" customWidth="1" outlineLevel="1"/>
    <col min="11" max="11" width="31.21875" style="1" bestFit="1" customWidth="1" outlineLevel="2"/>
    <col min="12" max="12" width="14.44140625" style="1" bestFit="1" customWidth="1"/>
    <col min="13" max="13" width="10.44140625" style="1" bestFit="1" customWidth="1"/>
    <col min="14" max="14" width="11" style="1" bestFit="1" customWidth="1"/>
    <col min="15" max="15" width="6.109375" style="432" bestFit="1" customWidth="1"/>
    <col min="16" max="16" width="6.21875" style="432" bestFit="1" customWidth="1"/>
    <col min="17" max="17" width="5.77734375" style="432" bestFit="1" customWidth="1"/>
    <col min="18" max="18" width="6.5546875" style="432" bestFit="1" customWidth="1"/>
    <col min="19" max="19" width="205.6640625" style="145" bestFit="1" customWidth="1"/>
    <col min="20" max="20" width="28.44140625" style="214" bestFit="1" customWidth="1"/>
    <col min="21" max="16384" width="9.109375" style="1"/>
  </cols>
  <sheetData>
    <row r="1" spans="1:20" ht="21" x14ac:dyDescent="0.4">
      <c r="A1" s="108" t="s">
        <v>82</v>
      </c>
      <c r="B1" s="108"/>
      <c r="C1" s="108"/>
      <c r="D1" s="108"/>
      <c r="E1" s="397"/>
      <c r="F1" s="157"/>
      <c r="G1" s="108"/>
      <c r="H1" s="108"/>
      <c r="I1" s="179"/>
      <c r="J1" s="281"/>
      <c r="K1" s="282"/>
      <c r="L1" s="283"/>
      <c r="M1" s="283"/>
      <c r="N1" s="283"/>
      <c r="O1" s="420"/>
      <c r="P1" s="420"/>
      <c r="Q1" s="420"/>
      <c r="R1" s="420"/>
      <c r="S1" s="127"/>
    </row>
    <row r="2" spans="1:20" ht="20.25" customHeight="1" x14ac:dyDescent="0.4">
      <c r="A2" s="195" t="s">
        <v>172</v>
      </c>
      <c r="B2" s="198"/>
      <c r="C2" s="198"/>
      <c r="D2" s="197"/>
      <c r="E2" s="398"/>
      <c r="F2" s="199"/>
      <c r="G2" s="198"/>
      <c r="H2" s="108"/>
      <c r="I2" s="179"/>
      <c r="J2" s="281"/>
      <c r="K2" s="282"/>
      <c r="L2" s="284"/>
      <c r="M2" s="284"/>
      <c r="N2" s="284"/>
      <c r="O2" s="421"/>
      <c r="P2" s="421"/>
      <c r="Q2" s="421"/>
      <c r="R2" s="421"/>
      <c r="S2" s="127"/>
    </row>
    <row r="3" spans="1:20" ht="18.45" customHeight="1" collapsed="1" x14ac:dyDescent="0.3">
      <c r="A3" s="577" t="s">
        <v>0</v>
      </c>
      <c r="B3" s="577" t="s">
        <v>28</v>
      </c>
      <c r="C3" s="577" t="s">
        <v>29</v>
      </c>
      <c r="D3" s="577" t="s">
        <v>30</v>
      </c>
      <c r="E3" s="583" t="s">
        <v>174</v>
      </c>
      <c r="F3" s="583" t="s">
        <v>22</v>
      </c>
      <c r="G3" s="583" t="s">
        <v>23</v>
      </c>
      <c r="H3" s="583" t="s">
        <v>24</v>
      </c>
      <c r="I3" s="583" t="s">
        <v>77</v>
      </c>
      <c r="J3" s="583" t="s">
        <v>25</v>
      </c>
      <c r="K3" s="583" t="s">
        <v>26</v>
      </c>
      <c r="L3" s="434" t="s">
        <v>72</v>
      </c>
      <c r="M3" s="435"/>
      <c r="N3" s="436"/>
      <c r="O3" s="435"/>
      <c r="P3" s="435"/>
      <c r="Q3" s="435"/>
      <c r="R3" s="435"/>
      <c r="S3" s="579" t="s">
        <v>27</v>
      </c>
    </row>
    <row r="4" spans="1:20" ht="57" customHeight="1" x14ac:dyDescent="0.3">
      <c r="A4" s="578"/>
      <c r="B4" s="578"/>
      <c r="C4" s="578"/>
      <c r="D4" s="578"/>
      <c r="E4" s="584"/>
      <c r="F4" s="584"/>
      <c r="G4" s="584"/>
      <c r="H4" s="584"/>
      <c r="I4" s="584"/>
      <c r="J4" s="584"/>
      <c r="K4" s="584"/>
      <c r="L4" s="280" t="s">
        <v>71</v>
      </c>
      <c r="M4" s="280" t="s">
        <v>70</v>
      </c>
      <c r="N4" s="280" t="s">
        <v>173</v>
      </c>
      <c r="O4" s="422" t="s">
        <v>205</v>
      </c>
      <c r="P4" s="422" t="s">
        <v>206</v>
      </c>
      <c r="Q4" s="422" t="s">
        <v>207</v>
      </c>
      <c r="R4" s="422" t="s">
        <v>208</v>
      </c>
      <c r="S4" s="580"/>
      <c r="T4" s="214" t="s">
        <v>204</v>
      </c>
    </row>
    <row r="5" spans="1:20" ht="15.45" customHeight="1" x14ac:dyDescent="0.3">
      <c r="A5" s="109" t="s">
        <v>9</v>
      </c>
      <c r="B5" s="110"/>
      <c r="C5" s="110"/>
      <c r="D5" s="110"/>
      <c r="E5" s="178"/>
      <c r="F5" s="158"/>
      <c r="G5" s="110"/>
      <c r="H5" s="110"/>
      <c r="I5" s="180"/>
      <c r="J5" s="110"/>
      <c r="K5" s="110"/>
      <c r="L5" s="111"/>
      <c r="M5" s="111"/>
      <c r="N5" s="111"/>
      <c r="O5" s="423"/>
      <c r="P5" s="423"/>
      <c r="Q5" s="423"/>
      <c r="R5" s="423"/>
      <c r="S5" s="128"/>
    </row>
    <row r="6" spans="1:20" s="214" customFormat="1" ht="14.4" x14ac:dyDescent="0.3">
      <c r="A6" s="585" t="str">
        <f>'A. Work Plan -'!B6</f>
        <v xml:space="preserve">Outcome 1: Protection, effective management and sustainable financing of priority coral reef sites and climate change-affected refugia </v>
      </c>
      <c r="B6" s="586"/>
      <c r="C6" s="586"/>
      <c r="D6" s="586"/>
      <c r="E6" s="587"/>
      <c r="F6" s="437"/>
      <c r="G6" s="437"/>
      <c r="H6" s="437"/>
      <c r="I6" s="437"/>
      <c r="J6" s="437"/>
      <c r="K6" s="437"/>
      <c r="L6" s="437"/>
      <c r="M6" s="437"/>
      <c r="N6" s="437"/>
      <c r="O6" s="419"/>
      <c r="P6" s="419"/>
      <c r="Q6" s="419"/>
      <c r="R6" s="419"/>
      <c r="S6" s="445"/>
    </row>
    <row r="7" spans="1:20" s="214" customFormat="1" x14ac:dyDescent="0.3">
      <c r="A7" s="588" t="str">
        <f>'A. Work Plan -'!C7</f>
        <v>Output 1.1: Increased area of new climate refugia and priority sites designated as MPAs or LMMAs</v>
      </c>
      <c r="B7" s="589"/>
      <c r="C7" s="589"/>
      <c r="D7" s="589"/>
      <c r="E7" s="590"/>
      <c r="F7" s="112"/>
      <c r="G7" s="112"/>
      <c r="H7" s="112"/>
      <c r="I7" s="112"/>
      <c r="J7" s="112"/>
      <c r="K7" s="112"/>
      <c r="L7" s="112"/>
      <c r="M7" s="112"/>
      <c r="N7" s="112"/>
      <c r="O7" s="417"/>
      <c r="P7" s="417"/>
      <c r="Q7" s="417"/>
      <c r="R7" s="417"/>
      <c r="S7" s="418"/>
    </row>
    <row r="8" spans="1:20" s="214" customFormat="1" outlineLevel="1" x14ac:dyDescent="0.3">
      <c r="A8" s="591" t="s">
        <v>181</v>
      </c>
      <c r="B8" s="592"/>
      <c r="C8" s="592"/>
      <c r="D8" s="592"/>
      <c r="E8" s="592"/>
      <c r="F8" s="592"/>
      <c r="G8" s="592"/>
      <c r="H8" s="592"/>
      <c r="I8" s="592"/>
      <c r="J8" s="592"/>
      <c r="K8" s="592"/>
      <c r="L8" s="592"/>
      <c r="M8" s="444"/>
      <c r="N8" s="444"/>
      <c r="O8" s="413"/>
      <c r="P8" s="413"/>
      <c r="Q8" s="413"/>
      <c r="R8" s="413"/>
      <c r="S8" s="414"/>
    </row>
    <row r="9" spans="1:20" s="214" customFormat="1" outlineLevel="1" x14ac:dyDescent="0.3">
      <c r="A9" s="115"/>
      <c r="B9" s="115"/>
      <c r="C9" s="116"/>
      <c r="D9" s="117" t="s">
        <v>31</v>
      </c>
      <c r="E9" s="117"/>
      <c r="F9" s="160"/>
      <c r="G9" s="139"/>
      <c r="H9" s="117"/>
      <c r="I9" s="181"/>
      <c r="J9" s="117"/>
      <c r="K9" s="117"/>
      <c r="L9" s="118">
        <v>0</v>
      </c>
      <c r="M9" s="118">
        <v>0</v>
      </c>
      <c r="N9" s="118">
        <v>0</v>
      </c>
      <c r="O9" s="425"/>
      <c r="P9" s="425"/>
      <c r="Q9" s="425"/>
      <c r="R9" s="425"/>
      <c r="S9" s="131"/>
    </row>
    <row r="10" spans="1:20" s="214" customFormat="1" outlineLevel="1" x14ac:dyDescent="0.3">
      <c r="A10" s="591" t="s">
        <v>184</v>
      </c>
      <c r="B10" s="592"/>
      <c r="C10" s="592"/>
      <c r="D10" s="592"/>
      <c r="E10" s="592"/>
      <c r="F10" s="592"/>
      <c r="G10" s="444"/>
      <c r="H10" s="444"/>
      <c r="I10" s="444"/>
      <c r="J10" s="444"/>
      <c r="K10" s="444"/>
      <c r="L10" s="444"/>
      <c r="M10" s="444"/>
      <c r="N10" s="444"/>
      <c r="O10" s="413"/>
      <c r="P10" s="413"/>
      <c r="Q10" s="413"/>
      <c r="R10" s="413"/>
      <c r="S10" s="414"/>
    </row>
    <row r="11" spans="1:20" s="214" customFormat="1" outlineLevel="1" x14ac:dyDescent="0.3">
      <c r="A11" s="115"/>
      <c r="B11" s="115"/>
      <c r="C11" s="116"/>
      <c r="D11" s="117" t="s">
        <v>87</v>
      </c>
      <c r="E11" s="117"/>
      <c r="F11" s="160"/>
      <c r="G11" s="139"/>
      <c r="H11" s="117"/>
      <c r="I11" s="181"/>
      <c r="J11" s="117"/>
      <c r="K11" s="117"/>
      <c r="L11" s="118">
        <v>0</v>
      </c>
      <c r="M11" s="118">
        <v>0</v>
      </c>
      <c r="N11" s="118">
        <v>0</v>
      </c>
      <c r="O11" s="425"/>
      <c r="P11" s="425"/>
      <c r="Q11" s="425"/>
      <c r="R11" s="425"/>
      <c r="S11" s="131"/>
    </row>
    <row r="12" spans="1:20" s="214" customFormat="1" outlineLevel="1" x14ac:dyDescent="0.3">
      <c r="A12" s="591" t="s">
        <v>185</v>
      </c>
      <c r="B12" s="592"/>
      <c r="C12" s="592"/>
      <c r="D12" s="592"/>
      <c r="E12" s="592"/>
      <c r="F12" s="592"/>
      <c r="G12" s="444"/>
      <c r="H12" s="444"/>
      <c r="I12" s="444"/>
      <c r="J12" s="444"/>
      <c r="K12" s="444"/>
      <c r="L12" s="444"/>
      <c r="M12" s="444"/>
      <c r="N12" s="444"/>
      <c r="O12" s="413"/>
      <c r="P12" s="413"/>
      <c r="Q12" s="413"/>
      <c r="R12" s="413"/>
      <c r="S12" s="414"/>
    </row>
    <row r="13" spans="1:20" s="214" customFormat="1" outlineLevel="1" x14ac:dyDescent="0.3">
      <c r="A13" s="115"/>
      <c r="B13" s="115"/>
      <c r="C13" s="116"/>
      <c r="D13" s="117" t="s">
        <v>88</v>
      </c>
      <c r="E13" s="117"/>
      <c r="F13" s="160"/>
      <c r="G13" s="139"/>
      <c r="H13" s="117"/>
      <c r="I13" s="181"/>
      <c r="J13" s="117"/>
      <c r="K13" s="117"/>
      <c r="L13" s="118">
        <v>0</v>
      </c>
      <c r="M13" s="118">
        <v>0</v>
      </c>
      <c r="N13" s="118">
        <v>0</v>
      </c>
      <c r="O13" s="425"/>
      <c r="P13" s="425"/>
      <c r="Q13" s="425"/>
      <c r="R13" s="425"/>
      <c r="S13" s="131"/>
    </row>
    <row r="14" spans="1:20" s="214" customFormat="1" x14ac:dyDescent="0.3">
      <c r="A14" s="219"/>
      <c r="B14" s="153"/>
      <c r="C14" s="154"/>
      <c r="D14" s="119" t="s">
        <v>32</v>
      </c>
      <c r="E14" s="119"/>
      <c r="F14" s="161"/>
      <c r="G14" s="140"/>
      <c r="H14" s="119"/>
      <c r="I14" s="182"/>
      <c r="J14" s="119"/>
      <c r="K14" s="119"/>
      <c r="L14" s="120">
        <v>0</v>
      </c>
      <c r="M14" s="120">
        <v>0</v>
      </c>
      <c r="N14" s="120">
        <v>0</v>
      </c>
      <c r="O14" s="426"/>
      <c r="P14" s="426"/>
      <c r="Q14" s="426"/>
      <c r="R14" s="426"/>
      <c r="S14" s="132"/>
    </row>
    <row r="15" spans="1:20" s="214" customFormat="1" x14ac:dyDescent="0.3">
      <c r="A15" s="588" t="str">
        <f>'A. Work Plan -'!C9</f>
        <v xml:space="preserve">Output 1.2: Strengthened management, enforcement and monitoring systems of MPAs by SPEs.  </v>
      </c>
      <c r="B15" s="589"/>
      <c r="C15" s="589"/>
      <c r="D15" s="589"/>
      <c r="E15" s="589"/>
      <c r="F15" s="441"/>
      <c r="G15" s="441"/>
      <c r="H15" s="441"/>
      <c r="I15" s="441"/>
      <c r="J15" s="441"/>
      <c r="K15" s="441"/>
      <c r="L15" s="441"/>
      <c r="M15" s="441"/>
      <c r="N15" s="441"/>
      <c r="O15" s="417"/>
      <c r="P15" s="417"/>
      <c r="Q15" s="417"/>
      <c r="R15" s="417"/>
      <c r="S15" s="418"/>
    </row>
    <row r="16" spans="1:20" s="214" customFormat="1" outlineLevel="1" x14ac:dyDescent="0.3">
      <c r="A16" s="581" t="s">
        <v>188</v>
      </c>
      <c r="B16" s="582"/>
      <c r="C16" s="582"/>
      <c r="D16" s="582"/>
      <c r="E16" s="582"/>
      <c r="F16" s="582"/>
      <c r="G16" s="582"/>
      <c r="H16" s="443"/>
      <c r="I16" s="443"/>
      <c r="J16" s="443"/>
      <c r="K16" s="443"/>
      <c r="L16" s="443"/>
      <c r="M16" s="443"/>
      <c r="N16" s="443"/>
      <c r="O16" s="415"/>
      <c r="P16" s="415"/>
      <c r="Q16" s="415"/>
      <c r="R16" s="415"/>
      <c r="S16" s="416"/>
    </row>
    <row r="17" spans="1:20" s="214" customFormat="1" ht="27.6" outlineLevel="1" x14ac:dyDescent="0.3">
      <c r="A17" s="232"/>
      <c r="B17" s="232"/>
      <c r="C17" s="233" t="s">
        <v>89</v>
      </c>
      <c r="D17" s="234" t="str">
        <f>IF(K17=1,"Staff and Personnel",IF(K17=2,"Supplies, Commodities, Materials",IF(K17=3,"Eqipment, Vehicles, and Furnitures",IF(K17=4,"Contractual Services",IF(K17=5,"Travel",IF(K17=6,"Transfers and Grant to Counterparts",IF(K17=7,"General Operating and Other Direct Cost", "")))))))</f>
        <v>Contractual Services</v>
      </c>
      <c r="E17" s="396" t="s">
        <v>187</v>
      </c>
      <c r="F17" s="216">
        <v>1</v>
      </c>
      <c r="G17" s="150">
        <v>7000</v>
      </c>
      <c r="H17" s="151"/>
      <c r="I17" s="200"/>
      <c r="J17" s="210">
        <v>1</v>
      </c>
      <c r="K17" s="151">
        <v>4</v>
      </c>
      <c r="L17" s="215">
        <f>G17</f>
        <v>7000</v>
      </c>
      <c r="M17" s="114">
        <v>7000</v>
      </c>
      <c r="N17" s="152"/>
      <c r="O17" s="424"/>
      <c r="P17" s="424"/>
      <c r="Q17" s="490" t="s">
        <v>10</v>
      </c>
      <c r="R17" s="424"/>
      <c r="S17" s="129" t="s">
        <v>226</v>
      </c>
    </row>
    <row r="18" spans="1:20" s="214" customFormat="1" ht="27.6" outlineLevel="1" x14ac:dyDescent="0.3">
      <c r="A18" s="232"/>
      <c r="B18" s="232"/>
      <c r="C18" s="233" t="s">
        <v>90</v>
      </c>
      <c r="D18" s="235" t="str">
        <f>IF(K18=1,"Staff and Personnel",IF(K18=2,"Supplies, Commodities, Materials",IF(K18=3,"Eqipment, Vehicles, and Furnitures",IF(K18=4,"Contractual Services",IF(K18=5,"Travel",IF(K18=6,"Transfers and Grant to Counterparts",IF(K18=7,"General Operating and Other Direct Cost", "")))))))</f>
        <v>Travel</v>
      </c>
      <c r="E18" s="396" t="s">
        <v>187</v>
      </c>
      <c r="F18" s="216">
        <v>1</v>
      </c>
      <c r="G18" s="150">
        <v>2500</v>
      </c>
      <c r="H18" s="151"/>
      <c r="I18" s="200"/>
      <c r="J18" s="210">
        <v>1</v>
      </c>
      <c r="K18" s="151">
        <v>5</v>
      </c>
      <c r="L18" s="215">
        <f>G18</f>
        <v>2500</v>
      </c>
      <c r="M18" s="114">
        <f>L18</f>
        <v>2500</v>
      </c>
      <c r="N18" s="152"/>
      <c r="O18" s="424"/>
      <c r="P18" s="424"/>
      <c r="Q18" s="490" t="s">
        <v>10</v>
      </c>
      <c r="R18" s="424"/>
      <c r="S18" s="129" t="s">
        <v>227</v>
      </c>
    </row>
    <row r="19" spans="1:20" s="214" customFormat="1" outlineLevel="1" x14ac:dyDescent="0.3">
      <c r="A19" s="115"/>
      <c r="B19" s="115"/>
      <c r="C19" s="116"/>
      <c r="D19" s="117" t="s">
        <v>33</v>
      </c>
      <c r="E19" s="117"/>
      <c r="F19" s="160"/>
      <c r="G19" s="139"/>
      <c r="H19" s="117"/>
      <c r="I19" s="181"/>
      <c r="J19" s="117"/>
      <c r="K19" s="117"/>
      <c r="L19" s="118">
        <f>SUM(L17:L18)</f>
        <v>9500</v>
      </c>
      <c r="M19" s="118">
        <f>SUM(M17:M18)</f>
        <v>9500</v>
      </c>
      <c r="N19" s="118">
        <f>SUM(N17:N18)</f>
        <v>0</v>
      </c>
      <c r="O19" s="425"/>
      <c r="P19" s="425"/>
      <c r="Q19" s="425"/>
      <c r="R19" s="425"/>
      <c r="S19" s="131"/>
    </row>
    <row r="20" spans="1:20" s="214" customFormat="1" outlineLevel="1" x14ac:dyDescent="0.3">
      <c r="A20" s="581" t="s">
        <v>186</v>
      </c>
      <c r="B20" s="582"/>
      <c r="C20" s="582"/>
      <c r="D20" s="582"/>
      <c r="E20" s="582"/>
      <c r="F20" s="582"/>
      <c r="G20" s="582"/>
      <c r="H20" s="443"/>
      <c r="I20" s="443"/>
      <c r="J20" s="443"/>
      <c r="K20" s="443"/>
      <c r="L20" s="443"/>
      <c r="M20" s="443"/>
      <c r="N20" s="443"/>
      <c r="O20" s="415"/>
      <c r="P20" s="415"/>
      <c r="Q20" s="415"/>
      <c r="R20" s="415"/>
      <c r="S20" s="416"/>
    </row>
    <row r="21" spans="1:20" s="214" customFormat="1" ht="41.4" outlineLevel="1" x14ac:dyDescent="0.3">
      <c r="A21" s="232"/>
      <c r="B21" s="232"/>
      <c r="C21" s="233" t="s">
        <v>91</v>
      </c>
      <c r="D21" s="234" t="str">
        <f>IF(K21=1,"Staff and Personnel",IF(K21=2,"Supplies, Commodities, Materials",IF(K21=3,"Eqipment, Vehicles, and Furnitures",IF(K21=4,"Contractual Services",IF(K21=5,"Travel",IF(K21=6,"Transfers and Grant to Counterparts",IF(K21=7,"General Operating and Other Direct Cost", "")))))))</f>
        <v>Contractual Services</v>
      </c>
      <c r="E21" s="399" t="s">
        <v>180</v>
      </c>
      <c r="F21" s="159">
        <v>1</v>
      </c>
      <c r="G21" s="150">
        <v>10000</v>
      </c>
      <c r="H21" s="149"/>
      <c r="I21" s="166"/>
      <c r="J21" s="210">
        <v>1</v>
      </c>
      <c r="K21" s="151">
        <v>4</v>
      </c>
      <c r="L21" s="215">
        <v>10000</v>
      </c>
      <c r="M21" s="114">
        <f>L21-N21</f>
        <v>5000</v>
      </c>
      <c r="N21" s="152">
        <v>5000</v>
      </c>
      <c r="O21" s="490" t="s">
        <v>10</v>
      </c>
      <c r="P21" s="490" t="s">
        <v>10</v>
      </c>
      <c r="Q21" s="490" t="s">
        <v>10</v>
      </c>
      <c r="R21" s="490" t="s">
        <v>10</v>
      </c>
      <c r="S21" s="129" t="s">
        <v>215</v>
      </c>
      <c r="T21" s="214">
        <v>30000</v>
      </c>
    </row>
    <row r="22" spans="1:20" s="214" customFormat="1" outlineLevel="1" x14ac:dyDescent="0.3">
      <c r="A22" s="232"/>
      <c r="B22" s="232"/>
      <c r="C22" s="233" t="s">
        <v>183</v>
      </c>
      <c r="D22" s="235" t="str">
        <f>IF(K22=1,"Staff and Personnel",IF(K22=2,"Supplies, Commodities, Materials",IF(K22=3,"Eqipment, Vehicles, and Furnitures",IF(K22=4,"Contractual Services",IF(K22=5,"Travel",IF(K22=6,"Transfers and Grant to Counterparts",IF(K22=7,"General Operating and Other Direct Cost", "")))))))</f>
        <v>Travel</v>
      </c>
      <c r="E22" s="399" t="str">
        <f>E21</f>
        <v>Blue finance</v>
      </c>
      <c r="F22" s="159">
        <v>1</v>
      </c>
      <c r="G22" s="150">
        <v>1000</v>
      </c>
      <c r="H22" s="149"/>
      <c r="I22" s="211"/>
      <c r="J22" s="210">
        <v>1</v>
      </c>
      <c r="K22" s="151">
        <v>5</v>
      </c>
      <c r="L22" s="215">
        <v>1000</v>
      </c>
      <c r="M22" s="114">
        <v>1000</v>
      </c>
      <c r="N22" s="152"/>
      <c r="O22" s="490" t="s">
        <v>10</v>
      </c>
      <c r="P22" s="490" t="s">
        <v>10</v>
      </c>
      <c r="Q22" s="490" t="s">
        <v>10</v>
      </c>
      <c r="R22" s="490" t="s">
        <v>10</v>
      </c>
      <c r="S22" s="129" t="s">
        <v>74</v>
      </c>
    </row>
    <row r="23" spans="1:20" s="214" customFormat="1" outlineLevel="1" collapsed="1" x14ac:dyDescent="0.3">
      <c r="A23" s="115"/>
      <c r="B23" s="115"/>
      <c r="C23" s="116"/>
      <c r="D23" s="117" t="s">
        <v>34</v>
      </c>
      <c r="E23" s="117"/>
      <c r="F23" s="160"/>
      <c r="G23" s="139"/>
      <c r="H23" s="117"/>
      <c r="I23" s="181"/>
      <c r="J23" s="117"/>
      <c r="K23" s="117"/>
      <c r="L23" s="118">
        <f>SUM(L21:L22)</f>
        <v>11000</v>
      </c>
      <c r="M23" s="118">
        <f>SUM(M21:M22)</f>
        <v>6000</v>
      </c>
      <c r="N23" s="118">
        <f>SUM(N21:N22)</f>
        <v>5000</v>
      </c>
      <c r="O23" s="425"/>
      <c r="P23" s="425"/>
      <c r="Q23" s="425"/>
      <c r="R23" s="425"/>
      <c r="S23" s="131"/>
    </row>
    <row r="24" spans="1:20" s="214" customFormat="1" x14ac:dyDescent="0.3">
      <c r="A24" s="219"/>
      <c r="B24" s="153"/>
      <c r="C24" s="154"/>
      <c r="D24" s="119" t="s">
        <v>35</v>
      </c>
      <c r="E24" s="119"/>
      <c r="F24" s="161"/>
      <c r="G24" s="140"/>
      <c r="H24" s="119"/>
      <c r="I24" s="182"/>
      <c r="J24" s="119"/>
      <c r="K24" s="119"/>
      <c r="L24" s="120">
        <f>L19+L23</f>
        <v>20500</v>
      </c>
      <c r="M24" s="120">
        <f>M19+M23</f>
        <v>15500</v>
      </c>
      <c r="N24" s="120">
        <f>N19+N23</f>
        <v>5000</v>
      </c>
      <c r="O24" s="426"/>
      <c r="P24" s="426"/>
      <c r="Q24" s="426"/>
      <c r="R24" s="426"/>
      <c r="S24" s="132"/>
    </row>
    <row r="25" spans="1:20" s="214" customFormat="1" ht="14.4" x14ac:dyDescent="0.3">
      <c r="A25" s="121" t="s">
        <v>36</v>
      </c>
      <c r="B25" s="121"/>
      <c r="C25" s="121"/>
      <c r="D25" s="121"/>
      <c r="E25" s="122"/>
      <c r="F25" s="162"/>
      <c r="G25" s="141"/>
      <c r="H25" s="122"/>
      <c r="I25" s="183"/>
      <c r="J25" s="122"/>
      <c r="K25" s="122"/>
      <c r="L25" s="190">
        <f>L24</f>
        <v>20500</v>
      </c>
      <c r="M25" s="190">
        <f t="shared" ref="M25:N25" si="0">M24</f>
        <v>15500</v>
      </c>
      <c r="N25" s="190">
        <f t="shared" si="0"/>
        <v>5000</v>
      </c>
      <c r="O25" s="427"/>
      <c r="P25" s="427"/>
      <c r="Q25" s="427"/>
      <c r="R25" s="427"/>
      <c r="S25" s="133"/>
    </row>
    <row r="26" spans="1:20" s="214" customFormat="1" ht="15" customHeight="1" x14ac:dyDescent="0.3">
      <c r="A26" s="593" t="str">
        <f>'A. Work Plan -'!B12</f>
        <v>Outcome 2: Transforming the livelihoods of coral reef-dependent communities</v>
      </c>
      <c r="B26" s="594"/>
      <c r="C26" s="594"/>
      <c r="D26" s="594"/>
      <c r="E26" s="594"/>
      <c r="F26" s="419"/>
      <c r="G26" s="442"/>
      <c r="H26" s="442"/>
      <c r="I26" s="442"/>
      <c r="J26" s="442"/>
      <c r="K26" s="442"/>
      <c r="L26" s="442"/>
      <c r="M26" s="442"/>
      <c r="N26" s="442"/>
      <c r="O26" s="419"/>
      <c r="P26" s="419"/>
      <c r="Q26" s="419"/>
      <c r="R26" s="419"/>
      <c r="S26" s="419"/>
    </row>
    <row r="27" spans="1:20" s="214" customFormat="1" x14ac:dyDescent="0.3">
      <c r="A27" s="588" t="s">
        <v>192</v>
      </c>
      <c r="B27" s="589"/>
      <c r="C27" s="589"/>
      <c r="D27" s="589"/>
      <c r="E27" s="589"/>
      <c r="F27" s="590"/>
      <c r="G27" s="112"/>
      <c r="H27" s="112"/>
      <c r="I27" s="112"/>
      <c r="J27" s="112"/>
      <c r="K27" s="112"/>
      <c r="L27" s="112"/>
      <c r="M27" s="112"/>
      <c r="N27" s="112"/>
      <c r="O27" s="417"/>
      <c r="P27" s="417"/>
      <c r="Q27" s="417"/>
      <c r="R27" s="417"/>
      <c r="S27" s="418"/>
    </row>
    <row r="28" spans="1:20" s="214" customFormat="1" outlineLevel="1" x14ac:dyDescent="0.3">
      <c r="A28" s="581" t="s">
        <v>189</v>
      </c>
      <c r="B28" s="582"/>
      <c r="C28" s="582"/>
      <c r="D28" s="582"/>
      <c r="E28" s="582"/>
      <c r="F28" s="582"/>
      <c r="G28" s="582"/>
      <c r="H28" s="582"/>
      <c r="I28" s="582"/>
      <c r="J28" s="582"/>
      <c r="K28" s="443"/>
      <c r="L28" s="443"/>
      <c r="M28" s="443"/>
      <c r="N28" s="443"/>
      <c r="O28" s="415"/>
      <c r="P28" s="415"/>
      <c r="Q28" s="415"/>
      <c r="R28" s="415"/>
      <c r="S28" s="416"/>
    </row>
    <row r="29" spans="1:20" s="214" customFormat="1" ht="69" outlineLevel="1" x14ac:dyDescent="0.3">
      <c r="A29" s="232"/>
      <c r="B29" s="232"/>
      <c r="C29" s="233" t="s">
        <v>124</v>
      </c>
      <c r="D29" s="234" t="str">
        <f>IF(K29=1,"Staff and Personnel",IF(K29=2,"Supplies, Commodities, Materials",IF(K29=3,"Eqipment, Vehicles, and Furnitures",IF(K29=4,"Contractual Services",IF(K29=5,"Travel",IF(K29=6,"Transfers and Grant to Counterparts",IF(K29=7,"General Operating and Other Direct Cost", "")))))))</f>
        <v>Contractual Services</v>
      </c>
      <c r="E29" s="396" t="s">
        <v>190</v>
      </c>
      <c r="F29" s="216">
        <v>1</v>
      </c>
      <c r="G29" s="150">
        <v>5000</v>
      </c>
      <c r="H29" s="151"/>
      <c r="I29" s="200"/>
      <c r="J29" s="210">
        <v>1</v>
      </c>
      <c r="K29" s="151">
        <v>4</v>
      </c>
      <c r="L29" s="215">
        <f t="shared" ref="L29:L31" si="1">G29</f>
        <v>5000</v>
      </c>
      <c r="M29" s="114">
        <f t="shared" ref="M29:M34" si="2">L29-N29</f>
        <v>5000</v>
      </c>
      <c r="N29" s="152"/>
      <c r="O29" s="424" t="s">
        <v>214</v>
      </c>
      <c r="P29" s="424" t="str">
        <f t="shared" ref="P29:R29" si="3">O29</f>
        <v>X</v>
      </c>
      <c r="Q29" s="424" t="str">
        <f t="shared" si="3"/>
        <v>X</v>
      </c>
      <c r="R29" s="424" t="str">
        <f t="shared" si="3"/>
        <v>X</v>
      </c>
      <c r="S29" s="129" t="s">
        <v>216</v>
      </c>
      <c r="T29" s="214">
        <v>30000</v>
      </c>
    </row>
    <row r="30" spans="1:20" s="214" customFormat="1" ht="69" outlineLevel="1" x14ac:dyDescent="0.3">
      <c r="A30" s="232"/>
      <c r="B30" s="232"/>
      <c r="C30" s="233" t="s">
        <v>95</v>
      </c>
      <c r="D30" s="234" t="str">
        <f>IF(K30=1,"Staff and Personnel",IF(K30=2,"Supplies, Commodities, Materials",IF(K30=3,"Eqipment, Vehicles, and Furnitures",IF(K30=4,"Contractual Services",IF(K30=5,"Travel",IF(K30=6,"Transfers and Grant to Counterparts",IF(K30=7,"General Operating and Other Direct Cost", "")))))))</f>
        <v>Contractual Services</v>
      </c>
      <c r="E30" s="396" t="s">
        <v>209</v>
      </c>
      <c r="F30" s="216">
        <v>1</v>
      </c>
      <c r="G30" s="150">
        <v>20000</v>
      </c>
      <c r="H30" s="151"/>
      <c r="I30" s="200"/>
      <c r="J30" s="210">
        <v>1</v>
      </c>
      <c r="K30" s="151">
        <v>4</v>
      </c>
      <c r="L30" s="215">
        <f>G30</f>
        <v>20000</v>
      </c>
      <c r="M30" s="114">
        <f>L30-N30</f>
        <v>10000</v>
      </c>
      <c r="N30" s="152">
        <v>10000</v>
      </c>
      <c r="O30" s="424" t="s">
        <v>214</v>
      </c>
      <c r="P30" s="424" t="str">
        <f t="shared" ref="P30:R30" si="4">O30</f>
        <v>X</v>
      </c>
      <c r="Q30" s="424" t="str">
        <f t="shared" si="4"/>
        <v>X</v>
      </c>
      <c r="R30" s="424" t="str">
        <f t="shared" si="4"/>
        <v>X</v>
      </c>
      <c r="S30" s="129" t="s">
        <v>217</v>
      </c>
      <c r="T30" s="214">
        <v>50000</v>
      </c>
    </row>
    <row r="31" spans="1:20" s="214" customFormat="1" ht="55.2" outlineLevel="1" x14ac:dyDescent="0.3">
      <c r="A31" s="232"/>
      <c r="B31" s="232"/>
      <c r="C31" s="233" t="s">
        <v>218</v>
      </c>
      <c r="D31" s="234" t="str">
        <f>IF(K31=1,"Staff and Personnel",IF(K31=2,"Supplies, Commodities, Materials",IF(K31=3,"Eqipment, Vehicles, and Furnitures",IF(K31=4,"Contractual Services",IF(K31=5,"Travel",IF(K31=6,"Transfers and Grant to Counterparts",IF(K31=7,"General Operating and Other Direct Cost", "")))))))</f>
        <v>Contractual Services</v>
      </c>
      <c r="E31" s="396" t="s">
        <v>191</v>
      </c>
      <c r="F31" s="216">
        <v>1</v>
      </c>
      <c r="G31" s="150">
        <v>35000</v>
      </c>
      <c r="H31" s="151"/>
      <c r="I31" s="200"/>
      <c r="J31" s="210">
        <v>1</v>
      </c>
      <c r="K31" s="151">
        <v>4</v>
      </c>
      <c r="L31" s="215">
        <f t="shared" si="1"/>
        <v>35000</v>
      </c>
      <c r="M31" s="114">
        <f t="shared" si="2"/>
        <v>35000</v>
      </c>
      <c r="N31" s="152"/>
      <c r="O31" s="424" t="s">
        <v>214</v>
      </c>
      <c r="P31" s="424" t="str">
        <f t="shared" ref="P31:R32" si="5">O31</f>
        <v>X</v>
      </c>
      <c r="Q31" s="424" t="str">
        <f t="shared" si="5"/>
        <v>X</v>
      </c>
      <c r="R31" s="424" t="str">
        <f t="shared" si="5"/>
        <v>X</v>
      </c>
      <c r="S31" s="129" t="s">
        <v>224</v>
      </c>
      <c r="T31" s="214">
        <v>30000</v>
      </c>
    </row>
    <row r="32" spans="1:20" s="214" customFormat="1" ht="69" outlineLevel="1" x14ac:dyDescent="0.3">
      <c r="A32" s="232"/>
      <c r="B32" s="232"/>
      <c r="C32" s="233" t="s">
        <v>219</v>
      </c>
      <c r="D32" s="234" t="str">
        <f>IF(K32=1,"Staff and Personnel",IF(K32=2,"Supplies, Commodities, Materials",IF(K32=3,"Eqipment, Vehicles, and Furnitures",IF(K32=4,"Contractual Services",IF(K32=5,"Travel",IF(K32=6,"Transfers and Grant to Counterparts",IF(K32=7,"General Operating and Other Direct Cost", "")))))))</f>
        <v>Contractual Services</v>
      </c>
      <c r="E32" s="396" t="s">
        <v>191</v>
      </c>
      <c r="F32" s="216">
        <v>1</v>
      </c>
      <c r="G32" s="150">
        <v>18000</v>
      </c>
      <c r="H32" s="151"/>
      <c r="I32" s="200"/>
      <c r="J32" s="210">
        <v>1</v>
      </c>
      <c r="K32" s="151">
        <v>4</v>
      </c>
      <c r="L32" s="215">
        <f t="shared" ref="L32:L33" si="6">G32</f>
        <v>18000</v>
      </c>
      <c r="M32" s="114">
        <f t="shared" si="2"/>
        <v>18000</v>
      </c>
      <c r="N32" s="152"/>
      <c r="O32" s="424" t="s">
        <v>214</v>
      </c>
      <c r="P32" s="424" t="str">
        <f t="shared" si="5"/>
        <v>X</v>
      </c>
      <c r="Q32" s="424" t="str">
        <f t="shared" si="5"/>
        <v>X</v>
      </c>
      <c r="R32" s="424" t="str">
        <f t="shared" si="5"/>
        <v>X</v>
      </c>
      <c r="S32" s="129" t="s">
        <v>225</v>
      </c>
      <c r="T32" s="214">
        <v>30000</v>
      </c>
    </row>
    <row r="33" spans="1:19" s="214" customFormat="1" ht="69" outlineLevel="1" x14ac:dyDescent="0.3">
      <c r="A33" s="232"/>
      <c r="B33" s="232"/>
      <c r="C33" s="233" t="s">
        <v>220</v>
      </c>
      <c r="D33" s="234" t="s">
        <v>228</v>
      </c>
      <c r="E33" s="396" t="s">
        <v>230</v>
      </c>
      <c r="F33" s="216">
        <v>1</v>
      </c>
      <c r="G33" s="150">
        <v>10000</v>
      </c>
      <c r="H33" s="151"/>
      <c r="I33" s="200"/>
      <c r="J33" s="210"/>
      <c r="K33" s="151"/>
      <c r="L33" s="215">
        <f t="shared" si="6"/>
        <v>10000</v>
      </c>
      <c r="M33" s="114">
        <f t="shared" si="2"/>
        <v>10000</v>
      </c>
      <c r="N33" s="152"/>
      <c r="O33" s="424" t="s">
        <v>214</v>
      </c>
      <c r="P33" s="424" t="s">
        <v>214</v>
      </c>
      <c r="Q33" s="424" t="s">
        <v>214</v>
      </c>
      <c r="R33" s="424" t="s">
        <v>214</v>
      </c>
      <c r="S33" s="129" t="s">
        <v>231</v>
      </c>
    </row>
    <row r="34" spans="1:19" s="214" customFormat="1" ht="82.8" outlineLevel="1" x14ac:dyDescent="0.3">
      <c r="A34" s="232"/>
      <c r="B34" s="232"/>
      <c r="C34" s="233" t="s">
        <v>221</v>
      </c>
      <c r="D34" s="234" t="s">
        <v>228</v>
      </c>
      <c r="E34" s="396" t="s">
        <v>180</v>
      </c>
      <c r="F34" s="216">
        <v>1</v>
      </c>
      <c r="G34" s="150">
        <v>10000</v>
      </c>
      <c r="H34" s="151"/>
      <c r="I34" s="200"/>
      <c r="J34" s="210"/>
      <c r="K34" s="151"/>
      <c r="L34" s="215">
        <f t="shared" ref="L34" si="7">G34</f>
        <v>10000</v>
      </c>
      <c r="M34" s="114">
        <f t="shared" si="2"/>
        <v>10000</v>
      </c>
      <c r="N34" s="152"/>
      <c r="O34" s="424"/>
      <c r="P34" s="424"/>
      <c r="Q34" s="424" t="s">
        <v>214</v>
      </c>
      <c r="R34" s="424" t="s">
        <v>214</v>
      </c>
      <c r="S34" s="129" t="s">
        <v>229</v>
      </c>
    </row>
    <row r="35" spans="1:19" s="214" customFormat="1" outlineLevel="1" x14ac:dyDescent="0.3">
      <c r="A35" s="232"/>
      <c r="B35" s="232"/>
      <c r="C35" s="233" t="s">
        <v>222</v>
      </c>
      <c r="D35" s="234" t="str">
        <f>IF(K35=1,"Staff and Personnel",IF(K35=2,"Supplies, Commodities, Materials",IF(K35=3,"Eqipment, Vehicles, and Furnitures",IF(K35=4,"Contractual Services",IF(K35=5,"Travel",IF(K35=6,"Transfers and Grant to Counterparts",IF(K35=7,"General Operating and Other Direct Cost", "")))))))</f>
        <v>Travel</v>
      </c>
      <c r="E35" s="396" t="s">
        <v>180</v>
      </c>
      <c r="F35" s="216">
        <v>1</v>
      </c>
      <c r="G35" s="150">
        <v>2500</v>
      </c>
      <c r="H35" s="151"/>
      <c r="I35" s="200"/>
      <c r="J35" s="210">
        <v>1</v>
      </c>
      <c r="K35" s="151">
        <v>5</v>
      </c>
      <c r="L35" s="215">
        <f>G35</f>
        <v>2500</v>
      </c>
      <c r="M35" s="114">
        <f>L35</f>
        <v>2500</v>
      </c>
      <c r="N35" s="152"/>
      <c r="O35" s="424" t="s">
        <v>214</v>
      </c>
      <c r="P35" s="424" t="str">
        <f t="shared" ref="P35:R35" si="8">O35</f>
        <v>X</v>
      </c>
      <c r="Q35" s="424" t="str">
        <f t="shared" si="8"/>
        <v>X</v>
      </c>
      <c r="R35" s="424" t="str">
        <f t="shared" si="8"/>
        <v>X</v>
      </c>
      <c r="S35" s="129" t="s">
        <v>74</v>
      </c>
    </row>
    <row r="36" spans="1:19" s="214" customFormat="1" outlineLevel="1" x14ac:dyDescent="0.3">
      <c r="A36" s="232"/>
      <c r="B36" s="232"/>
      <c r="C36" s="233" t="s">
        <v>223</v>
      </c>
      <c r="D36" s="234" t="str">
        <f>IF(K36=1,"Staff and Personnel",IF(K36=2,"Supplies, Commodities, Materials",IF(K36=3,"Eqipment, Vehicles, and Furnitures",IF(K36=4,"Contractual Services",IF(K36=5,"Travel",IF(K36=6,"Transfers and Grant to Counterparts",IF(K36=7,"General Operating and Other Direct Cost", "")))))))</f>
        <v>Travel</v>
      </c>
      <c r="E36" s="396" t="s">
        <v>191</v>
      </c>
      <c r="F36" s="216">
        <v>1</v>
      </c>
      <c r="G36" s="150">
        <v>3000</v>
      </c>
      <c r="H36" s="151"/>
      <c r="I36" s="200"/>
      <c r="J36" s="210">
        <v>1</v>
      </c>
      <c r="K36" s="151">
        <v>5</v>
      </c>
      <c r="L36" s="215">
        <f>G36</f>
        <v>3000</v>
      </c>
      <c r="M36" s="114">
        <f>L36</f>
        <v>3000</v>
      </c>
      <c r="N36" s="152"/>
      <c r="O36" s="424" t="s">
        <v>214</v>
      </c>
      <c r="P36" s="424" t="str">
        <f t="shared" ref="P36:R36" si="9">O36</f>
        <v>X</v>
      </c>
      <c r="Q36" s="424" t="str">
        <f t="shared" si="9"/>
        <v>X</v>
      </c>
      <c r="R36" s="424" t="str">
        <f t="shared" si="9"/>
        <v>X</v>
      </c>
      <c r="S36" s="129" t="s">
        <v>74</v>
      </c>
    </row>
    <row r="37" spans="1:19" s="214" customFormat="1" outlineLevel="1" x14ac:dyDescent="0.3">
      <c r="A37" s="232"/>
      <c r="B37" s="232"/>
      <c r="C37" s="233" t="s">
        <v>223</v>
      </c>
      <c r="D37" s="234" t="s">
        <v>232</v>
      </c>
      <c r="E37" s="396" t="s">
        <v>230</v>
      </c>
      <c r="F37" s="216">
        <v>1</v>
      </c>
      <c r="G37" s="150">
        <v>2500</v>
      </c>
      <c r="H37" s="151"/>
      <c r="I37" s="200"/>
      <c r="J37" s="210"/>
      <c r="K37" s="151"/>
      <c r="L37" s="215">
        <f>G37</f>
        <v>2500</v>
      </c>
      <c r="M37" s="114">
        <f>L37</f>
        <v>2500</v>
      </c>
      <c r="N37" s="152"/>
      <c r="O37" s="424"/>
      <c r="P37" s="424"/>
      <c r="Q37" s="424"/>
      <c r="R37" s="424"/>
      <c r="S37" s="129"/>
    </row>
    <row r="38" spans="1:19" s="214" customFormat="1" outlineLevel="1" x14ac:dyDescent="0.3">
      <c r="A38" s="115"/>
      <c r="B38" s="115"/>
      <c r="C38" s="116"/>
      <c r="D38" s="117" t="s">
        <v>75</v>
      </c>
      <c r="E38" s="117"/>
      <c r="F38" s="160"/>
      <c r="G38" s="139"/>
      <c r="H38" s="117"/>
      <c r="I38" s="181"/>
      <c r="J38" s="117"/>
      <c r="K38" s="117"/>
      <c r="L38" s="118">
        <f t="shared" ref="L38:N38" si="10">SUM(L29:L37)</f>
        <v>106000</v>
      </c>
      <c r="M38" s="118">
        <f t="shared" si="10"/>
        <v>96000</v>
      </c>
      <c r="N38" s="118">
        <f t="shared" si="10"/>
        <v>10000</v>
      </c>
      <c r="O38" s="425"/>
      <c r="P38" s="425"/>
      <c r="Q38" s="425"/>
      <c r="R38" s="425"/>
      <c r="S38" s="131"/>
    </row>
    <row r="39" spans="1:19" s="214" customFormat="1" x14ac:dyDescent="0.3">
      <c r="A39" s="219"/>
      <c r="B39" s="153"/>
      <c r="C39" s="154"/>
      <c r="D39" s="119" t="s">
        <v>76</v>
      </c>
      <c r="E39" s="119"/>
      <c r="F39" s="161"/>
      <c r="G39" s="140"/>
      <c r="H39" s="119"/>
      <c r="I39" s="182"/>
      <c r="J39" s="119"/>
      <c r="K39" s="119"/>
      <c r="L39" s="120">
        <f>L38</f>
        <v>106000</v>
      </c>
      <c r="M39" s="120">
        <f>M38</f>
        <v>96000</v>
      </c>
      <c r="N39" s="120">
        <f>N38</f>
        <v>10000</v>
      </c>
      <c r="O39" s="426"/>
      <c r="P39" s="426"/>
      <c r="Q39" s="426"/>
      <c r="R39" s="426"/>
      <c r="S39" s="132"/>
    </row>
    <row r="40" spans="1:19" s="214" customFormat="1" ht="14.4" x14ac:dyDescent="0.3">
      <c r="A40" s="121" t="s">
        <v>38</v>
      </c>
      <c r="B40" s="121"/>
      <c r="C40" s="121"/>
      <c r="D40" s="121"/>
      <c r="E40" s="122"/>
      <c r="F40" s="162"/>
      <c r="G40" s="141"/>
      <c r="H40" s="122"/>
      <c r="I40" s="183"/>
      <c r="J40" s="122"/>
      <c r="K40" s="122"/>
      <c r="L40" s="190">
        <f>L38</f>
        <v>106000</v>
      </c>
      <c r="M40" s="190">
        <f t="shared" ref="M40:N40" si="11">M38</f>
        <v>96000</v>
      </c>
      <c r="N40" s="190">
        <f t="shared" si="11"/>
        <v>10000</v>
      </c>
      <c r="O40" s="427"/>
      <c r="P40" s="427"/>
      <c r="Q40" s="427"/>
      <c r="R40" s="427"/>
      <c r="S40" s="133"/>
    </row>
    <row r="41" spans="1:19" s="214" customFormat="1" ht="15.6" x14ac:dyDescent="0.3">
      <c r="A41" s="123" t="s">
        <v>39</v>
      </c>
      <c r="B41" s="124"/>
      <c r="C41" s="124"/>
      <c r="D41" s="124"/>
      <c r="E41" s="124"/>
      <c r="F41" s="163"/>
      <c r="G41" s="143"/>
      <c r="H41" s="124"/>
      <c r="I41" s="184"/>
      <c r="J41" s="124"/>
      <c r="K41" s="124"/>
      <c r="L41" s="125">
        <f>L25+L40</f>
        <v>126500</v>
      </c>
      <c r="M41" s="125">
        <f>M25+M40</f>
        <v>111500</v>
      </c>
      <c r="N41" s="125">
        <f>N25+N40</f>
        <v>15000</v>
      </c>
      <c r="O41" s="428"/>
      <c r="P41" s="428"/>
      <c r="Q41" s="428"/>
      <c r="R41" s="428"/>
      <c r="S41" s="134"/>
    </row>
    <row r="42" spans="1:19" s="214" customFormat="1" ht="15.6" x14ac:dyDescent="0.3">
      <c r="A42" s="126" t="s">
        <v>100</v>
      </c>
      <c r="B42" s="220"/>
      <c r="C42" s="220"/>
      <c r="D42" s="220"/>
      <c r="E42" s="221"/>
      <c r="F42" s="222"/>
      <c r="G42" s="223"/>
      <c r="H42" s="220"/>
      <c r="I42" s="224"/>
      <c r="J42" s="220"/>
      <c r="K42" s="220"/>
      <c r="L42" s="225"/>
      <c r="M42" s="225"/>
      <c r="N42" s="225"/>
      <c r="O42" s="429"/>
      <c r="P42" s="429"/>
      <c r="Q42" s="429"/>
      <c r="R42" s="429"/>
      <c r="S42" s="226" t="s">
        <v>27</v>
      </c>
    </row>
    <row r="43" spans="1:19" s="214" customFormat="1" outlineLevel="1" x14ac:dyDescent="0.3">
      <c r="A43" s="201" t="s">
        <v>119</v>
      </c>
      <c r="B43" s="417"/>
      <c r="C43" s="418"/>
      <c r="D43" s="112"/>
      <c r="E43" s="112"/>
      <c r="F43" s="164"/>
      <c r="G43" s="142"/>
      <c r="H43" s="112"/>
      <c r="I43" s="406"/>
      <c r="J43" s="112"/>
      <c r="K43" s="112"/>
      <c r="L43" s="113"/>
      <c r="M43" s="113"/>
      <c r="N43" s="113"/>
      <c r="O43" s="430"/>
      <c r="P43" s="430"/>
      <c r="Q43" s="430"/>
      <c r="R43" s="430"/>
      <c r="S43" s="135"/>
    </row>
    <row r="44" spans="1:19" s="214" customFormat="1" outlineLevel="1" x14ac:dyDescent="0.3">
      <c r="A44" s="233"/>
      <c r="B44" s="233"/>
      <c r="C44" s="233"/>
      <c r="D44" s="234" t="str">
        <f>IF(K44=1,"Staff and Personnel",IF(K44=2,"Supplies, Commodities, Materials",IF(K44=3,"Eqipment, Vehicles, and Furnitures",IF(K44=4,"Contractual Services",IF(K44=5,"Travel",IF(K44=6,"Transfers and Grant to Counterparts",IF(K44=7,"General Operating and Other Direct Cost", "")))))))</f>
        <v>Staff and Personnel</v>
      </c>
      <c r="E44" s="215" t="s">
        <v>180</v>
      </c>
      <c r="F44" s="216">
        <v>1</v>
      </c>
      <c r="G44" s="150"/>
      <c r="H44" s="151"/>
      <c r="I44" s="200"/>
      <c r="J44" s="210">
        <v>0.3</v>
      </c>
      <c r="K44" s="151">
        <v>1</v>
      </c>
      <c r="L44" s="215">
        <v>4000</v>
      </c>
      <c r="M44" s="215">
        <f t="shared" ref="M44:M47" si="12">L44-N44</f>
        <v>4000</v>
      </c>
      <c r="N44" s="279"/>
      <c r="O44" s="431" t="s">
        <v>10</v>
      </c>
      <c r="P44" s="431" t="s">
        <v>10</v>
      </c>
      <c r="Q44" s="431" t="s">
        <v>10</v>
      </c>
      <c r="R44" s="431" t="s">
        <v>10</v>
      </c>
      <c r="S44" s="130" t="s">
        <v>234</v>
      </c>
    </row>
    <row r="45" spans="1:19" s="214" customFormat="1" outlineLevel="1" x14ac:dyDescent="0.3">
      <c r="A45" s="233"/>
      <c r="B45" s="233"/>
      <c r="C45" s="233"/>
      <c r="D45" s="234" t="str">
        <f>IF(K45=1,"Staff and Personnel",IF(K45=2,"Supplies, Commodities, Materials",IF(K45=3,"Eqipment, Vehicles, and Furnitures",IF(K45=4,"Contractual Services",IF(K45=5,"Travel",IF(K45=6,"Transfers and Grant to Counterparts",IF(K45=7,"General Operating and Other Direct Cost", "")))))))</f>
        <v>Staff and Personnel</v>
      </c>
      <c r="E45" s="215"/>
      <c r="F45" s="216">
        <v>1</v>
      </c>
      <c r="G45" s="150"/>
      <c r="H45" s="151"/>
      <c r="I45" s="200"/>
      <c r="J45" s="210">
        <v>1</v>
      </c>
      <c r="K45" s="151">
        <v>1</v>
      </c>
      <c r="L45" s="215">
        <f>1600*4</f>
        <v>6400</v>
      </c>
      <c r="M45" s="215">
        <f t="shared" si="12"/>
        <v>3200</v>
      </c>
      <c r="N45" s="279">
        <f>L45/2</f>
        <v>3200</v>
      </c>
      <c r="O45" s="431" t="s">
        <v>10</v>
      </c>
      <c r="P45" s="431" t="s">
        <v>10</v>
      </c>
      <c r="Q45" s="431" t="s">
        <v>10</v>
      </c>
      <c r="R45" s="431" t="s">
        <v>10</v>
      </c>
      <c r="S45" s="130" t="s">
        <v>233</v>
      </c>
    </row>
    <row r="46" spans="1:19" s="214" customFormat="1" outlineLevel="1" x14ac:dyDescent="0.3">
      <c r="A46" s="233"/>
      <c r="B46" s="233"/>
      <c r="C46" s="233"/>
      <c r="D46" s="234" t="str">
        <f>IF(K46=1,"Staff and Personnel",IF(K46=2,"Supplies, Commodities, Materials",IF(K46=3,"Eqipment, Vehicles, and Furnitures",IF(K46=4,"Contractual Services",IF(K46=5,"Travel",IF(K46=6,"Transfers and Grant to Counterparts",IF(K46=7,"General Operating and Other Direct Cost", "")))))))</f>
        <v>Travel</v>
      </c>
      <c r="E46" s="215"/>
      <c r="F46" s="216">
        <v>1</v>
      </c>
      <c r="G46" s="150"/>
      <c r="H46" s="151">
        <v>1</v>
      </c>
      <c r="I46" s="200" t="s">
        <v>37</v>
      </c>
      <c r="J46" s="210">
        <v>1</v>
      </c>
      <c r="K46" s="151">
        <v>5</v>
      </c>
      <c r="L46" s="215">
        <f t="shared" ref="L46" si="13">F46*G46*H46*J46</f>
        <v>0</v>
      </c>
      <c r="M46" s="215">
        <f t="shared" si="12"/>
        <v>0</v>
      </c>
      <c r="N46" s="279">
        <f>L46/2</f>
        <v>0</v>
      </c>
      <c r="O46" s="431"/>
      <c r="P46" s="431"/>
      <c r="Q46" s="431"/>
      <c r="R46" s="431"/>
      <c r="S46" s="129" t="s">
        <v>74</v>
      </c>
    </row>
    <row r="47" spans="1:19" s="214" customFormat="1" outlineLevel="1" x14ac:dyDescent="0.3">
      <c r="A47" s="233"/>
      <c r="B47" s="233"/>
      <c r="C47" s="233"/>
      <c r="D47" s="234" t="str">
        <f>IF(K47=1,"Staff and Personnel",IF(K47=2,"Supplies, Commodities, Materials",IF(K47=3,"Eqipment, Vehicles, and Furnitures",IF(K47=4,"Contractual Services",IF(K47=5,"Travel",IF(K47=6,"Transfers and Grant to Counterparts",IF(K47=7,"General Operating and Other Direct Cost", "")))))))</f>
        <v>General Operating and Other Direct Cost</v>
      </c>
      <c r="E47" s="215"/>
      <c r="F47" s="216">
        <v>1</v>
      </c>
      <c r="G47" s="150"/>
      <c r="H47" s="151">
        <v>1</v>
      </c>
      <c r="I47" s="200" t="s">
        <v>37</v>
      </c>
      <c r="J47" s="210">
        <v>1</v>
      </c>
      <c r="K47" s="151">
        <v>7</v>
      </c>
      <c r="L47" s="215">
        <f>600*4</f>
        <v>2400</v>
      </c>
      <c r="M47" s="215">
        <f t="shared" si="12"/>
        <v>2400</v>
      </c>
      <c r="N47" s="279"/>
      <c r="O47" s="431"/>
      <c r="P47" s="431"/>
      <c r="Q47" s="431"/>
      <c r="R47" s="431"/>
      <c r="S47" s="129" t="s">
        <v>78</v>
      </c>
    </row>
    <row r="48" spans="1:19" s="214" customFormat="1" outlineLevel="1" x14ac:dyDescent="0.3">
      <c r="A48" s="227"/>
      <c r="B48" s="218"/>
      <c r="C48" s="156"/>
      <c r="D48" s="117" t="s">
        <v>121</v>
      </c>
      <c r="E48" s="117"/>
      <c r="F48" s="160"/>
      <c r="G48" s="139"/>
      <c r="H48" s="117"/>
      <c r="I48" s="181"/>
      <c r="J48" s="117"/>
      <c r="K48" s="117"/>
      <c r="L48" s="118">
        <f>SUM(L44:L47)</f>
        <v>12800</v>
      </c>
      <c r="M48" s="118">
        <f>SUM(M44:M47)</f>
        <v>9600</v>
      </c>
      <c r="N48" s="118">
        <f>SUM(N44:N47)</f>
        <v>3200</v>
      </c>
      <c r="O48" s="425"/>
      <c r="P48" s="425"/>
      <c r="Q48" s="425"/>
      <c r="R48" s="425"/>
      <c r="S48" s="131"/>
    </row>
    <row r="49" spans="1:21" s="214" customFormat="1" outlineLevel="1" x14ac:dyDescent="0.3">
      <c r="A49" s="201" t="s">
        <v>120</v>
      </c>
      <c r="B49" s="228"/>
      <c r="C49" s="418"/>
      <c r="D49" s="112"/>
      <c r="E49" s="112"/>
      <c r="F49" s="164"/>
      <c r="G49" s="142"/>
      <c r="H49" s="112"/>
      <c r="I49" s="406"/>
      <c r="J49" s="112"/>
      <c r="K49" s="112"/>
      <c r="L49" s="113"/>
      <c r="M49" s="113"/>
      <c r="N49" s="113"/>
      <c r="O49" s="430"/>
      <c r="P49" s="430"/>
      <c r="Q49" s="430"/>
      <c r="R49" s="430"/>
      <c r="S49" s="135"/>
    </row>
    <row r="50" spans="1:21" s="214" customFormat="1" outlineLevel="1" x14ac:dyDescent="0.3">
      <c r="A50" s="233"/>
      <c r="B50" s="233"/>
      <c r="C50" s="233"/>
      <c r="D50" s="234" t="str">
        <f>IF(K50=1,"Staff and Personnel",IF(K50=2,"Supplies, Commodities, Materials",IF(K50=3,"Eqipment, Vehicles, and Furnitures",IF(K50=4,"Contractual Services",IF(K50=5,"Travel",IF(K50=6,"Transfers and Grant to Counterparts",IF(K50=7,"General Operating and Other Direct Cost", "")))))))</f>
        <v>General Operating and Other Direct Cost</v>
      </c>
      <c r="E50" s="215"/>
      <c r="F50" s="216">
        <v>1</v>
      </c>
      <c r="G50" s="150"/>
      <c r="H50" s="151">
        <v>1</v>
      </c>
      <c r="I50" s="200" t="s">
        <v>37</v>
      </c>
      <c r="J50" s="210">
        <v>1</v>
      </c>
      <c r="K50" s="151">
        <v>7</v>
      </c>
      <c r="L50" s="215">
        <v>1000</v>
      </c>
      <c r="M50" s="215">
        <f>L50-N50</f>
        <v>1000</v>
      </c>
      <c r="N50" s="279"/>
      <c r="O50" s="431"/>
      <c r="P50" s="431"/>
      <c r="Q50" s="431"/>
      <c r="R50" s="431"/>
      <c r="S50" s="130" t="s">
        <v>235</v>
      </c>
    </row>
    <row r="51" spans="1:21" s="214" customFormat="1" outlineLevel="1" x14ac:dyDescent="0.3">
      <c r="A51" s="233"/>
      <c r="B51" s="233"/>
      <c r="C51" s="233"/>
      <c r="D51" s="234" t="str">
        <f>IF(K51=1,"Staff and Personnel",IF(K51=2,"Supplies, Commodities, Materials",IF(K51=3,"Eqipment, Vehicles, and Furnitures",IF(K51=4,"Contractual Services",IF(K51=5,"Travel",IF(K51=6,"Transfers and Grant to Counterparts",IF(K51=7,"General Operating and Other Direct Cost", "")))))))</f>
        <v>Contractual Services</v>
      </c>
      <c r="E51" s="215"/>
      <c r="F51" s="216">
        <v>1</v>
      </c>
      <c r="G51" s="150"/>
      <c r="H51" s="151">
        <v>1</v>
      </c>
      <c r="I51" s="200" t="s">
        <v>37</v>
      </c>
      <c r="J51" s="210">
        <v>1</v>
      </c>
      <c r="K51" s="151">
        <v>4</v>
      </c>
      <c r="L51" s="215">
        <v>500</v>
      </c>
      <c r="M51" s="215">
        <f>L51-N51</f>
        <v>500</v>
      </c>
      <c r="N51" s="279"/>
      <c r="O51" s="431"/>
      <c r="P51" s="431"/>
      <c r="Q51" s="431"/>
      <c r="R51" s="431"/>
      <c r="S51" s="130" t="s">
        <v>102</v>
      </c>
    </row>
    <row r="52" spans="1:21" s="214" customFormat="1" outlineLevel="1" x14ac:dyDescent="0.3">
      <c r="A52" s="227"/>
      <c r="B52" s="155"/>
      <c r="C52" s="156"/>
      <c r="D52" s="117" t="s">
        <v>122</v>
      </c>
      <c r="E52" s="117"/>
      <c r="F52" s="160"/>
      <c r="G52" s="139"/>
      <c r="H52" s="117"/>
      <c r="I52" s="181"/>
      <c r="J52" s="117"/>
      <c r="K52" s="117"/>
      <c r="L52" s="118">
        <f>SUM(L50:L51)</f>
        <v>1500</v>
      </c>
      <c r="M52" s="118">
        <f>SUM(M50:M51)</f>
        <v>1500</v>
      </c>
      <c r="N52" s="118">
        <f>SUM(N50:N51)</f>
        <v>0</v>
      </c>
      <c r="O52" s="425"/>
      <c r="P52" s="425"/>
      <c r="Q52" s="425"/>
      <c r="R52" s="425"/>
      <c r="S52" s="131"/>
    </row>
    <row r="53" spans="1:21" s="214" customFormat="1" outlineLevel="1" x14ac:dyDescent="0.3">
      <c r="A53" s="201" t="s">
        <v>19</v>
      </c>
      <c r="B53" s="228"/>
      <c r="C53" s="418"/>
      <c r="D53" s="112"/>
      <c r="E53" s="112"/>
      <c r="F53" s="164"/>
      <c r="G53" s="142"/>
      <c r="H53" s="112"/>
      <c r="I53" s="406"/>
      <c r="J53" s="112"/>
      <c r="K53" s="112"/>
      <c r="L53" s="113"/>
      <c r="M53" s="113"/>
      <c r="N53" s="113"/>
      <c r="O53" s="430"/>
      <c r="P53" s="430"/>
      <c r="Q53" s="430"/>
      <c r="R53" s="430"/>
      <c r="S53" s="135"/>
    </row>
    <row r="54" spans="1:21" s="214" customFormat="1" outlineLevel="1" x14ac:dyDescent="0.3">
      <c r="A54" s="233"/>
      <c r="B54" s="233"/>
      <c r="C54" s="233"/>
      <c r="D54" s="234" t="str">
        <f>IF(K54=1,"Staff and Personnel",IF(K54=2,"Supplies, Commodities, Materials",IF(K54=3,"Eqipment, Vehicles, and Furnitures",IF(K54=4,"Contractual Services",IF(K54=5,"Travel",IF(K54=6,"Transfers and Grant to Counterparts",IF(K54=7,"General Operating and Other Direct Cost", "")))))))</f>
        <v>Contractual Services</v>
      </c>
      <c r="E54" s="215"/>
      <c r="F54" s="216"/>
      <c r="G54" s="150"/>
      <c r="H54" s="151"/>
      <c r="I54" s="200"/>
      <c r="J54" s="210"/>
      <c r="K54" s="151">
        <v>4</v>
      </c>
      <c r="L54" s="215">
        <f>F54*G54*H54*J54</f>
        <v>0</v>
      </c>
      <c r="M54" s="215">
        <f>L54-N54</f>
        <v>0</v>
      </c>
      <c r="N54" s="279">
        <f>L54/2</f>
        <v>0</v>
      </c>
      <c r="O54" s="431"/>
      <c r="P54" s="431"/>
      <c r="Q54" s="431"/>
      <c r="R54" s="431"/>
      <c r="S54" s="130" t="s">
        <v>118</v>
      </c>
    </row>
    <row r="55" spans="1:21" s="214" customFormat="1" outlineLevel="1" x14ac:dyDescent="0.3">
      <c r="A55" s="233"/>
      <c r="B55" s="233"/>
      <c r="C55" s="233"/>
      <c r="D55" s="234" t="str">
        <f>IF(K55=1,"Staff and Personnel",IF(K55=2,"Supplies, Commodities, Materials",IF(K55=3,"Eqipment, Vehicles, and Furnitures",IF(K55=4,"Contractual Services",IF(K55=5,"Travel",IF(K55=6,"Transfers and Grant to Counterparts",IF(K55=7,"General Operating and Other Direct Cost", "")))))))</f>
        <v>Staff and Personnel</v>
      </c>
      <c r="E55" s="215"/>
      <c r="F55" s="216"/>
      <c r="G55" s="150"/>
      <c r="H55" s="151"/>
      <c r="I55" s="200"/>
      <c r="J55" s="210"/>
      <c r="K55" s="151">
        <v>1</v>
      </c>
      <c r="L55" s="215">
        <f t="shared" ref="L55" si="14">F55*G55*H55*J55</f>
        <v>0</v>
      </c>
      <c r="M55" s="215">
        <f>L55-N55</f>
        <v>0</v>
      </c>
      <c r="N55" s="279">
        <f>L55/2</f>
        <v>0</v>
      </c>
      <c r="O55" s="431"/>
      <c r="P55" s="431"/>
      <c r="Q55" s="431"/>
      <c r="R55" s="431"/>
      <c r="S55" s="130" t="s">
        <v>101</v>
      </c>
    </row>
    <row r="56" spans="1:21" s="214" customFormat="1" outlineLevel="1" x14ac:dyDescent="0.3">
      <c r="A56" s="227"/>
      <c r="B56" s="155"/>
      <c r="C56" s="156"/>
      <c r="D56" s="117" t="s">
        <v>123</v>
      </c>
      <c r="E56" s="117"/>
      <c r="F56" s="160"/>
      <c r="G56" s="139"/>
      <c r="H56" s="117"/>
      <c r="I56" s="181"/>
      <c r="J56" s="117"/>
      <c r="K56" s="117"/>
      <c r="L56" s="118">
        <f>SUM(L54:L55)</f>
        <v>0</v>
      </c>
      <c r="M56" s="118">
        <f t="shared" ref="M56" si="15">SUM(M54:M55)</f>
        <v>0</v>
      </c>
      <c r="N56" s="118">
        <f>SUM(N54:N55)</f>
        <v>0</v>
      </c>
      <c r="O56" s="425"/>
      <c r="P56" s="425"/>
      <c r="Q56" s="425"/>
      <c r="R56" s="425"/>
      <c r="S56" s="131"/>
    </row>
    <row r="57" spans="1:21" ht="16.05" customHeight="1" x14ac:dyDescent="0.3">
      <c r="A57" s="167"/>
      <c r="B57" s="168"/>
      <c r="C57" s="169"/>
      <c r="D57" s="438" t="s">
        <v>40</v>
      </c>
      <c r="E57" s="439"/>
      <c r="F57" s="439"/>
      <c r="G57" s="439"/>
      <c r="H57" s="439"/>
      <c r="I57" s="439"/>
      <c r="J57" s="439"/>
      <c r="K57" s="440"/>
      <c r="L57" s="212">
        <f>L48+L52+L56</f>
        <v>14300</v>
      </c>
      <c r="M57" s="212">
        <f>M48+M52+M56</f>
        <v>11100</v>
      </c>
      <c r="N57" s="212">
        <f>N48+N52+N56</f>
        <v>3200</v>
      </c>
      <c r="O57" s="212"/>
      <c r="P57" s="212"/>
      <c r="Q57" s="212"/>
      <c r="R57" s="212"/>
      <c r="S57" s="136"/>
      <c r="U57" s="213"/>
    </row>
    <row r="58" spans="1:21" ht="15.45" customHeight="1" x14ac:dyDescent="0.3">
      <c r="A58" s="170"/>
      <c r="B58" s="171"/>
      <c r="C58" s="172"/>
      <c r="D58" s="205" t="s">
        <v>41</v>
      </c>
      <c r="E58" s="206"/>
      <c r="F58" s="206"/>
      <c r="G58" s="206"/>
      <c r="H58" s="206"/>
      <c r="I58" s="206"/>
      <c r="J58" s="206"/>
      <c r="K58" s="207"/>
      <c r="L58" s="191">
        <f>L57+L41</f>
        <v>140800</v>
      </c>
      <c r="M58" s="191">
        <f>M57+M41</f>
        <v>122600</v>
      </c>
      <c r="N58" s="191">
        <f>N57+N41</f>
        <v>18200</v>
      </c>
      <c r="O58" s="191"/>
      <c r="P58" s="191"/>
      <c r="Q58" s="191"/>
      <c r="R58" s="191"/>
      <c r="S58" s="146"/>
      <c r="T58" s="405">
        <f>SUM(T17:T57)</f>
        <v>170000</v>
      </c>
    </row>
    <row r="59" spans="1:21" ht="15.45" customHeight="1" x14ac:dyDescent="0.3">
      <c r="A59" s="173"/>
      <c r="B59" s="476">
        <v>7.0000000000000007E-2</v>
      </c>
      <c r="C59" s="174"/>
      <c r="D59" s="202" t="s">
        <v>244</v>
      </c>
      <c r="E59" s="203"/>
      <c r="F59" s="203"/>
      <c r="G59" s="203"/>
      <c r="H59" s="203"/>
      <c r="I59" s="203"/>
      <c r="J59" s="203"/>
      <c r="K59" s="204"/>
      <c r="L59" s="192">
        <f>L58*$B$59</f>
        <v>9856.0000000000018</v>
      </c>
      <c r="M59" s="192">
        <f>M58*$B$59</f>
        <v>8582</v>
      </c>
      <c r="N59" s="192">
        <f>N58*$B$59</f>
        <v>1274.0000000000002</v>
      </c>
      <c r="O59" s="192"/>
      <c r="P59" s="192"/>
      <c r="Q59" s="192"/>
      <c r="R59" s="192"/>
      <c r="S59" s="137"/>
    </row>
    <row r="60" spans="1:21" ht="18.45" customHeight="1" x14ac:dyDescent="0.3">
      <c r="A60" s="175"/>
      <c r="B60" s="176"/>
      <c r="C60" s="177"/>
      <c r="D60" s="236" t="s">
        <v>21</v>
      </c>
      <c r="E60" s="208"/>
      <c r="F60" s="208"/>
      <c r="G60" s="208"/>
      <c r="H60" s="208"/>
      <c r="I60" s="208"/>
      <c r="J60" s="208"/>
      <c r="K60" s="209"/>
      <c r="L60" s="193">
        <f>L59+L58</f>
        <v>150656</v>
      </c>
      <c r="M60" s="193">
        <f>M59+M58</f>
        <v>131182</v>
      </c>
      <c r="N60" s="193">
        <f>N59+N58</f>
        <v>19474</v>
      </c>
      <c r="O60" s="193"/>
      <c r="P60" s="193"/>
      <c r="Q60" s="193"/>
      <c r="R60" s="193"/>
      <c r="S60" s="138"/>
    </row>
    <row r="64" spans="1:21" x14ac:dyDescent="0.3">
      <c r="M64" s="213"/>
      <c r="O64" s="433"/>
      <c r="P64" s="433"/>
      <c r="Q64" s="433"/>
      <c r="R64" s="433"/>
    </row>
    <row r="65" spans="13:18" x14ac:dyDescent="0.3">
      <c r="M65" s="213"/>
      <c r="O65" s="433"/>
      <c r="P65" s="433"/>
      <c r="Q65" s="433"/>
      <c r="R65" s="433"/>
    </row>
  </sheetData>
  <mergeCells count="23">
    <mergeCell ref="A8:L8"/>
    <mergeCell ref="A27:F27"/>
    <mergeCell ref="A15:E15"/>
    <mergeCell ref="A26:E26"/>
    <mergeCell ref="A10:F10"/>
    <mergeCell ref="A12:F12"/>
    <mergeCell ref="A16:G16"/>
    <mergeCell ref="A20:G20"/>
    <mergeCell ref="A3:A4"/>
    <mergeCell ref="S3:S4"/>
    <mergeCell ref="A28:J28"/>
    <mergeCell ref="F3:F4"/>
    <mergeCell ref="E3:E4"/>
    <mergeCell ref="D3:D4"/>
    <mergeCell ref="C3:C4"/>
    <mergeCell ref="B3:B4"/>
    <mergeCell ref="K3:K4"/>
    <mergeCell ref="J3:J4"/>
    <mergeCell ref="I3:I4"/>
    <mergeCell ref="H3:H4"/>
    <mergeCell ref="G3:G4"/>
    <mergeCell ref="A6:E6"/>
    <mergeCell ref="A7:E7"/>
  </mergeCells>
  <phoneticPr fontId="47" type="noConversion"/>
  <conditionalFormatting sqref="M49:N49 M15:N16 M26:N27 M1:N7 M42:N47 M65:N1048576 M18:N19 R18:R19 R65:R1048576 R42:R44 R1:R3 R49 R5 R58:R63 M58:N58 R39 N39 R46:R47 M60:N63 O11:R11 M9:N12 M13:R13">
    <cfRule type="cellIs" dxfId="71" priority="194" operator="lessThan">
      <formula>0</formula>
    </cfRule>
  </conditionalFormatting>
  <conditionalFormatting sqref="M19:N19 R19">
    <cfRule type="cellIs" dxfId="70" priority="156" operator="lessThan">
      <formula>0</formula>
    </cfRule>
  </conditionalFormatting>
  <conditionalFormatting sqref="M38:N38 R38">
    <cfRule type="cellIs" dxfId="69" priority="147" operator="lessThan">
      <formula>0</formula>
    </cfRule>
  </conditionalFormatting>
  <conditionalFormatting sqref="L39:N39">
    <cfRule type="cellIs" dxfId="67" priority="145" operator="lessThan">
      <formula>0</formula>
    </cfRule>
  </conditionalFormatting>
  <conditionalFormatting sqref="M53:N53 R53">
    <cfRule type="cellIs" dxfId="65" priority="131" operator="lessThan">
      <formula>0</formula>
    </cfRule>
  </conditionalFormatting>
  <conditionalFormatting sqref="L59">
    <cfRule type="cellIs" dxfId="63" priority="129" operator="lessThan">
      <formula>0</formula>
    </cfRule>
  </conditionalFormatting>
  <conditionalFormatting sqref="R9">
    <cfRule type="cellIs" dxfId="62" priority="128" operator="lessThan">
      <formula>0</formula>
    </cfRule>
  </conditionalFormatting>
  <conditionalFormatting sqref="L2">
    <cfRule type="cellIs" dxfId="61" priority="110" operator="lessThan">
      <formula>0</formula>
    </cfRule>
  </conditionalFormatting>
  <conditionalFormatting sqref="N2">
    <cfRule type="cellIs" dxfId="60" priority="109" operator="lessThan">
      <formula>0</formula>
    </cfRule>
  </conditionalFormatting>
  <conditionalFormatting sqref="M50:N50 R50">
    <cfRule type="cellIs" dxfId="59" priority="100" operator="lessThan">
      <formula>0</formula>
    </cfRule>
  </conditionalFormatting>
  <conditionalFormatting sqref="M51:N51 R51">
    <cfRule type="cellIs" dxfId="55" priority="101" operator="lessThan">
      <formula>0</formula>
    </cfRule>
  </conditionalFormatting>
  <conditionalFormatting sqref="M54:N54 R54">
    <cfRule type="cellIs" dxfId="54" priority="99" operator="lessThan">
      <formula>0</formula>
    </cfRule>
  </conditionalFormatting>
  <conditionalFormatting sqref="M55:N55 R55">
    <cfRule type="cellIs" dxfId="51" priority="96" operator="lessThan">
      <formula>0</formula>
    </cfRule>
  </conditionalFormatting>
  <conditionalFormatting sqref="L23:N23 R23">
    <cfRule type="cellIs" dxfId="50" priority="95" operator="lessThan">
      <formula>0</formula>
    </cfRule>
  </conditionalFormatting>
  <conditionalFormatting sqref="M20:N23 R21:R23">
    <cfRule type="cellIs" dxfId="49" priority="94" operator="lessThan">
      <formula>0</formula>
    </cfRule>
  </conditionalFormatting>
  <conditionalFormatting sqref="M17:N17 R17">
    <cfRule type="cellIs" dxfId="48" priority="92" operator="lessThan">
      <formula>0</formula>
    </cfRule>
  </conditionalFormatting>
  <conditionalFormatting sqref="L38">
    <cfRule type="cellIs" dxfId="47" priority="90" operator="lessThan">
      <formula>0</formula>
    </cfRule>
  </conditionalFormatting>
  <conditionalFormatting sqref="N38">
    <cfRule type="cellIs" dxfId="46" priority="89" operator="lessThan">
      <formula>0</formula>
    </cfRule>
  </conditionalFormatting>
  <conditionalFormatting sqref="L64">
    <cfRule type="cellIs" dxfId="45" priority="81" operator="lessThan">
      <formula>0</formula>
    </cfRule>
  </conditionalFormatting>
  <conditionalFormatting sqref="Q58:Q63 Q18:Q19 Q13 Q65:Q1048576 Q42:Q44 Q1:Q3 Q49 Q5 Q46:Q47">
    <cfRule type="cellIs" dxfId="44" priority="80" operator="lessThan">
      <formula>0</formula>
    </cfRule>
  </conditionalFormatting>
  <conditionalFormatting sqref="Q19">
    <cfRule type="cellIs" dxfId="43" priority="79" operator="lessThan">
      <formula>0</formula>
    </cfRule>
  </conditionalFormatting>
  <conditionalFormatting sqref="Q38">
    <cfRule type="cellIs" dxfId="42" priority="77" operator="lessThan">
      <formula>0</formula>
    </cfRule>
  </conditionalFormatting>
  <conditionalFormatting sqref="Q39">
    <cfRule type="cellIs" dxfId="40" priority="76" operator="lessThan">
      <formula>0</formula>
    </cfRule>
  </conditionalFormatting>
  <conditionalFormatting sqref="Q53">
    <cfRule type="cellIs" dxfId="39" priority="71" operator="lessThan">
      <formula>0</formula>
    </cfRule>
  </conditionalFormatting>
  <conditionalFormatting sqref="Q9">
    <cfRule type="cellIs" dxfId="37" priority="70" operator="lessThan">
      <formula>0</formula>
    </cfRule>
  </conditionalFormatting>
  <conditionalFormatting sqref="Q50">
    <cfRule type="cellIs" dxfId="36" priority="65" operator="lessThan">
      <formula>0</formula>
    </cfRule>
  </conditionalFormatting>
  <conditionalFormatting sqref="Q51">
    <cfRule type="cellIs" dxfId="32" priority="66" operator="lessThan">
      <formula>0</formula>
    </cfRule>
  </conditionalFormatting>
  <conditionalFormatting sqref="Q54">
    <cfRule type="cellIs" dxfId="31" priority="64" operator="lessThan">
      <formula>0</formula>
    </cfRule>
  </conditionalFormatting>
  <conditionalFormatting sqref="Q55">
    <cfRule type="cellIs" dxfId="28" priority="61" operator="lessThan">
      <formula>0</formula>
    </cfRule>
  </conditionalFormatting>
  <conditionalFormatting sqref="Q23">
    <cfRule type="cellIs" dxfId="27" priority="60" operator="lessThan">
      <formula>0</formula>
    </cfRule>
  </conditionalFormatting>
  <conditionalFormatting sqref="Q21:Q23">
    <cfRule type="cellIs" dxfId="26" priority="59" operator="lessThan">
      <formula>0</formula>
    </cfRule>
  </conditionalFormatting>
  <conditionalFormatting sqref="Q17">
    <cfRule type="cellIs" dxfId="25" priority="58" operator="lessThan">
      <formula>0</formula>
    </cfRule>
  </conditionalFormatting>
  <conditionalFormatting sqref="O58:P63 O18:P19 O13:P13 O65:P1048576 O42:P44 O1:P3 O49:P49 O5:P5 O4:R4 O46:P47">
    <cfRule type="cellIs" dxfId="24" priority="55" operator="lessThan">
      <formula>0</formula>
    </cfRule>
  </conditionalFormatting>
  <conditionalFormatting sqref="O19:P19">
    <cfRule type="cellIs" dxfId="23" priority="54" operator="lessThan">
      <formula>0</formula>
    </cfRule>
  </conditionalFormatting>
  <conditionalFormatting sqref="O38:P38">
    <cfRule type="cellIs" dxfId="22" priority="52" operator="lessThan">
      <formula>0</formula>
    </cfRule>
  </conditionalFormatting>
  <conditionalFormatting sqref="O39:P39">
    <cfRule type="cellIs" dxfId="20" priority="51" operator="lessThan">
      <formula>0</formula>
    </cfRule>
  </conditionalFormatting>
  <conditionalFormatting sqref="O53:P53">
    <cfRule type="cellIs" dxfId="19" priority="46" operator="lessThan">
      <formula>0</formula>
    </cfRule>
  </conditionalFormatting>
  <conditionalFormatting sqref="O9:P9">
    <cfRule type="cellIs" dxfId="17" priority="45" operator="lessThan">
      <formula>0</formula>
    </cfRule>
  </conditionalFormatting>
  <conditionalFormatting sqref="O50:P50">
    <cfRule type="cellIs" dxfId="16" priority="40" operator="lessThan">
      <formula>0</formula>
    </cfRule>
  </conditionalFormatting>
  <conditionalFormatting sqref="O51:P51">
    <cfRule type="cellIs" dxfId="12" priority="41" operator="lessThan">
      <formula>0</formula>
    </cfRule>
  </conditionalFormatting>
  <conditionalFormatting sqref="O54:P54">
    <cfRule type="cellIs" dxfId="11" priority="39" operator="lessThan">
      <formula>0</formula>
    </cfRule>
  </conditionalFormatting>
  <conditionalFormatting sqref="O55:P55">
    <cfRule type="cellIs" dxfId="8" priority="36" operator="lessThan">
      <formula>0</formula>
    </cfRule>
  </conditionalFormatting>
  <conditionalFormatting sqref="O23:P23">
    <cfRule type="cellIs" dxfId="7" priority="35" operator="lessThan">
      <formula>0</formula>
    </cfRule>
  </conditionalFormatting>
  <conditionalFormatting sqref="O21:P23">
    <cfRule type="cellIs" dxfId="6" priority="34" operator="lessThan">
      <formula>0</formula>
    </cfRule>
  </conditionalFormatting>
  <conditionalFormatting sqref="O17:P17">
    <cfRule type="cellIs" dxfId="5" priority="33" operator="lessThan">
      <formula>0</formula>
    </cfRule>
  </conditionalFormatting>
  <conditionalFormatting sqref="R45">
    <cfRule type="cellIs" dxfId="4" priority="5" operator="lessThan">
      <formula>0</formula>
    </cfRule>
  </conditionalFormatting>
  <conditionalFormatting sqref="Q45">
    <cfRule type="cellIs" dxfId="3" priority="4" operator="lessThan">
      <formula>0</formula>
    </cfRule>
  </conditionalFormatting>
  <conditionalFormatting sqref="O45:P45">
    <cfRule type="cellIs" dxfId="2" priority="3" operator="lessThan">
      <formula>0</formula>
    </cfRule>
  </conditionalFormatting>
  <conditionalFormatting sqref="M59">
    <cfRule type="cellIs" dxfId="1" priority="2" operator="lessThan">
      <formula>0</formula>
    </cfRule>
  </conditionalFormatting>
  <conditionalFormatting sqref="N59">
    <cfRule type="cellIs" dxfId="0" priority="1" operator="lessThan">
      <formula>0</formula>
    </cfRule>
  </conditionalFormatting>
  <dataValidations count="1">
    <dataValidation type="list" allowBlank="1" showInputMessage="1" showErrorMessage="1" sqref="E41:E43 E48:E49 E52:E53 E56" xr:uid="{D3E556BA-9C07-A040-B856-3B2E434E466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97D2-B065-1341-8F01-6CB30C0CE37E}">
  <dimension ref="A2:K21"/>
  <sheetViews>
    <sheetView showZeros="0" tabSelected="1" topLeftCell="A4" zoomScale="85" zoomScaleNormal="85" workbookViewId="0">
      <selection activeCell="B11" sqref="B11:E11"/>
    </sheetView>
  </sheetViews>
  <sheetFormatPr defaultColWidth="8.6640625" defaultRowHeight="14.4" x14ac:dyDescent="0.3"/>
  <cols>
    <col min="1" max="1" width="61.6640625" style="285" customWidth="1"/>
    <col min="2" max="3" width="7.109375" style="285" customWidth="1"/>
    <col min="4" max="4" width="8" style="285" customWidth="1"/>
    <col min="5" max="5" width="7.109375" style="285" customWidth="1"/>
    <col min="6" max="6" width="65.77734375" style="285" customWidth="1"/>
    <col min="7" max="7" width="62.6640625" style="285" customWidth="1"/>
    <col min="8" max="9" width="15.33203125" style="285" customWidth="1"/>
    <col min="10" max="10" width="15.109375" style="285" customWidth="1"/>
    <col min="11" max="11" width="25" style="285" customWidth="1"/>
    <col min="12" max="16384" width="8.6640625" style="285"/>
  </cols>
  <sheetData>
    <row r="2" spans="1:11" ht="16.2" x14ac:dyDescent="0.3">
      <c r="A2" s="286" t="s">
        <v>107</v>
      </c>
      <c r="B2" s="286"/>
      <c r="C2" s="286"/>
      <c r="D2" s="286"/>
      <c r="E2" s="286"/>
      <c r="F2" s="286"/>
    </row>
    <row r="4" spans="1:11" s="287" customFormat="1" ht="32.25" customHeight="1" thickBot="1" x14ac:dyDescent="0.3">
      <c r="A4" s="477" t="str" cm="1">
        <f t="array" ref="A4:E4">'D. Budget by Outcome Febjun2021'!A6:E6</f>
        <v xml:space="preserve">Outcome 1: Protection, effective management and sustainable financing of priority coral reef sites and climate change-affected refugia </v>
      </c>
      <c r="B4" s="478">
        <v>0</v>
      </c>
      <c r="C4" s="478">
        <v>0</v>
      </c>
      <c r="D4" s="478">
        <v>0</v>
      </c>
      <c r="E4" s="478">
        <v>0</v>
      </c>
      <c r="F4" s="478"/>
      <c r="G4" s="478"/>
      <c r="H4" s="478"/>
      <c r="I4" s="478"/>
      <c r="J4" s="478"/>
      <c r="K4" s="479"/>
    </row>
    <row r="5" spans="1:11" s="287" customFormat="1" ht="32.700000000000003" customHeight="1" x14ac:dyDescent="0.25">
      <c r="A5" s="535" t="s">
        <v>28</v>
      </c>
      <c r="B5" s="537" t="s">
        <v>211</v>
      </c>
      <c r="C5" s="538"/>
      <c r="D5" s="538"/>
      <c r="E5" s="539"/>
      <c r="F5" s="528" t="s">
        <v>108</v>
      </c>
      <c r="G5" s="540" t="s">
        <v>4</v>
      </c>
      <c r="H5" s="540"/>
      <c r="I5" s="540"/>
      <c r="J5" s="540"/>
      <c r="K5" s="530" t="s">
        <v>111</v>
      </c>
    </row>
    <row r="6" spans="1:11" s="287" customFormat="1" ht="40.200000000000003" customHeight="1" thickBot="1" x14ac:dyDescent="0.3">
      <c r="A6" s="536"/>
      <c r="B6" s="288" t="s">
        <v>245</v>
      </c>
      <c r="C6" s="288" t="s">
        <v>246</v>
      </c>
      <c r="D6" s="288" t="s">
        <v>247</v>
      </c>
      <c r="E6" s="288" t="s">
        <v>248</v>
      </c>
      <c r="F6" s="529"/>
      <c r="G6" s="289" t="s">
        <v>212</v>
      </c>
      <c r="H6" s="290" t="s">
        <v>80</v>
      </c>
      <c r="I6" s="290" t="s">
        <v>213</v>
      </c>
      <c r="J6" s="290" t="s">
        <v>117</v>
      </c>
      <c r="K6" s="531"/>
    </row>
    <row r="7" spans="1:11" s="287" customFormat="1" ht="40.950000000000003" customHeight="1" x14ac:dyDescent="0.25">
      <c r="A7" s="541" t="s">
        <v>236</v>
      </c>
      <c r="B7" s="484"/>
      <c r="C7" s="484"/>
      <c r="D7" s="491" t="s">
        <v>214</v>
      </c>
      <c r="E7" s="484"/>
      <c r="F7" s="317" t="s">
        <v>188</v>
      </c>
      <c r="G7" s="375" t="str">
        <f>'D. Budget by Outcome Febjun2021'!S17</f>
        <v>Update and strengthen MPA Management Plans in VIP Phase 1 in connection and preparation for new activities such as nature based-tourism, mud crab, blue carbon, mangrove-shrimp aquaculture.</v>
      </c>
      <c r="H7" s="548">
        <f>'D. Budget by Outcome Febjun2021'!M24</f>
        <v>15500</v>
      </c>
      <c r="I7" s="548">
        <f>'D. Budget by Outcome Febjun2021'!N24</f>
        <v>5000</v>
      </c>
      <c r="J7" s="552">
        <f>SUM(H7,I7)</f>
        <v>20500</v>
      </c>
      <c r="K7" s="558" t="s">
        <v>237</v>
      </c>
    </row>
    <row r="8" spans="1:11" s="287" customFormat="1" ht="61.05" customHeight="1" x14ac:dyDescent="0.25">
      <c r="A8" s="598"/>
      <c r="B8" s="492" t="s">
        <v>10</v>
      </c>
      <c r="C8" s="492" t="s">
        <v>10</v>
      </c>
      <c r="D8" s="492" t="s">
        <v>10</v>
      </c>
      <c r="E8" s="492" t="s">
        <v>10</v>
      </c>
      <c r="F8" s="482" t="s">
        <v>186</v>
      </c>
      <c r="G8" s="483" t="str">
        <f>'D. Budget by Outcome Febjun2021'!S21</f>
        <v xml:space="preserve">Provide initial support for the SPE in VIP Mindoro  to ensure management focus on strategy execution: project planning and reporting, resource forecasting, facilitate &amp; ensure communication to key stakeholders, alignment of interrelations between activities, management of project risks;  </v>
      </c>
      <c r="H8" s="595"/>
      <c r="I8" s="595"/>
      <c r="J8" s="596"/>
      <c r="K8" s="597"/>
    </row>
    <row r="9" spans="1:11" s="287" customFormat="1" ht="42.6" customHeight="1" thickBot="1" x14ac:dyDescent="0.3">
      <c r="A9" s="477" t="str" cm="1">
        <f t="array" ref="A9:E9">'D. Budget by Outcome Febjun2021'!A26:E26</f>
        <v>Outcome 2: Transforming the livelihoods of coral reef-dependent communities</v>
      </c>
      <c r="B9" s="485">
        <v>0</v>
      </c>
      <c r="C9" s="485">
        <v>0</v>
      </c>
      <c r="D9" s="485">
        <v>0</v>
      </c>
      <c r="E9" s="485">
        <v>0</v>
      </c>
      <c r="F9" s="485"/>
      <c r="G9" s="480"/>
      <c r="H9" s="480"/>
      <c r="I9" s="480"/>
      <c r="J9" s="480"/>
      <c r="K9" s="481"/>
    </row>
    <row r="10" spans="1:11" s="287" customFormat="1" ht="32.700000000000003" customHeight="1" x14ac:dyDescent="0.25">
      <c r="A10" s="535" t="s">
        <v>28</v>
      </c>
      <c r="B10" s="537" t="s">
        <v>211</v>
      </c>
      <c r="C10" s="538"/>
      <c r="D10" s="538"/>
      <c r="E10" s="539"/>
      <c r="F10" s="528" t="s">
        <v>108</v>
      </c>
      <c r="G10" s="540" t="s">
        <v>4</v>
      </c>
      <c r="H10" s="540"/>
      <c r="I10" s="540"/>
      <c r="J10" s="540"/>
      <c r="K10" s="530" t="s">
        <v>111</v>
      </c>
    </row>
    <row r="11" spans="1:11" s="287" customFormat="1" ht="40.200000000000003" customHeight="1" thickBot="1" x14ac:dyDescent="0.3">
      <c r="A11" s="536"/>
      <c r="B11" s="288" t="s">
        <v>245</v>
      </c>
      <c r="C11" s="288" t="s">
        <v>246</v>
      </c>
      <c r="D11" s="288" t="s">
        <v>247</v>
      </c>
      <c r="E11" s="288" t="s">
        <v>248</v>
      </c>
      <c r="F11" s="529"/>
      <c r="G11" s="289" t="s">
        <v>212</v>
      </c>
      <c r="H11" s="290" t="s">
        <v>80</v>
      </c>
      <c r="I11" s="290" t="s">
        <v>213</v>
      </c>
      <c r="J11" s="290" t="s">
        <v>117</v>
      </c>
      <c r="K11" s="531"/>
    </row>
    <row r="12" spans="1:11" s="287" customFormat="1" ht="40.049999999999997" customHeight="1" thickTop="1" thickBot="1" x14ac:dyDescent="0.3">
      <c r="A12" s="489" t="s">
        <v>192</v>
      </c>
      <c r="B12" s="487"/>
      <c r="C12" s="487"/>
      <c r="D12" s="487"/>
      <c r="E12" s="487"/>
      <c r="F12" s="494" t="s">
        <v>189</v>
      </c>
      <c r="G12" s="384" t="s">
        <v>238</v>
      </c>
      <c r="H12" s="488">
        <f>'D. Budget by Outcome Febjun2021'!M38</f>
        <v>96000</v>
      </c>
      <c r="I12" s="488">
        <f>'D. Budget by Outcome Febjun2021'!N38</f>
        <v>10000</v>
      </c>
      <c r="J12" s="486">
        <f>SUM(H12,I12)</f>
        <v>106000</v>
      </c>
      <c r="K12" s="487" t="s">
        <v>239</v>
      </c>
    </row>
    <row r="13" spans="1:11" s="287" customFormat="1" ht="15" hidden="1" thickTop="1" thickBot="1" x14ac:dyDescent="0.3">
      <c r="A13" s="409"/>
      <c r="B13" s="410"/>
      <c r="C13" s="410"/>
      <c r="D13" s="410"/>
      <c r="E13" s="410"/>
      <c r="F13" s="307"/>
      <c r="G13" s="384"/>
      <c r="H13" s="411"/>
      <c r="I13" s="411"/>
      <c r="J13" s="412">
        <f>SUM(H13,I13)</f>
        <v>0</v>
      </c>
      <c r="K13" s="410"/>
    </row>
    <row r="14" spans="1:11" s="287" customFormat="1" hidden="1" thickBot="1" x14ac:dyDescent="0.3">
      <c r="A14" s="332"/>
      <c r="B14" s="410"/>
      <c r="C14" s="410"/>
      <c r="D14" s="410"/>
      <c r="E14" s="410"/>
      <c r="F14" s="307"/>
      <c r="G14" s="386"/>
      <c r="H14" s="334"/>
      <c r="I14" s="334"/>
      <c r="J14" s="335">
        <f>SUM(H14,I14)</f>
        <v>0</v>
      </c>
      <c r="K14" s="410"/>
    </row>
    <row r="15" spans="1:11" s="287" customFormat="1" ht="32.700000000000003" customHeight="1" x14ac:dyDescent="0.25">
      <c r="A15" s="566" t="e">
        <f>'[8]D. Budget by Outcome -'!A93</f>
        <v>#REF!</v>
      </c>
      <c r="B15" s="567"/>
      <c r="C15" s="567"/>
      <c r="D15" s="568"/>
      <c r="E15" s="569"/>
      <c r="F15" s="528" t="s">
        <v>108</v>
      </c>
      <c r="G15" s="540" t="s">
        <v>4</v>
      </c>
      <c r="H15" s="540"/>
      <c r="I15" s="540"/>
      <c r="J15" s="540"/>
      <c r="K15" s="530" t="s">
        <v>111</v>
      </c>
    </row>
    <row r="16" spans="1:11" s="287" customFormat="1" ht="40.200000000000003" customHeight="1" thickBot="1" x14ac:dyDescent="0.3">
      <c r="A16" s="570"/>
      <c r="B16" s="571"/>
      <c r="C16" s="571"/>
      <c r="D16" s="572"/>
      <c r="E16" s="573"/>
      <c r="F16" s="529"/>
      <c r="G16" s="289" t="s">
        <v>212</v>
      </c>
      <c r="H16" s="290" t="s">
        <v>80</v>
      </c>
      <c r="I16" s="290" t="s">
        <v>213</v>
      </c>
      <c r="J16" s="290" t="s">
        <v>117</v>
      </c>
      <c r="K16" s="531"/>
    </row>
    <row r="17" spans="1:11" s="287" customFormat="1" ht="32.25" customHeight="1" thickTop="1" thickBot="1" x14ac:dyDescent="0.3">
      <c r="A17" s="333" t="s">
        <v>119</v>
      </c>
      <c r="B17" s="493" t="s">
        <v>10</v>
      </c>
      <c r="C17" s="493" t="s">
        <v>10</v>
      </c>
      <c r="D17" s="493" t="s">
        <v>10</v>
      </c>
      <c r="E17" s="493" t="s">
        <v>10</v>
      </c>
      <c r="F17" s="310" t="s">
        <v>242</v>
      </c>
      <c r="G17" s="382"/>
      <c r="H17" s="407">
        <f>'D. Budget by Outcome Febjun2021'!M48</f>
        <v>9600</v>
      </c>
      <c r="I17" s="407">
        <f>'D. Budget by Outcome Febjun2021'!N48</f>
        <v>3200</v>
      </c>
      <c r="J17" s="412">
        <f>SUM(H17,I17)</f>
        <v>12800</v>
      </c>
      <c r="K17" s="408" t="s">
        <v>243</v>
      </c>
    </row>
    <row r="18" spans="1:11" s="287" customFormat="1" ht="32.25" customHeight="1" thickTop="1" thickBot="1" x14ac:dyDescent="0.3">
      <c r="A18" s="333" t="s">
        <v>120</v>
      </c>
      <c r="B18" s="493" t="s">
        <v>10</v>
      </c>
      <c r="C18" s="493" t="s">
        <v>10</v>
      </c>
      <c r="D18" s="493" t="s">
        <v>10</v>
      </c>
      <c r="E18" s="493" t="s">
        <v>10</v>
      </c>
      <c r="F18" s="310" t="s">
        <v>241</v>
      </c>
      <c r="G18" s="383"/>
      <c r="H18" s="336">
        <f>'D. Budget by Outcome Febjun2021'!M52</f>
        <v>1500</v>
      </c>
      <c r="I18" s="336">
        <v>0</v>
      </c>
      <c r="J18" s="412">
        <f>SUM(H18,I18)</f>
        <v>1500</v>
      </c>
      <c r="K18" s="338" t="s">
        <v>240</v>
      </c>
    </row>
    <row r="19" spans="1:11" s="287" customFormat="1" ht="32.25" customHeight="1" thickTop="1" thickBot="1" x14ac:dyDescent="0.3">
      <c r="A19" s="333" t="s">
        <v>19</v>
      </c>
      <c r="B19" s="387"/>
      <c r="C19" s="387"/>
      <c r="D19" s="387"/>
      <c r="E19" s="387"/>
      <c r="F19" s="310"/>
      <c r="G19" s="599"/>
      <c r="H19" s="600"/>
      <c r="I19" s="600"/>
      <c r="J19" s="601">
        <f>SUM(H19,I19)</f>
        <v>0</v>
      </c>
      <c r="K19" s="338"/>
    </row>
    <row r="20" spans="1:11" ht="15.6" thickTop="1" thickBot="1" x14ac:dyDescent="0.35">
      <c r="G20" s="602" t="s">
        <v>106</v>
      </c>
      <c r="H20" s="603">
        <f>SUM(H7+H12+H17+H18)</f>
        <v>122600</v>
      </c>
      <c r="I20" s="603">
        <f t="shared" ref="H20:I20" si="0">SUM(I7+I12+I17+I18)</f>
        <v>18200</v>
      </c>
      <c r="J20" s="604">
        <f>SUM(J7+J12+J17+J18)</f>
        <v>140800</v>
      </c>
    </row>
    <row r="21" spans="1:11" x14ac:dyDescent="0.3">
      <c r="B21" s="380"/>
      <c r="G21" s="380"/>
    </row>
  </sheetData>
  <mergeCells count="19">
    <mergeCell ref="K5:K6"/>
    <mergeCell ref="A5:A6"/>
    <mergeCell ref="B5:E5"/>
    <mergeCell ref="F5:F6"/>
    <mergeCell ref="G5:J5"/>
    <mergeCell ref="I7:I8"/>
    <mergeCell ref="J7:J8"/>
    <mergeCell ref="K7:K8"/>
    <mergeCell ref="A7:A8"/>
    <mergeCell ref="H7:H8"/>
    <mergeCell ref="A15:E16"/>
    <mergeCell ref="F15:F16"/>
    <mergeCell ref="G15:J15"/>
    <mergeCell ref="K15:K16"/>
    <mergeCell ref="K10:K11"/>
    <mergeCell ref="A10:A11"/>
    <mergeCell ref="B10:E10"/>
    <mergeCell ref="F10:F11"/>
    <mergeCell ref="G10:J10"/>
  </mergeCells>
  <pageMargins left="0.7" right="0.7" top="0.75" bottom="0.75" header="0.3" footer="0.3"/>
  <pageSetup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A2180A-A4BC-4B8D-BF8C-C3F1F2FBDFEC}"/>
</file>

<file path=customXml/itemProps2.xml><?xml version="1.0" encoding="utf-8"?>
<ds:datastoreItem xmlns:ds="http://schemas.openxmlformats.org/officeDocument/2006/customXml" ds:itemID="{55F9A4DA-1117-4876-AC9E-E18B637E7102}">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c8095fe1-4b89-4801-86fa-064e99deff21"/>
    <ds:schemaRef ds:uri="cae39d7f-a6f4-4dea-9233-54c20d0c5c46"/>
  </ds:schemaRefs>
</ds:datastoreItem>
</file>

<file path=customXml/itemProps3.xml><?xml version="1.0" encoding="utf-8"?>
<ds:datastoreItem xmlns:ds="http://schemas.openxmlformats.org/officeDocument/2006/customXml" ds:itemID="{6FA0F88B-E7E7-4D0A-A902-1FF9D064D458}">
  <ds:schemaRefs>
    <ds:schemaRef ds:uri="http://schemas.microsoft.com/DataMashup"/>
  </ds:schemaRefs>
</ds:datastoreItem>
</file>

<file path=customXml/itemProps4.xml><?xml version="1.0" encoding="utf-8"?>
<ds:datastoreItem xmlns:ds="http://schemas.openxmlformats.org/officeDocument/2006/customXml" ds:itemID="{91133C7A-8439-48C0-A254-63721FC31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 Work Plan -</vt:lpstr>
      <vt:lpstr>A. Budget UNDG Categories -</vt:lpstr>
      <vt:lpstr>B. Budget per SDG targets</vt:lpstr>
      <vt:lpstr>C. Workplan</vt:lpstr>
      <vt:lpstr>Sheet1</vt:lpstr>
      <vt:lpstr>A. Budget UNDG Categories - (2)</vt:lpstr>
      <vt:lpstr>D. Budget by Outcome Febjun2021</vt:lpstr>
      <vt:lpstr>C. Workplan (2)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andrei.dementiev@undp.org</dc:creator>
  <cp:lastModifiedBy>Maxime</cp:lastModifiedBy>
  <cp:revision/>
  <dcterms:created xsi:type="dcterms:W3CDTF">2017-12-30T00:13:26Z</dcterms:created>
  <dcterms:modified xsi:type="dcterms:W3CDTF">2021-05-17T15:04:54Z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ies>
</file>