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showObjects="none" codeName="ThisWorkbook" defaultThemeVersion="166925"/>
  <mc:AlternateContent xmlns:mc="http://schemas.openxmlformats.org/markup-compatibility/2006">
    <mc:Choice Requires="x15">
      <x15ac:absPath xmlns:x15ac="http://schemas.microsoft.com/office/spreadsheetml/2010/11/ac" url="https://consolidatededison-my.sharepoint.com/personal/madnickp_oru_com/Documents/Desktop 1/"/>
    </mc:Choice>
  </mc:AlternateContent>
  <xr:revisionPtr revIDLastSave="50" documentId="8_{80CACA78-731F-43F0-A012-5F69B8364D90}" xr6:coauthVersionLast="47" xr6:coauthVersionMax="47" xr10:uidLastSave="{01B9CBC2-0235-4D35-B97F-8E0D2DE5BF0F}"/>
  <bookViews>
    <workbookView xWindow="-19320" yWindow="6960" windowWidth="19440" windowHeight="14880" firstSheet="7" activeTab="22" xr2:uid="{994A9831-DA07-44C9-AE05-AE3DE15EE07D}"/>
  </bookViews>
  <sheets>
    <sheet name="Ap A - Participant Def" sheetId="9" r:id="rId1"/>
    <sheet name="Table 1" sheetId="16" r:id="rId2"/>
    <sheet name="Table 2" sheetId="24" r:id="rId3"/>
    <sheet name="Tables 3-6" sheetId="15" r:id="rId4"/>
    <sheet name="Table 7 " sheetId="14" r:id="rId5"/>
    <sheet name="Table 8" sheetId="22" r:id="rId6"/>
    <sheet name="Ap B - Qtr Electric Master" sheetId="1" r:id="rId7"/>
    <sheet name="Ap B - Participant Spend" sheetId="31" r:id="rId8"/>
    <sheet name="Ap C- Qtr Electric LMI" sheetId="2" r:id="rId9"/>
    <sheet name="AP D - Qtr Electric Business" sheetId="3" r:id="rId10"/>
    <sheet name="Ap B - Qtr Gas Master" sheetId="32" state="hidden" r:id="rId11"/>
    <sheet name="Ap E - NJ CEA Benchmarks" sheetId="4" r:id="rId12"/>
    <sheet name="Ap F Net Transfers" sheetId="29" r:id="rId13"/>
    <sheet name="Ap G Additional" sheetId="23" r:id="rId14"/>
    <sheet name="AP H -CostTest" sheetId="7" r:id="rId15"/>
    <sheet name="Ap I Prog Chg" sheetId="8" r:id="rId16"/>
    <sheet name="Ap J QPI" sheetId="26" r:id="rId17"/>
    <sheet name="QPI Table Work up" sheetId="25" state="hidden" r:id="rId18"/>
    <sheet name="Verification" sheetId="30" state="hidden" r:id="rId19"/>
    <sheet name="JCPL_Formula" sheetId="10" state="hidden" r:id="rId20"/>
    <sheet name="JCPL_Match" sheetId="18" state="hidden" r:id="rId21"/>
    <sheet name="Other_Outputs" sheetId="11" state="hidden" r:id="rId22"/>
    <sheet name="RECO" sheetId="17" r:id="rId23"/>
    <sheet name="RECO_BD" sheetId="28" r:id="rId24"/>
    <sheet name="Metrics" sheetId="27" r:id="rId25"/>
    <sheet name="H_Factors" sheetId="12" r:id="rId26"/>
    <sheet name="Lookup_Sheet" sheetId="13" r:id="rId27"/>
  </sheets>
  <externalReferences>
    <externalReference r:id="rId28"/>
    <externalReference r:id="rId29"/>
  </externalReferences>
  <definedNames>
    <definedName name="CO2pergasMMBtu">Metrics!$I$1</definedName>
    <definedName name="Costs_Admin">#REF!</definedName>
    <definedName name="Costs_Financing">#REF!</definedName>
    <definedName name="Costs_Incentives">#REF!</definedName>
    <definedName name="Costs_Sector">#REF!</definedName>
    <definedName name="MMBTUperMWH">Metrics!$G$1</definedName>
    <definedName name="NJCT_Ancillary_Services">#REF!</definedName>
    <definedName name="NJCT_Avoided_RECS">#REF!</definedName>
    <definedName name="NJCT_Avoided_Replacement">#REF!</definedName>
    <definedName name="NJCT_Avoided_TandD">#REF!</definedName>
    <definedName name="NJCT_Capacity_DRIPE">#REF!</definedName>
    <definedName name="NJCT_Electric_Cap">#REF!</definedName>
    <definedName name="NJCT_Electric_CO2">#REF!</definedName>
    <definedName name="NJCT_Electric_Energy_DRIPE">#REF!</definedName>
    <definedName name="NJCT_Electric_Generation">#REF!</definedName>
    <definedName name="NJCT_Gas_CO2">#REF!</definedName>
    <definedName name="NJCT_Gas_Supply">#REF!</definedName>
    <definedName name="NJCT_NEB">#REF!</definedName>
    <definedName name="NJCT_Wholesale_Volatility">#REF!</definedName>
    <definedName name="Participant_Electric_Bill_Savings">#REF!</definedName>
    <definedName name="Participant_Gas_Bill_Savings">#REF!</definedName>
    <definedName name="RIM_Bill_Increase">#REF!</definedName>
    <definedName name="RIM_Bill_Savings">#REF!</definedName>
    <definedName name="Sector">#REF!</definedName>
    <definedName name="SOC_Gas_DRIPE">#REF!</definedName>
    <definedName name="SOC_JobsBenefit">#REF!</definedName>
    <definedName name="SOC_SO2_NOx">#REF!</definedName>
    <definedName name="Total_IC">#REF!</definedName>
    <definedName name="TRC_Avoided_Capacity">#REF!</definedName>
    <definedName name="TRC_Avoided_Gen">#REF!</definedName>
    <definedName name="TRC_Avoided_REC">#REF!</definedName>
    <definedName name="TRC_Avoided_Replacement">#REF!</definedName>
    <definedName name="TRC_Avoided_TandD">#REF!</definedName>
    <definedName name="TRC_Electric_Energy_and_Cap_DRIPE">#REF!</definedName>
    <definedName name="TRC_Gas_Supply">#REF!</definedName>
    <definedName name="TRC_Wholesale_Volatility">#REF!</definedName>
    <definedName name="wrn.CFC._.QUARTER." localSheetId="0" hidden="1">{"CFC COMPARISON",#N/A,FALSE,"CFCCOMP";"CREDIT LETTER",#N/A,FALSE,"CFCCOMP";"DEBT OBLIGATION",#N/A,FALSE,"CFCCOMP";"OFFICERS CERTIFICATE",#N/A,FALSE,"CFCCOMP"}</definedName>
    <definedName name="wrn.CFC._.QUARTER." hidden="1">{"CFC COMPARISON",#N/A,FALSE,"CFCCOMP";"CREDIT LETTER",#N/A,FALSE,"CFCCOMP";"DEBT OBLIGATION",#N/A,FALSE,"CFCCOMP";"OFFICERS CERTIFICATE",#N/A,FALSE,"CFCCOMP"}</definedName>
    <definedName name="wrn.FUEL._.SCHEDULE." localSheetId="0" hidden="1">{"COVER",#N/A,FALSE,"COVERPMT";"COMPANY ORDER",#N/A,FALSE,"COVERPMT";"EXHIBIT A",#N/A,FALSE,"COVERPMT"}</definedName>
    <definedName name="wrn.FUEL._.SCHEDULE." hidden="1">{"COVER",#N/A,FALSE,"COVERPMT";"COMPANY ORDER",#N/A,FALSE,"COVERPMT";"EXHIBIT A",#N/A,FALSE,"COVERPMT"}</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8" i="15" l="1"/>
  <c r="H29" i="15"/>
  <c r="H16" i="15"/>
  <c r="H17" i="15"/>
  <c r="H5" i="15"/>
  <c r="H6" i="15"/>
  <c r="E34" i="1"/>
  <c r="E32" i="1"/>
  <c r="S40" i="17"/>
  <c r="S38" i="17"/>
  <c r="S37" i="17"/>
  <c r="S36" i="17"/>
  <c r="S33" i="17"/>
  <c r="S34" i="17"/>
  <c r="S32" i="17"/>
  <c r="S28" i="17"/>
  <c r="S29" i="17"/>
  <c r="S30" i="17"/>
  <c r="S27" i="17"/>
  <c r="S26" i="17"/>
  <c r="S12" i="17"/>
  <c r="S13" i="17"/>
  <c r="S14" i="17"/>
  <c r="S15" i="17"/>
  <c r="S16" i="17"/>
  <c r="S17" i="17"/>
  <c r="S18" i="17"/>
  <c r="S19" i="17"/>
  <c r="S20" i="17"/>
  <c r="S21" i="17"/>
  <c r="S22" i="17"/>
  <c r="S11" i="17"/>
  <c r="S6" i="17"/>
  <c r="S7" i="17"/>
  <c r="S8" i="17"/>
  <c r="S9" i="17"/>
  <c r="S5" i="17"/>
  <c r="E12" i="1"/>
  <c r="E7" i="1"/>
  <c r="J34" i="31"/>
  <c r="J32" i="31"/>
  <c r="E32" i="31"/>
  <c r="J12" i="31"/>
  <c r="J7" i="31"/>
  <c r="E7" i="31"/>
  <c r="M17" i="15" l="1" a="1"/>
  <c r="M17" i="15" s="1"/>
  <c r="L17" i="15" a="1"/>
  <c r="L17" i="15" s="1"/>
  <c r="J19" i="31" a="1"/>
  <c r="J19" i="31" s="1"/>
  <c r="Q6" i="17" l="1"/>
  <c r="G25" i="2" a="1"/>
  <c r="G25" i="2" s="1"/>
  <c r="G24" i="2" a="1"/>
  <c r="G24" i="2" s="1"/>
  <c r="F25" i="2" a="1"/>
  <c r="F25" i="2" s="1"/>
  <c r="F24" i="2" a="1"/>
  <c r="F24" i="2" s="1"/>
  <c r="E26" i="2" a="1"/>
  <c r="E26" i="2" s="1"/>
  <c r="E25" i="2"/>
  <c r="D25" i="2"/>
  <c r="L7" i="28"/>
  <c r="D26" i="2" a="1"/>
  <c r="D26" i="2" s="1"/>
  <c r="I25" i="2" a="1"/>
  <c r="I25" i="2" s="1"/>
  <c r="H25" i="2" a="1"/>
  <c r="H25" i="2" s="1"/>
  <c r="I24" i="2" a="1"/>
  <c r="I24" i="2" s="1"/>
  <c r="H24" i="2" a="1"/>
  <c r="H24" i="2" s="1"/>
  <c r="D39" i="1"/>
  <c r="K38" i="1" a="1"/>
  <c r="K38" i="1" s="1"/>
  <c r="J38" i="1" a="1"/>
  <c r="J38" i="1" s="1"/>
  <c r="I38" i="1" a="1"/>
  <c r="I38" i="1" s="1"/>
  <c r="H38" i="1" a="1"/>
  <c r="H38" i="1" s="1"/>
  <c r="F38" i="1" a="1"/>
  <c r="F38" i="1" s="1"/>
  <c r="G38" i="1" s="1"/>
  <c r="D38" i="1" a="1"/>
  <c r="D38" i="1" s="1"/>
  <c r="K37" i="1" a="1"/>
  <c r="K37" i="1" s="1"/>
  <c r="J37" i="1" a="1"/>
  <c r="J37" i="1" s="1"/>
  <c r="I37" i="1" a="1"/>
  <c r="I37" i="1" s="1"/>
  <c r="H37" i="1" a="1"/>
  <c r="H37" i="1" s="1"/>
  <c r="F37" i="1" a="1"/>
  <c r="F37" i="1" s="1"/>
  <c r="E37" i="1" a="1"/>
  <c r="E37" i="1" s="1"/>
  <c r="D37" i="1" a="1"/>
  <c r="D37" i="1" s="1"/>
  <c r="K39" i="1"/>
  <c r="J39" i="1"/>
  <c r="I39" i="1"/>
  <c r="H39" i="1"/>
  <c r="F39" i="31"/>
  <c r="F38" i="31"/>
  <c r="E38" i="31"/>
  <c r="D39" i="31"/>
  <c r="D37" i="31"/>
  <c r="D38" i="31"/>
  <c r="K39" i="31"/>
  <c r="J39" i="31"/>
  <c r="H39" i="31"/>
  <c r="K38" i="31"/>
  <c r="M38" i="31" s="1"/>
  <c r="J38" i="31"/>
  <c r="H38" i="31"/>
  <c r="K37" i="31"/>
  <c r="J37" i="31"/>
  <c r="H37" i="31"/>
  <c r="N17" i="15" a="1"/>
  <c r="N17" i="15" s="1"/>
  <c r="M6" i="15" a="1"/>
  <c r="M6" i="15" s="1"/>
  <c r="L6" i="15" a="1"/>
  <c r="L6" i="15" s="1"/>
  <c r="AA7" i="28"/>
  <c r="AC7" i="28" s="1"/>
  <c r="U7" i="28"/>
  <c r="S7" i="28"/>
  <c r="T7" i="28"/>
  <c r="V7" i="28" s="1"/>
  <c r="R7" i="28"/>
  <c r="D11" i="14" a="1"/>
  <c r="D11" i="14" s="1"/>
  <c r="E73" i="15"/>
  <c r="E72" i="15"/>
  <c r="E68" i="15"/>
  <c r="E69" i="15"/>
  <c r="E70" i="15"/>
  <c r="E71" i="15"/>
  <c r="E67" i="15"/>
  <c r="E64" i="15"/>
  <c r="E63" i="15"/>
  <c r="D73" i="15"/>
  <c r="C73" i="15"/>
  <c r="C72" i="15"/>
  <c r="C68" i="15"/>
  <c r="C69" i="15"/>
  <c r="C70" i="15"/>
  <c r="C71" i="15"/>
  <c r="C67" i="15"/>
  <c r="C64" i="15"/>
  <c r="C63" i="15"/>
  <c r="B73" i="15"/>
  <c r="E57" i="15"/>
  <c r="E52" i="15"/>
  <c r="E53" i="15"/>
  <c r="E56" i="15"/>
  <c r="E51" i="15"/>
  <c r="D58" i="15"/>
  <c r="C51" i="15"/>
  <c r="C52" i="15"/>
  <c r="C53" i="15"/>
  <c r="C54" i="15"/>
  <c r="E54" i="15" s="1"/>
  <c r="C55" i="15"/>
  <c r="E55" i="15" s="1"/>
  <c r="C56" i="15"/>
  <c r="C57" i="15"/>
  <c r="C50" i="15"/>
  <c r="B58" i="15"/>
  <c r="M37" i="31" l="1"/>
  <c r="C58" i="15"/>
  <c r="E58" i="15"/>
  <c r="M39" i="31"/>
  <c r="G38" i="31"/>
  <c r="J34" i="15"/>
  <c r="F10" i="2" a="1"/>
  <c r="F10" i="2" s="1"/>
  <c r="G10" i="2" a="1"/>
  <c r="G10" i="2" s="1"/>
  <c r="E10" i="2" a="1"/>
  <c r="E10" i="2" s="1"/>
  <c r="D10" i="2" a="1"/>
  <c r="D10" i="2" s="1"/>
  <c r="J40" i="27" l="1"/>
  <c r="J41" i="27"/>
  <c r="L35" i="27"/>
  <c r="M35" i="27"/>
  <c r="R35" i="27"/>
  <c r="J7" i="27"/>
  <c r="J9" i="27"/>
  <c r="J13" i="27"/>
  <c r="J16" i="27"/>
  <c r="J17" i="27"/>
  <c r="J18" i="27"/>
  <c r="J19" i="27"/>
  <c r="J20" i="27"/>
  <c r="J21" i="27"/>
  <c r="AL26" i="17" l="1"/>
  <c r="M26" i="17"/>
  <c r="F26" i="17"/>
  <c r="L12" i="4"/>
  <c r="K12" i="4"/>
  <c r="J12" i="4"/>
  <c r="I12" i="4"/>
  <c r="M12" i="4"/>
  <c r="N12" i="4" s="1"/>
  <c r="H18" i="15" l="1" a="1"/>
  <c r="H18" i="15" s="1"/>
  <c r="E39" i="31"/>
  <c r="G39" i="31" s="1"/>
  <c r="H7" i="15" a="1"/>
  <c r="H7" i="15" s="1"/>
  <c r="E39" i="1"/>
  <c r="H30" i="15" a="1"/>
  <c r="H30" i="15" s="1"/>
  <c r="H12" i="4"/>
  <c r="G10" i="4"/>
  <c r="G11" i="4"/>
  <c r="G9" i="4"/>
  <c r="AO38" i="17" l="1"/>
  <c r="AO18" i="17"/>
  <c r="T38" i="17"/>
  <c r="R38" i="17"/>
  <c r="AO37" i="17"/>
  <c r="AO17" i="17"/>
  <c r="T37" i="17"/>
  <c r="R37" i="17"/>
  <c r="AQ36" i="17"/>
  <c r="AR36" i="17" s="1"/>
  <c r="AO36" i="17"/>
  <c r="AO16" i="17"/>
  <c r="Y36" i="17"/>
  <c r="T36" i="17"/>
  <c r="R36" i="17"/>
  <c r="AQ37" i="17" l="1"/>
  <c r="AQ38" i="17"/>
  <c r="AR38" i="17" s="1"/>
  <c r="J37" i="27"/>
  <c r="X36" i="17"/>
  <c r="J39" i="27"/>
  <c r="X38" i="17"/>
  <c r="J38" i="27"/>
  <c r="AO21" i="17"/>
  <c r="AO24" i="17"/>
  <c r="J24" i="17"/>
  <c r="L24" i="17" s="1"/>
  <c r="D24" i="2" s="1" a="1"/>
  <c r="D24" i="2" s="1"/>
  <c r="I24" i="17"/>
  <c r="AO14" i="17"/>
  <c r="AO13" i="17"/>
  <c r="AO32" i="17"/>
  <c r="AO11" i="17"/>
  <c r="T32" i="17"/>
  <c r="R32" i="17"/>
  <c r="AO12" i="17"/>
  <c r="T12" i="17"/>
  <c r="R12" i="17"/>
  <c r="AO15" i="17"/>
  <c r="V15" i="17"/>
  <c r="U15" i="17"/>
  <c r="W15" i="17" s="1"/>
  <c r="T15" i="17"/>
  <c r="R15" i="17"/>
  <c r="J15" i="17"/>
  <c r="L15" i="17" s="1"/>
  <c r="I15" i="17"/>
  <c r="AO30" i="17"/>
  <c r="AO8" i="17"/>
  <c r="V30" i="17"/>
  <c r="U30" i="17"/>
  <c r="W30" i="17" s="1"/>
  <c r="U8" i="17"/>
  <c r="W8" i="17" s="1"/>
  <c r="H10" i="2" s="1" a="1"/>
  <c r="H10" i="2" s="1"/>
  <c r="T30" i="17"/>
  <c r="T8" i="17"/>
  <c r="R30" i="17"/>
  <c r="R8" i="17"/>
  <c r="Q8" i="17"/>
  <c r="V8" i="17" s="1"/>
  <c r="AQ27" i="17"/>
  <c r="AO27" i="17"/>
  <c r="AO5" i="17"/>
  <c r="T27" i="17"/>
  <c r="T5" i="17"/>
  <c r="R27" i="17"/>
  <c r="R5" i="17"/>
  <c r="AO29" i="17"/>
  <c r="AO9" i="17"/>
  <c r="T29" i="17"/>
  <c r="R29" i="17"/>
  <c r="AO6" i="17"/>
  <c r="AO28" i="17"/>
  <c r="V28" i="17"/>
  <c r="U28" i="17"/>
  <c r="W28" i="17" s="1"/>
  <c r="U6" i="17"/>
  <c r="T28" i="17"/>
  <c r="T6" i="17"/>
  <c r="R28" i="17"/>
  <c r="R6" i="17"/>
  <c r="J6" i="27" s="1"/>
  <c r="AS26" i="17"/>
  <c r="AO26" i="17"/>
  <c r="V26" i="17"/>
  <c r="U26" i="17"/>
  <c r="T26" i="17"/>
  <c r="R26" i="17"/>
  <c r="AQ32" i="17" l="1"/>
  <c r="J24" i="27"/>
  <c r="F39" i="1"/>
  <c r="G39" i="1" s="1"/>
  <c r="G26" i="2" a="1"/>
  <c r="G26" i="2" s="1"/>
  <c r="F26" i="2" a="1"/>
  <c r="F26" i="2" s="1"/>
  <c r="AQ30" i="17"/>
  <c r="F37" i="31"/>
  <c r="G37" i="31" s="1"/>
  <c r="E24" i="2" a="1"/>
  <c r="E24" i="2" s="1"/>
  <c r="J28" i="27"/>
  <c r="J36" i="27"/>
  <c r="J27" i="27"/>
  <c r="J30" i="27"/>
  <c r="J15" i="27"/>
  <c r="J14" i="27"/>
  <c r="J12" i="27"/>
  <c r="J11" i="27"/>
  <c r="J23" i="27"/>
  <c r="J22" i="27"/>
  <c r="C5" i="16" a="1"/>
  <c r="C5" i="16" s="1"/>
  <c r="D5" i="16" a="1"/>
  <c r="D5" i="16" s="1"/>
  <c r="J26" i="27"/>
  <c r="J25" i="27"/>
  <c r="W6" i="17"/>
  <c r="K35" i="27"/>
  <c r="I10" i="2" a="1"/>
  <c r="I10" i="2" s="1"/>
  <c r="J8" i="27"/>
  <c r="J5" i="27"/>
  <c r="V6" i="17"/>
  <c r="W26" i="17"/>
  <c r="H26" i="2" s="1" a="1"/>
  <c r="H26" i="2" s="1"/>
  <c r="J32" i="27"/>
  <c r="J10" i="27"/>
  <c r="J31" i="27"/>
  <c r="I26" i="2" l="1" a="1"/>
  <c r="I26" i="2" s="1"/>
  <c r="J34" i="27"/>
  <c r="J33" i="27"/>
  <c r="E6" i="16" a="1"/>
  <c r="E6" i="16" s="1"/>
  <c r="J29" i="27"/>
  <c r="D6" i="16" a="1"/>
  <c r="D6" i="16" s="1"/>
  <c r="C6" i="16" a="1"/>
  <c r="C6" i="16" s="1"/>
  <c r="E5" i="16" a="1"/>
  <c r="E5" i="16" s="1"/>
  <c r="Q35" i="27"/>
  <c r="J35" i="27"/>
  <c r="Y35" i="27"/>
  <c r="X35" i="27"/>
  <c r="O35" i="27"/>
  <c r="AA35" i="27"/>
  <c r="Z35" i="27" l="1"/>
  <c r="N35" i="27"/>
  <c r="AA5" i="28" l="1"/>
  <c r="S5" i="28"/>
  <c r="R5" i="28"/>
  <c r="I5" i="28" l="1"/>
  <c r="AW36" i="17"/>
  <c r="AW32" i="17"/>
  <c r="AU36" i="17"/>
  <c r="AU32" i="17"/>
  <c r="AW27" i="17"/>
  <c r="AU27" i="17"/>
  <c r="L34" i="31" l="1" a="1"/>
  <c r="L34" i="31" s="1"/>
  <c r="I34" i="31" a="1"/>
  <c r="I34" i="31" s="1"/>
  <c r="L29" i="31" a="1"/>
  <c r="L29" i="31" s="1"/>
  <c r="I29" i="31" a="1"/>
  <c r="I29" i="31" s="1"/>
  <c r="L20" i="31" a="1"/>
  <c r="L20" i="31" s="1"/>
  <c r="I20" i="31" a="1"/>
  <c r="I20" i="31" s="1"/>
  <c r="I40" i="31" l="1"/>
  <c r="L40" i="31"/>
  <c r="K10" i="3" a="1"/>
  <c r="K10" i="3" s="1"/>
  <c r="J10" i="3" a="1"/>
  <c r="J10" i="3" s="1"/>
  <c r="I10" i="3" a="1"/>
  <c r="I10" i="3" s="1"/>
  <c r="H10" i="3" a="1"/>
  <c r="H10" i="3" s="1"/>
  <c r="G10" i="3" a="1"/>
  <c r="G10" i="3" s="1"/>
  <c r="F10" i="3" a="1"/>
  <c r="F10" i="3" s="1"/>
  <c r="E10" i="3" a="1"/>
  <c r="E10" i="3" s="1"/>
  <c r="D10" i="3" a="1"/>
  <c r="D10" i="3" s="1"/>
  <c r="K9" i="3" a="1"/>
  <c r="K9" i="3" s="1"/>
  <c r="J9" i="3" a="1"/>
  <c r="J9" i="3" s="1"/>
  <c r="I9" i="3" a="1"/>
  <c r="I9" i="3" s="1"/>
  <c r="H9" i="3" a="1"/>
  <c r="H9" i="3" s="1"/>
  <c r="G9" i="3" a="1"/>
  <c r="G9" i="3" s="1"/>
  <c r="F9" i="3" a="1"/>
  <c r="F9" i="3" s="1"/>
  <c r="E9" i="3" a="1"/>
  <c r="E9" i="3" s="1"/>
  <c r="D9" i="3" a="1"/>
  <c r="D9" i="3" s="1"/>
  <c r="K8" i="3" a="1"/>
  <c r="K8" i="3" s="1"/>
  <c r="J8" i="3" a="1"/>
  <c r="J8" i="3" s="1"/>
  <c r="I8" i="3" a="1"/>
  <c r="I8" i="3" s="1"/>
  <c r="H8" i="3" a="1"/>
  <c r="H8" i="3" s="1"/>
  <c r="G8" i="3" a="1"/>
  <c r="G8" i="3" s="1"/>
  <c r="F8" i="3" a="1"/>
  <c r="F8" i="3" s="1"/>
  <c r="E8" i="3" a="1"/>
  <c r="E8" i="3" s="1"/>
  <c r="D8" i="3" a="1"/>
  <c r="D8" i="3" s="1"/>
  <c r="K19" i="32" a="1"/>
  <c r="K19" i="32" s="1"/>
  <c r="J19" i="32" a="1"/>
  <c r="J19" i="32" s="1"/>
  <c r="I19" i="32" a="1"/>
  <c r="I19" i="32" s="1"/>
  <c r="H19" i="32" a="1"/>
  <c r="H19" i="32" s="1"/>
  <c r="F19" i="32" a="1"/>
  <c r="F19" i="32" s="1"/>
  <c r="E19" i="32" a="1"/>
  <c r="E19" i="32" s="1"/>
  <c r="D19" i="32" a="1"/>
  <c r="D19" i="32" s="1"/>
  <c r="I18" i="32"/>
  <c r="K17" i="32" a="1"/>
  <c r="K17" i="32" s="1"/>
  <c r="J17" i="32" a="1"/>
  <c r="J17" i="32" s="1"/>
  <c r="H17" i="32" a="1"/>
  <c r="H17" i="32" s="1"/>
  <c r="F17" i="32" a="1"/>
  <c r="F17" i="32" s="1"/>
  <c r="E17" i="32" a="1"/>
  <c r="E17" i="32" s="1"/>
  <c r="D17" i="32" a="1"/>
  <c r="D17" i="32" s="1"/>
  <c r="K16" i="32" a="1"/>
  <c r="K16" i="32" s="1"/>
  <c r="J16" i="32" a="1"/>
  <c r="J16" i="32" s="1"/>
  <c r="H16" i="32" a="1"/>
  <c r="H16" i="32" s="1"/>
  <c r="F16" i="32" a="1"/>
  <c r="F16" i="32" s="1"/>
  <c r="E16" i="32" a="1"/>
  <c r="E16" i="32" s="1"/>
  <c r="D16" i="32" a="1"/>
  <c r="D16" i="32" s="1"/>
  <c r="K26" i="32" a="1"/>
  <c r="K26" i="32" s="1"/>
  <c r="J26" i="32" a="1"/>
  <c r="J26" i="32" s="1"/>
  <c r="H26" i="32" a="1"/>
  <c r="H26" i="32" s="1"/>
  <c r="F26" i="32" a="1"/>
  <c r="F26" i="32" s="1"/>
  <c r="E26" i="32" a="1"/>
  <c r="E26" i="32" s="1"/>
  <c r="D26" i="32" a="1"/>
  <c r="D26" i="32" s="1"/>
  <c r="K25" i="32" a="1"/>
  <c r="K25" i="32" s="1"/>
  <c r="J25" i="32" a="1"/>
  <c r="J25" i="32" s="1"/>
  <c r="H25" i="32" a="1"/>
  <c r="H25" i="32" s="1"/>
  <c r="F25" i="32" a="1"/>
  <c r="F25" i="32" s="1"/>
  <c r="E25" i="32" a="1"/>
  <c r="E25" i="32" s="1"/>
  <c r="D25" i="32" a="1"/>
  <c r="D25" i="32" s="1"/>
  <c r="K24" i="32" a="1"/>
  <c r="K24" i="32" s="1"/>
  <c r="J24" i="32" a="1"/>
  <c r="J24" i="32" s="1"/>
  <c r="H24" i="32" a="1"/>
  <c r="H24" i="32" s="1"/>
  <c r="F24" i="32" a="1"/>
  <c r="F24" i="32" s="1"/>
  <c r="E24" i="32" a="1"/>
  <c r="E24" i="32" s="1"/>
  <c r="D24" i="32" a="1"/>
  <c r="D24" i="32" s="1"/>
  <c r="K26" i="31" a="1"/>
  <c r="K26" i="31" s="1"/>
  <c r="H26" i="31" a="1"/>
  <c r="H26" i="31" s="1"/>
  <c r="F26" i="31" a="1"/>
  <c r="F26" i="31" s="1"/>
  <c r="D26" i="31" a="1"/>
  <c r="D26" i="31" s="1"/>
  <c r="K25" i="31" a="1"/>
  <c r="K25" i="31" s="1"/>
  <c r="H25" i="31" a="1"/>
  <c r="H25" i="31" s="1"/>
  <c r="F25" i="31" a="1"/>
  <c r="F25" i="31" s="1"/>
  <c r="D25" i="31" a="1"/>
  <c r="D25" i="31" s="1"/>
  <c r="K24" i="31" a="1"/>
  <c r="K24" i="31" s="1"/>
  <c r="J24" i="31" a="1"/>
  <c r="J24" i="31" s="1"/>
  <c r="H24" i="31" a="1"/>
  <c r="H24" i="31" s="1"/>
  <c r="F24" i="31" a="1"/>
  <c r="F24" i="31" s="1"/>
  <c r="E24" i="31" a="1"/>
  <c r="E24" i="31" s="1"/>
  <c r="D24" i="31" a="1"/>
  <c r="D24" i="31" s="1"/>
  <c r="K19" i="1" a="1"/>
  <c r="K19" i="1" s="1"/>
  <c r="J19" i="1" a="1"/>
  <c r="J19" i="1" s="1"/>
  <c r="I19" i="1" a="1"/>
  <c r="I19" i="1" s="1"/>
  <c r="H19" i="1" a="1"/>
  <c r="H19" i="1" s="1"/>
  <c r="F19" i="1" a="1"/>
  <c r="F19" i="1" s="1"/>
  <c r="E19" i="1" a="1"/>
  <c r="E19" i="1" s="1"/>
  <c r="D19" i="1" a="1"/>
  <c r="D19" i="1" s="1"/>
  <c r="K17" i="1" a="1"/>
  <c r="K17" i="1" s="1"/>
  <c r="J17" i="1" a="1"/>
  <c r="J17" i="1" s="1"/>
  <c r="I17" i="1" a="1"/>
  <c r="I17" i="1" s="1"/>
  <c r="H17" i="1" a="1"/>
  <c r="H17" i="1" s="1"/>
  <c r="F17" i="1" a="1"/>
  <c r="F17" i="1" s="1"/>
  <c r="D17" i="1" a="1"/>
  <c r="D17" i="1" s="1"/>
  <c r="K16" i="1" a="1"/>
  <c r="K16" i="1" s="1"/>
  <c r="J16" i="1" a="1"/>
  <c r="J16" i="1" s="1"/>
  <c r="I16" i="1" a="1"/>
  <c r="I16" i="1" s="1"/>
  <c r="H16" i="1" a="1"/>
  <c r="H16" i="1" s="1"/>
  <c r="F16" i="1" a="1"/>
  <c r="F16" i="1" s="1"/>
  <c r="E16" i="1" a="1"/>
  <c r="E16" i="1" s="1"/>
  <c r="D16" i="1" a="1"/>
  <c r="D16" i="1" s="1"/>
  <c r="K26" i="1" a="1"/>
  <c r="K26" i="1" s="1"/>
  <c r="J26" i="1" a="1"/>
  <c r="J26" i="1" s="1"/>
  <c r="I26" i="1" a="1"/>
  <c r="I26" i="1" s="1"/>
  <c r="H26" i="1" a="1"/>
  <c r="H26" i="1" s="1"/>
  <c r="F26" i="1" a="1"/>
  <c r="F26" i="1" s="1"/>
  <c r="D26" i="1" a="1"/>
  <c r="D26" i="1" s="1"/>
  <c r="K25" i="1" a="1"/>
  <c r="K25" i="1" s="1"/>
  <c r="J25" i="1" a="1"/>
  <c r="J25" i="1" s="1"/>
  <c r="I25" i="1" a="1"/>
  <c r="I25" i="1" s="1"/>
  <c r="H25" i="1" a="1"/>
  <c r="H25" i="1" s="1"/>
  <c r="F25" i="1" a="1"/>
  <c r="F25" i="1" s="1"/>
  <c r="D25" i="1" a="1"/>
  <c r="D25" i="1" s="1"/>
  <c r="K24" i="1" a="1"/>
  <c r="K24" i="1" s="1"/>
  <c r="J24" i="1" a="1"/>
  <c r="J24" i="1" s="1"/>
  <c r="I24" i="1" a="1"/>
  <c r="I24" i="1" s="1"/>
  <c r="H24" i="1" a="1"/>
  <c r="H24" i="1" s="1"/>
  <c r="F24" i="1" a="1"/>
  <c r="F24" i="1" s="1"/>
  <c r="E24" i="1" a="1"/>
  <c r="E24" i="1" s="1"/>
  <c r="D24" i="1" a="1"/>
  <c r="D24" i="1" s="1"/>
  <c r="D17" i="31" a="1"/>
  <c r="D17" i="31" s="1"/>
  <c r="D17" i="2" a="1"/>
  <c r="D17" i="2" s="1"/>
  <c r="K17" i="31" a="1"/>
  <c r="K17" i="31" s="1"/>
  <c r="H17" i="31" a="1"/>
  <c r="H17" i="31" s="1"/>
  <c r="F17" i="31" a="1"/>
  <c r="F17" i="31" s="1"/>
  <c r="K16" i="31" a="1"/>
  <c r="K16" i="31" s="1"/>
  <c r="J16" i="31" a="1"/>
  <c r="J16" i="31" s="1"/>
  <c r="H16" i="31" a="1"/>
  <c r="H16" i="31" s="1"/>
  <c r="F16" i="31" a="1"/>
  <c r="F16" i="31" s="1"/>
  <c r="E16" i="31" a="1"/>
  <c r="E16" i="31" s="1"/>
  <c r="D16" i="31" a="1"/>
  <c r="D16" i="31" s="1"/>
  <c r="D19" i="31" a="1"/>
  <c r="D19" i="31" s="1"/>
  <c r="D10" i="31" a="1"/>
  <c r="D10" i="31" s="1"/>
  <c r="D32" i="31" a="1"/>
  <c r="D32" i="31" s="1"/>
  <c r="E34" i="31"/>
  <c r="F32" i="31" a="1"/>
  <c r="F32" i="31" s="1"/>
  <c r="H32" i="31" a="1"/>
  <c r="H32" i="31" s="1"/>
  <c r="K32" i="31" a="1"/>
  <c r="K32" i="31" s="1"/>
  <c r="C32" i="15" a="1"/>
  <c r="C32" i="15" s="1"/>
  <c r="H105" i="14" a="1"/>
  <c r="H105" i="14" s="1"/>
  <c r="G105" i="14" a="1"/>
  <c r="G105" i="14" s="1"/>
  <c r="E105" i="14" a="1"/>
  <c r="E105" i="14" s="1"/>
  <c r="D105" i="14" a="1"/>
  <c r="D105" i="14" s="1"/>
  <c r="H104" i="14" a="1"/>
  <c r="H104" i="14" s="1"/>
  <c r="G104" i="14" a="1"/>
  <c r="G104" i="14" s="1"/>
  <c r="E104" i="14" a="1"/>
  <c r="E104" i="14" s="1"/>
  <c r="D104" i="14" a="1"/>
  <c r="D104" i="14" s="1"/>
  <c r="H103" i="14" a="1"/>
  <c r="H103" i="14" s="1"/>
  <c r="G103" i="14" a="1"/>
  <c r="G103" i="14" s="1"/>
  <c r="E103" i="14" a="1"/>
  <c r="E103" i="14" s="1"/>
  <c r="D103" i="14" a="1"/>
  <c r="D103" i="14" s="1"/>
  <c r="D83" i="14" a="1"/>
  <c r="D83" i="14" s="1"/>
  <c r="D84" i="14" a="1"/>
  <c r="D84" i="14" s="1"/>
  <c r="H85" i="14" a="1"/>
  <c r="H85" i="14" s="1"/>
  <c r="G85" i="14" a="1"/>
  <c r="G85" i="14" s="1"/>
  <c r="E85" i="14" a="1"/>
  <c r="E85" i="14" s="1"/>
  <c r="D85" i="14" a="1"/>
  <c r="D85" i="14" s="1"/>
  <c r="H84" i="14" a="1"/>
  <c r="H84" i="14" s="1"/>
  <c r="G84" i="14" a="1"/>
  <c r="G84" i="14" s="1"/>
  <c r="E84" i="14" a="1"/>
  <c r="E84" i="14" s="1"/>
  <c r="H83" i="14" a="1"/>
  <c r="H83" i="14" s="1"/>
  <c r="G83" i="14" a="1"/>
  <c r="G83" i="14" s="1"/>
  <c r="E83" i="14" a="1"/>
  <c r="E83" i="14" s="1"/>
  <c r="D63" i="14" a="1"/>
  <c r="D63" i="14" s="1"/>
  <c r="H65" i="14" a="1"/>
  <c r="H65" i="14" s="1"/>
  <c r="G65" i="14" a="1"/>
  <c r="G65" i="14" s="1"/>
  <c r="E65" i="14" a="1"/>
  <c r="E65" i="14" s="1"/>
  <c r="D65" i="14" a="1"/>
  <c r="D65" i="14" s="1"/>
  <c r="H64" i="14" a="1"/>
  <c r="H64" i="14" s="1"/>
  <c r="G64" i="14" a="1"/>
  <c r="G64" i="14" s="1"/>
  <c r="E64" i="14" a="1"/>
  <c r="E64" i="14" s="1"/>
  <c r="D64" i="14" a="1"/>
  <c r="D64" i="14" s="1"/>
  <c r="H63" i="14" a="1"/>
  <c r="H63" i="14" s="1"/>
  <c r="G63" i="14" a="1"/>
  <c r="G63" i="14" s="1"/>
  <c r="E63" i="14" a="1"/>
  <c r="E63" i="14" s="1"/>
  <c r="D43" i="14" a="1"/>
  <c r="D43" i="14" s="1"/>
  <c r="H45" i="14" a="1"/>
  <c r="H45" i="14" s="1"/>
  <c r="G45" i="14" a="1"/>
  <c r="G45" i="14" s="1"/>
  <c r="E45" i="14" a="1"/>
  <c r="E45" i="14" s="1"/>
  <c r="D45" i="14" a="1"/>
  <c r="D45" i="14" s="1"/>
  <c r="H44" i="14" a="1"/>
  <c r="H44" i="14" s="1"/>
  <c r="G44" i="14" a="1"/>
  <c r="G44" i="14" s="1"/>
  <c r="E44" i="14" a="1"/>
  <c r="E44" i="14" s="1"/>
  <c r="D44" i="14" a="1"/>
  <c r="D44" i="14" s="1"/>
  <c r="H43" i="14" a="1"/>
  <c r="H43" i="14" s="1"/>
  <c r="G43" i="14" a="1"/>
  <c r="G43" i="14" s="1"/>
  <c r="E43" i="14" a="1"/>
  <c r="E43" i="14" s="1"/>
  <c r="D23" i="14" a="1"/>
  <c r="D23" i="14" s="1"/>
  <c r="D24" i="14" a="1"/>
  <c r="D24" i="14" s="1"/>
  <c r="H54" i="14" a="1"/>
  <c r="H54" i="14" s="1"/>
  <c r="G54" i="14" a="1"/>
  <c r="G54" i="14" s="1"/>
  <c r="E54" i="14" a="1"/>
  <c r="E54" i="14" s="1"/>
  <c r="D54" i="14" a="1"/>
  <c r="D54" i="14" s="1"/>
  <c r="H74" i="14" a="1"/>
  <c r="H74" i="14" s="1"/>
  <c r="G74" i="14" a="1"/>
  <c r="G74" i="14" s="1"/>
  <c r="E74" i="14" a="1"/>
  <c r="E74" i="14" s="1"/>
  <c r="D74" i="14" a="1"/>
  <c r="D74" i="14" s="1"/>
  <c r="H94" i="14" a="1"/>
  <c r="H94" i="14" s="1"/>
  <c r="G94" i="14" a="1"/>
  <c r="G94" i="14" s="1"/>
  <c r="E94" i="14" a="1"/>
  <c r="E94" i="14" s="1"/>
  <c r="D94" i="14" a="1"/>
  <c r="D94" i="14" s="1"/>
  <c r="H99" i="14" a="1"/>
  <c r="H99" i="14" s="1"/>
  <c r="G99" i="14" a="1"/>
  <c r="G99" i="14" s="1"/>
  <c r="E99" i="14" a="1"/>
  <c r="E99" i="14" s="1"/>
  <c r="D99" i="14" a="1"/>
  <c r="D99" i="14" s="1"/>
  <c r="H79" i="14" a="1"/>
  <c r="H79" i="14" s="1"/>
  <c r="G79" i="14" a="1"/>
  <c r="G79" i="14" s="1"/>
  <c r="E79" i="14" a="1"/>
  <c r="E79" i="14" s="1"/>
  <c r="D79" i="14" a="1"/>
  <c r="D79" i="14" s="1"/>
  <c r="H59" i="14" a="1"/>
  <c r="H59" i="14" s="1"/>
  <c r="G59" i="14" a="1"/>
  <c r="G59" i="14" s="1"/>
  <c r="E59" i="14" a="1"/>
  <c r="E59" i="14" s="1"/>
  <c r="D59" i="14" a="1"/>
  <c r="D59" i="14" s="1"/>
  <c r="H39" i="14" a="1"/>
  <c r="H39" i="14" s="1"/>
  <c r="G39" i="14" a="1"/>
  <c r="G39" i="14" s="1"/>
  <c r="E39" i="14" a="1"/>
  <c r="E39" i="14" s="1"/>
  <c r="D39" i="14" a="1"/>
  <c r="D39" i="14" s="1"/>
  <c r="H38" i="14" a="1"/>
  <c r="H38" i="14" s="1"/>
  <c r="G38" i="14" a="1"/>
  <c r="G38" i="14" s="1"/>
  <c r="E38" i="14" a="1"/>
  <c r="E38" i="14" s="1"/>
  <c r="D38" i="14" a="1"/>
  <c r="D38" i="14" s="1"/>
  <c r="D18" i="14" a="1"/>
  <c r="D18" i="14" s="1"/>
  <c r="H34" i="14" a="1"/>
  <c r="H34" i="14" s="1"/>
  <c r="G34" i="14" a="1"/>
  <c r="G34" i="14" s="1"/>
  <c r="E34" i="14" a="1"/>
  <c r="E34" i="14" s="1"/>
  <c r="D34" i="14" a="1"/>
  <c r="D34" i="14" s="1"/>
  <c r="H25" i="14" a="1"/>
  <c r="H25" i="14" s="1"/>
  <c r="G25" i="14" a="1"/>
  <c r="G25" i="14" s="1"/>
  <c r="E25" i="14" a="1"/>
  <c r="E25" i="14" s="1"/>
  <c r="D25" i="14" a="1"/>
  <c r="D25" i="14" s="1"/>
  <c r="H24" i="14" a="1"/>
  <c r="H24" i="14" s="1"/>
  <c r="G24" i="14" a="1"/>
  <c r="G24" i="14" s="1"/>
  <c r="E24" i="14" a="1"/>
  <c r="E24" i="14" s="1"/>
  <c r="H23" i="14" a="1"/>
  <c r="H23" i="14" s="1"/>
  <c r="G23" i="14" a="1"/>
  <c r="G23" i="14" s="1"/>
  <c r="E23" i="14" a="1"/>
  <c r="E23" i="14" s="1"/>
  <c r="D19" i="14" a="1"/>
  <c r="D19" i="14" s="1"/>
  <c r="H19" i="14" a="1"/>
  <c r="H19" i="14" s="1"/>
  <c r="G19" i="14" a="1"/>
  <c r="G19" i="14" s="1"/>
  <c r="E19" i="14" a="1"/>
  <c r="E19" i="14" s="1"/>
  <c r="H14" i="14" a="1"/>
  <c r="H14" i="14" s="1"/>
  <c r="G14" i="14" a="1"/>
  <c r="G14" i="14" s="1"/>
  <c r="E14" i="14" a="1"/>
  <c r="E14" i="14" s="1"/>
  <c r="D14" i="14" a="1"/>
  <c r="D14" i="14" s="1"/>
  <c r="I27" i="1" l="1"/>
  <c r="F27" i="31"/>
  <c r="H27" i="31"/>
  <c r="K27" i="31"/>
  <c r="J27" i="1"/>
  <c r="K27" i="1"/>
  <c r="J27" i="31"/>
  <c r="E27" i="1"/>
  <c r="D27" i="1"/>
  <c r="F27" i="1"/>
  <c r="H27" i="1"/>
  <c r="D27" i="31"/>
  <c r="E27" i="31"/>
  <c r="E18" i="32"/>
  <c r="I94" i="14"/>
  <c r="I84" i="14"/>
  <c r="J18" i="32"/>
  <c r="D18" i="32"/>
  <c r="F104" i="14"/>
  <c r="J18" i="1"/>
  <c r="I104" i="14"/>
  <c r="F84" i="14"/>
  <c r="I74" i="14"/>
  <c r="K18" i="32"/>
  <c r="H18" i="1"/>
  <c r="I79" i="14"/>
  <c r="H18" i="32"/>
  <c r="D18" i="1"/>
  <c r="F85" i="14"/>
  <c r="F105" i="14"/>
  <c r="F79" i="14"/>
  <c r="G25" i="32"/>
  <c r="G26" i="32"/>
  <c r="F18" i="32"/>
  <c r="F44" i="14"/>
  <c r="I45" i="14"/>
  <c r="F64" i="14"/>
  <c r="F24" i="14"/>
  <c r="K18" i="31"/>
  <c r="M17" i="31"/>
  <c r="M16" i="31"/>
  <c r="I18" i="1"/>
  <c r="I59" i="14"/>
  <c r="K18" i="1"/>
  <c r="I64" i="14"/>
  <c r="I39" i="14"/>
  <c r="F65" i="14"/>
  <c r="I24" i="14"/>
  <c r="F18" i="31"/>
  <c r="I14" i="14"/>
  <c r="G17" i="31"/>
  <c r="F25" i="14"/>
  <c r="M25" i="31"/>
  <c r="G25" i="1"/>
  <c r="G26" i="1"/>
  <c r="G32" i="31"/>
  <c r="E18" i="31"/>
  <c r="G25" i="31"/>
  <c r="G26" i="31"/>
  <c r="G17" i="32"/>
  <c r="M26" i="31"/>
  <c r="G17" i="1"/>
  <c r="E18" i="1"/>
  <c r="G19" i="1"/>
  <c r="F18" i="1"/>
  <c r="D18" i="31"/>
  <c r="G19" i="32"/>
  <c r="H18" i="31"/>
  <c r="J18" i="31"/>
  <c r="I85" i="14"/>
  <c r="I105" i="14"/>
  <c r="I65" i="14"/>
  <c r="I44" i="14"/>
  <c r="F45" i="14"/>
  <c r="F99" i="14"/>
  <c r="F54" i="14"/>
  <c r="I99" i="14"/>
  <c r="I54" i="14"/>
  <c r="F34" i="14"/>
  <c r="F94" i="14"/>
  <c r="I34" i="14"/>
  <c r="F59" i="14"/>
  <c r="F39" i="14"/>
  <c r="F74" i="14"/>
  <c r="I25" i="14"/>
  <c r="F14" i="14"/>
  <c r="I19" i="14"/>
  <c r="F19" i="14"/>
  <c r="F20" i="15" a="1"/>
  <c r="F20" i="15" s="1"/>
  <c r="C20" i="15" a="1"/>
  <c r="C20" i="15" s="1"/>
  <c r="M27" i="31" l="1"/>
  <c r="G27" i="31"/>
  <c r="G27" i="1"/>
  <c r="G18" i="32"/>
  <c r="G18" i="31"/>
  <c r="M18" i="31"/>
  <c r="G18" i="1"/>
  <c r="H107" i="14" a="1"/>
  <c r="H107" i="14" s="1"/>
  <c r="G107" i="14" a="1"/>
  <c r="G107" i="14" s="1"/>
  <c r="E107" i="14" a="1"/>
  <c r="E107" i="14" s="1"/>
  <c r="D107" i="14" a="1"/>
  <c r="D107" i="14" s="1"/>
  <c r="H106" i="14" a="1"/>
  <c r="H106" i="14" s="1"/>
  <c r="G106" i="14" a="1"/>
  <c r="G106" i="14" s="1"/>
  <c r="E106" i="14" a="1"/>
  <c r="E106" i="14" s="1"/>
  <c r="D106" i="14" a="1"/>
  <c r="D106" i="14" s="1"/>
  <c r="H102" i="14" a="1"/>
  <c r="H102" i="14" s="1"/>
  <c r="G102" i="14" a="1"/>
  <c r="G102" i="14" s="1"/>
  <c r="E102" i="14" a="1"/>
  <c r="E102" i="14" s="1"/>
  <c r="D102" i="14" a="1"/>
  <c r="D102" i="14" s="1"/>
  <c r="H101" i="14" a="1"/>
  <c r="H101" i="14" s="1"/>
  <c r="G101" i="14" a="1"/>
  <c r="G101" i="14" s="1"/>
  <c r="E101" i="14" a="1"/>
  <c r="E101" i="14" s="1"/>
  <c r="D101" i="14" a="1"/>
  <c r="D101" i="14" s="1"/>
  <c r="H100" i="14" a="1"/>
  <c r="H100" i="14" s="1"/>
  <c r="G100" i="14" a="1"/>
  <c r="G100" i="14" s="1"/>
  <c r="E100" i="14" a="1"/>
  <c r="E100" i="14" s="1"/>
  <c r="D100" i="14" a="1"/>
  <c r="D100" i="14" s="1"/>
  <c r="H98" i="14" a="1"/>
  <c r="H98" i="14" s="1"/>
  <c r="G98" i="14" a="1"/>
  <c r="G98" i="14" s="1"/>
  <c r="E98" i="14" a="1"/>
  <c r="E98" i="14" s="1"/>
  <c r="D98" i="14" a="1"/>
  <c r="D98" i="14" s="1"/>
  <c r="H97" i="14" a="1"/>
  <c r="H97" i="14" s="1"/>
  <c r="G97" i="14" a="1"/>
  <c r="G97" i="14" s="1"/>
  <c r="E97" i="14" a="1"/>
  <c r="E97" i="14" s="1"/>
  <c r="D97" i="14" a="1"/>
  <c r="D97" i="14" s="1"/>
  <c r="H96" i="14" a="1"/>
  <c r="H96" i="14" s="1"/>
  <c r="G96" i="14" a="1"/>
  <c r="G96" i="14" s="1"/>
  <c r="E96" i="14" a="1"/>
  <c r="E96" i="14" s="1"/>
  <c r="D96" i="14" a="1"/>
  <c r="D96" i="14" s="1"/>
  <c r="H95" i="14" a="1"/>
  <c r="H95" i="14" s="1"/>
  <c r="G95" i="14" a="1"/>
  <c r="G95" i="14" s="1"/>
  <c r="E95" i="14" a="1"/>
  <c r="E95" i="14" s="1"/>
  <c r="D95" i="14" a="1"/>
  <c r="D95" i="14" s="1"/>
  <c r="H93" i="14" a="1"/>
  <c r="H93" i="14" s="1"/>
  <c r="G93" i="14" a="1"/>
  <c r="G93" i="14" s="1"/>
  <c r="E93" i="14" a="1"/>
  <c r="E93" i="14" s="1"/>
  <c r="D93" i="14" a="1"/>
  <c r="D93" i="14" s="1"/>
  <c r="H92" i="14" a="1"/>
  <c r="H92" i="14" s="1"/>
  <c r="G92" i="14" a="1"/>
  <c r="G92" i="14" s="1"/>
  <c r="E92" i="14" a="1"/>
  <c r="E92" i="14" s="1"/>
  <c r="D92" i="14" a="1"/>
  <c r="D92" i="14" s="1"/>
  <c r="H91" i="14" a="1"/>
  <c r="H91" i="14" s="1"/>
  <c r="G91" i="14" a="1"/>
  <c r="G91" i="14" s="1"/>
  <c r="E91" i="14" a="1"/>
  <c r="E91" i="14" s="1"/>
  <c r="D91" i="14" a="1"/>
  <c r="D91" i="14" s="1"/>
  <c r="H87" i="14" a="1"/>
  <c r="H87" i="14" s="1"/>
  <c r="G87" i="14" a="1"/>
  <c r="G87" i="14" s="1"/>
  <c r="E87" i="14" a="1"/>
  <c r="E87" i="14" s="1"/>
  <c r="D87" i="14" a="1"/>
  <c r="D87" i="14" s="1"/>
  <c r="H86" i="14" a="1"/>
  <c r="H86" i="14" s="1"/>
  <c r="G86" i="14" a="1"/>
  <c r="G86" i="14" s="1"/>
  <c r="E86" i="14" a="1"/>
  <c r="E86" i="14" s="1"/>
  <c r="D86" i="14" a="1"/>
  <c r="D86" i="14" s="1"/>
  <c r="H82" i="14" a="1"/>
  <c r="H82" i="14" s="1"/>
  <c r="G82" i="14" a="1"/>
  <c r="G82" i="14" s="1"/>
  <c r="E82" i="14" a="1"/>
  <c r="E82" i="14" s="1"/>
  <c r="D82" i="14" a="1"/>
  <c r="D82" i="14" s="1"/>
  <c r="H81" i="14" a="1"/>
  <c r="H81" i="14" s="1"/>
  <c r="G81" i="14" a="1"/>
  <c r="G81" i="14" s="1"/>
  <c r="E81" i="14" a="1"/>
  <c r="E81" i="14" s="1"/>
  <c r="D81" i="14" a="1"/>
  <c r="D81" i="14" s="1"/>
  <c r="H80" i="14" a="1"/>
  <c r="H80" i="14" s="1"/>
  <c r="G80" i="14" a="1"/>
  <c r="G80" i="14" s="1"/>
  <c r="E80" i="14" a="1"/>
  <c r="E80" i="14" s="1"/>
  <c r="D80" i="14" a="1"/>
  <c r="D80" i="14" s="1"/>
  <c r="H78" i="14" a="1"/>
  <c r="H78" i="14" s="1"/>
  <c r="G78" i="14" a="1"/>
  <c r="G78" i="14" s="1"/>
  <c r="E78" i="14" a="1"/>
  <c r="E78" i="14" s="1"/>
  <c r="D78" i="14" a="1"/>
  <c r="D78" i="14" s="1"/>
  <c r="H77" i="14" a="1"/>
  <c r="H77" i="14" s="1"/>
  <c r="G77" i="14" a="1"/>
  <c r="G77" i="14" s="1"/>
  <c r="E77" i="14" a="1"/>
  <c r="E77" i="14" s="1"/>
  <c r="D77" i="14" a="1"/>
  <c r="D77" i="14" s="1"/>
  <c r="H76" i="14" a="1"/>
  <c r="H76" i="14" s="1"/>
  <c r="G76" i="14" a="1"/>
  <c r="G76" i="14" s="1"/>
  <c r="E76" i="14" a="1"/>
  <c r="E76" i="14" s="1"/>
  <c r="D76" i="14" a="1"/>
  <c r="D76" i="14" s="1"/>
  <c r="H75" i="14" a="1"/>
  <c r="H75" i="14" s="1"/>
  <c r="G75" i="14" a="1"/>
  <c r="G75" i="14" s="1"/>
  <c r="E75" i="14" a="1"/>
  <c r="E75" i="14" s="1"/>
  <c r="D75" i="14" a="1"/>
  <c r="D75" i="14" s="1"/>
  <c r="H73" i="14" a="1"/>
  <c r="H73" i="14" s="1"/>
  <c r="G73" i="14" a="1"/>
  <c r="G73" i="14" s="1"/>
  <c r="E73" i="14" a="1"/>
  <c r="E73" i="14" s="1"/>
  <c r="D73" i="14" a="1"/>
  <c r="D73" i="14" s="1"/>
  <c r="H72" i="14" a="1"/>
  <c r="H72" i="14" s="1"/>
  <c r="G72" i="14" a="1"/>
  <c r="G72" i="14" s="1"/>
  <c r="E72" i="14" a="1"/>
  <c r="E72" i="14" s="1"/>
  <c r="D72" i="14" a="1"/>
  <c r="D72" i="14" s="1"/>
  <c r="H71" i="14" a="1"/>
  <c r="H71" i="14" s="1"/>
  <c r="G71" i="14" a="1"/>
  <c r="G71" i="14" s="1"/>
  <c r="E71" i="14" a="1"/>
  <c r="E71" i="14" s="1"/>
  <c r="D71" i="14" a="1"/>
  <c r="D71" i="14" s="1"/>
  <c r="F21" i="16" a="1"/>
  <c r="F21" i="16" s="1"/>
  <c r="E21" i="16" a="1"/>
  <c r="E21" i="16" s="1"/>
  <c r="D21" i="16" a="1"/>
  <c r="D21" i="16" s="1"/>
  <c r="C21" i="16" a="1"/>
  <c r="C21" i="16" s="1"/>
  <c r="F20" i="16" a="1"/>
  <c r="F20" i="16" s="1"/>
  <c r="E20" i="16" a="1"/>
  <c r="E20" i="16" s="1"/>
  <c r="D20" i="16" a="1"/>
  <c r="D20" i="16" s="1"/>
  <c r="C20" i="16" a="1"/>
  <c r="C20" i="16" s="1"/>
  <c r="I21" i="16"/>
  <c r="H21" i="16"/>
  <c r="J21" i="16" s="1"/>
  <c r="H44" i="15" a="1"/>
  <c r="H44" i="15" s="1"/>
  <c r="F44" i="15" a="1"/>
  <c r="F44" i="15" s="1"/>
  <c r="E44" i="15" a="1"/>
  <c r="E44" i="15" s="1"/>
  <c r="C44" i="15" a="1"/>
  <c r="C44" i="15" s="1"/>
  <c r="B44" i="15" a="1"/>
  <c r="B44" i="15" s="1"/>
  <c r="H43" i="15" a="1"/>
  <c r="H43" i="15" s="1"/>
  <c r="F43" i="15" a="1"/>
  <c r="F43" i="15" s="1"/>
  <c r="E43" i="15" a="1"/>
  <c r="E43" i="15" s="1"/>
  <c r="C43" i="15" a="1"/>
  <c r="C43" i="15" s="1"/>
  <c r="B43" i="15" a="1"/>
  <c r="B43" i="15" s="1"/>
  <c r="H41" i="15" a="1"/>
  <c r="H41" i="15" s="1"/>
  <c r="F41" i="15" a="1"/>
  <c r="F41" i="15" s="1"/>
  <c r="E41" i="15" a="1"/>
  <c r="E41" i="15" s="1"/>
  <c r="C41" i="15" a="1"/>
  <c r="C41" i="15" s="1"/>
  <c r="B41" i="15" a="1"/>
  <c r="B41" i="15" s="1"/>
  <c r="H40" i="15" a="1"/>
  <c r="H40" i="15" s="1"/>
  <c r="F40" i="15" a="1"/>
  <c r="F40" i="15" s="1"/>
  <c r="E40" i="15" a="1"/>
  <c r="E40" i="15" s="1"/>
  <c r="C40" i="15" a="1"/>
  <c r="C40" i="15" s="1"/>
  <c r="B40" i="15" a="1"/>
  <c r="B40" i="15" s="1"/>
  <c r="H39" i="15" a="1"/>
  <c r="H39" i="15" s="1"/>
  <c r="F39" i="15" a="1"/>
  <c r="F39" i="15" s="1"/>
  <c r="E39" i="15" a="1"/>
  <c r="E39" i="15" s="1"/>
  <c r="C39" i="15" a="1"/>
  <c r="C39" i="15" s="1"/>
  <c r="B39" i="15" a="1"/>
  <c r="B39" i="15" s="1"/>
  <c r="K16" i="3" a="1"/>
  <c r="K16" i="3" s="1"/>
  <c r="J16" i="3" a="1"/>
  <c r="J16" i="3" s="1"/>
  <c r="K15" i="3" a="1"/>
  <c r="K15" i="3" s="1"/>
  <c r="J15" i="3" a="1"/>
  <c r="J15" i="3" s="1"/>
  <c r="K11" i="3" a="1"/>
  <c r="K11" i="3" s="1"/>
  <c r="J11" i="3" a="1"/>
  <c r="J11" i="3" s="1"/>
  <c r="K7" i="3" a="1"/>
  <c r="K7" i="3" s="1"/>
  <c r="J7" i="3" a="1"/>
  <c r="J7" i="3" s="1"/>
  <c r="K22" i="2" a="1"/>
  <c r="K22" i="2" s="1"/>
  <c r="J22" i="2" a="1"/>
  <c r="J22" i="2" s="1"/>
  <c r="K21" i="2" a="1"/>
  <c r="K21" i="2" s="1"/>
  <c r="J21" i="2" a="1"/>
  <c r="J21" i="2" s="1"/>
  <c r="K17" i="2" a="1"/>
  <c r="K17" i="2" s="1"/>
  <c r="J17" i="2" a="1"/>
  <c r="J17" i="2" s="1"/>
  <c r="K15" i="2" a="1"/>
  <c r="K15" i="2" s="1"/>
  <c r="J15" i="2" a="1"/>
  <c r="J15" i="2" s="1"/>
  <c r="K14" i="2" a="1"/>
  <c r="K14" i="2" s="1"/>
  <c r="J14" i="2" a="1"/>
  <c r="J14" i="2" s="1"/>
  <c r="K13" i="2" a="1"/>
  <c r="K13" i="2" s="1"/>
  <c r="J13" i="2" a="1"/>
  <c r="J13" i="2" s="1"/>
  <c r="K11" i="2" a="1"/>
  <c r="K11" i="2" s="1"/>
  <c r="J11" i="2" a="1"/>
  <c r="J11" i="2" s="1"/>
  <c r="K9" i="2" a="1"/>
  <c r="K9" i="2" s="1"/>
  <c r="J9" i="2" a="1"/>
  <c r="J9" i="2" s="1"/>
  <c r="K8" i="2" a="1"/>
  <c r="K8" i="2" s="1"/>
  <c r="J8" i="2" a="1"/>
  <c r="J8" i="2" s="1"/>
  <c r="K7" i="2" a="1"/>
  <c r="K7" i="2" s="1"/>
  <c r="J7" i="2" a="1"/>
  <c r="J7" i="2" s="1"/>
  <c r="E33" i="32" a="1"/>
  <c r="E33" i="32" s="1"/>
  <c r="K32" i="32" a="1"/>
  <c r="K32" i="32" s="1"/>
  <c r="J32" i="32" a="1"/>
  <c r="J32" i="32" s="1"/>
  <c r="K31" i="32" a="1"/>
  <c r="K31" i="32" s="1"/>
  <c r="J31" i="32" a="1"/>
  <c r="J31" i="32" s="1"/>
  <c r="K27" i="32" a="1"/>
  <c r="K27" i="32" s="1"/>
  <c r="J27" i="32" a="1"/>
  <c r="J27" i="32" s="1"/>
  <c r="K23" i="32" a="1"/>
  <c r="K23" i="32" s="1"/>
  <c r="J23" i="32" a="1"/>
  <c r="J23" i="32" s="1"/>
  <c r="K14" i="32" a="1"/>
  <c r="K14" i="32" s="1"/>
  <c r="J14" i="32" a="1"/>
  <c r="J14" i="32" s="1"/>
  <c r="K13" i="32" a="1"/>
  <c r="K13" i="32" s="1"/>
  <c r="J13" i="32" a="1"/>
  <c r="J13" i="32" s="1"/>
  <c r="K11" i="32" a="1"/>
  <c r="K11" i="32" s="1"/>
  <c r="J11" i="32" a="1"/>
  <c r="J11" i="32" s="1"/>
  <c r="K10" i="32" a="1"/>
  <c r="K10" i="32" s="1"/>
  <c r="J10" i="32" a="1"/>
  <c r="J10" i="32" s="1"/>
  <c r="K9" i="32" a="1"/>
  <c r="K9" i="32" s="1"/>
  <c r="J9" i="32" a="1"/>
  <c r="J9" i="32" s="1"/>
  <c r="K8" i="32" a="1"/>
  <c r="K8" i="32" s="1"/>
  <c r="J8" i="32" a="1"/>
  <c r="J8" i="32" s="1"/>
  <c r="K7" i="32" a="1"/>
  <c r="K7" i="32" s="1"/>
  <c r="J7" i="32" a="1"/>
  <c r="J7" i="32" s="1"/>
  <c r="H32" i="32" a="1"/>
  <c r="H32" i="32" s="1"/>
  <c r="F32" i="32" a="1"/>
  <c r="F32" i="32" s="1"/>
  <c r="E32" i="32" a="1"/>
  <c r="E32" i="32" s="1"/>
  <c r="D32" i="32" a="1"/>
  <c r="D32" i="32" s="1"/>
  <c r="H31" i="32" a="1"/>
  <c r="H31" i="32" s="1"/>
  <c r="F31" i="32" a="1"/>
  <c r="F31" i="32" s="1"/>
  <c r="E31" i="32" a="1"/>
  <c r="E31" i="32" s="1"/>
  <c r="D31" i="32" a="1"/>
  <c r="D31" i="32" s="1"/>
  <c r="H27" i="32" a="1"/>
  <c r="H27" i="32" s="1"/>
  <c r="F27" i="32" a="1"/>
  <c r="F27" i="32" s="1"/>
  <c r="E27" i="32" a="1"/>
  <c r="E27" i="32" s="1"/>
  <c r="D27" i="32" a="1"/>
  <c r="D27" i="32" s="1"/>
  <c r="H23" i="32" a="1"/>
  <c r="H23" i="32" s="1"/>
  <c r="F23" i="32" a="1"/>
  <c r="F23" i="32" s="1"/>
  <c r="E23" i="32" a="1"/>
  <c r="E23" i="32" s="1"/>
  <c r="D23" i="32" a="1"/>
  <c r="D23" i="32" s="1"/>
  <c r="H14" i="32" a="1"/>
  <c r="H14" i="32" s="1"/>
  <c r="F14" i="32" a="1"/>
  <c r="F14" i="32" s="1"/>
  <c r="E14" i="32" a="1"/>
  <c r="E14" i="32" s="1"/>
  <c r="D14" i="32" a="1"/>
  <c r="D14" i="32" s="1"/>
  <c r="H13" i="32" a="1"/>
  <c r="H13" i="32" s="1"/>
  <c r="F13" i="32" a="1"/>
  <c r="F13" i="32" s="1"/>
  <c r="E13" i="32" a="1"/>
  <c r="E13" i="32" s="1"/>
  <c r="D13" i="32" a="1"/>
  <c r="D13" i="32" s="1"/>
  <c r="E12" i="32" a="1"/>
  <c r="E12" i="32" s="1"/>
  <c r="H11" i="32" a="1"/>
  <c r="H11" i="32" s="1"/>
  <c r="F11" i="32" a="1"/>
  <c r="F11" i="32" s="1"/>
  <c r="E11" i="32" a="1"/>
  <c r="E11" i="32" s="1"/>
  <c r="D11" i="32" a="1"/>
  <c r="D11" i="32" s="1"/>
  <c r="H10" i="32" a="1"/>
  <c r="H10" i="32" s="1"/>
  <c r="F10" i="32" a="1"/>
  <c r="F10" i="32" s="1"/>
  <c r="E10" i="32" a="1"/>
  <c r="E10" i="32" s="1"/>
  <c r="D10" i="32" a="1"/>
  <c r="D10" i="32" s="1"/>
  <c r="H9" i="32" a="1"/>
  <c r="H9" i="32" s="1"/>
  <c r="F9" i="32" a="1"/>
  <c r="F9" i="32" s="1"/>
  <c r="E9" i="32" a="1"/>
  <c r="E9" i="32" s="1"/>
  <c r="D9" i="32" a="1"/>
  <c r="D9" i="32" s="1"/>
  <c r="H8" i="32" a="1"/>
  <c r="H8" i="32" s="1"/>
  <c r="F8" i="32" a="1"/>
  <c r="F8" i="32" s="1"/>
  <c r="E8" i="32" a="1"/>
  <c r="E8" i="32" s="1"/>
  <c r="D8" i="32" a="1"/>
  <c r="D8" i="32" s="1"/>
  <c r="H7" i="32" a="1"/>
  <c r="H7" i="32" s="1"/>
  <c r="F7" i="32" a="1"/>
  <c r="F7" i="32" s="1"/>
  <c r="E7" i="32" a="1"/>
  <c r="E7" i="32" s="1"/>
  <c r="D7" i="32" a="1"/>
  <c r="D7" i="32" s="1"/>
  <c r="I33" i="32"/>
  <c r="M30" i="32" a="1"/>
  <c r="M30" i="32" s="1"/>
  <c r="I15" i="32"/>
  <c r="F16" i="15" a="1"/>
  <c r="F16" i="15" s="1"/>
  <c r="I8" i="1" a="1"/>
  <c r="I8" i="1" s="1"/>
  <c r="K33" i="31" a="1"/>
  <c r="K33" i="31" s="1"/>
  <c r="H33" i="31" a="1"/>
  <c r="H33" i="31" s="1"/>
  <c r="F33" i="31" a="1"/>
  <c r="F33" i="31" s="1"/>
  <c r="D33" i="31" a="1"/>
  <c r="D33" i="31" s="1"/>
  <c r="K28" i="31" a="1"/>
  <c r="K28" i="31" s="1"/>
  <c r="J28" i="31" a="1"/>
  <c r="J28" i="31" s="1"/>
  <c r="H28" i="31" a="1"/>
  <c r="H28" i="31" s="1"/>
  <c r="F28" i="31" a="1"/>
  <c r="F28" i="31" s="1"/>
  <c r="E28" i="31" a="1"/>
  <c r="E28" i="31" s="1"/>
  <c r="D28" i="31" a="1"/>
  <c r="D28" i="31" s="1"/>
  <c r="K23" i="31" a="1"/>
  <c r="K23" i="31" s="1"/>
  <c r="J23" i="31" a="1"/>
  <c r="J23" i="31" s="1"/>
  <c r="H23" i="31" a="1"/>
  <c r="H23" i="31" s="1"/>
  <c r="F23" i="31" a="1"/>
  <c r="F23" i="31" s="1"/>
  <c r="E23" i="31" a="1"/>
  <c r="E23" i="31" s="1"/>
  <c r="D23" i="31" a="1"/>
  <c r="D23" i="31" s="1"/>
  <c r="K19" i="31" a="1"/>
  <c r="K19" i="31" s="1"/>
  <c r="H19" i="31" a="1"/>
  <c r="H19" i="31" s="1"/>
  <c r="F19" i="31" a="1"/>
  <c r="F19" i="31" s="1"/>
  <c r="E19" i="31" a="1"/>
  <c r="E19" i="31" s="1"/>
  <c r="K14" i="31" a="1"/>
  <c r="K14" i="31" s="1"/>
  <c r="H14" i="31" a="1"/>
  <c r="H14" i="31" s="1"/>
  <c r="F14" i="31" a="1"/>
  <c r="F14" i="31" s="1"/>
  <c r="D14" i="31" a="1"/>
  <c r="D14" i="31" s="1"/>
  <c r="K13" i="31" a="1"/>
  <c r="K13" i="31" s="1"/>
  <c r="J13" i="31" a="1"/>
  <c r="J13" i="31" s="1"/>
  <c r="H13" i="31" a="1"/>
  <c r="H13" i="31" s="1"/>
  <c r="F13" i="31" a="1"/>
  <c r="F13" i="31" s="1"/>
  <c r="E13" i="31" a="1"/>
  <c r="E13" i="31" s="1"/>
  <c r="D13" i="31" a="1"/>
  <c r="D13" i="31" s="1"/>
  <c r="K11" i="31" a="1"/>
  <c r="K11" i="31" s="1"/>
  <c r="H11" i="31" a="1"/>
  <c r="H11" i="31" s="1"/>
  <c r="F11" i="31" a="1"/>
  <c r="F11" i="31" s="1"/>
  <c r="D11" i="31" a="1"/>
  <c r="D11" i="31" s="1"/>
  <c r="K10" i="31" a="1"/>
  <c r="K10" i="31" s="1"/>
  <c r="H10" i="31" a="1"/>
  <c r="H10" i="31" s="1"/>
  <c r="F10" i="31" a="1"/>
  <c r="F10" i="31" s="1"/>
  <c r="K9" i="31" a="1"/>
  <c r="K9" i="31" s="1"/>
  <c r="H9" i="31" a="1"/>
  <c r="H9" i="31" s="1"/>
  <c r="F9" i="31" a="1"/>
  <c r="F9" i="31" s="1"/>
  <c r="D9" i="31" a="1"/>
  <c r="D9" i="31" s="1"/>
  <c r="K8" i="31" a="1"/>
  <c r="K8" i="31" s="1"/>
  <c r="H8" i="31" a="1"/>
  <c r="H8" i="31" s="1"/>
  <c r="F8" i="31" a="1"/>
  <c r="F8" i="31" s="1"/>
  <c r="D8" i="31" a="1"/>
  <c r="D8" i="31" s="1"/>
  <c r="K7" i="31" a="1"/>
  <c r="K7" i="31" s="1"/>
  <c r="H7" i="31" a="1"/>
  <c r="H7" i="31" s="1"/>
  <c r="F7" i="31" a="1"/>
  <c r="F7" i="31" s="1"/>
  <c r="E12" i="31"/>
  <c r="D7" i="31" a="1"/>
  <c r="D7" i="31" s="1"/>
  <c r="K29" i="31" l="1"/>
  <c r="D29" i="31"/>
  <c r="J29" i="31"/>
  <c r="F29" i="31"/>
  <c r="E29" i="31"/>
  <c r="H29" i="31"/>
  <c r="M19" i="31"/>
  <c r="G32" i="32"/>
  <c r="D28" i="32"/>
  <c r="H33" i="32"/>
  <c r="J15" i="32"/>
  <c r="F72" i="14"/>
  <c r="M14" i="31"/>
  <c r="G14" i="32"/>
  <c r="F77" i="14"/>
  <c r="G10" i="32"/>
  <c r="E15" i="32"/>
  <c r="E20" i="32" s="1"/>
  <c r="F76" i="14"/>
  <c r="G43" i="15"/>
  <c r="I43" i="15" s="1"/>
  <c r="E108" i="14"/>
  <c r="E109" i="14" s="1"/>
  <c r="G108" i="14"/>
  <c r="G109" i="14" s="1"/>
  <c r="I103" i="14"/>
  <c r="I107" i="14"/>
  <c r="G7" i="32"/>
  <c r="G44" i="15"/>
  <c r="I44" i="15" s="1"/>
  <c r="I71" i="14"/>
  <c r="I73" i="14"/>
  <c r="I76" i="14"/>
  <c r="I83" i="14"/>
  <c r="I102" i="14"/>
  <c r="I106" i="14"/>
  <c r="G21" i="16"/>
  <c r="K21" i="16" s="1"/>
  <c r="K15" i="32"/>
  <c r="K33" i="32"/>
  <c r="F80" i="14"/>
  <c r="F82" i="14"/>
  <c r="I87" i="14"/>
  <c r="I92" i="14"/>
  <c r="I95" i="14"/>
  <c r="I97" i="14"/>
  <c r="I100" i="14"/>
  <c r="G20" i="16"/>
  <c r="F81" i="14"/>
  <c r="I86" i="14"/>
  <c r="I78" i="14"/>
  <c r="I96" i="14"/>
  <c r="I98" i="14"/>
  <c r="I101" i="14"/>
  <c r="K12" i="3"/>
  <c r="F92" i="14"/>
  <c r="F95" i="14"/>
  <c r="F97" i="14"/>
  <c r="F100" i="14"/>
  <c r="F102" i="14"/>
  <c r="F106" i="14"/>
  <c r="F93" i="14"/>
  <c r="F96" i="14"/>
  <c r="F98" i="14"/>
  <c r="F101" i="14"/>
  <c r="F103" i="14"/>
  <c r="F107" i="14"/>
  <c r="F83" i="14"/>
  <c r="I81" i="14"/>
  <c r="H88" i="14"/>
  <c r="H89" i="14" s="1"/>
  <c r="I75" i="14"/>
  <c r="I77" i="14"/>
  <c r="I80" i="14"/>
  <c r="F91" i="14"/>
  <c r="D108" i="14"/>
  <c r="D88" i="14"/>
  <c r="F71" i="14"/>
  <c r="I72" i="14"/>
  <c r="F75" i="14"/>
  <c r="F87" i="14"/>
  <c r="I93" i="14"/>
  <c r="H108" i="14"/>
  <c r="H109" i="14" s="1"/>
  <c r="E88" i="14"/>
  <c r="E89" i="14" s="1"/>
  <c r="F73" i="14"/>
  <c r="I82" i="14"/>
  <c r="F86" i="14"/>
  <c r="F78" i="14"/>
  <c r="G88" i="14"/>
  <c r="I91" i="14"/>
  <c r="E42" i="15"/>
  <c r="E45" i="15" s="1"/>
  <c r="G41" i="15"/>
  <c r="I41" i="15" s="1"/>
  <c r="D44" i="15"/>
  <c r="G40" i="15"/>
  <c r="I40" i="15" s="1"/>
  <c r="B42" i="15"/>
  <c r="B45" i="15" s="1"/>
  <c r="D40" i="15"/>
  <c r="H42" i="15"/>
  <c r="H45" i="15" s="1"/>
  <c r="D41" i="15"/>
  <c r="C42" i="15"/>
  <c r="C45" i="15" s="1"/>
  <c r="G39" i="15"/>
  <c r="F42" i="15"/>
  <c r="F45" i="15" s="1"/>
  <c r="D43" i="15"/>
  <c r="D39" i="15"/>
  <c r="J17" i="3"/>
  <c r="K17" i="3"/>
  <c r="J12" i="3"/>
  <c r="J12" i="2"/>
  <c r="J18" i="2" s="1"/>
  <c r="J27" i="2" s="1"/>
  <c r="K12" i="2"/>
  <c r="K18" i="2" s="1"/>
  <c r="J28" i="32"/>
  <c r="K28" i="32"/>
  <c r="G9" i="32"/>
  <c r="G11" i="32"/>
  <c r="H28" i="32"/>
  <c r="G16" i="32"/>
  <c r="D33" i="32"/>
  <c r="D12" i="32"/>
  <c r="K12" i="32"/>
  <c r="G27" i="32"/>
  <c r="I28" i="32"/>
  <c r="F33" i="32"/>
  <c r="G31" i="32"/>
  <c r="G8" i="32"/>
  <c r="F12" i="32"/>
  <c r="F15" i="32"/>
  <c r="G13" i="32"/>
  <c r="H15" i="32"/>
  <c r="H12" i="32"/>
  <c r="E28" i="32"/>
  <c r="J33" i="32"/>
  <c r="I12" i="32"/>
  <c r="I20" i="32" s="1"/>
  <c r="F28" i="32"/>
  <c r="G23" i="32"/>
  <c r="J12" i="32"/>
  <c r="D15" i="32"/>
  <c r="G24" i="32"/>
  <c r="M13" i="31"/>
  <c r="M28" i="31"/>
  <c r="E15" i="31"/>
  <c r="E20" i="31" s="1"/>
  <c r="D15" i="31"/>
  <c r="H15" i="31"/>
  <c r="D34" i="31"/>
  <c r="G16" i="31"/>
  <c r="G8" i="31"/>
  <c r="G9" i="31"/>
  <c r="H12" i="31"/>
  <c r="G10" i="31"/>
  <c r="G28" i="31"/>
  <c r="H34" i="31"/>
  <c r="G14" i="31"/>
  <c r="K34" i="31"/>
  <c r="G11" i="31"/>
  <c r="F12" i="31"/>
  <c r="F15" i="31"/>
  <c r="F34" i="31"/>
  <c r="J15" i="31"/>
  <c r="G23" i="31"/>
  <c r="M24" i="31"/>
  <c r="I35" i="31"/>
  <c r="K12" i="31"/>
  <c r="M12" i="31" s="1"/>
  <c r="G33" i="31"/>
  <c r="D12" i="31"/>
  <c r="G19" i="31"/>
  <c r="L35" i="31"/>
  <c r="M23" i="31"/>
  <c r="G24" i="31"/>
  <c r="K15" i="31"/>
  <c r="J20" i="31" l="1"/>
  <c r="J40" i="31" s="1"/>
  <c r="E40" i="31"/>
  <c r="H20" i="31"/>
  <c r="H40" i="31" s="1"/>
  <c r="K20" i="32"/>
  <c r="K34" i="32" s="1"/>
  <c r="G15" i="32"/>
  <c r="D20" i="31"/>
  <c r="D35" i="31" s="1"/>
  <c r="K20" i="31"/>
  <c r="K40" i="31" s="1"/>
  <c r="M34" i="31"/>
  <c r="F20" i="31"/>
  <c r="F35" i="31" s="1"/>
  <c r="D20" i="32"/>
  <c r="D34" i="32" s="1"/>
  <c r="K19" i="3"/>
  <c r="K27" i="2"/>
  <c r="H20" i="32"/>
  <c r="H34" i="32" s="1"/>
  <c r="J19" i="3"/>
  <c r="I108" i="14"/>
  <c r="F88" i="14"/>
  <c r="D89" i="14"/>
  <c r="F89" i="14" s="1"/>
  <c r="I109" i="14"/>
  <c r="F108" i="14"/>
  <c r="D109" i="14"/>
  <c r="F109" i="14" s="1"/>
  <c r="G89" i="14"/>
  <c r="I89" i="14" s="1"/>
  <c r="I88" i="14"/>
  <c r="D42" i="15"/>
  <c r="D45" i="15" s="1"/>
  <c r="G42" i="15"/>
  <c r="I39" i="15"/>
  <c r="J20" i="32"/>
  <c r="J34" i="32" s="1"/>
  <c r="E36" i="32"/>
  <c r="I36" i="32"/>
  <c r="F20" i="32"/>
  <c r="F36" i="32" s="1"/>
  <c r="G12" i="32"/>
  <c r="G28" i="32"/>
  <c r="G33" i="32"/>
  <c r="E34" i="32"/>
  <c r="I34" i="32"/>
  <c r="M15" i="31"/>
  <c r="M29" i="31"/>
  <c r="E35" i="31"/>
  <c r="G15" i="31"/>
  <c r="G29" i="31"/>
  <c r="G34" i="31"/>
  <c r="G12" i="31"/>
  <c r="J35" i="31" l="1"/>
  <c r="M40" i="31"/>
  <c r="F40" i="31"/>
  <c r="G40" i="31" s="1"/>
  <c r="D40" i="31"/>
  <c r="G35" i="31"/>
  <c r="K36" i="32"/>
  <c r="H35" i="31"/>
  <c r="H36" i="32"/>
  <c r="D36" i="32"/>
  <c r="G45" i="15"/>
  <c r="I45" i="15" s="1"/>
  <c r="I42" i="15"/>
  <c r="J36" i="32"/>
  <c r="G36" i="32"/>
  <c r="F34" i="32"/>
  <c r="G34" i="32" s="1"/>
  <c r="G20" i="32"/>
  <c r="G20" i="31"/>
  <c r="K35" i="31"/>
  <c r="M20" i="31"/>
  <c r="M35" i="31" l="1"/>
  <c r="G16" i="3" a="1"/>
  <c r="G16" i="3" s="1"/>
  <c r="G15" i="3" a="1"/>
  <c r="G15" i="3" s="1"/>
  <c r="G11" i="3" a="1"/>
  <c r="G11" i="3" s="1"/>
  <c r="G7" i="3" a="1"/>
  <c r="G7" i="3" s="1"/>
  <c r="K14" i="1" l="1" a="1"/>
  <c r="K14" i="1" s="1"/>
  <c r="J14" i="1" a="1"/>
  <c r="J14" i="1" s="1"/>
  <c r="I14" i="1" a="1"/>
  <c r="I14" i="1" s="1"/>
  <c r="H14" i="1" a="1"/>
  <c r="H14" i="1" s="1"/>
  <c r="F14" i="1" a="1"/>
  <c r="F14" i="1" s="1"/>
  <c r="D14" i="1" a="1"/>
  <c r="D14" i="1" s="1"/>
  <c r="K13" i="1" a="1"/>
  <c r="K13" i="1" s="1"/>
  <c r="J13" i="1" a="1"/>
  <c r="J13" i="1" s="1"/>
  <c r="I13" i="1" a="1"/>
  <c r="I13" i="1" s="1"/>
  <c r="H13" i="1" a="1"/>
  <c r="H13" i="1" s="1"/>
  <c r="F13" i="1" a="1"/>
  <c r="F13" i="1" s="1"/>
  <c r="E13" i="1" a="1"/>
  <c r="E13" i="1" s="1"/>
  <c r="D13" i="1" a="1"/>
  <c r="D13" i="1" s="1"/>
  <c r="K11" i="1" a="1"/>
  <c r="K11" i="1" s="1"/>
  <c r="J11" i="1" a="1"/>
  <c r="J11" i="1" s="1"/>
  <c r="I11" i="1" a="1"/>
  <c r="I11" i="1" s="1"/>
  <c r="H11" i="1" a="1"/>
  <c r="H11" i="1" s="1"/>
  <c r="F11" i="1" a="1"/>
  <c r="F11" i="1" s="1"/>
  <c r="D11" i="1" a="1"/>
  <c r="D11" i="1" s="1"/>
  <c r="K10" i="1" a="1"/>
  <c r="K10" i="1" s="1"/>
  <c r="J10" i="1" a="1"/>
  <c r="J10" i="1" s="1"/>
  <c r="I10" i="1" a="1"/>
  <c r="I10" i="1" s="1"/>
  <c r="H10" i="1" a="1"/>
  <c r="H10" i="1" s="1"/>
  <c r="F10" i="1" a="1"/>
  <c r="F10" i="1" s="1"/>
  <c r="D10" i="1" a="1"/>
  <c r="D10" i="1" s="1"/>
  <c r="K9" i="1" a="1"/>
  <c r="K9" i="1" s="1"/>
  <c r="J9" i="1" a="1"/>
  <c r="J9" i="1" s="1"/>
  <c r="I9" i="1" a="1"/>
  <c r="I9" i="1" s="1"/>
  <c r="H9" i="1" a="1"/>
  <c r="H9" i="1" s="1"/>
  <c r="F9" i="1" a="1"/>
  <c r="F9" i="1" s="1"/>
  <c r="D9" i="1" a="1"/>
  <c r="D9" i="1" s="1"/>
  <c r="K8" i="1" a="1"/>
  <c r="K8" i="1" s="1"/>
  <c r="J8" i="1" a="1"/>
  <c r="J8" i="1" s="1"/>
  <c r="H8" i="1" a="1"/>
  <c r="H8" i="1" s="1"/>
  <c r="F8" i="1" a="1"/>
  <c r="F8" i="1" s="1"/>
  <c r="D8" i="1" a="1"/>
  <c r="D8" i="1" s="1"/>
  <c r="K7" i="1" a="1"/>
  <c r="K7" i="1" s="1"/>
  <c r="J7" i="1" a="1"/>
  <c r="J7" i="1" s="1"/>
  <c r="I7" i="1" a="1"/>
  <c r="I7" i="1" s="1"/>
  <c r="H7" i="1" a="1"/>
  <c r="H7" i="1" s="1"/>
  <c r="F7" i="1" a="1"/>
  <c r="F7" i="1" s="1"/>
  <c r="D7" i="1" a="1"/>
  <c r="D7" i="1" s="1"/>
  <c r="K28" i="1" a="1"/>
  <c r="K28" i="1" s="1"/>
  <c r="J28" i="1" a="1"/>
  <c r="J28" i="1" s="1"/>
  <c r="I28" i="1" a="1"/>
  <c r="I28" i="1" s="1"/>
  <c r="H28" i="1" a="1"/>
  <c r="H28" i="1" s="1"/>
  <c r="F28" i="1" a="1"/>
  <c r="F28" i="1" s="1"/>
  <c r="E28" i="1" a="1"/>
  <c r="E28" i="1" s="1"/>
  <c r="D28" i="1" a="1"/>
  <c r="D28" i="1" s="1"/>
  <c r="K23" i="1" a="1"/>
  <c r="K23" i="1" s="1"/>
  <c r="J23" i="1" a="1"/>
  <c r="J23" i="1" s="1"/>
  <c r="I23" i="1" a="1"/>
  <c r="I23" i="1" s="1"/>
  <c r="H23" i="1" a="1"/>
  <c r="H23" i="1" s="1"/>
  <c r="F23" i="1" a="1"/>
  <c r="F23" i="1" s="1"/>
  <c r="E23" i="1" a="1"/>
  <c r="E23" i="1" s="1"/>
  <c r="D23" i="1" a="1"/>
  <c r="D23" i="1" s="1"/>
  <c r="K33" i="1" a="1"/>
  <c r="K33" i="1" s="1"/>
  <c r="J33" i="1" a="1"/>
  <c r="J33" i="1" s="1"/>
  <c r="I33" i="1" a="1"/>
  <c r="I33" i="1" s="1"/>
  <c r="H33" i="1" a="1"/>
  <c r="H33" i="1" s="1"/>
  <c r="F33" i="1" a="1"/>
  <c r="F33" i="1" s="1"/>
  <c r="D33" i="1" a="1"/>
  <c r="D33" i="1" s="1"/>
  <c r="K32" i="1" a="1"/>
  <c r="K32" i="1" s="1"/>
  <c r="J32" i="1" a="1"/>
  <c r="J32" i="1" s="1"/>
  <c r="I32" i="1" a="1"/>
  <c r="I32" i="1" s="1"/>
  <c r="H32" i="1" a="1"/>
  <c r="H32" i="1" s="1"/>
  <c r="F32" i="1" a="1"/>
  <c r="F32" i="1" s="1"/>
  <c r="D32" i="1" a="1"/>
  <c r="D32" i="1" s="1"/>
  <c r="I11" i="3" a="1"/>
  <c r="I11" i="3" s="1"/>
  <c r="I7" i="3" a="1"/>
  <c r="I7" i="3" s="1"/>
  <c r="H11" i="3" a="1"/>
  <c r="H11" i="3" s="1"/>
  <c r="H7" i="3" a="1"/>
  <c r="H7" i="3" s="1"/>
  <c r="F11" i="3" a="1"/>
  <c r="F11" i="3" s="1"/>
  <c r="F7" i="3" a="1"/>
  <c r="F7" i="3" s="1"/>
  <c r="E11" i="3" a="1"/>
  <c r="E11" i="3" s="1"/>
  <c r="E7" i="3" a="1"/>
  <c r="E7" i="3" s="1"/>
  <c r="D11" i="3" a="1"/>
  <c r="D11" i="3" s="1"/>
  <c r="D7" i="3" a="1"/>
  <c r="D7" i="3" s="1"/>
  <c r="I17" i="2" a="1"/>
  <c r="I17" i="2" s="1"/>
  <c r="I15" i="2" a="1"/>
  <c r="I15" i="2" s="1"/>
  <c r="I14" i="2" a="1"/>
  <c r="I14" i="2" s="1"/>
  <c r="I13" i="2" a="1"/>
  <c r="I13" i="2" s="1"/>
  <c r="H17" i="2" a="1"/>
  <c r="H17" i="2" s="1"/>
  <c r="H15" i="2" a="1"/>
  <c r="H15" i="2" s="1"/>
  <c r="H14" i="2" a="1"/>
  <c r="H14" i="2" s="1"/>
  <c r="H13" i="2" a="1"/>
  <c r="H13" i="2" s="1"/>
  <c r="I7" i="2" a="1"/>
  <c r="I7" i="2" s="1"/>
  <c r="H7" i="2" a="1"/>
  <c r="H7" i="2" s="1"/>
  <c r="G17" i="2" a="1"/>
  <c r="G17" i="2" s="1"/>
  <c r="F17" i="2" a="1"/>
  <c r="F17" i="2" s="1"/>
  <c r="F15" i="2" a="1"/>
  <c r="F15" i="2" s="1"/>
  <c r="G15" i="2" a="1"/>
  <c r="G15" i="2" s="1"/>
  <c r="G14" i="2" a="1"/>
  <c r="G14" i="2" s="1"/>
  <c r="G13" i="2" a="1"/>
  <c r="G13" i="2" s="1"/>
  <c r="F14" i="2" a="1"/>
  <c r="F14" i="2" s="1"/>
  <c r="F13" i="2" a="1"/>
  <c r="F13" i="2" s="1"/>
  <c r="F7" i="2" a="1"/>
  <c r="F7" i="2" s="1"/>
  <c r="G11" i="2" a="1"/>
  <c r="G11" i="2" s="1"/>
  <c r="F11" i="2" a="1"/>
  <c r="F11" i="2" s="1"/>
  <c r="G9" i="2" a="1"/>
  <c r="G9" i="2" s="1"/>
  <c r="F9" i="2" a="1"/>
  <c r="F9" i="2" s="1"/>
  <c r="G8" i="2" a="1"/>
  <c r="G8" i="2" s="1"/>
  <c r="F8" i="2" a="1"/>
  <c r="F8" i="2" s="1"/>
  <c r="G7" i="2" a="1"/>
  <c r="G7" i="2" s="1"/>
  <c r="D21" i="2" a="1"/>
  <c r="D21" i="2" s="1"/>
  <c r="D15" i="2" a="1"/>
  <c r="D15" i="2" s="1"/>
  <c r="E17" i="2" a="1"/>
  <c r="E17" i="2" s="1"/>
  <c r="E15" i="2" a="1"/>
  <c r="E15" i="2" s="1"/>
  <c r="E14" i="2" a="1"/>
  <c r="E14" i="2" s="1"/>
  <c r="E13" i="2" a="1"/>
  <c r="E13" i="2" s="1"/>
  <c r="D14" i="2" a="1"/>
  <c r="D14" i="2" s="1"/>
  <c r="D13" i="2" a="1"/>
  <c r="D13" i="2" s="1"/>
  <c r="E8" i="2" a="1"/>
  <c r="E8" i="2" s="1"/>
  <c r="E9" i="2" a="1"/>
  <c r="E9" i="2" s="1"/>
  <c r="E11" i="2" a="1"/>
  <c r="E11" i="2" s="1"/>
  <c r="E7" i="2" a="1"/>
  <c r="E7" i="2" s="1"/>
  <c r="D8" i="2" a="1"/>
  <c r="D8" i="2" s="1"/>
  <c r="D9" i="2" a="1"/>
  <c r="D9" i="2" s="1"/>
  <c r="D11" i="2" a="1"/>
  <c r="D11" i="2" s="1"/>
  <c r="D7" i="2" a="1"/>
  <c r="D7" i="2" s="1"/>
  <c r="H18" i="14" a="1"/>
  <c r="H18" i="14" s="1"/>
  <c r="H17" i="14" a="1"/>
  <c r="H17" i="14" s="1"/>
  <c r="H16" i="14" a="1"/>
  <c r="H16" i="14" s="1"/>
  <c r="H15" i="14" a="1"/>
  <c r="H15" i="14" s="1"/>
  <c r="H13" i="14" a="1"/>
  <c r="H13" i="14" s="1"/>
  <c r="H12" i="14" a="1"/>
  <c r="H12" i="14" s="1"/>
  <c r="H11" i="14" a="1"/>
  <c r="H11" i="14" s="1"/>
  <c r="G27" i="14" a="1"/>
  <c r="G27" i="14" s="1"/>
  <c r="G26" i="14" a="1"/>
  <c r="G26" i="14" s="1"/>
  <c r="G22" i="14" a="1"/>
  <c r="G22" i="14" s="1"/>
  <c r="G21" i="14" a="1"/>
  <c r="G21" i="14" s="1"/>
  <c r="G20" i="14" a="1"/>
  <c r="G20" i="14" s="1"/>
  <c r="G18" i="14" a="1"/>
  <c r="G18" i="14" s="1"/>
  <c r="G17" i="14" a="1"/>
  <c r="G17" i="14" s="1"/>
  <c r="G16" i="14" a="1"/>
  <c r="G16" i="14" s="1"/>
  <c r="G15" i="14" a="1"/>
  <c r="G15" i="14" s="1"/>
  <c r="G13" i="14" a="1"/>
  <c r="G13" i="14" s="1"/>
  <c r="G12" i="14" a="1"/>
  <c r="G12" i="14" s="1"/>
  <c r="G11" i="14" a="1"/>
  <c r="G11" i="14" s="1"/>
  <c r="D27" i="14" a="1"/>
  <c r="D27" i="14" s="1"/>
  <c r="D26" i="14" a="1"/>
  <c r="D26" i="14" s="1"/>
  <c r="D22" i="14" a="1"/>
  <c r="D22" i="14" s="1"/>
  <c r="D21" i="14" a="1"/>
  <c r="D21" i="14" s="1"/>
  <c r="D20" i="14" a="1"/>
  <c r="D20" i="14" s="1"/>
  <c r="D17" i="14" a="1"/>
  <c r="D17" i="14" s="1"/>
  <c r="D16" i="14" a="1"/>
  <c r="D16" i="14" s="1"/>
  <c r="D15" i="14" a="1"/>
  <c r="D15" i="14" s="1"/>
  <c r="D13" i="14" a="1"/>
  <c r="D13" i="14" s="1"/>
  <c r="D12" i="14" a="1"/>
  <c r="D12" i="14" s="1"/>
  <c r="C33" i="15" a="1"/>
  <c r="C33" i="15" s="1"/>
  <c r="B30" i="15" a="1"/>
  <c r="B30" i="15" s="1"/>
  <c r="C30" i="15" a="1"/>
  <c r="C30" i="15" s="1"/>
  <c r="B29" i="15" a="1"/>
  <c r="B29" i="15" s="1"/>
  <c r="C29" i="15" a="1"/>
  <c r="C29" i="15" s="1"/>
  <c r="B28" i="15" a="1"/>
  <c r="B28" i="15" s="1"/>
  <c r="C28" i="15" a="1"/>
  <c r="C28" i="15" s="1"/>
  <c r="B32" i="15" a="1"/>
  <c r="B32" i="15" s="1"/>
  <c r="E32" i="15" a="1"/>
  <c r="E32" i="15" s="1"/>
  <c r="E30" i="15" a="1"/>
  <c r="E30" i="15" s="1"/>
  <c r="F30" i="15" a="1"/>
  <c r="F30" i="15" s="1"/>
  <c r="E29" i="15" a="1"/>
  <c r="E29" i="15" s="1"/>
  <c r="F29" i="15" a="1"/>
  <c r="F29" i="15" s="1"/>
  <c r="E28" i="15" a="1"/>
  <c r="E28" i="15" s="1"/>
  <c r="F28" i="15" a="1"/>
  <c r="F28" i="15" s="1"/>
  <c r="E20" i="15" a="1"/>
  <c r="E20" i="15" s="1"/>
  <c r="F18" i="15" a="1"/>
  <c r="F18" i="15" s="1"/>
  <c r="F17" i="15" a="1"/>
  <c r="F17" i="15" s="1"/>
  <c r="B20" i="15" a="1"/>
  <c r="B20" i="15" s="1"/>
  <c r="C18" i="15" a="1"/>
  <c r="C18" i="15" s="1"/>
  <c r="C17" i="15" a="1"/>
  <c r="C17" i="15" s="1"/>
  <c r="C16" i="15" a="1"/>
  <c r="C16" i="15" s="1"/>
  <c r="I6" i="16"/>
  <c r="H6" i="16"/>
  <c r="N6" i="15" a="1"/>
  <c r="N6" i="15" s="1"/>
  <c r="I29" i="1" l="1"/>
  <c r="F29" i="1"/>
  <c r="J29" i="1"/>
  <c r="E29" i="1"/>
  <c r="K29" i="1"/>
  <c r="W35" i="27"/>
  <c r="P35" i="27"/>
  <c r="V35" i="27"/>
  <c r="U35" i="27"/>
  <c r="T35" i="27"/>
  <c r="S35" i="27"/>
  <c r="D29" i="1"/>
  <c r="H29" i="1"/>
  <c r="J6" i="16"/>
  <c r="C9" i="15" a="1"/>
  <c r="C9" i="15" s="1"/>
  <c r="F9" i="15" a="1"/>
  <c r="F9" i="15" s="1"/>
  <c r="H9" i="15" a="1"/>
  <c r="H9" i="15" s="1"/>
  <c r="G10" i="1"/>
  <c r="G28" i="1"/>
  <c r="G9" i="1"/>
  <c r="G23" i="1"/>
  <c r="G33" i="1"/>
  <c r="G11" i="1"/>
  <c r="O17" i="15"/>
  <c r="F12" i="1"/>
  <c r="G8" i="1"/>
  <c r="G14" i="1"/>
  <c r="D28" i="14"/>
  <c r="D29" i="14" s="1"/>
  <c r="G12" i="1" l="1"/>
  <c r="H10" i="15" a="1"/>
  <c r="H10" i="15" s="1"/>
  <c r="E7" i="15" a="1"/>
  <c r="E7" i="15" s="1"/>
  <c r="F5" i="15" a="1"/>
  <c r="F5" i="15" s="1"/>
  <c r="F7" i="15" a="1"/>
  <c r="F7" i="15" s="1"/>
  <c r="E6" i="15" a="1"/>
  <c r="E6" i="15" s="1"/>
  <c r="F6" i="15" a="1"/>
  <c r="F6" i="15" s="1"/>
  <c r="E5" i="15" a="1"/>
  <c r="E5" i="15" s="1"/>
  <c r="C7" i="15" a="1"/>
  <c r="C7" i="15" s="1"/>
  <c r="B7" i="15" a="1"/>
  <c r="B7" i="15" s="1"/>
  <c r="B9" i="15" a="1"/>
  <c r="B9" i="15" s="1"/>
  <c r="B6" i="15" a="1"/>
  <c r="B6" i="15" s="1"/>
  <c r="C5" i="15" a="1"/>
  <c r="C5" i="15" s="1"/>
  <c r="B5" i="15" a="1"/>
  <c r="B5" i="15" s="1"/>
  <c r="C6" i="15" a="1"/>
  <c r="C6" i="15" s="1"/>
  <c r="O6" i="15"/>
  <c r="D5" i="15" l="1"/>
  <c r="H8" i="15"/>
  <c r="P5" i="27"/>
  <c r="M5" i="27"/>
  <c r="I16" i="3" a="1"/>
  <c r="I16" i="3" s="1"/>
  <c r="H16" i="3" a="1"/>
  <c r="H16" i="3" s="1"/>
  <c r="I15" i="3" a="1"/>
  <c r="I15" i="3" s="1"/>
  <c r="H15" i="3" a="1"/>
  <c r="H15" i="3" s="1"/>
  <c r="F16" i="3" a="1"/>
  <c r="F16" i="3" s="1"/>
  <c r="F15" i="3" a="1"/>
  <c r="F15" i="3" s="1"/>
  <c r="E16" i="3" a="1"/>
  <c r="E16" i="3" s="1"/>
  <c r="E15" i="3" a="1"/>
  <c r="E15" i="3" s="1"/>
  <c r="D16" i="3" a="1"/>
  <c r="D16" i="3" s="1"/>
  <c r="D15" i="3" a="1"/>
  <c r="D15" i="3" s="1"/>
  <c r="I22" i="2" a="1"/>
  <c r="I22" i="2" s="1"/>
  <c r="I21" i="2" a="1"/>
  <c r="I21" i="2" s="1"/>
  <c r="I11" i="2" a="1"/>
  <c r="I11" i="2" s="1"/>
  <c r="I9" i="2" a="1"/>
  <c r="I9" i="2" s="1"/>
  <c r="I8" i="2" a="1"/>
  <c r="I8" i="2" s="1"/>
  <c r="H22" i="2" a="1"/>
  <c r="H22" i="2" s="1"/>
  <c r="H21" i="2" a="1"/>
  <c r="H21" i="2" s="1"/>
  <c r="H11" i="2" a="1"/>
  <c r="H11" i="2" s="1"/>
  <c r="H9" i="2" a="1"/>
  <c r="H9" i="2" s="1"/>
  <c r="H8" i="2" a="1"/>
  <c r="H8" i="2" s="1"/>
  <c r="G22" i="2" a="1"/>
  <c r="G22" i="2" s="1"/>
  <c r="G21" i="2" a="1"/>
  <c r="G21" i="2" s="1"/>
  <c r="F22" i="2" a="1"/>
  <c r="F22" i="2" s="1"/>
  <c r="F21" i="2" a="1"/>
  <c r="F21" i="2" s="1"/>
  <c r="E22" i="2" a="1"/>
  <c r="E22" i="2" s="1"/>
  <c r="E21" i="2" a="1"/>
  <c r="E21" i="2" s="1"/>
  <c r="D22" i="2" a="1"/>
  <c r="D22" i="2" s="1"/>
  <c r="H67" i="14" a="1"/>
  <c r="H67" i="14" s="1"/>
  <c r="G67" i="14" a="1"/>
  <c r="G67" i="14" s="1"/>
  <c r="H66" i="14" a="1"/>
  <c r="H66" i="14" s="1"/>
  <c r="G66" i="14" a="1"/>
  <c r="G66" i="14" s="1"/>
  <c r="H62" i="14" a="1"/>
  <c r="H62" i="14" s="1"/>
  <c r="G62" i="14" a="1"/>
  <c r="G62" i="14" s="1"/>
  <c r="H61" i="14" a="1"/>
  <c r="H61" i="14" s="1"/>
  <c r="G61" i="14" a="1"/>
  <c r="G61" i="14" s="1"/>
  <c r="H60" i="14" a="1"/>
  <c r="H60" i="14" s="1"/>
  <c r="G60" i="14" a="1"/>
  <c r="G60" i="14" s="1"/>
  <c r="H58" i="14" a="1"/>
  <c r="H58" i="14" s="1"/>
  <c r="G58" i="14" a="1"/>
  <c r="G58" i="14" s="1"/>
  <c r="H57" i="14" a="1"/>
  <c r="H57" i="14" s="1"/>
  <c r="G57" i="14" a="1"/>
  <c r="G57" i="14" s="1"/>
  <c r="H56" i="14" a="1"/>
  <c r="H56" i="14" s="1"/>
  <c r="G56" i="14" a="1"/>
  <c r="G56" i="14" s="1"/>
  <c r="H55" i="14" a="1"/>
  <c r="H55" i="14" s="1"/>
  <c r="G55" i="14" a="1"/>
  <c r="G55" i="14" s="1"/>
  <c r="H53" i="14" a="1"/>
  <c r="H53" i="14" s="1"/>
  <c r="G53" i="14" a="1"/>
  <c r="G53" i="14" s="1"/>
  <c r="H52" i="14" a="1"/>
  <c r="H52" i="14" s="1"/>
  <c r="G52" i="14" a="1"/>
  <c r="G52" i="14" s="1"/>
  <c r="H51" i="14" a="1"/>
  <c r="H51" i="14" s="1"/>
  <c r="G51" i="14" a="1"/>
  <c r="G51" i="14" s="1"/>
  <c r="E67" i="14" a="1"/>
  <c r="E67" i="14" s="1"/>
  <c r="D67" i="14" a="1"/>
  <c r="D67" i="14" s="1"/>
  <c r="E66" i="14" a="1"/>
  <c r="E66" i="14" s="1"/>
  <c r="D66" i="14" a="1"/>
  <c r="D66" i="14" s="1"/>
  <c r="E62" i="14" a="1"/>
  <c r="E62" i="14" s="1"/>
  <c r="D62" i="14" a="1"/>
  <c r="D62" i="14" s="1"/>
  <c r="E61" i="14" a="1"/>
  <c r="E61" i="14" s="1"/>
  <c r="D61" i="14" a="1"/>
  <c r="D61" i="14" s="1"/>
  <c r="E60" i="14" a="1"/>
  <c r="E60" i="14" s="1"/>
  <c r="D60" i="14" a="1"/>
  <c r="D60" i="14" s="1"/>
  <c r="E58" i="14" a="1"/>
  <c r="E58" i="14" s="1"/>
  <c r="D58" i="14" a="1"/>
  <c r="D58" i="14" s="1"/>
  <c r="E57" i="14" a="1"/>
  <c r="E57" i="14" s="1"/>
  <c r="D57" i="14" a="1"/>
  <c r="D57" i="14" s="1"/>
  <c r="E56" i="14" a="1"/>
  <c r="E56" i="14" s="1"/>
  <c r="D56" i="14" a="1"/>
  <c r="D56" i="14" s="1"/>
  <c r="E55" i="14" a="1"/>
  <c r="E55" i="14" s="1"/>
  <c r="D55" i="14" a="1"/>
  <c r="D55" i="14" s="1"/>
  <c r="E53" i="14" a="1"/>
  <c r="E53" i="14" s="1"/>
  <c r="D53" i="14" a="1"/>
  <c r="D53" i="14" s="1"/>
  <c r="E52" i="14" a="1"/>
  <c r="E52" i="14" s="1"/>
  <c r="D52" i="14" a="1"/>
  <c r="D52" i="14" s="1"/>
  <c r="E51" i="14" a="1"/>
  <c r="E51" i="14" s="1"/>
  <c r="D51" i="14" a="1"/>
  <c r="D51" i="14" s="1"/>
  <c r="D35" i="14" a="1"/>
  <c r="D35" i="14" s="1"/>
  <c r="H47" i="14" a="1"/>
  <c r="H47" i="14" s="1"/>
  <c r="G47" i="14" a="1"/>
  <c r="G47" i="14" s="1"/>
  <c r="H46" i="14" a="1"/>
  <c r="H46" i="14" s="1"/>
  <c r="G46" i="14" a="1"/>
  <c r="G46" i="14" s="1"/>
  <c r="H42" i="14" a="1"/>
  <c r="H42" i="14" s="1"/>
  <c r="G42" i="14" a="1"/>
  <c r="G42" i="14" s="1"/>
  <c r="H41" i="14" a="1"/>
  <c r="H41" i="14" s="1"/>
  <c r="G41" i="14" a="1"/>
  <c r="G41" i="14" s="1"/>
  <c r="H40" i="14" a="1"/>
  <c r="H40" i="14" s="1"/>
  <c r="G40" i="14" a="1"/>
  <c r="G40" i="14" s="1"/>
  <c r="H37" i="14" a="1"/>
  <c r="H37" i="14" s="1"/>
  <c r="G37" i="14" a="1"/>
  <c r="G37" i="14" s="1"/>
  <c r="H36" i="14" a="1"/>
  <c r="H36" i="14" s="1"/>
  <c r="G36" i="14" a="1"/>
  <c r="G36" i="14" s="1"/>
  <c r="H35" i="14" a="1"/>
  <c r="H35" i="14" s="1"/>
  <c r="G35" i="14" a="1"/>
  <c r="G35" i="14" s="1"/>
  <c r="H33" i="14" a="1"/>
  <c r="H33" i="14" s="1"/>
  <c r="G33" i="14" a="1"/>
  <c r="G33" i="14" s="1"/>
  <c r="H32" i="14" a="1"/>
  <c r="H32" i="14" s="1"/>
  <c r="G32" i="14" a="1"/>
  <c r="G32" i="14" s="1"/>
  <c r="H31" i="14" a="1"/>
  <c r="H31" i="14" s="1"/>
  <c r="G31" i="14" a="1"/>
  <c r="G31" i="14" s="1"/>
  <c r="E47" i="14" a="1"/>
  <c r="E47" i="14" s="1"/>
  <c r="D47" i="14" a="1"/>
  <c r="D47" i="14" s="1"/>
  <c r="E46" i="14" a="1"/>
  <c r="E46" i="14" s="1"/>
  <c r="D46" i="14" a="1"/>
  <c r="D46" i="14" s="1"/>
  <c r="E42" i="14" a="1"/>
  <c r="E42" i="14" s="1"/>
  <c r="D42" i="14" a="1"/>
  <c r="D42" i="14" s="1"/>
  <c r="E41" i="14" a="1"/>
  <c r="E41" i="14" s="1"/>
  <c r="D41" i="14" a="1"/>
  <c r="D41" i="14" s="1"/>
  <c r="E40" i="14" a="1"/>
  <c r="E40" i="14" s="1"/>
  <c r="D40" i="14" a="1"/>
  <c r="D40" i="14" s="1"/>
  <c r="E37" i="14" a="1"/>
  <c r="E37" i="14" s="1"/>
  <c r="D37" i="14" a="1"/>
  <c r="D37" i="14" s="1"/>
  <c r="E36" i="14" a="1"/>
  <c r="E36" i="14" s="1"/>
  <c r="D36" i="14" a="1"/>
  <c r="D36" i="14" s="1"/>
  <c r="E35" i="14" a="1"/>
  <c r="E35" i="14" s="1"/>
  <c r="E33" i="14" a="1"/>
  <c r="E33" i="14" s="1"/>
  <c r="D33" i="14" a="1"/>
  <c r="D33" i="14" s="1"/>
  <c r="E32" i="14" a="1"/>
  <c r="E32" i="14" s="1"/>
  <c r="D32" i="14" a="1"/>
  <c r="D32" i="14" s="1"/>
  <c r="E31" i="14" a="1"/>
  <c r="E31" i="14" s="1"/>
  <c r="D31" i="14" a="1"/>
  <c r="D31" i="14" s="1"/>
  <c r="H22" i="14" a="1"/>
  <c r="H22" i="14" s="1"/>
  <c r="H27" i="14" a="1"/>
  <c r="H27" i="14" s="1"/>
  <c r="H26" i="14" a="1"/>
  <c r="H26" i="14" s="1"/>
  <c r="H21" i="14" a="1"/>
  <c r="H21" i="14" s="1"/>
  <c r="H20" i="14" a="1"/>
  <c r="H20" i="14" s="1"/>
  <c r="I18" i="14"/>
  <c r="E13" i="14" a="1"/>
  <c r="E13" i="14" s="1"/>
  <c r="E17" i="14" a="1"/>
  <c r="E17" i="14" s="1"/>
  <c r="E27" i="14" a="1"/>
  <c r="E27" i="14" s="1"/>
  <c r="E22" i="14" a="1"/>
  <c r="E22" i="14" s="1"/>
  <c r="E21" i="14" a="1"/>
  <c r="E21" i="14" s="1"/>
  <c r="E20" i="14" a="1"/>
  <c r="E20" i="14" s="1"/>
  <c r="F20" i="14" s="1"/>
  <c r="E18" i="14" a="1"/>
  <c r="E18" i="14" s="1"/>
  <c r="E16" i="14" a="1"/>
  <c r="E16" i="14" s="1"/>
  <c r="E15" i="14" a="1"/>
  <c r="E15" i="14" s="1"/>
  <c r="F15" i="14" s="1"/>
  <c r="E12" i="14" a="1"/>
  <c r="E12" i="14" s="1"/>
  <c r="E11" i="14" a="1"/>
  <c r="E11" i="14" s="1"/>
  <c r="E26" i="14" a="1"/>
  <c r="E26" i="14" s="1"/>
  <c r="F23" i="14"/>
  <c r="G17" i="3" l="1"/>
  <c r="H12" i="3"/>
  <c r="D12" i="2"/>
  <c r="D18" i="2" s="1"/>
  <c r="D27" i="2" s="1"/>
  <c r="F21" i="14"/>
  <c r="I12" i="2"/>
  <c r="I18" i="2" s="1"/>
  <c r="I27" i="2" s="1"/>
  <c r="D12" i="3"/>
  <c r="F17" i="3"/>
  <c r="H17" i="3"/>
  <c r="E17" i="3"/>
  <c r="F12" i="3"/>
  <c r="H12" i="2"/>
  <c r="I17" i="3"/>
  <c r="G12" i="3"/>
  <c r="I12" i="3"/>
  <c r="E12" i="3"/>
  <c r="D17" i="3"/>
  <c r="F22" i="14"/>
  <c r="I12" i="14"/>
  <c r="F27" i="14"/>
  <c r="F12" i="2"/>
  <c r="J15" i="1"/>
  <c r="F26" i="14"/>
  <c r="F63" i="14"/>
  <c r="K15" i="1"/>
  <c r="G12" i="2"/>
  <c r="F18" i="14"/>
  <c r="F62" i="14"/>
  <c r="I34" i="1"/>
  <c r="J34" i="1"/>
  <c r="I23" i="14"/>
  <c r="F15" i="1"/>
  <c r="F20" i="1" s="1"/>
  <c r="H15" i="1"/>
  <c r="F38" i="14"/>
  <c r="F43" i="14"/>
  <c r="F55" i="14"/>
  <c r="I61" i="14"/>
  <c r="F40" i="14"/>
  <c r="F46" i="14"/>
  <c r="I41" i="14"/>
  <c r="I47" i="14"/>
  <c r="F56" i="14"/>
  <c r="I67" i="14"/>
  <c r="I15" i="1"/>
  <c r="F35" i="14"/>
  <c r="I58" i="14"/>
  <c r="F34" i="1"/>
  <c r="H34" i="1"/>
  <c r="F41" i="14"/>
  <c r="I42" i="14"/>
  <c r="E15" i="1"/>
  <c r="E20" i="1" s="1"/>
  <c r="E40" i="1" s="1"/>
  <c r="J12" i="1"/>
  <c r="K12" i="1"/>
  <c r="D15" i="1"/>
  <c r="D34" i="1"/>
  <c r="H12" i="1"/>
  <c r="K34" i="1"/>
  <c r="D12" i="1"/>
  <c r="I12" i="1"/>
  <c r="F12" i="14"/>
  <c r="F11" i="14"/>
  <c r="E28" i="14"/>
  <c r="E29" i="14" s="1"/>
  <c r="F16" i="14"/>
  <c r="F17" i="14"/>
  <c r="F36" i="14"/>
  <c r="F47" i="14"/>
  <c r="F57" i="14"/>
  <c r="F67" i="14"/>
  <c r="I15" i="14"/>
  <c r="F32" i="14"/>
  <c r="I56" i="14"/>
  <c r="I17" i="14"/>
  <c r="F60" i="14"/>
  <c r="I66" i="14"/>
  <c r="F66" i="14"/>
  <c r="F52" i="14"/>
  <c r="I62" i="14"/>
  <c r="F58" i="14"/>
  <c r="I60" i="14"/>
  <c r="H48" i="14"/>
  <c r="H49" i="14" s="1"/>
  <c r="I46" i="14"/>
  <c r="F37" i="14"/>
  <c r="F42" i="14"/>
  <c r="I33" i="14"/>
  <c r="I38" i="14"/>
  <c r="F33" i="14"/>
  <c r="I37" i="14"/>
  <c r="H68" i="14"/>
  <c r="F53" i="14"/>
  <c r="I55" i="14"/>
  <c r="I63" i="14"/>
  <c r="I51" i="14"/>
  <c r="G68" i="14"/>
  <c r="D48" i="14"/>
  <c r="I32" i="14"/>
  <c r="I53" i="14"/>
  <c r="F61" i="14"/>
  <c r="I36" i="14"/>
  <c r="I40" i="14"/>
  <c r="E48" i="14"/>
  <c r="E49" i="14" s="1"/>
  <c r="I43" i="14"/>
  <c r="D68" i="14"/>
  <c r="I57" i="14"/>
  <c r="I31" i="14"/>
  <c r="G48" i="14"/>
  <c r="I35" i="14"/>
  <c r="E68" i="14"/>
  <c r="E69" i="14" s="1"/>
  <c r="I52" i="14"/>
  <c r="F31" i="14"/>
  <c r="F51" i="14"/>
  <c r="I20" i="14"/>
  <c r="G28" i="14"/>
  <c r="H28" i="14"/>
  <c r="H29" i="14" s="1"/>
  <c r="I26" i="14"/>
  <c r="I16" i="14"/>
  <c r="I22" i="14"/>
  <c r="I13" i="14"/>
  <c r="I21" i="14"/>
  <c r="I27" i="14"/>
  <c r="I11" i="14"/>
  <c r="F13" i="14"/>
  <c r="F40" i="1" l="1"/>
  <c r="G40" i="1" s="1"/>
  <c r="J20" i="1"/>
  <c r="J35" i="1" s="1"/>
  <c r="D20" i="1"/>
  <c r="D35" i="1" s="1"/>
  <c r="H20" i="1"/>
  <c r="H35" i="1" s="1"/>
  <c r="K20" i="1"/>
  <c r="K35" i="1" s="1"/>
  <c r="F18" i="2"/>
  <c r="F27" i="2" s="1"/>
  <c r="H18" i="2"/>
  <c r="H27" i="2" s="1"/>
  <c r="I20" i="1"/>
  <c r="I35" i="1" s="1"/>
  <c r="G18" i="2"/>
  <c r="G27" i="2" s="1"/>
  <c r="E19" i="3"/>
  <c r="H19" i="3"/>
  <c r="G29" i="1"/>
  <c r="G19" i="3"/>
  <c r="F19" i="3"/>
  <c r="F35" i="1"/>
  <c r="G34" i="1"/>
  <c r="G15" i="1"/>
  <c r="E35" i="1"/>
  <c r="D19" i="3"/>
  <c r="I19" i="3"/>
  <c r="F28" i="14"/>
  <c r="I28" i="14"/>
  <c r="F29" i="14"/>
  <c r="D69" i="14"/>
  <c r="F69" i="14" s="1"/>
  <c r="F68" i="14"/>
  <c r="G69" i="14"/>
  <c r="I68" i="14"/>
  <c r="H69" i="14"/>
  <c r="G49" i="14"/>
  <c r="I49" i="14" s="1"/>
  <c r="I48" i="14"/>
  <c r="F48" i="14"/>
  <c r="D49" i="14"/>
  <c r="F49" i="14" s="1"/>
  <c r="G29" i="14"/>
  <c r="I29" i="14" s="1"/>
  <c r="J40" i="1" l="1"/>
  <c r="I40" i="1"/>
  <c r="D40" i="1"/>
  <c r="H40" i="1"/>
  <c r="K40" i="1"/>
  <c r="G35" i="1"/>
  <c r="G20" i="1"/>
  <c r="I69" i="14"/>
  <c r="W5" i="27" l="1"/>
  <c r="H33" i="15" l="1" a="1"/>
  <c r="H33" i="15" s="1"/>
  <c r="H32" i="15" a="1"/>
  <c r="H32" i="15" s="1"/>
  <c r="H21" i="15" a="1"/>
  <c r="H21" i="15" s="1"/>
  <c r="H20" i="15" a="1"/>
  <c r="H20" i="15" s="1"/>
  <c r="B21" i="15" a="1"/>
  <c r="B21" i="15" s="1"/>
  <c r="C21" i="15" a="1"/>
  <c r="C21" i="15" s="1"/>
  <c r="E21" i="15" a="1"/>
  <c r="E21" i="15" s="1"/>
  <c r="F21" i="15" a="1"/>
  <c r="F21" i="15" s="1"/>
  <c r="F33" i="15" a="1"/>
  <c r="F33" i="15" s="1"/>
  <c r="E33" i="15" a="1"/>
  <c r="E33" i="15" s="1"/>
  <c r="F32" i="15" a="1"/>
  <c r="F32" i="15" s="1"/>
  <c r="B33" i="15" a="1"/>
  <c r="B33" i="15" s="1"/>
  <c r="F10" i="15" a="1"/>
  <c r="F10" i="15" s="1"/>
  <c r="F6" i="16" a="1"/>
  <c r="F6" i="16" s="1"/>
  <c r="F5" i="16" a="1"/>
  <c r="F5" i="16" s="1"/>
  <c r="E10" i="15" a="1"/>
  <c r="E10" i="15" s="1"/>
  <c r="B10" i="15" a="1"/>
  <c r="B10" i="15" s="1"/>
  <c r="E9" i="15" a="1"/>
  <c r="E9" i="15" s="1"/>
  <c r="C10" i="15" a="1"/>
  <c r="C10" i="15" s="1"/>
  <c r="H31" i="15" l="1"/>
  <c r="H34" i="15" s="1"/>
  <c r="E8" i="15"/>
  <c r="E11" i="15" s="1"/>
  <c r="D10" i="15"/>
  <c r="G32" i="15"/>
  <c r="I32" i="15" s="1"/>
  <c r="G5" i="15"/>
  <c r="I5" i="15" s="1"/>
  <c r="G16" i="15"/>
  <c r="G7" i="15"/>
  <c r="I7" i="15" s="1"/>
  <c r="F8" i="15"/>
  <c r="F11" i="15" s="1"/>
  <c r="C8" i="15"/>
  <c r="C11" i="15" s="1"/>
  <c r="G18" i="15"/>
  <c r="I18" i="15" s="1"/>
  <c r="B8" i="15"/>
  <c r="B11" i="15" s="1"/>
  <c r="G6" i="15"/>
  <c r="I6" i="15" s="1"/>
  <c r="D6" i="15"/>
  <c r="D33" i="15"/>
  <c r="D29" i="15"/>
  <c r="G33" i="15"/>
  <c r="I33" i="15" s="1"/>
  <c r="D30" i="15"/>
  <c r="G29" i="15"/>
  <c r="I29" i="15" s="1"/>
  <c r="G10" i="15"/>
  <c r="I10" i="15" s="1"/>
  <c r="G17" i="15"/>
  <c r="I17" i="15" s="1"/>
  <c r="G6" i="16"/>
  <c r="K6" i="16" s="1"/>
  <c r="D7" i="15"/>
  <c r="H19" i="15"/>
  <c r="H22" i="15" s="1"/>
  <c r="N16" i="15" s="1"/>
  <c r="N18" i="15" s="1"/>
  <c r="G20" i="15"/>
  <c r="I20" i="15" s="1"/>
  <c r="D16" i="15"/>
  <c r="D17" i="15"/>
  <c r="D20" i="15"/>
  <c r="F19" i="15"/>
  <c r="F22" i="15" s="1"/>
  <c r="D21" i="15"/>
  <c r="C19" i="15"/>
  <c r="C22" i="15" s="1"/>
  <c r="D18" i="15"/>
  <c r="E19" i="15"/>
  <c r="E22" i="15" s="1"/>
  <c r="G21" i="15"/>
  <c r="I21" i="15" s="1"/>
  <c r="D32" i="15"/>
  <c r="G30" i="15"/>
  <c r="I30" i="15" s="1"/>
  <c r="D28" i="15"/>
  <c r="B31" i="15"/>
  <c r="B34" i="15" s="1"/>
  <c r="C31" i="15"/>
  <c r="C34" i="15" s="1"/>
  <c r="B19" i="15"/>
  <c r="B22" i="15" s="1"/>
  <c r="G28" i="15"/>
  <c r="E31" i="15"/>
  <c r="E34" i="15" s="1"/>
  <c r="F31" i="15"/>
  <c r="F34" i="15" s="1"/>
  <c r="D9" i="15"/>
  <c r="G9" i="15"/>
  <c r="G5" i="16"/>
  <c r="D31" i="15" l="1"/>
  <c r="D34" i="15" s="1"/>
  <c r="H11" i="15"/>
  <c r="N5" i="15" s="1"/>
  <c r="N7" i="15" s="1"/>
  <c r="D8" i="15"/>
  <c r="D11" i="15" s="1"/>
  <c r="G8" i="15"/>
  <c r="I8" i="15" s="1"/>
  <c r="G31" i="15"/>
  <c r="I28" i="15"/>
  <c r="D19" i="15"/>
  <c r="D22" i="15" s="1"/>
  <c r="L16" i="15" s="1"/>
  <c r="L18" i="15" s="1"/>
  <c r="G19" i="15"/>
  <c r="I16" i="15"/>
  <c r="I9" i="15"/>
  <c r="C28" i="26"/>
  <c r="C30" i="26" s="1"/>
  <c r="D30" i="26" s="1"/>
  <c r="D87" i="26"/>
  <c r="E87" i="26" s="1"/>
  <c r="C87" i="26"/>
  <c r="F85" i="26"/>
  <c r="F87" i="26" s="1"/>
  <c r="G87" i="26" s="1"/>
  <c r="C73" i="26"/>
  <c r="C75" i="26" s="1"/>
  <c r="D75" i="26" s="1"/>
  <c r="G75" i="26" s="1"/>
  <c r="J75" i="26" s="1"/>
  <c r="E71" i="26"/>
  <c r="E73" i="26" s="1"/>
  <c r="E75" i="26" s="1"/>
  <c r="F75" i="26" s="1"/>
  <c r="C59" i="26"/>
  <c r="C61" i="26" s="1"/>
  <c r="D61" i="26" s="1"/>
  <c r="G61" i="26" s="1"/>
  <c r="J61" i="26" s="1"/>
  <c r="E57" i="26"/>
  <c r="E59" i="26" s="1"/>
  <c r="E61" i="26" s="1"/>
  <c r="F61" i="26" s="1"/>
  <c r="E44" i="26"/>
  <c r="E46" i="26" s="1"/>
  <c r="F46" i="26" s="1"/>
  <c r="E42" i="26"/>
  <c r="C42" i="26"/>
  <c r="C44" i="26" s="1"/>
  <c r="C46" i="26" s="1"/>
  <c r="D46" i="26" s="1"/>
  <c r="G46" i="26" s="1"/>
  <c r="E12" i="26"/>
  <c r="E14" i="26" s="1"/>
  <c r="E16" i="26" s="1"/>
  <c r="F16" i="26" s="1"/>
  <c r="C12" i="26"/>
  <c r="C14" i="26" s="1"/>
  <c r="C16" i="26" s="1"/>
  <c r="D16" i="26" s="1"/>
  <c r="G16" i="26" s="1"/>
  <c r="L5" i="15" l="1"/>
  <c r="L7" i="15" s="1"/>
  <c r="G11" i="15"/>
  <c r="M5" i="15" s="1"/>
  <c r="G34" i="15"/>
  <c r="I34" i="15" s="1"/>
  <c r="I31" i="15"/>
  <c r="G22" i="15"/>
  <c r="I19" i="15"/>
  <c r="K61" i="26"/>
  <c r="H61" i="26"/>
  <c r="H16" i="26"/>
  <c r="J16" i="26" s="1"/>
  <c r="K16" i="26" s="1"/>
  <c r="H46" i="26"/>
  <c r="J46" i="26" s="1"/>
  <c r="K46" i="26" s="1"/>
  <c r="K75" i="26"/>
  <c r="H75" i="26"/>
  <c r="H87" i="26"/>
  <c r="I87" i="26" s="1"/>
  <c r="J87" i="26" s="1"/>
  <c r="I22" i="15" l="1"/>
  <c r="O16" i="15" s="1"/>
  <c r="M16" i="15"/>
  <c r="M18" i="15" s="1"/>
  <c r="O18" i="15" s="1"/>
  <c r="I11" i="15"/>
  <c r="O5" i="15" s="1"/>
  <c r="K6" i="27"/>
  <c r="Y11" i="27"/>
  <c r="Y41" i="27"/>
  <c r="X41" i="27"/>
  <c r="W41" i="27"/>
  <c r="V41" i="27"/>
  <c r="U41" i="27"/>
  <c r="T41" i="27"/>
  <c r="S41" i="27"/>
  <c r="R41" i="27"/>
  <c r="Q41" i="27"/>
  <c r="P41" i="27"/>
  <c r="M41" i="27"/>
  <c r="L41" i="27"/>
  <c r="K41" i="27"/>
  <c r="Y40" i="27"/>
  <c r="X40" i="27"/>
  <c r="W40" i="27"/>
  <c r="V40" i="27"/>
  <c r="U40" i="27"/>
  <c r="T40" i="27"/>
  <c r="S40" i="27"/>
  <c r="R40" i="27"/>
  <c r="Q40" i="27"/>
  <c r="P40" i="27"/>
  <c r="M40" i="27"/>
  <c r="L40" i="27"/>
  <c r="K40" i="27"/>
  <c r="Y39" i="27"/>
  <c r="X39" i="27"/>
  <c r="W39" i="27"/>
  <c r="V39" i="27"/>
  <c r="U39" i="27"/>
  <c r="T39" i="27"/>
  <c r="S39" i="27"/>
  <c r="R39" i="27"/>
  <c r="Q39" i="27"/>
  <c r="P39" i="27"/>
  <c r="M39" i="27"/>
  <c r="L39" i="27"/>
  <c r="K39" i="27"/>
  <c r="Y38" i="27"/>
  <c r="X38" i="27"/>
  <c r="W38" i="27"/>
  <c r="V38" i="27"/>
  <c r="U38" i="27"/>
  <c r="T38" i="27"/>
  <c r="S38" i="27"/>
  <c r="R38" i="27"/>
  <c r="Q38" i="27"/>
  <c r="P38" i="27"/>
  <c r="M38" i="27"/>
  <c r="L38" i="27"/>
  <c r="K38" i="27"/>
  <c r="Y37" i="27"/>
  <c r="X37" i="27"/>
  <c r="W37" i="27"/>
  <c r="V37" i="27"/>
  <c r="U37" i="27"/>
  <c r="T37" i="27"/>
  <c r="S37" i="27"/>
  <c r="R37" i="27"/>
  <c r="Q37" i="27"/>
  <c r="P37" i="27"/>
  <c r="M37" i="27"/>
  <c r="L37" i="27"/>
  <c r="K37" i="27"/>
  <c r="Y36" i="27"/>
  <c r="X36" i="27"/>
  <c r="W36" i="27"/>
  <c r="V36" i="27"/>
  <c r="U36" i="27"/>
  <c r="T36" i="27"/>
  <c r="S36" i="27"/>
  <c r="R36" i="27"/>
  <c r="Q36" i="27"/>
  <c r="P36" i="27"/>
  <c r="M36" i="27"/>
  <c r="L36" i="27"/>
  <c r="K36" i="27"/>
  <c r="Y34" i="27"/>
  <c r="X34" i="27"/>
  <c r="W34" i="27"/>
  <c r="V34" i="27"/>
  <c r="U34" i="27"/>
  <c r="T34" i="27"/>
  <c r="S34" i="27"/>
  <c r="R34" i="27"/>
  <c r="Q34" i="27"/>
  <c r="P34" i="27"/>
  <c r="M34" i="27"/>
  <c r="L34" i="27"/>
  <c r="K34" i="27"/>
  <c r="Y33" i="27"/>
  <c r="X33" i="27"/>
  <c r="W33" i="27"/>
  <c r="V33" i="27"/>
  <c r="U33" i="27"/>
  <c r="T33" i="27"/>
  <c r="S33" i="27"/>
  <c r="R33" i="27"/>
  <c r="Q33" i="27"/>
  <c r="P33" i="27"/>
  <c r="M33" i="27"/>
  <c r="L33" i="27"/>
  <c r="K33" i="27"/>
  <c r="Y32" i="27"/>
  <c r="X32" i="27"/>
  <c r="W32" i="27"/>
  <c r="V32" i="27"/>
  <c r="U32" i="27"/>
  <c r="T32" i="27"/>
  <c r="S32" i="27"/>
  <c r="R32" i="27"/>
  <c r="Q32" i="27"/>
  <c r="P32" i="27"/>
  <c r="M32" i="27"/>
  <c r="L32" i="27"/>
  <c r="K32" i="27"/>
  <c r="Y31" i="27"/>
  <c r="X31" i="27"/>
  <c r="W31" i="27"/>
  <c r="V31" i="27"/>
  <c r="U31" i="27"/>
  <c r="T31" i="27"/>
  <c r="S31" i="27"/>
  <c r="R31" i="27"/>
  <c r="Q31" i="27"/>
  <c r="P31" i="27"/>
  <c r="M31" i="27"/>
  <c r="L31" i="27"/>
  <c r="K31" i="27"/>
  <c r="Y30" i="27"/>
  <c r="X30" i="27"/>
  <c r="W30" i="27"/>
  <c r="V30" i="27"/>
  <c r="U30" i="27"/>
  <c r="T30" i="27"/>
  <c r="S30" i="27"/>
  <c r="R30" i="27"/>
  <c r="Q30" i="27"/>
  <c r="P30" i="27"/>
  <c r="M30" i="27"/>
  <c r="L30" i="27"/>
  <c r="K30" i="27"/>
  <c r="Y29" i="27"/>
  <c r="X29" i="27"/>
  <c r="W29" i="27"/>
  <c r="V29" i="27"/>
  <c r="U29" i="27"/>
  <c r="T29" i="27"/>
  <c r="S29" i="27"/>
  <c r="R29" i="27"/>
  <c r="Q29" i="27"/>
  <c r="P29" i="27"/>
  <c r="M29" i="27"/>
  <c r="L29" i="27"/>
  <c r="K29" i="27"/>
  <c r="Y28" i="27"/>
  <c r="X28" i="27"/>
  <c r="W28" i="27"/>
  <c r="V28" i="27"/>
  <c r="U28" i="27"/>
  <c r="T28" i="27"/>
  <c r="S28" i="27"/>
  <c r="R28" i="27"/>
  <c r="Q28" i="27"/>
  <c r="P28" i="27"/>
  <c r="M28" i="27"/>
  <c r="L28" i="27"/>
  <c r="K28" i="27"/>
  <c r="Y27" i="27"/>
  <c r="X27" i="27"/>
  <c r="W27" i="27"/>
  <c r="V27" i="27"/>
  <c r="U27" i="27"/>
  <c r="T27" i="27"/>
  <c r="S27" i="27"/>
  <c r="R27" i="27"/>
  <c r="Q27" i="27"/>
  <c r="P27" i="27"/>
  <c r="M27" i="27"/>
  <c r="L27" i="27"/>
  <c r="K27" i="27"/>
  <c r="Y26" i="27"/>
  <c r="X26" i="27"/>
  <c r="W26" i="27"/>
  <c r="V26" i="27"/>
  <c r="U26" i="27"/>
  <c r="T26" i="27"/>
  <c r="S26" i="27"/>
  <c r="R26" i="27"/>
  <c r="Q26" i="27"/>
  <c r="P26" i="27"/>
  <c r="M26" i="27"/>
  <c r="L26" i="27"/>
  <c r="K26" i="27"/>
  <c r="Y25" i="27"/>
  <c r="X25" i="27"/>
  <c r="W25" i="27"/>
  <c r="V25" i="27"/>
  <c r="U25" i="27"/>
  <c r="T25" i="27"/>
  <c r="S25" i="27"/>
  <c r="R25" i="27"/>
  <c r="Q25" i="27"/>
  <c r="P25" i="27"/>
  <c r="M25" i="27"/>
  <c r="L25" i="27"/>
  <c r="K25" i="27"/>
  <c r="Y24" i="27"/>
  <c r="X24" i="27"/>
  <c r="W24" i="27"/>
  <c r="V24" i="27"/>
  <c r="U24" i="27"/>
  <c r="T24" i="27"/>
  <c r="S24" i="27"/>
  <c r="R24" i="27"/>
  <c r="Q24" i="27"/>
  <c r="P24" i="27"/>
  <c r="M24" i="27"/>
  <c r="L24" i="27"/>
  <c r="K24" i="27"/>
  <c r="Y23" i="27"/>
  <c r="X23" i="27"/>
  <c r="W23" i="27"/>
  <c r="V23" i="27"/>
  <c r="U23" i="27"/>
  <c r="T23" i="27"/>
  <c r="S23" i="27"/>
  <c r="R23" i="27"/>
  <c r="Q23" i="27"/>
  <c r="P23" i="27"/>
  <c r="M23" i="27"/>
  <c r="L23" i="27"/>
  <c r="K23" i="27"/>
  <c r="Y22" i="27"/>
  <c r="X22" i="27"/>
  <c r="W22" i="27"/>
  <c r="V22" i="27"/>
  <c r="U22" i="27"/>
  <c r="T22" i="27"/>
  <c r="S22" i="27"/>
  <c r="R22" i="27"/>
  <c r="Q22" i="27"/>
  <c r="P22" i="27"/>
  <c r="M22" i="27"/>
  <c r="L22" i="27"/>
  <c r="K22" i="27"/>
  <c r="Y21" i="27"/>
  <c r="X21" i="27"/>
  <c r="W21" i="27"/>
  <c r="V21" i="27"/>
  <c r="U21" i="27"/>
  <c r="T21" i="27"/>
  <c r="S21" i="27"/>
  <c r="R21" i="27"/>
  <c r="Q21" i="27"/>
  <c r="P21" i="27"/>
  <c r="M21" i="27"/>
  <c r="L21" i="27"/>
  <c r="K21" i="27"/>
  <c r="Y20" i="27"/>
  <c r="X20" i="27"/>
  <c r="W20" i="27"/>
  <c r="V20" i="27"/>
  <c r="U20" i="27"/>
  <c r="T20" i="27"/>
  <c r="S20" i="27"/>
  <c r="R20" i="27"/>
  <c r="Q20" i="27"/>
  <c r="P20" i="27"/>
  <c r="M20" i="27"/>
  <c r="L20" i="27"/>
  <c r="K20" i="27"/>
  <c r="G20" i="27"/>
  <c r="F20" i="27"/>
  <c r="Y19" i="27"/>
  <c r="X19" i="27"/>
  <c r="W19" i="27"/>
  <c r="V19" i="27"/>
  <c r="U19" i="27"/>
  <c r="T19" i="27"/>
  <c r="S19" i="27"/>
  <c r="R19" i="27"/>
  <c r="Q19" i="27"/>
  <c r="P19" i="27"/>
  <c r="M19" i="27"/>
  <c r="L19" i="27"/>
  <c r="K19" i="27"/>
  <c r="Y18" i="27"/>
  <c r="X18" i="27"/>
  <c r="W18" i="27"/>
  <c r="V18" i="27"/>
  <c r="U18" i="27"/>
  <c r="T18" i="27"/>
  <c r="S18" i="27"/>
  <c r="R18" i="27"/>
  <c r="Q18" i="27"/>
  <c r="P18" i="27"/>
  <c r="M18" i="27"/>
  <c r="L18" i="27"/>
  <c r="K18" i="27"/>
  <c r="Y17" i="27"/>
  <c r="X17" i="27"/>
  <c r="W17" i="27"/>
  <c r="V17" i="27"/>
  <c r="U17" i="27"/>
  <c r="T17" i="27"/>
  <c r="S17" i="27"/>
  <c r="R17" i="27"/>
  <c r="Q17" i="27"/>
  <c r="P17" i="27"/>
  <c r="M17" i="27"/>
  <c r="L17" i="27"/>
  <c r="K17" i="27"/>
  <c r="Y16" i="27"/>
  <c r="X16" i="27"/>
  <c r="W16" i="27"/>
  <c r="V16" i="27"/>
  <c r="U16" i="27"/>
  <c r="T16" i="27"/>
  <c r="S16" i="27"/>
  <c r="R16" i="27"/>
  <c r="Q16" i="27"/>
  <c r="P16" i="27"/>
  <c r="M16" i="27"/>
  <c r="L16" i="27"/>
  <c r="K16" i="27"/>
  <c r="Y15" i="27"/>
  <c r="X15" i="27"/>
  <c r="W15" i="27"/>
  <c r="V15" i="27"/>
  <c r="U15" i="27"/>
  <c r="T15" i="27"/>
  <c r="S15" i="27"/>
  <c r="R15" i="27"/>
  <c r="Q15" i="27"/>
  <c r="P15" i="27"/>
  <c r="M15" i="27"/>
  <c r="L15" i="27"/>
  <c r="K15" i="27"/>
  <c r="Y14" i="27"/>
  <c r="X14" i="27"/>
  <c r="W14" i="27"/>
  <c r="V14" i="27"/>
  <c r="U14" i="27"/>
  <c r="T14" i="27"/>
  <c r="S14" i="27"/>
  <c r="R14" i="27"/>
  <c r="Q14" i="27"/>
  <c r="P14" i="27"/>
  <c r="M14" i="27"/>
  <c r="L14" i="27"/>
  <c r="K14" i="27"/>
  <c r="Y13" i="27"/>
  <c r="X13" i="27"/>
  <c r="W13" i="27"/>
  <c r="V13" i="27"/>
  <c r="U13" i="27"/>
  <c r="T13" i="27"/>
  <c r="S13" i="27"/>
  <c r="R13" i="27"/>
  <c r="Q13" i="27"/>
  <c r="P13" i="27"/>
  <c r="M13" i="27"/>
  <c r="L13" i="27"/>
  <c r="K13" i="27"/>
  <c r="Y12" i="27"/>
  <c r="X12" i="27"/>
  <c r="W12" i="27"/>
  <c r="V12" i="27"/>
  <c r="U12" i="27"/>
  <c r="T12" i="27"/>
  <c r="S12" i="27"/>
  <c r="R12" i="27"/>
  <c r="Q12" i="27"/>
  <c r="P12" i="27"/>
  <c r="M12" i="27"/>
  <c r="L12" i="27"/>
  <c r="K12" i="27"/>
  <c r="X11" i="27"/>
  <c r="W11" i="27"/>
  <c r="V11" i="27"/>
  <c r="U11" i="27"/>
  <c r="T11" i="27"/>
  <c r="S11" i="27"/>
  <c r="R11" i="27"/>
  <c r="Q11" i="27"/>
  <c r="P11" i="27"/>
  <c r="M11" i="27"/>
  <c r="L11" i="27"/>
  <c r="K11" i="27"/>
  <c r="Y10" i="27"/>
  <c r="X10" i="27"/>
  <c r="W10" i="27"/>
  <c r="V10" i="27"/>
  <c r="U10" i="27"/>
  <c r="T10" i="27"/>
  <c r="S10" i="27"/>
  <c r="R10" i="27"/>
  <c r="Q10" i="27"/>
  <c r="P10" i="27"/>
  <c r="M10" i="27"/>
  <c r="L10" i="27"/>
  <c r="K10" i="27"/>
  <c r="Y9" i="27"/>
  <c r="X9" i="27"/>
  <c r="W9" i="27"/>
  <c r="V9" i="27"/>
  <c r="U9" i="27"/>
  <c r="T9" i="27"/>
  <c r="S9" i="27"/>
  <c r="R9" i="27"/>
  <c r="Q9" i="27"/>
  <c r="P9" i="27"/>
  <c r="M9" i="27"/>
  <c r="L9" i="27"/>
  <c r="K9" i="27"/>
  <c r="Y8" i="27"/>
  <c r="X8" i="27"/>
  <c r="W8" i="27"/>
  <c r="V8" i="27"/>
  <c r="U8" i="27"/>
  <c r="T8" i="27"/>
  <c r="S8" i="27"/>
  <c r="R8" i="27"/>
  <c r="Q8" i="27"/>
  <c r="P8" i="27"/>
  <c r="M8" i="27"/>
  <c r="L8" i="27"/>
  <c r="K8" i="27"/>
  <c r="I8" i="27"/>
  <c r="Y7" i="27"/>
  <c r="X7" i="27"/>
  <c r="W7" i="27"/>
  <c r="V7" i="27"/>
  <c r="U7" i="27"/>
  <c r="T7" i="27"/>
  <c r="S7" i="27"/>
  <c r="R7" i="27"/>
  <c r="Q7" i="27"/>
  <c r="P7" i="27"/>
  <c r="M7" i="27"/>
  <c r="L7" i="27"/>
  <c r="K7" i="27"/>
  <c r="Y6" i="27"/>
  <c r="X6" i="27"/>
  <c r="W6" i="27"/>
  <c r="V6" i="27"/>
  <c r="U6" i="27"/>
  <c r="T6" i="27"/>
  <c r="S6" i="27"/>
  <c r="R6" i="27"/>
  <c r="Q6" i="27"/>
  <c r="P6" i="27"/>
  <c r="M6" i="27"/>
  <c r="L6" i="27"/>
  <c r="Y5" i="27"/>
  <c r="X5" i="27"/>
  <c r="V5" i="27"/>
  <c r="U5" i="27"/>
  <c r="T5" i="27"/>
  <c r="S5" i="27"/>
  <c r="R5" i="27"/>
  <c r="Q5" i="27"/>
  <c r="L5" i="27"/>
  <c r="N5" i="27" s="1"/>
  <c r="K5" i="27"/>
  <c r="I1" i="27"/>
  <c r="I9" i="27" s="1"/>
  <c r="H13" i="27" l="1"/>
  <c r="H9" i="27"/>
  <c r="H35" i="27"/>
  <c r="I35" i="27"/>
  <c r="I12" i="27"/>
  <c r="O6" i="27"/>
  <c r="M7" i="15"/>
  <c r="O7" i="15" s="1"/>
  <c r="Z5" i="27"/>
  <c r="I25" i="27"/>
  <c r="H31" i="27"/>
  <c r="H38" i="27"/>
  <c r="H26" i="27"/>
  <c r="I31" i="27"/>
  <c r="I38" i="27"/>
  <c r="H14" i="27"/>
  <c r="I16" i="27"/>
  <c r="I26" i="27"/>
  <c r="I33" i="27"/>
  <c r="H39" i="27"/>
  <c r="I13" i="27"/>
  <c r="I14" i="27"/>
  <c r="H17" i="27"/>
  <c r="H18" i="27"/>
  <c r="I20" i="27"/>
  <c r="H27" i="27"/>
  <c r="H34" i="27"/>
  <c r="I39" i="27"/>
  <c r="H10" i="27"/>
  <c r="I17" i="27"/>
  <c r="I18" i="27"/>
  <c r="H21" i="27"/>
  <c r="H22" i="27"/>
  <c r="I27" i="27"/>
  <c r="I34" i="27"/>
  <c r="I41" i="27"/>
  <c r="I10" i="27"/>
  <c r="I21" i="27"/>
  <c r="I22" i="27"/>
  <c r="I29" i="27"/>
  <c r="H5" i="27"/>
  <c r="H6" i="27"/>
  <c r="I24" i="27"/>
  <c r="H30" i="27"/>
  <c r="I5" i="27"/>
  <c r="I6" i="27"/>
  <c r="H25" i="27"/>
  <c r="I30" i="27"/>
  <c r="I37" i="27"/>
  <c r="AA18" i="27"/>
  <c r="N21" i="27"/>
  <c r="Z22" i="27"/>
  <c r="Z39" i="27"/>
  <c r="N23" i="27"/>
  <c r="N40" i="27"/>
  <c r="AA7" i="27"/>
  <c r="Z10" i="27"/>
  <c r="N34" i="27"/>
  <c r="Z6" i="27"/>
  <c r="O10" i="27"/>
  <c r="AA22" i="27"/>
  <c r="O23" i="27"/>
  <c r="N24" i="27"/>
  <c r="Z27" i="27"/>
  <c r="N28" i="27"/>
  <c r="AA39" i="27"/>
  <c r="O40" i="27"/>
  <c r="N41" i="27"/>
  <c r="O24" i="27"/>
  <c r="O27" i="27"/>
  <c r="O28" i="27"/>
  <c r="N29" i="27"/>
  <c r="O41" i="27"/>
  <c r="N12" i="27"/>
  <c r="N16" i="27"/>
  <c r="N19" i="27"/>
  <c r="N8" i="27"/>
  <c r="N9" i="27"/>
  <c r="N11" i="27"/>
  <c r="N13" i="27"/>
  <c r="Z14" i="27"/>
  <c r="N15" i="27"/>
  <c r="AA19" i="27"/>
  <c r="N20" i="27"/>
  <c r="N31" i="27"/>
  <c r="N32" i="27"/>
  <c r="N38" i="27"/>
  <c r="N7" i="27"/>
  <c r="AA11" i="27"/>
  <c r="O14" i="27"/>
  <c r="AA15" i="27"/>
  <c r="N17" i="27"/>
  <c r="Z18" i="27"/>
  <c r="N26" i="27"/>
  <c r="AA31" i="27"/>
  <c r="O32" i="27"/>
  <c r="N33" i="27"/>
  <c r="N25" i="27"/>
  <c r="N36" i="27"/>
  <c r="N30" i="27"/>
  <c r="O36" i="27"/>
  <c r="N37" i="27"/>
  <c r="AA5" i="27"/>
  <c r="O5" i="27"/>
  <c r="Z7" i="27"/>
  <c r="Z8" i="27"/>
  <c r="AA8" i="27"/>
  <c r="AA9" i="27"/>
  <c r="O9" i="27"/>
  <c r="Z9" i="27"/>
  <c r="Z11" i="27"/>
  <c r="Z12" i="27"/>
  <c r="AA12" i="27"/>
  <c r="AA13" i="27"/>
  <c r="O13" i="27"/>
  <c r="Z13" i="27"/>
  <c r="Z15" i="27"/>
  <c r="Z16" i="27"/>
  <c r="AA16" i="27"/>
  <c r="AA17" i="27"/>
  <c r="O17" i="27"/>
  <c r="Z17" i="27"/>
  <c r="Z19" i="27"/>
  <c r="Z20" i="27"/>
  <c r="O20" i="27"/>
  <c r="AA21" i="27"/>
  <c r="O21" i="27"/>
  <c r="Z21" i="27"/>
  <c r="Z23" i="27"/>
  <c r="AA23" i="27"/>
  <c r="Z24" i="27"/>
  <c r="AA24" i="27"/>
  <c r="AA25" i="27"/>
  <c r="O25" i="27"/>
  <c r="Z25" i="27"/>
  <c r="AA26" i="27"/>
  <c r="O26" i="27"/>
  <c r="Z26" i="27"/>
  <c r="Z28" i="27"/>
  <c r="AA28" i="27"/>
  <c r="Z29" i="27"/>
  <c r="O29" i="27"/>
  <c r="AA30" i="27"/>
  <c r="O30" i="27"/>
  <c r="Z30" i="27"/>
  <c r="Z31" i="27"/>
  <c r="Z32" i="27"/>
  <c r="AA32" i="27"/>
  <c r="Z33" i="27"/>
  <c r="O33" i="27"/>
  <c r="AA34" i="27"/>
  <c r="O34" i="27"/>
  <c r="Z34" i="27"/>
  <c r="Z36" i="27"/>
  <c r="AA36" i="27"/>
  <c r="Z37" i="27"/>
  <c r="O37" i="27"/>
  <c r="AA38" i="27"/>
  <c r="O38" i="27"/>
  <c r="Z38" i="27"/>
  <c r="Z40" i="27"/>
  <c r="AA40" i="27"/>
  <c r="Z41" i="27"/>
  <c r="AA41" i="27"/>
  <c r="N6" i="27"/>
  <c r="H7" i="27"/>
  <c r="N10" i="27"/>
  <c r="H11" i="27"/>
  <c r="N14" i="27"/>
  <c r="H15" i="27"/>
  <c r="N18" i="27"/>
  <c r="H19" i="27"/>
  <c r="N22" i="27"/>
  <c r="H23" i="27"/>
  <c r="N27" i="27"/>
  <c r="H28" i="27"/>
  <c r="H32" i="27"/>
  <c r="H36" i="27"/>
  <c r="N39" i="27"/>
  <c r="H40" i="27"/>
  <c r="AA6" i="27"/>
  <c r="O8" i="27"/>
  <c r="AA10" i="27"/>
  <c r="O12" i="27"/>
  <c r="AA14" i="27"/>
  <c r="O16" i="27"/>
  <c r="AA27" i="27"/>
  <c r="O7" i="27"/>
  <c r="O11" i="27"/>
  <c r="O15" i="27"/>
  <c r="O19" i="27"/>
  <c r="I7" i="27"/>
  <c r="I11" i="27"/>
  <c r="I15" i="27"/>
  <c r="O18" i="27"/>
  <c r="I19" i="27"/>
  <c r="AA20" i="27"/>
  <c r="O22" i="27"/>
  <c r="I23" i="27"/>
  <c r="I28" i="27"/>
  <c r="AA29" i="27"/>
  <c r="O31" i="27"/>
  <c r="I32" i="27"/>
  <c r="AA33" i="27"/>
  <c r="I36" i="27"/>
  <c r="AA37" i="27"/>
  <c r="O39" i="27"/>
  <c r="I40" i="27"/>
  <c r="H8" i="27"/>
  <c r="H12" i="27"/>
  <c r="H16" i="27"/>
  <c r="H20" i="27"/>
  <c r="H24" i="27"/>
  <c r="H29" i="27"/>
  <c r="H33" i="27"/>
  <c r="H37" i="27"/>
  <c r="H41" i="27"/>
  <c r="D10" i="24"/>
  <c r="D3" i="12" l="1"/>
  <c r="E12" i="2" l="1"/>
  <c r="E18" i="2" s="1"/>
  <c r="E27" i="2" s="1"/>
  <c r="AH25" i="10"/>
  <c r="AH24" i="10"/>
  <c r="AH23" i="10"/>
  <c r="AH22" i="10"/>
  <c r="AH21" i="10"/>
  <c r="AH20" i="10"/>
  <c r="AH19" i="10"/>
  <c r="AH18" i="10"/>
  <c r="AH16" i="10"/>
  <c r="AH15" i="10"/>
  <c r="AH14" i="10"/>
  <c r="AH12" i="10"/>
  <c r="AH6" i="10"/>
  <c r="AH7" i="10"/>
  <c r="AH8" i="10"/>
  <c r="AH9" i="10"/>
  <c r="AH10" i="10"/>
  <c r="AH5" i="10"/>
  <c r="AH27" i="10"/>
  <c r="AH13" i="10" l="1"/>
  <c r="E16" i="10" l="1"/>
  <c r="E16" i="18" s="1"/>
  <c r="K5" i="18"/>
  <c r="P5" i="18"/>
  <c r="Q5" i="18"/>
  <c r="R5" i="18"/>
  <c r="S5" i="18"/>
  <c r="T5" i="18"/>
  <c r="U5" i="18"/>
  <c r="V5" i="18"/>
  <c r="W5" i="18"/>
  <c r="X5" i="18"/>
  <c r="AA5" i="18"/>
  <c r="K6" i="18"/>
  <c r="P6" i="18"/>
  <c r="Q6" i="18"/>
  <c r="R6" i="18"/>
  <c r="S6" i="18"/>
  <c r="T6" i="18"/>
  <c r="U6" i="18"/>
  <c r="V6" i="18"/>
  <c r="W6" i="18"/>
  <c r="X6" i="18"/>
  <c r="AA6" i="18"/>
  <c r="K7" i="18"/>
  <c r="P7" i="18"/>
  <c r="Q7" i="18"/>
  <c r="R7" i="18"/>
  <c r="S7" i="18"/>
  <c r="T7" i="18"/>
  <c r="U7" i="18"/>
  <c r="V7" i="18"/>
  <c r="W7" i="18"/>
  <c r="X7" i="18"/>
  <c r="AA7" i="18"/>
  <c r="K8" i="18"/>
  <c r="P8" i="18"/>
  <c r="Q8" i="18"/>
  <c r="R8" i="18"/>
  <c r="S8" i="18"/>
  <c r="T8" i="18"/>
  <c r="U8" i="18"/>
  <c r="V8" i="18"/>
  <c r="W8" i="18"/>
  <c r="X8" i="18"/>
  <c r="AA8" i="18"/>
  <c r="K9" i="18"/>
  <c r="P9" i="18"/>
  <c r="Q9" i="18"/>
  <c r="R9" i="18"/>
  <c r="S9" i="18"/>
  <c r="T9" i="18"/>
  <c r="U9" i="18"/>
  <c r="V9" i="18"/>
  <c r="W9" i="18"/>
  <c r="X9" i="18"/>
  <c r="AA9" i="18"/>
  <c r="K10" i="18"/>
  <c r="P10" i="18"/>
  <c r="Q10" i="18"/>
  <c r="R10" i="18"/>
  <c r="S10" i="18"/>
  <c r="T10" i="18"/>
  <c r="U10" i="18"/>
  <c r="V10" i="18"/>
  <c r="W10" i="18"/>
  <c r="X10" i="18"/>
  <c r="AA10" i="18"/>
  <c r="F11" i="18"/>
  <c r="G11" i="18"/>
  <c r="H11" i="18"/>
  <c r="I11" i="18"/>
  <c r="J11" i="18"/>
  <c r="L11" i="18"/>
  <c r="M11" i="18"/>
  <c r="N11" i="18"/>
  <c r="O11" i="18"/>
  <c r="P11" i="18"/>
  <c r="Q11" i="18"/>
  <c r="R11" i="18"/>
  <c r="S11" i="18"/>
  <c r="T11" i="18"/>
  <c r="U11" i="18"/>
  <c r="V11" i="18"/>
  <c r="W11" i="18"/>
  <c r="Y11" i="18"/>
  <c r="Z11" i="18"/>
  <c r="AA11" i="18"/>
  <c r="AB11" i="18"/>
  <c r="AC11" i="18"/>
  <c r="AD11" i="18"/>
  <c r="AE11" i="18"/>
  <c r="AF11" i="18"/>
  <c r="AG11" i="18"/>
  <c r="AH11" i="18"/>
  <c r="AI11" i="18"/>
  <c r="P12" i="18"/>
  <c r="Q12" i="18"/>
  <c r="R12" i="18"/>
  <c r="S12" i="18"/>
  <c r="T12" i="18"/>
  <c r="U12" i="18"/>
  <c r="V12" i="18"/>
  <c r="W12" i="18"/>
  <c r="AA12" i="18"/>
  <c r="P13" i="18"/>
  <c r="Q13" i="18"/>
  <c r="R13" i="18"/>
  <c r="S13" i="18"/>
  <c r="T13" i="18"/>
  <c r="U13" i="18"/>
  <c r="V13" i="18"/>
  <c r="W13" i="18"/>
  <c r="AA13" i="18"/>
  <c r="P14" i="18"/>
  <c r="Q14" i="18"/>
  <c r="R14" i="18"/>
  <c r="S14" i="18"/>
  <c r="T14" i="18"/>
  <c r="U14" i="18"/>
  <c r="V14" i="18"/>
  <c r="W14" i="18"/>
  <c r="AA14" i="18"/>
  <c r="K15" i="18"/>
  <c r="P15" i="18"/>
  <c r="Q15" i="18"/>
  <c r="R15" i="18"/>
  <c r="S15" i="18"/>
  <c r="T15" i="18"/>
  <c r="U15" i="18"/>
  <c r="V15" i="18"/>
  <c r="W15" i="18"/>
  <c r="X15" i="18"/>
  <c r="AA15" i="18"/>
  <c r="K16" i="18"/>
  <c r="P16" i="18"/>
  <c r="Q16" i="18"/>
  <c r="R16" i="18"/>
  <c r="S16" i="18"/>
  <c r="T16" i="18"/>
  <c r="U16" i="18"/>
  <c r="V16" i="18"/>
  <c r="W16" i="18"/>
  <c r="X16" i="18"/>
  <c r="AA16" i="18"/>
  <c r="F17" i="18"/>
  <c r="G17" i="18"/>
  <c r="H17" i="18"/>
  <c r="I17" i="18"/>
  <c r="J17" i="18"/>
  <c r="L17" i="18"/>
  <c r="M17" i="18"/>
  <c r="N17" i="18"/>
  <c r="O17" i="18"/>
  <c r="P17" i="18"/>
  <c r="Q17" i="18"/>
  <c r="R17" i="18"/>
  <c r="S17" i="18"/>
  <c r="T17" i="18"/>
  <c r="U17" i="18"/>
  <c r="V17" i="18"/>
  <c r="W17" i="18"/>
  <c r="Y17" i="18"/>
  <c r="Z17" i="18"/>
  <c r="AA17" i="18"/>
  <c r="AB17" i="18"/>
  <c r="AC17" i="18"/>
  <c r="AD17" i="18"/>
  <c r="AE17" i="18"/>
  <c r="AF17" i="18"/>
  <c r="AG17" i="18"/>
  <c r="AH17" i="18"/>
  <c r="AI17" i="18"/>
  <c r="J18" i="18"/>
  <c r="O18" i="18"/>
  <c r="P18" i="18"/>
  <c r="Q18" i="18"/>
  <c r="R18" i="18"/>
  <c r="S18" i="18"/>
  <c r="T18" i="18"/>
  <c r="U18" i="18"/>
  <c r="V18" i="18"/>
  <c r="W18" i="18"/>
  <c r="AA18" i="18"/>
  <c r="AH18" i="18"/>
  <c r="J19" i="18"/>
  <c r="O19" i="18"/>
  <c r="P19" i="18"/>
  <c r="Q19" i="18"/>
  <c r="R19" i="18"/>
  <c r="S19" i="18"/>
  <c r="T19" i="18"/>
  <c r="U19" i="18"/>
  <c r="V19" i="18"/>
  <c r="W19" i="18"/>
  <c r="AA19" i="18"/>
  <c r="AH19" i="18"/>
  <c r="J20" i="18"/>
  <c r="O20" i="18"/>
  <c r="P20" i="18"/>
  <c r="Q20" i="18"/>
  <c r="R20" i="18"/>
  <c r="S20" i="18"/>
  <c r="T20" i="18"/>
  <c r="U20" i="18"/>
  <c r="V20" i="18"/>
  <c r="W20" i="18"/>
  <c r="AA20" i="18"/>
  <c r="AH20" i="18"/>
  <c r="G21" i="18"/>
  <c r="I21" i="18"/>
  <c r="J21" i="18"/>
  <c r="O21" i="18"/>
  <c r="P21" i="18"/>
  <c r="Q21" i="18"/>
  <c r="R21" i="18"/>
  <c r="S21" i="18"/>
  <c r="T21" i="18"/>
  <c r="U21" i="18"/>
  <c r="V21" i="18"/>
  <c r="W21" i="18"/>
  <c r="AA21" i="18"/>
  <c r="AB21" i="18"/>
  <c r="AC21" i="18"/>
  <c r="AF21" i="18"/>
  <c r="AG21" i="18"/>
  <c r="AH21" i="18"/>
  <c r="G22" i="18"/>
  <c r="I22" i="18"/>
  <c r="K22" i="18"/>
  <c r="P22" i="18"/>
  <c r="Q22" i="18"/>
  <c r="R22" i="18"/>
  <c r="S22" i="18"/>
  <c r="T22" i="18"/>
  <c r="U22" i="18"/>
  <c r="V22" i="18"/>
  <c r="W22" i="18"/>
  <c r="X22" i="18"/>
  <c r="AA22" i="18"/>
  <c r="AB22" i="18"/>
  <c r="AC22" i="18"/>
  <c r="AF22" i="18"/>
  <c r="AG22" i="18"/>
  <c r="K23" i="18"/>
  <c r="P23" i="18"/>
  <c r="Q23" i="18"/>
  <c r="R23" i="18"/>
  <c r="S23" i="18"/>
  <c r="T23" i="18"/>
  <c r="U23" i="18"/>
  <c r="V23" i="18"/>
  <c r="W23" i="18"/>
  <c r="X23" i="18"/>
  <c r="AA23" i="18"/>
  <c r="K24" i="18"/>
  <c r="N24" i="18"/>
  <c r="O24" i="18"/>
  <c r="P24" i="18"/>
  <c r="Q24" i="18"/>
  <c r="R24" i="18"/>
  <c r="S24" i="18"/>
  <c r="T24" i="18"/>
  <c r="U24" i="18"/>
  <c r="V24" i="18"/>
  <c r="W24" i="18"/>
  <c r="X24" i="18"/>
  <c r="AA24" i="18"/>
  <c r="G25" i="18"/>
  <c r="I25" i="18"/>
  <c r="J25" i="18"/>
  <c r="K25" i="18"/>
  <c r="N25" i="18"/>
  <c r="O25" i="18"/>
  <c r="P25" i="18"/>
  <c r="Q25" i="18"/>
  <c r="R25" i="18"/>
  <c r="S25" i="18"/>
  <c r="T25" i="18"/>
  <c r="U25" i="18"/>
  <c r="V25" i="18"/>
  <c r="W25" i="18"/>
  <c r="X25" i="18"/>
  <c r="AA25" i="18"/>
  <c r="AB25" i="18"/>
  <c r="AC25" i="18"/>
  <c r="AF25" i="18"/>
  <c r="AG25" i="18"/>
  <c r="AH25" i="18"/>
  <c r="F26" i="18"/>
  <c r="G26" i="18"/>
  <c r="H26" i="18"/>
  <c r="I26" i="18"/>
  <c r="J26" i="18"/>
  <c r="L26" i="18"/>
  <c r="M26" i="18"/>
  <c r="N26" i="18"/>
  <c r="O26" i="18"/>
  <c r="P26" i="18"/>
  <c r="Q26" i="18"/>
  <c r="R26" i="18"/>
  <c r="S26" i="18"/>
  <c r="T26" i="18"/>
  <c r="U26" i="18"/>
  <c r="V26" i="18"/>
  <c r="W26" i="18"/>
  <c r="Y26" i="18"/>
  <c r="Z26" i="18"/>
  <c r="AA26" i="18"/>
  <c r="AB26" i="18"/>
  <c r="AC26" i="18"/>
  <c r="AD26" i="18"/>
  <c r="AE26" i="18"/>
  <c r="AF26" i="18"/>
  <c r="AG26" i="18"/>
  <c r="AH26" i="18"/>
  <c r="AI26" i="18"/>
  <c r="P27" i="18"/>
  <c r="Q27" i="18"/>
  <c r="R27" i="18"/>
  <c r="S27" i="18"/>
  <c r="T27" i="18"/>
  <c r="U27" i="18"/>
  <c r="V27" i="18"/>
  <c r="W27" i="18"/>
  <c r="AA27" i="18"/>
  <c r="F28" i="18"/>
  <c r="G28" i="18"/>
  <c r="H28" i="18"/>
  <c r="I28" i="18"/>
  <c r="J28" i="18"/>
  <c r="K28" i="18"/>
  <c r="L28" i="18"/>
  <c r="M28" i="18"/>
  <c r="N28" i="18"/>
  <c r="O28" i="18"/>
  <c r="P28" i="18"/>
  <c r="Q28" i="18"/>
  <c r="R28" i="18"/>
  <c r="S28" i="18"/>
  <c r="T28" i="18"/>
  <c r="U28" i="18"/>
  <c r="V28" i="18"/>
  <c r="W28" i="18"/>
  <c r="X28" i="18"/>
  <c r="Y28" i="18"/>
  <c r="Z28" i="18"/>
  <c r="AA28" i="18"/>
  <c r="AB28" i="18"/>
  <c r="AC28" i="18"/>
  <c r="AD28" i="18"/>
  <c r="AE28" i="18"/>
  <c r="AF28" i="18"/>
  <c r="AG28" i="18"/>
  <c r="AH28" i="18"/>
  <c r="AI28" i="18"/>
  <c r="E15" i="18"/>
  <c r="E22" i="18"/>
  <c r="E23" i="18"/>
  <c r="E24" i="18"/>
  <c r="E25" i="18"/>
  <c r="E28" i="18"/>
  <c r="E6" i="18"/>
  <c r="E7" i="18"/>
  <c r="E8" i="18"/>
  <c r="E9" i="18"/>
  <c r="E10" i="18"/>
  <c r="E5" i="18"/>
  <c r="N21" i="10"/>
  <c r="N21" i="18" s="1"/>
  <c r="N20" i="10"/>
  <c r="N20" i="18" s="1"/>
  <c r="N19" i="10"/>
  <c r="N19" i="18" s="1"/>
  <c r="N18" i="10"/>
  <c r="N18" i="18" s="1"/>
  <c r="AN20" i="10" l="1"/>
  <c r="AG20" i="18" s="1"/>
  <c r="AM20" i="10"/>
  <c r="AF20" i="18" s="1"/>
  <c r="AJ20" i="10"/>
  <c r="AC20" i="18" s="1"/>
  <c r="AI20" i="10"/>
  <c r="AB20" i="18" s="1"/>
  <c r="AN19" i="10"/>
  <c r="AG19" i="18" s="1"/>
  <c r="AM19" i="10"/>
  <c r="AF19" i="18" s="1"/>
  <c r="AJ19" i="10"/>
  <c r="AC19" i="18" s="1"/>
  <c r="AI19" i="10"/>
  <c r="AB19" i="18" s="1"/>
  <c r="AN18" i="10"/>
  <c r="AG18" i="18" s="1"/>
  <c r="AM18" i="10"/>
  <c r="AF18" i="18" s="1"/>
  <c r="AJ18" i="10"/>
  <c r="AC18" i="18" s="1"/>
  <c r="AI18" i="10"/>
  <c r="AB18" i="18" s="1"/>
  <c r="AN16" i="10"/>
  <c r="AG16" i="18" s="1"/>
  <c r="AM16" i="10"/>
  <c r="AF16" i="18" s="1"/>
  <c r="AJ16" i="10"/>
  <c r="AC16" i="18" s="1"/>
  <c r="AI16" i="10"/>
  <c r="AB16" i="18" s="1"/>
  <c r="AN15" i="10"/>
  <c r="AG15" i="18" s="1"/>
  <c r="AM15" i="10"/>
  <c r="AF15" i="18" s="1"/>
  <c r="AJ15" i="10"/>
  <c r="AC15" i="18" s="1"/>
  <c r="AI15" i="10"/>
  <c r="AB15" i="18" s="1"/>
  <c r="AN14" i="10"/>
  <c r="AG14" i="18" s="1"/>
  <c r="AM14" i="10"/>
  <c r="AF14" i="18" s="1"/>
  <c r="AJ14" i="10"/>
  <c r="AC14" i="18" s="1"/>
  <c r="AI14" i="10"/>
  <c r="AB14" i="18" s="1"/>
  <c r="AN13" i="10"/>
  <c r="AG13" i="18" s="1"/>
  <c r="AM13" i="10"/>
  <c r="AF13" i="18" s="1"/>
  <c r="AJ13" i="10"/>
  <c r="AC13" i="18" s="1"/>
  <c r="AI13" i="10"/>
  <c r="AB13" i="18" s="1"/>
  <c r="AN12" i="10"/>
  <c r="AG12" i="18" s="1"/>
  <c r="AM12" i="10"/>
  <c r="AF12" i="18" s="1"/>
  <c r="AJ12" i="10"/>
  <c r="AC12" i="18" s="1"/>
  <c r="AI12" i="10"/>
  <c r="AB12" i="18" s="1"/>
  <c r="AN10" i="10"/>
  <c r="AG10" i="18" s="1"/>
  <c r="AM10" i="10"/>
  <c r="AF10" i="18" s="1"/>
  <c r="AJ10" i="10"/>
  <c r="AC10" i="18" s="1"/>
  <c r="AI10" i="10"/>
  <c r="AB10" i="18" s="1"/>
  <c r="AN9" i="10"/>
  <c r="AG9" i="18" s="1"/>
  <c r="AM9" i="10"/>
  <c r="AF9" i="18" s="1"/>
  <c r="AJ9" i="10"/>
  <c r="AC9" i="18" s="1"/>
  <c r="AI9" i="10"/>
  <c r="AB9" i="18" s="1"/>
  <c r="AN8" i="10"/>
  <c r="AG8" i="18" s="1"/>
  <c r="AM8" i="10"/>
  <c r="AF8" i="18" s="1"/>
  <c r="AJ8" i="10"/>
  <c r="AC8" i="18" s="1"/>
  <c r="AI8" i="10"/>
  <c r="AB8" i="18" s="1"/>
  <c r="AN7" i="10"/>
  <c r="AG7" i="18" s="1"/>
  <c r="AM7" i="10"/>
  <c r="AF7" i="18" s="1"/>
  <c r="AJ7" i="10"/>
  <c r="AC7" i="18" s="1"/>
  <c r="AI7" i="10"/>
  <c r="AB7" i="18" s="1"/>
  <c r="AN6" i="10"/>
  <c r="AG6" i="18" s="1"/>
  <c r="AM6" i="10"/>
  <c r="AF6" i="18" s="1"/>
  <c r="AJ6" i="10"/>
  <c r="AC6" i="18" s="1"/>
  <c r="AI6" i="10"/>
  <c r="AB6" i="18" s="1"/>
  <c r="AN5" i="10"/>
  <c r="AG5" i="18" s="1"/>
  <c r="AM5" i="10"/>
  <c r="AF5" i="18" s="1"/>
  <c r="AJ5" i="10"/>
  <c r="AC5" i="18" s="1"/>
  <c r="AI5" i="10"/>
  <c r="AB5" i="18" s="1"/>
  <c r="I20" i="10"/>
  <c r="I20" i="18" s="1"/>
  <c r="G20" i="10"/>
  <c r="G20" i="18" s="1"/>
  <c r="I19" i="10"/>
  <c r="I19" i="18" s="1"/>
  <c r="G19" i="10"/>
  <c r="G19" i="18" s="1"/>
  <c r="I18" i="10"/>
  <c r="I18" i="18" s="1"/>
  <c r="G18" i="10"/>
  <c r="G18" i="18" s="1"/>
  <c r="I16" i="10"/>
  <c r="I16" i="18" s="1"/>
  <c r="G16" i="10"/>
  <c r="G16" i="18" s="1"/>
  <c r="I15" i="10"/>
  <c r="I15" i="18" s="1"/>
  <c r="G15" i="10"/>
  <c r="G15" i="18" s="1"/>
  <c r="I14" i="10"/>
  <c r="I14" i="18" s="1"/>
  <c r="G14" i="10"/>
  <c r="G14" i="18" s="1"/>
  <c r="I13" i="10"/>
  <c r="I13" i="18" s="1"/>
  <c r="G13" i="10"/>
  <c r="G13" i="18" s="1"/>
  <c r="I12" i="10"/>
  <c r="I12" i="18" s="1"/>
  <c r="G12" i="10"/>
  <c r="G12" i="18" s="1"/>
  <c r="I10" i="10"/>
  <c r="I10" i="18" s="1"/>
  <c r="G10" i="10"/>
  <c r="G10" i="18" s="1"/>
  <c r="I9" i="10"/>
  <c r="I9" i="18" s="1"/>
  <c r="G9" i="10"/>
  <c r="G9" i="18" s="1"/>
  <c r="I8" i="10"/>
  <c r="I8" i="18" s="1"/>
  <c r="G8" i="10"/>
  <c r="G8" i="18" s="1"/>
  <c r="I7" i="10"/>
  <c r="I7" i="18" s="1"/>
  <c r="G7" i="10"/>
  <c r="G7" i="18" s="1"/>
  <c r="I6" i="10"/>
  <c r="I6" i="18" s="1"/>
  <c r="G6" i="10"/>
  <c r="G6" i="18" s="1"/>
  <c r="I5" i="10"/>
  <c r="I5" i="18" s="1"/>
  <c r="G5" i="10"/>
  <c r="G5" i="18" s="1"/>
  <c r="AN27" i="10"/>
  <c r="AG27" i="18" s="1"/>
  <c r="AM27" i="10"/>
  <c r="AF27" i="18" s="1"/>
  <c r="AJ27" i="10"/>
  <c r="AC27" i="18" s="1"/>
  <c r="AI27" i="10"/>
  <c r="AB27" i="18" s="1"/>
  <c r="AN24" i="10"/>
  <c r="AG24" i="18" s="1"/>
  <c r="AM24" i="10"/>
  <c r="AF24" i="18" s="1"/>
  <c r="AJ24" i="10"/>
  <c r="AC24" i="18" s="1"/>
  <c r="AI24" i="10"/>
  <c r="AB24" i="18" s="1"/>
  <c r="AN23" i="10"/>
  <c r="AG23" i="18" s="1"/>
  <c r="AM23" i="10"/>
  <c r="AF23" i="18" s="1"/>
  <c r="AJ23" i="10"/>
  <c r="AC23" i="18" s="1"/>
  <c r="AI23" i="10"/>
  <c r="AB23" i="18" s="1"/>
  <c r="I27" i="10"/>
  <c r="I27" i="18" s="1"/>
  <c r="G27" i="10"/>
  <c r="G27" i="18" s="1"/>
  <c r="I24" i="10"/>
  <c r="I24" i="18" s="1"/>
  <c r="G24" i="10"/>
  <c r="G24" i="18" s="1"/>
  <c r="I23" i="10"/>
  <c r="I23" i="18" s="1"/>
  <c r="G23" i="10"/>
  <c r="G23" i="18" s="1"/>
  <c r="O27" i="10"/>
  <c r="O27" i="18" s="1"/>
  <c r="N27" i="10"/>
  <c r="N27" i="18" s="1"/>
  <c r="O23" i="10"/>
  <c r="O23" i="18" s="1"/>
  <c r="N23" i="10"/>
  <c r="N23" i="18" s="1"/>
  <c r="O22" i="10"/>
  <c r="O22" i="18" s="1"/>
  <c r="N22" i="10"/>
  <c r="N22" i="18" s="1"/>
  <c r="O16" i="10"/>
  <c r="O16" i="18" s="1"/>
  <c r="N16" i="10"/>
  <c r="N16" i="18" s="1"/>
  <c r="O15" i="10"/>
  <c r="O15" i="18" s="1"/>
  <c r="N15" i="10"/>
  <c r="N15" i="18" s="1"/>
  <c r="O14" i="10"/>
  <c r="O14" i="18" s="1"/>
  <c r="N14" i="10"/>
  <c r="N14" i="18" s="1"/>
  <c r="O13" i="10"/>
  <c r="O13" i="18" s="1"/>
  <c r="N13" i="10"/>
  <c r="N13" i="18" s="1"/>
  <c r="O12" i="10"/>
  <c r="O12" i="18" s="1"/>
  <c r="N12" i="10"/>
  <c r="N12" i="18" s="1"/>
  <c r="O10" i="10"/>
  <c r="O10" i="18" s="1"/>
  <c r="N10" i="10"/>
  <c r="N10" i="18" s="1"/>
  <c r="O9" i="10"/>
  <c r="O9" i="18" s="1"/>
  <c r="N9" i="10"/>
  <c r="N9" i="18" s="1"/>
  <c r="O8" i="10"/>
  <c r="O8" i="18" s="1"/>
  <c r="N8" i="10"/>
  <c r="N8" i="18" s="1"/>
  <c r="O7" i="10"/>
  <c r="O7" i="18" s="1"/>
  <c r="N7" i="10"/>
  <c r="N7" i="18" s="1"/>
  <c r="O6" i="10"/>
  <c r="O6" i="18" s="1"/>
  <c r="N6" i="10"/>
  <c r="N6" i="18" s="1"/>
  <c r="O5" i="10"/>
  <c r="O5" i="18" s="1"/>
  <c r="N5" i="10"/>
  <c r="N5" i="18" s="1"/>
  <c r="AO16" i="10"/>
  <c r="AH16" i="18" s="1"/>
  <c r="AO15" i="10"/>
  <c r="AH15" i="18" s="1"/>
  <c r="AO14" i="10"/>
  <c r="AH14" i="18" s="1"/>
  <c r="AO13" i="10"/>
  <c r="AH13" i="18" s="1"/>
  <c r="AO12" i="10"/>
  <c r="AH12" i="18" s="1"/>
  <c r="AO10" i="10"/>
  <c r="AH10" i="18" s="1"/>
  <c r="AO9" i="10"/>
  <c r="AH9" i="18" s="1"/>
  <c r="AO8" i="10"/>
  <c r="AH8" i="18" s="1"/>
  <c r="AO7" i="10"/>
  <c r="AH7" i="18" s="1"/>
  <c r="AO6" i="10"/>
  <c r="AH6" i="18" s="1"/>
  <c r="AO5" i="10"/>
  <c r="AH5" i="18" s="1"/>
  <c r="J16" i="10"/>
  <c r="J16" i="18" s="1"/>
  <c r="J15" i="10"/>
  <c r="J15" i="18" s="1"/>
  <c r="J14" i="10"/>
  <c r="J14" i="18" s="1"/>
  <c r="J13" i="10"/>
  <c r="J13" i="18" s="1"/>
  <c r="J12" i="10"/>
  <c r="J12" i="18" s="1"/>
  <c r="J10" i="10"/>
  <c r="J10" i="18" s="1"/>
  <c r="J9" i="10"/>
  <c r="J9" i="18" s="1"/>
  <c r="J8" i="10"/>
  <c r="J8" i="18" s="1"/>
  <c r="J7" i="10"/>
  <c r="J7" i="18" s="1"/>
  <c r="J6" i="10"/>
  <c r="J6" i="18" s="1"/>
  <c r="J5" i="10"/>
  <c r="J5" i="18" s="1"/>
  <c r="AO27" i="10"/>
  <c r="AH27" i="18" s="1"/>
  <c r="AO24" i="10"/>
  <c r="AH24" i="18" s="1"/>
  <c r="AO23" i="10"/>
  <c r="AH23" i="18" s="1"/>
  <c r="AO22" i="10"/>
  <c r="AH22" i="18" s="1"/>
  <c r="J27" i="10"/>
  <c r="J27" i="18" s="1"/>
  <c r="J24" i="10"/>
  <c r="J24" i="18" s="1"/>
  <c r="J23" i="10"/>
  <c r="J23" i="18" s="1"/>
  <c r="J22" i="10"/>
  <c r="J22" i="18" s="1"/>
  <c r="H27" i="10"/>
  <c r="H27" i="18" s="1"/>
  <c r="F27" i="10"/>
  <c r="F27" i="18" s="1"/>
  <c r="E27" i="10"/>
  <c r="E27" i="18" s="1"/>
  <c r="E26" i="10"/>
  <c r="E26" i="18" s="1"/>
  <c r="H25" i="10"/>
  <c r="H25" i="18" s="1"/>
  <c r="F25" i="10"/>
  <c r="F25" i="18" s="1"/>
  <c r="H24" i="10"/>
  <c r="H24" i="18" s="1"/>
  <c r="F24" i="10"/>
  <c r="F24" i="18" s="1"/>
  <c r="H23" i="10"/>
  <c r="H23" i="18" s="1"/>
  <c r="F23" i="10"/>
  <c r="F23" i="18" s="1"/>
  <c r="H22" i="10"/>
  <c r="H22" i="18" s="1"/>
  <c r="F22" i="10"/>
  <c r="F22" i="18" s="1"/>
  <c r="H21" i="10"/>
  <c r="H21" i="18" s="1"/>
  <c r="F21" i="10"/>
  <c r="F21" i="18" s="1"/>
  <c r="E21" i="10"/>
  <c r="E21" i="18" s="1"/>
  <c r="H20" i="10"/>
  <c r="H20" i="18" s="1"/>
  <c r="F20" i="10"/>
  <c r="F20" i="18" s="1"/>
  <c r="E20" i="10"/>
  <c r="E20" i="18" s="1"/>
  <c r="H19" i="10"/>
  <c r="H19" i="18" s="1"/>
  <c r="F19" i="10"/>
  <c r="F19" i="18" s="1"/>
  <c r="E19" i="10"/>
  <c r="E19" i="18" s="1"/>
  <c r="H18" i="10"/>
  <c r="H18" i="18" s="1"/>
  <c r="F18" i="10"/>
  <c r="F18" i="18" s="1"/>
  <c r="E18" i="10"/>
  <c r="E18" i="18" s="1"/>
  <c r="E17" i="10"/>
  <c r="E17" i="18" s="1"/>
  <c r="H16" i="10"/>
  <c r="H16" i="18" s="1"/>
  <c r="F16" i="10"/>
  <c r="F16" i="18" s="1"/>
  <c r="H15" i="10"/>
  <c r="H15" i="18" s="1"/>
  <c r="F15" i="10"/>
  <c r="F15" i="18" s="1"/>
  <c r="H14" i="10"/>
  <c r="H14" i="18" s="1"/>
  <c r="F14" i="10"/>
  <c r="F14" i="18" s="1"/>
  <c r="E14" i="10"/>
  <c r="E14" i="18" s="1"/>
  <c r="H13" i="10"/>
  <c r="H13" i="18" s="1"/>
  <c r="F13" i="10"/>
  <c r="F13" i="18" s="1"/>
  <c r="E13" i="10"/>
  <c r="E13" i="18" s="1"/>
  <c r="H12" i="10"/>
  <c r="H12" i="18" s="1"/>
  <c r="F12" i="10"/>
  <c r="F12" i="18" s="1"/>
  <c r="E12" i="10"/>
  <c r="E12" i="18" s="1"/>
  <c r="E11" i="10"/>
  <c r="E11" i="18" s="1"/>
  <c r="H10" i="10"/>
  <c r="H10" i="18" s="1"/>
  <c r="F10" i="10"/>
  <c r="F10" i="18" s="1"/>
  <c r="H9" i="10"/>
  <c r="H9" i="18" s="1"/>
  <c r="F9" i="10"/>
  <c r="F9" i="18" s="1"/>
  <c r="H8" i="10"/>
  <c r="H8" i="18" s="1"/>
  <c r="F8" i="10"/>
  <c r="F8" i="18" s="1"/>
  <c r="H7" i="10"/>
  <c r="H7" i="18" s="1"/>
  <c r="F7" i="10"/>
  <c r="F7" i="18" s="1"/>
  <c r="H6" i="10"/>
  <c r="H6" i="18" s="1"/>
  <c r="F6" i="10"/>
  <c r="F6" i="18" s="1"/>
  <c r="H5" i="10"/>
  <c r="H5" i="18" s="1"/>
  <c r="F5" i="10"/>
  <c r="F5" i="18" s="1"/>
  <c r="AF13" i="10"/>
  <c r="Y13" i="18" s="1"/>
  <c r="AE13" i="10"/>
  <c r="X13" i="18" s="1"/>
  <c r="AF12" i="10"/>
  <c r="Y12" i="18" s="1"/>
  <c r="AE12" i="10"/>
  <c r="X12" i="18" s="1"/>
  <c r="AE11" i="10"/>
  <c r="X11" i="18" s="1"/>
  <c r="AF10" i="10"/>
  <c r="Y10" i="18" s="1"/>
  <c r="AF9" i="10"/>
  <c r="Y9" i="18" s="1"/>
  <c r="AF8" i="10"/>
  <c r="Y8" i="18" s="1"/>
  <c r="AF7" i="10"/>
  <c r="Y7" i="18" s="1"/>
  <c r="AF6" i="10"/>
  <c r="Y6" i="18" s="1"/>
  <c r="AF5" i="10"/>
  <c r="Y5" i="18" s="1"/>
  <c r="AL27" i="10"/>
  <c r="AK27" i="10"/>
  <c r="AD27" i="18" s="1"/>
  <c r="AG27" i="10"/>
  <c r="Z27" i="18" s="1"/>
  <c r="AL25" i="10"/>
  <c r="AE25" i="18" s="1"/>
  <c r="AK25" i="10"/>
  <c r="AD25" i="18" s="1"/>
  <c r="AG25" i="10"/>
  <c r="Z25" i="18" s="1"/>
  <c r="AL24" i="10"/>
  <c r="AK24" i="10"/>
  <c r="AD24" i="18" s="1"/>
  <c r="AG24" i="10"/>
  <c r="Z24" i="18" s="1"/>
  <c r="AL23" i="10"/>
  <c r="AE23" i="18" s="1"/>
  <c r="AK23" i="10"/>
  <c r="AD23" i="18" s="1"/>
  <c r="AG23" i="10"/>
  <c r="Z23" i="18" s="1"/>
  <c r="AL22" i="10"/>
  <c r="AK22" i="10"/>
  <c r="AD22" i="18" s="1"/>
  <c r="AG22" i="10"/>
  <c r="Z22" i="18" s="1"/>
  <c r="AL21" i="10"/>
  <c r="AE21" i="18" s="1"/>
  <c r="AK21" i="10"/>
  <c r="AD21" i="18" s="1"/>
  <c r="AG21" i="10"/>
  <c r="Z21" i="18" s="1"/>
  <c r="AL20" i="10"/>
  <c r="AK20" i="10"/>
  <c r="AD20" i="18" s="1"/>
  <c r="AL19" i="10"/>
  <c r="AE19" i="18" s="1"/>
  <c r="AK19" i="10"/>
  <c r="AD19" i="18" s="1"/>
  <c r="AL18" i="10"/>
  <c r="AE18" i="18" s="1"/>
  <c r="AK18" i="10"/>
  <c r="AD18" i="18" s="1"/>
  <c r="AL16" i="10"/>
  <c r="AE16" i="18" s="1"/>
  <c r="AK16" i="10"/>
  <c r="AD16" i="18" s="1"/>
  <c r="AL15" i="10"/>
  <c r="AE15" i="18" s="1"/>
  <c r="AK15" i="10"/>
  <c r="AD15" i="18" s="1"/>
  <c r="AL14" i="10"/>
  <c r="AK14" i="10"/>
  <c r="AD14" i="18" s="1"/>
  <c r="AL13" i="10"/>
  <c r="AE13" i="18" s="1"/>
  <c r="AK13" i="10"/>
  <c r="AD13" i="18" s="1"/>
  <c r="AG13" i="10"/>
  <c r="Z13" i="18" s="1"/>
  <c r="AL12" i="10"/>
  <c r="AK12" i="10"/>
  <c r="AG12" i="10"/>
  <c r="Z12" i="18" s="1"/>
  <c r="AL10" i="10"/>
  <c r="AE10" i="18" s="1"/>
  <c r="AK10" i="10"/>
  <c r="AD10" i="18" s="1"/>
  <c r="AG10" i="10"/>
  <c r="Z10" i="18" s="1"/>
  <c r="AL9" i="10"/>
  <c r="AE9" i="18" s="1"/>
  <c r="AK9" i="10"/>
  <c r="AG9" i="10"/>
  <c r="Z9" i="18" s="1"/>
  <c r="AL8" i="10"/>
  <c r="AE8" i="18" s="1"/>
  <c r="AK8" i="10"/>
  <c r="AD8" i="18" s="1"/>
  <c r="AG8" i="10"/>
  <c r="Z8" i="18" s="1"/>
  <c r="AL7" i="10"/>
  <c r="AK7" i="10"/>
  <c r="AG7" i="10"/>
  <c r="Z7" i="18" s="1"/>
  <c r="AL6" i="10"/>
  <c r="AE6" i="18" s="1"/>
  <c r="AK6" i="10"/>
  <c r="AG6" i="10"/>
  <c r="Z6" i="18" s="1"/>
  <c r="AL5" i="10"/>
  <c r="AK5" i="10"/>
  <c r="AG5" i="10"/>
  <c r="Z5" i="18" s="1"/>
  <c r="M27" i="10"/>
  <c r="M27" i="18" s="1"/>
  <c r="L27" i="10"/>
  <c r="L27" i="18" s="1"/>
  <c r="K27" i="10"/>
  <c r="K27" i="18" s="1"/>
  <c r="K26" i="10"/>
  <c r="K26" i="18" s="1"/>
  <c r="M25" i="10"/>
  <c r="M25" i="18" s="1"/>
  <c r="L25" i="10"/>
  <c r="L25" i="18" s="1"/>
  <c r="M24" i="10"/>
  <c r="M24" i="18" s="1"/>
  <c r="L24" i="10"/>
  <c r="L24" i="18" s="1"/>
  <c r="M23" i="10"/>
  <c r="M23" i="18" s="1"/>
  <c r="L23" i="10"/>
  <c r="L23" i="18" s="1"/>
  <c r="M22" i="10"/>
  <c r="M22" i="18" s="1"/>
  <c r="L22" i="10"/>
  <c r="L22" i="18" s="1"/>
  <c r="M21" i="10"/>
  <c r="M21" i="18" s="1"/>
  <c r="L21" i="10"/>
  <c r="L21" i="18" s="1"/>
  <c r="K21" i="10"/>
  <c r="K21" i="18" s="1"/>
  <c r="M20" i="10"/>
  <c r="M20" i="18" s="1"/>
  <c r="L20" i="10"/>
  <c r="L20" i="18" s="1"/>
  <c r="K20" i="10"/>
  <c r="K20" i="18" s="1"/>
  <c r="M19" i="10"/>
  <c r="M19" i="18" s="1"/>
  <c r="L19" i="10"/>
  <c r="L19" i="18" s="1"/>
  <c r="K19" i="10"/>
  <c r="K19" i="18" s="1"/>
  <c r="M18" i="10"/>
  <c r="M18" i="18" s="1"/>
  <c r="L18" i="10"/>
  <c r="L18" i="18" s="1"/>
  <c r="K18" i="10"/>
  <c r="K18" i="18" s="1"/>
  <c r="K17" i="10"/>
  <c r="K17" i="18" s="1"/>
  <c r="M16" i="10"/>
  <c r="M16" i="18" s="1"/>
  <c r="L16" i="10"/>
  <c r="L16" i="18" s="1"/>
  <c r="M15" i="10"/>
  <c r="M15" i="18" s="1"/>
  <c r="L15" i="10"/>
  <c r="L15" i="18" s="1"/>
  <c r="M14" i="10"/>
  <c r="M14" i="18" s="1"/>
  <c r="L14" i="10"/>
  <c r="L14" i="18" s="1"/>
  <c r="K14" i="10"/>
  <c r="K14" i="18" s="1"/>
  <c r="M13" i="10"/>
  <c r="M13" i="18" s="1"/>
  <c r="L13" i="10"/>
  <c r="L13" i="18" s="1"/>
  <c r="K13" i="10"/>
  <c r="K13" i="18" s="1"/>
  <c r="M12" i="10"/>
  <c r="M12" i="18" s="1"/>
  <c r="L12" i="10"/>
  <c r="L12" i="18" s="1"/>
  <c r="K12" i="10"/>
  <c r="K12" i="18" s="1"/>
  <c r="K11" i="10"/>
  <c r="K11" i="18" s="1"/>
  <c r="M10" i="10"/>
  <c r="M10" i="18" s="1"/>
  <c r="L10" i="10"/>
  <c r="L10" i="18" s="1"/>
  <c r="M9" i="10"/>
  <c r="M9" i="18" s="1"/>
  <c r="L9" i="10"/>
  <c r="L9" i="18" s="1"/>
  <c r="M8" i="10"/>
  <c r="M8" i="18" s="1"/>
  <c r="L8" i="10"/>
  <c r="L8" i="18" s="1"/>
  <c r="M7" i="10"/>
  <c r="M7" i="18" s="1"/>
  <c r="L7" i="10"/>
  <c r="L7" i="18" s="1"/>
  <c r="M6" i="10"/>
  <c r="M6" i="18" s="1"/>
  <c r="L6" i="10"/>
  <c r="L6" i="18" s="1"/>
  <c r="M5" i="10"/>
  <c r="M5" i="18" s="1"/>
  <c r="L5" i="10"/>
  <c r="L5" i="18" s="1"/>
  <c r="AF27" i="10"/>
  <c r="Y27" i="18" s="1"/>
  <c r="AE27" i="10"/>
  <c r="X27" i="18" s="1"/>
  <c r="AE26" i="10"/>
  <c r="X26" i="18" s="1"/>
  <c r="AF25" i="10"/>
  <c r="Y25" i="18" s="1"/>
  <c r="AF24" i="10"/>
  <c r="Y24" i="18" s="1"/>
  <c r="AF23" i="10"/>
  <c r="Y23" i="18" s="1"/>
  <c r="AF22" i="10"/>
  <c r="Y22" i="18" s="1"/>
  <c r="AF21" i="10"/>
  <c r="Y21" i="18" s="1"/>
  <c r="AE21" i="10"/>
  <c r="X21" i="18" s="1"/>
  <c r="AG20" i="10"/>
  <c r="Z20" i="18" s="1"/>
  <c r="AF20" i="10"/>
  <c r="Y20" i="18" s="1"/>
  <c r="AE20" i="10"/>
  <c r="X20" i="18" s="1"/>
  <c r="AG19" i="10"/>
  <c r="Z19" i="18" s="1"/>
  <c r="AF19" i="10"/>
  <c r="Y19" i="18" s="1"/>
  <c r="AE19" i="10"/>
  <c r="X19" i="18" s="1"/>
  <c r="AG18" i="10"/>
  <c r="Z18" i="18" s="1"/>
  <c r="AF18" i="10"/>
  <c r="Y18" i="18" s="1"/>
  <c r="AE18" i="10"/>
  <c r="X18" i="18" s="1"/>
  <c r="AE17" i="10"/>
  <c r="X17" i="18" s="1"/>
  <c r="AG16" i="10"/>
  <c r="Z16" i="18" s="1"/>
  <c r="AF16" i="10"/>
  <c r="Y16" i="18" s="1"/>
  <c r="AG15" i="10"/>
  <c r="Z15" i="18" s="1"/>
  <c r="AF15" i="10"/>
  <c r="Y15" i="18" s="1"/>
  <c r="AG14" i="10"/>
  <c r="Z14" i="18" s="1"/>
  <c r="AF14" i="10"/>
  <c r="Y14" i="18" s="1"/>
  <c r="AE14" i="10"/>
  <c r="X14" i="18" s="1"/>
  <c r="AP27" i="10"/>
  <c r="AI27" i="18" s="1"/>
  <c r="AP25" i="10"/>
  <c r="AI25" i="18" s="1"/>
  <c r="AP24" i="10"/>
  <c r="AI24" i="18" s="1"/>
  <c r="AP23" i="10"/>
  <c r="AI23" i="18" s="1"/>
  <c r="AP22" i="10"/>
  <c r="AI22" i="18" s="1"/>
  <c r="AP21" i="10"/>
  <c r="AI21" i="18" s="1"/>
  <c r="AP20" i="10"/>
  <c r="AI20" i="18" s="1"/>
  <c r="AP19" i="10"/>
  <c r="AI19" i="18" s="1"/>
  <c r="AP18" i="10"/>
  <c r="AI18" i="18" s="1"/>
  <c r="AP16" i="10"/>
  <c r="AI16" i="18" s="1"/>
  <c r="AP15" i="10"/>
  <c r="AI15" i="18" s="1"/>
  <c r="AP14" i="10"/>
  <c r="AI14" i="18" s="1"/>
  <c r="AP13" i="10"/>
  <c r="AI13" i="18" s="1"/>
  <c r="AP12" i="10"/>
  <c r="AI12" i="18" s="1"/>
  <c r="AP10" i="10"/>
  <c r="AI10" i="18" s="1"/>
  <c r="AP9" i="10"/>
  <c r="AI9" i="18" s="1"/>
  <c r="AP8" i="10"/>
  <c r="AI8" i="18" s="1"/>
  <c r="AP7" i="10"/>
  <c r="AI7" i="18" s="1"/>
  <c r="AP6" i="10"/>
  <c r="AI6" i="18" s="1"/>
  <c r="AP5" i="10"/>
  <c r="AI5" i="18" s="1"/>
  <c r="AQ6" i="10"/>
  <c r="AQ5" i="10"/>
  <c r="E4" i="12"/>
  <c r="F4" i="12"/>
  <c r="E5" i="12"/>
  <c r="F5" i="12"/>
  <c r="E6" i="12"/>
  <c r="F6" i="12"/>
  <c r="E7" i="12"/>
  <c r="F7" i="12"/>
  <c r="E8" i="12"/>
  <c r="F8" i="12"/>
  <c r="E9" i="12"/>
  <c r="F9" i="12"/>
  <c r="E10" i="12"/>
  <c r="F10" i="12"/>
  <c r="E11" i="12"/>
  <c r="F11" i="12"/>
  <c r="E12" i="12"/>
  <c r="F12" i="12"/>
  <c r="E13" i="12"/>
  <c r="F13" i="12"/>
  <c r="E14" i="12"/>
  <c r="F14" i="12"/>
  <c r="E15" i="12"/>
  <c r="F15" i="12"/>
  <c r="E16" i="12"/>
  <c r="F16" i="12"/>
  <c r="E17" i="12"/>
  <c r="F17" i="12"/>
  <c r="E18" i="12"/>
  <c r="F18" i="12"/>
  <c r="E19" i="12"/>
  <c r="F19" i="12"/>
  <c r="E20" i="12"/>
  <c r="F20" i="12"/>
  <c r="E21" i="12"/>
  <c r="F21" i="12"/>
  <c r="E22" i="12"/>
  <c r="F22" i="12"/>
  <c r="E23" i="12"/>
  <c r="F23" i="12"/>
  <c r="E24" i="12"/>
  <c r="F24" i="12"/>
  <c r="E25" i="12"/>
  <c r="F25" i="12"/>
  <c r="E26" i="12"/>
  <c r="F26" i="12"/>
  <c r="E27" i="12"/>
  <c r="F27" i="12"/>
  <c r="E28" i="12"/>
  <c r="F28" i="12"/>
  <c r="E29" i="12"/>
  <c r="F29" i="12"/>
  <c r="E30" i="12"/>
  <c r="F30" i="12"/>
  <c r="E31" i="12"/>
  <c r="F31" i="12"/>
  <c r="E32" i="12"/>
  <c r="F32" i="12"/>
  <c r="E33" i="12"/>
  <c r="F33" i="12"/>
  <c r="E34" i="12"/>
  <c r="F34" i="12"/>
  <c r="E35" i="12"/>
  <c r="F35" i="12"/>
  <c r="E36" i="12"/>
  <c r="F36" i="12"/>
  <c r="E37" i="12"/>
  <c r="F37" i="12"/>
  <c r="E38" i="12"/>
  <c r="F38" i="12"/>
  <c r="E39" i="12"/>
  <c r="F39" i="12"/>
  <c r="E40" i="12"/>
  <c r="F40" i="12"/>
  <c r="E41" i="12"/>
  <c r="F41" i="12"/>
  <c r="E42" i="12"/>
  <c r="F42" i="12"/>
  <c r="E43" i="12"/>
  <c r="F43" i="12"/>
  <c r="E44" i="12"/>
  <c r="F44" i="12"/>
  <c r="E45" i="12"/>
  <c r="F45" i="12"/>
  <c r="E46" i="12"/>
  <c r="F46" i="12"/>
  <c r="E47" i="12"/>
  <c r="F47" i="12"/>
  <c r="E48" i="12"/>
  <c r="F48" i="12"/>
  <c r="E49" i="12"/>
  <c r="F49" i="12"/>
  <c r="E50" i="12"/>
  <c r="F50" i="12"/>
  <c r="E51" i="12"/>
  <c r="F51" i="12"/>
  <c r="E52" i="12"/>
  <c r="F52" i="12"/>
  <c r="E53" i="12"/>
  <c r="F53" i="12"/>
  <c r="E54" i="12"/>
  <c r="F54" i="12"/>
  <c r="E55" i="12"/>
  <c r="F55" i="12"/>
  <c r="E56" i="12"/>
  <c r="F56" i="12"/>
  <c r="E57" i="12"/>
  <c r="F57" i="12"/>
  <c r="E58" i="12"/>
  <c r="F58" i="12"/>
  <c r="E59" i="12"/>
  <c r="F59" i="12"/>
  <c r="E60" i="12"/>
  <c r="F60" i="12"/>
  <c r="E61" i="12"/>
  <c r="F61" i="12"/>
  <c r="E62" i="12"/>
  <c r="F62" i="12"/>
  <c r="E63" i="12"/>
  <c r="F63" i="12"/>
  <c r="E64" i="12"/>
  <c r="F64" i="12"/>
  <c r="E65" i="12"/>
  <c r="F65" i="12"/>
  <c r="E66" i="12"/>
  <c r="F66" i="12"/>
  <c r="E67" i="12"/>
  <c r="F67" i="12"/>
  <c r="E68" i="12"/>
  <c r="F68" i="12"/>
  <c r="E69" i="12"/>
  <c r="F69" i="12"/>
  <c r="E70" i="12"/>
  <c r="F70" i="12"/>
  <c r="E71" i="12"/>
  <c r="F71" i="12"/>
  <c r="E72" i="12"/>
  <c r="F72" i="12"/>
  <c r="E73" i="12"/>
  <c r="F73" i="12"/>
  <c r="E74" i="12"/>
  <c r="F74" i="12"/>
  <c r="E75" i="12"/>
  <c r="F75" i="12"/>
  <c r="E76" i="12"/>
  <c r="F76" i="12"/>
  <c r="E77" i="12"/>
  <c r="F77" i="12"/>
  <c r="E78" i="12"/>
  <c r="F78" i="12"/>
  <c r="E79" i="12"/>
  <c r="F79" i="12"/>
  <c r="E80" i="12"/>
  <c r="F80" i="12"/>
  <c r="E81" i="12"/>
  <c r="F81" i="12"/>
  <c r="E3" i="12"/>
  <c r="F3" i="12"/>
  <c r="H30" i="11"/>
  <c r="G30" i="11"/>
  <c r="F30" i="11"/>
  <c r="H28" i="11"/>
  <c r="G28" i="11"/>
  <c r="H23" i="11"/>
  <c r="G23" i="11"/>
  <c r="H18" i="11"/>
  <c r="G18" i="11"/>
  <c r="H15" i="11"/>
  <c r="G15" i="11"/>
  <c r="H11" i="11"/>
  <c r="G11" i="11"/>
  <c r="M81" i="12"/>
  <c r="L81" i="12"/>
  <c r="K81" i="12"/>
  <c r="J81" i="12"/>
  <c r="I81" i="12"/>
  <c r="H81" i="12"/>
  <c r="G81" i="12"/>
  <c r="M80" i="12"/>
  <c r="L80" i="12"/>
  <c r="K80" i="12"/>
  <c r="J80" i="12"/>
  <c r="I80" i="12"/>
  <c r="H80" i="12"/>
  <c r="G80" i="12"/>
  <c r="M79" i="12"/>
  <c r="L79" i="12"/>
  <c r="K79" i="12"/>
  <c r="J79" i="12"/>
  <c r="I79" i="12"/>
  <c r="H79" i="12"/>
  <c r="M78" i="12"/>
  <c r="L78" i="12"/>
  <c r="K78" i="12"/>
  <c r="J78" i="12"/>
  <c r="I78" i="12"/>
  <c r="M77" i="12"/>
  <c r="L77" i="12"/>
  <c r="K77" i="12"/>
  <c r="J77" i="12"/>
  <c r="M76" i="12"/>
  <c r="L76" i="12"/>
  <c r="K76" i="12"/>
  <c r="M75" i="12"/>
  <c r="L75" i="12"/>
  <c r="M74" i="12"/>
  <c r="D19" i="12"/>
  <c r="D17" i="12"/>
  <c r="D16" i="12"/>
  <c r="D13" i="12"/>
  <c r="L6" i="12" s="1"/>
  <c r="D38" i="12"/>
  <c r="G29" i="11" l="1"/>
  <c r="G25" i="11"/>
  <c r="G27" i="11"/>
  <c r="H27" i="11"/>
  <c r="H20" i="11"/>
  <c r="G8" i="11"/>
  <c r="G21" i="11"/>
  <c r="G16" i="11"/>
  <c r="H13" i="11"/>
  <c r="H19" i="11"/>
  <c r="G14" i="11"/>
  <c r="H17" i="11"/>
  <c r="H29" i="11"/>
  <c r="AE27" i="18"/>
  <c r="G10" i="11"/>
  <c r="H16" i="11"/>
  <c r="H8" i="11"/>
  <c r="G20" i="11"/>
  <c r="G24" i="11"/>
  <c r="H6" i="11"/>
  <c r="G19" i="11"/>
  <c r="G13" i="11"/>
  <c r="H22" i="11"/>
  <c r="G26" i="11"/>
  <c r="F22" i="11"/>
  <c r="G22" i="11"/>
  <c r="E24" i="11"/>
  <c r="H26" i="11"/>
  <c r="AE24" i="18"/>
  <c r="H12" i="11"/>
  <c r="AE12" i="18"/>
  <c r="H14" i="11"/>
  <c r="AE14" i="18"/>
  <c r="F24" i="11"/>
  <c r="AE22" i="18"/>
  <c r="H25" i="11"/>
  <c r="H21" i="11"/>
  <c r="AE20" i="18"/>
  <c r="G17" i="11"/>
  <c r="G12" i="11"/>
  <c r="AD12" i="18"/>
  <c r="H7" i="11"/>
  <c r="AE7" i="18"/>
  <c r="H9" i="11"/>
  <c r="H10" i="11"/>
  <c r="H5" i="11"/>
  <c r="AE5" i="18"/>
  <c r="G7" i="11"/>
  <c r="AD7" i="18"/>
  <c r="G9" i="11"/>
  <c r="AD9" i="18"/>
  <c r="AD6" i="18"/>
  <c r="G6" i="11"/>
  <c r="AD5" i="18"/>
  <c r="G5" i="11"/>
  <c r="E5" i="11"/>
  <c r="H24" i="11"/>
  <c r="D5" i="12"/>
  <c r="G3" i="12" s="1"/>
  <c r="D27" i="12"/>
  <c r="D6" i="12"/>
  <c r="D29" i="12"/>
  <c r="D26" i="12"/>
  <c r="I22" i="12" s="1"/>
  <c r="D8" i="12"/>
  <c r="J3" i="12" s="1"/>
  <c r="D33" i="12"/>
  <c r="D18" i="12"/>
  <c r="J13" i="12" s="1"/>
  <c r="D32" i="12"/>
  <c r="D9" i="12"/>
  <c r="D34" i="12"/>
  <c r="D10" i="12"/>
  <c r="L3" i="12" s="1"/>
  <c r="D24" i="12"/>
  <c r="M16" i="12" s="1"/>
  <c r="D35" i="12"/>
  <c r="L28" i="12" s="1"/>
  <c r="D21" i="12"/>
  <c r="K15" i="12" s="1"/>
  <c r="D4" i="12"/>
  <c r="D11" i="12"/>
  <c r="L4" i="12" s="1"/>
  <c r="D25" i="12"/>
  <c r="D37" i="12"/>
  <c r="E22" i="11"/>
  <c r="E27" i="11"/>
  <c r="F29" i="11"/>
  <c r="F16" i="11"/>
  <c r="E29" i="11"/>
  <c r="F27" i="11"/>
  <c r="F17" i="11"/>
  <c r="M30" i="12"/>
  <c r="L31" i="12"/>
  <c r="K32" i="12"/>
  <c r="J33" i="12"/>
  <c r="I34" i="12"/>
  <c r="H35" i="12"/>
  <c r="G36" i="12"/>
  <c r="M8" i="12"/>
  <c r="L9" i="12"/>
  <c r="K10" i="12"/>
  <c r="J11" i="12"/>
  <c r="I12" i="12"/>
  <c r="H13" i="12"/>
  <c r="G14" i="12"/>
  <c r="K3" i="12"/>
  <c r="J4" i="12"/>
  <c r="I5" i="12"/>
  <c r="H6" i="12"/>
  <c r="G7" i="12"/>
  <c r="M25" i="12"/>
  <c r="L26" i="12"/>
  <c r="K27" i="12"/>
  <c r="J28" i="12"/>
  <c r="I29" i="12"/>
  <c r="H30" i="12"/>
  <c r="G31" i="12"/>
  <c r="M18" i="12"/>
  <c r="L19" i="12"/>
  <c r="J21" i="12"/>
  <c r="D12" i="12"/>
  <c r="D20" i="12"/>
  <c r="D28" i="12"/>
  <c r="D36" i="12"/>
  <c r="H21" i="12"/>
  <c r="M17" i="12"/>
  <c r="L18" i="12"/>
  <c r="K19" i="12"/>
  <c r="J20" i="12"/>
  <c r="I21" i="12"/>
  <c r="H22" i="12"/>
  <c r="G23" i="12"/>
  <c r="K4" i="12"/>
  <c r="J5" i="12"/>
  <c r="I6" i="12"/>
  <c r="H7" i="12"/>
  <c r="G8" i="12"/>
  <c r="M10" i="12"/>
  <c r="K12" i="12"/>
  <c r="M3" i="12"/>
  <c r="K5" i="12"/>
  <c r="J6" i="12"/>
  <c r="I7" i="12"/>
  <c r="H8" i="12"/>
  <c r="G9" i="12"/>
  <c r="D14" i="12"/>
  <c r="D22" i="12"/>
  <c r="D30" i="12"/>
  <c r="M24" i="12"/>
  <c r="L25" i="12"/>
  <c r="K26" i="12"/>
  <c r="J27" i="12"/>
  <c r="I28" i="12"/>
  <c r="H29" i="12"/>
  <c r="G30" i="12"/>
  <c r="M9" i="12"/>
  <c r="L10" i="12"/>
  <c r="K11" i="12"/>
  <c r="J12" i="12"/>
  <c r="I13" i="12"/>
  <c r="H14" i="12"/>
  <c r="G15" i="12"/>
  <c r="M11" i="12"/>
  <c r="L12" i="12"/>
  <c r="K13" i="12"/>
  <c r="J14" i="12"/>
  <c r="I15" i="12"/>
  <c r="H16" i="12"/>
  <c r="G17" i="12"/>
  <c r="M19" i="12"/>
  <c r="L20" i="12"/>
  <c r="K21" i="12"/>
  <c r="J22" i="12"/>
  <c r="I23" i="12"/>
  <c r="H24" i="12"/>
  <c r="G25" i="12"/>
  <c r="H3" i="12"/>
  <c r="G4" i="12"/>
  <c r="M5" i="12"/>
  <c r="K7" i="12"/>
  <c r="J8" i="12"/>
  <c r="I9" i="12"/>
  <c r="H10" i="12"/>
  <c r="G11" i="12"/>
  <c r="L14" i="12"/>
  <c r="M21" i="12"/>
  <c r="L22" i="12"/>
  <c r="K23" i="12"/>
  <c r="J24" i="12"/>
  <c r="I25" i="12"/>
  <c r="H26" i="12"/>
  <c r="G27" i="12"/>
  <c r="M29" i="12"/>
  <c r="L30" i="12"/>
  <c r="K31" i="12"/>
  <c r="J32" i="12"/>
  <c r="I33" i="12"/>
  <c r="H34" i="12"/>
  <c r="G35" i="12"/>
  <c r="D77" i="12"/>
  <c r="D76" i="12"/>
  <c r="D71" i="12"/>
  <c r="D65" i="12"/>
  <c r="D61" i="12"/>
  <c r="D56" i="12"/>
  <c r="D52" i="12"/>
  <c r="D47" i="12"/>
  <c r="D44" i="12"/>
  <c r="D81" i="12"/>
  <c r="D74" i="12"/>
  <c r="D69" i="12"/>
  <c r="D64" i="12"/>
  <c r="D60" i="12"/>
  <c r="D54" i="12"/>
  <c r="D50" i="12"/>
  <c r="D45" i="12"/>
  <c r="D41" i="12"/>
  <c r="D39" i="12"/>
  <c r="D78" i="12"/>
  <c r="D73" i="12"/>
  <c r="D70" i="12"/>
  <c r="D67" i="12"/>
  <c r="D62" i="12"/>
  <c r="D57" i="12"/>
  <c r="D53" i="12"/>
  <c r="D48" i="12"/>
  <c r="D43" i="12"/>
  <c r="D79" i="12"/>
  <c r="D72" i="12"/>
  <c r="D66" i="12"/>
  <c r="D58" i="12"/>
  <c r="D49" i="12"/>
  <c r="D42" i="12"/>
  <c r="D80" i="12"/>
  <c r="D75" i="12"/>
  <c r="D68" i="12"/>
  <c r="D63" i="12"/>
  <c r="D59" i="12"/>
  <c r="D55" i="12"/>
  <c r="D51" i="12"/>
  <c r="D46" i="12"/>
  <c r="D7" i="12"/>
  <c r="D15" i="12"/>
  <c r="D23" i="12"/>
  <c r="D31" i="12"/>
  <c r="D40" i="12"/>
  <c r="M26" i="12"/>
  <c r="L27" i="12"/>
  <c r="K28" i="12"/>
  <c r="J29" i="12"/>
  <c r="I30" i="12"/>
  <c r="H31" i="12"/>
  <c r="G32" i="12"/>
  <c r="G15" i="27" l="1"/>
  <c r="F15" i="27"/>
  <c r="L11" i="12"/>
  <c r="K20" i="12"/>
  <c r="G6" i="12"/>
  <c r="G16" i="12"/>
  <c r="H5" i="12"/>
  <c r="H15" i="12"/>
  <c r="G24" i="12"/>
  <c r="I4" i="12"/>
  <c r="M27" i="12"/>
  <c r="I14" i="12"/>
  <c r="H23" i="12"/>
  <c r="G22" i="12"/>
  <c r="M13" i="12"/>
  <c r="G33" i="12"/>
  <c r="G19" i="12"/>
  <c r="H32" i="12"/>
  <c r="I20" i="12"/>
  <c r="H18" i="12"/>
  <c r="I31" i="12"/>
  <c r="J19" i="12"/>
  <c r="I17" i="12"/>
  <c r="J30" i="12"/>
  <c r="K18" i="12"/>
  <c r="J16" i="12"/>
  <c r="K29" i="12"/>
  <c r="L17" i="12"/>
  <c r="E16" i="11"/>
  <c r="F21" i="11"/>
  <c r="I3" i="12"/>
  <c r="H4" i="12"/>
  <c r="G5" i="12"/>
  <c r="E17" i="11" s="1"/>
  <c r="M12" i="12"/>
  <c r="L13" i="12"/>
  <c r="K14" i="12"/>
  <c r="J15" i="12"/>
  <c r="I16" i="12"/>
  <c r="H17" i="12"/>
  <c r="G18" i="12"/>
  <c r="M34" i="12"/>
  <c r="L35" i="12"/>
  <c r="K36" i="12"/>
  <c r="J37" i="12"/>
  <c r="I38" i="12"/>
  <c r="H39" i="12"/>
  <c r="G40" i="12"/>
  <c r="M68" i="12"/>
  <c r="L69" i="12"/>
  <c r="K70" i="12"/>
  <c r="J71" i="12"/>
  <c r="I72" i="12"/>
  <c r="H73" i="12"/>
  <c r="G74" i="12"/>
  <c r="M41" i="12"/>
  <c r="L42" i="12"/>
  <c r="K43" i="12"/>
  <c r="J44" i="12"/>
  <c r="I45" i="12"/>
  <c r="H46" i="12"/>
  <c r="G47" i="12"/>
  <c r="M37" i="12"/>
  <c r="L38" i="12"/>
  <c r="K39" i="12"/>
  <c r="J40" i="12"/>
  <c r="I41" i="12"/>
  <c r="H42" i="12"/>
  <c r="G43" i="12"/>
  <c r="M69" i="12"/>
  <c r="L70" i="12"/>
  <c r="K71" i="12"/>
  <c r="J72" i="12"/>
  <c r="I73" i="12"/>
  <c r="H74" i="12"/>
  <c r="G75" i="12"/>
  <c r="M47" i="12"/>
  <c r="L48" i="12"/>
  <c r="K49" i="12"/>
  <c r="J50" i="12"/>
  <c r="I51" i="12"/>
  <c r="H52" i="12"/>
  <c r="G53" i="12"/>
  <c r="M42" i="12"/>
  <c r="L43" i="12"/>
  <c r="K44" i="12"/>
  <c r="J45" i="12"/>
  <c r="I46" i="12"/>
  <c r="H47" i="12"/>
  <c r="G48" i="12"/>
  <c r="M22" i="12"/>
  <c r="L23" i="12"/>
  <c r="K24" i="12"/>
  <c r="J25" i="12"/>
  <c r="I26" i="12"/>
  <c r="H27" i="12"/>
  <c r="G28" i="12"/>
  <c r="M32" i="12"/>
  <c r="L33" i="12"/>
  <c r="K34" i="12"/>
  <c r="J35" i="12"/>
  <c r="I36" i="12"/>
  <c r="H37" i="12"/>
  <c r="G38" i="12"/>
  <c r="M51" i="12"/>
  <c r="L52" i="12"/>
  <c r="K53" i="12"/>
  <c r="J54" i="12"/>
  <c r="I55" i="12"/>
  <c r="H56" i="12"/>
  <c r="G57" i="12"/>
  <c r="M58" i="12"/>
  <c r="L59" i="12"/>
  <c r="K60" i="12"/>
  <c r="J61" i="12"/>
  <c r="I62" i="12"/>
  <c r="H63" i="12"/>
  <c r="G64" i="12"/>
  <c r="M59" i="12"/>
  <c r="L60" i="12"/>
  <c r="K61" i="12"/>
  <c r="J62" i="12"/>
  <c r="I63" i="12"/>
  <c r="H64" i="12"/>
  <c r="G65" i="12"/>
  <c r="M46" i="12"/>
  <c r="L47" i="12"/>
  <c r="K48" i="12"/>
  <c r="J49" i="12"/>
  <c r="I50" i="12"/>
  <c r="H51" i="12"/>
  <c r="G52" i="12"/>
  <c r="M44" i="12"/>
  <c r="L45" i="12"/>
  <c r="K46" i="12"/>
  <c r="J47" i="12"/>
  <c r="I48" i="12"/>
  <c r="H49" i="12"/>
  <c r="G50" i="12"/>
  <c r="M14" i="12"/>
  <c r="L15" i="12"/>
  <c r="K16" i="12"/>
  <c r="J17" i="12"/>
  <c r="I18" i="12"/>
  <c r="H19" i="12"/>
  <c r="G20" i="12"/>
  <c r="M66" i="12"/>
  <c r="L67" i="12"/>
  <c r="K68" i="12"/>
  <c r="J69" i="12"/>
  <c r="I70" i="12"/>
  <c r="H71" i="12"/>
  <c r="G72" i="12"/>
  <c r="M73" i="12"/>
  <c r="L74" i="12"/>
  <c r="K75" i="12"/>
  <c r="J76" i="12"/>
  <c r="I77" i="12"/>
  <c r="H78" i="12"/>
  <c r="G79" i="12"/>
  <c r="M43" i="12"/>
  <c r="L44" i="12"/>
  <c r="K45" i="12"/>
  <c r="J46" i="12"/>
  <c r="I47" i="12"/>
  <c r="H48" i="12"/>
  <c r="G49" i="12"/>
  <c r="M36" i="12"/>
  <c r="L37" i="12"/>
  <c r="K38" i="12"/>
  <c r="J39" i="12"/>
  <c r="I40" i="12"/>
  <c r="H41" i="12"/>
  <c r="G42" i="12"/>
  <c r="M54" i="12"/>
  <c r="L55" i="12"/>
  <c r="K56" i="12"/>
  <c r="J57" i="12"/>
  <c r="I58" i="12"/>
  <c r="H59" i="12"/>
  <c r="G60" i="12"/>
  <c r="M39" i="12"/>
  <c r="L40" i="12"/>
  <c r="K41" i="12"/>
  <c r="J42" i="12"/>
  <c r="I43" i="12"/>
  <c r="H44" i="12"/>
  <c r="G45" i="12"/>
  <c r="M23" i="12"/>
  <c r="L24" i="12"/>
  <c r="K25" i="12"/>
  <c r="J26" i="12"/>
  <c r="I27" i="12"/>
  <c r="H28" i="12"/>
  <c r="G29" i="12"/>
  <c r="M64" i="12"/>
  <c r="L65" i="12"/>
  <c r="K66" i="12"/>
  <c r="J67" i="12"/>
  <c r="I68" i="12"/>
  <c r="H69" i="12"/>
  <c r="G70" i="12"/>
  <c r="M48" i="12"/>
  <c r="L49" i="12"/>
  <c r="K50" i="12"/>
  <c r="J51" i="12"/>
  <c r="I52" i="12"/>
  <c r="H53" i="12"/>
  <c r="G54" i="12"/>
  <c r="M6" i="12"/>
  <c r="L7" i="12"/>
  <c r="K8" i="12"/>
  <c r="J9" i="12"/>
  <c r="I10" i="12"/>
  <c r="H11" i="12"/>
  <c r="G12" i="12"/>
  <c r="M15" i="12"/>
  <c r="L16" i="12"/>
  <c r="K17" i="12"/>
  <c r="J18" i="12"/>
  <c r="I19" i="12"/>
  <c r="H20" i="12"/>
  <c r="G21" i="12"/>
  <c r="M60" i="12"/>
  <c r="L61" i="12"/>
  <c r="K62" i="12"/>
  <c r="J63" i="12"/>
  <c r="I64" i="12"/>
  <c r="H65" i="12"/>
  <c r="G66" i="12"/>
  <c r="M71" i="12"/>
  <c r="L72" i="12"/>
  <c r="K73" i="12"/>
  <c r="J74" i="12"/>
  <c r="I75" i="12"/>
  <c r="H76" i="12"/>
  <c r="G77" i="12"/>
  <c r="M65" i="12"/>
  <c r="L66" i="12"/>
  <c r="K67" i="12"/>
  <c r="J68" i="12"/>
  <c r="I69" i="12"/>
  <c r="H70" i="12"/>
  <c r="G71" i="12"/>
  <c r="M56" i="12"/>
  <c r="L57" i="12"/>
  <c r="K58" i="12"/>
  <c r="J59" i="12"/>
  <c r="I60" i="12"/>
  <c r="H61" i="12"/>
  <c r="G62" i="12"/>
  <c r="M53" i="12"/>
  <c r="L54" i="12"/>
  <c r="K55" i="12"/>
  <c r="J56" i="12"/>
  <c r="I57" i="12"/>
  <c r="H58" i="12"/>
  <c r="G59" i="12"/>
  <c r="M28" i="12"/>
  <c r="L29" i="12"/>
  <c r="K30" i="12"/>
  <c r="J31" i="12"/>
  <c r="I32" i="12"/>
  <c r="H33" i="12"/>
  <c r="G34" i="12"/>
  <c r="M40" i="12"/>
  <c r="L41" i="12"/>
  <c r="K42" i="12"/>
  <c r="J43" i="12"/>
  <c r="I44" i="12"/>
  <c r="H45" i="12"/>
  <c r="G46" i="12"/>
  <c r="M63" i="12"/>
  <c r="L64" i="12"/>
  <c r="K65" i="12"/>
  <c r="J66" i="12"/>
  <c r="I67" i="12"/>
  <c r="H68" i="12"/>
  <c r="G69" i="12"/>
  <c r="M38" i="12"/>
  <c r="L39" i="12"/>
  <c r="K40" i="12"/>
  <c r="J41" i="12"/>
  <c r="I42" i="12"/>
  <c r="H43" i="12"/>
  <c r="G44" i="12"/>
  <c r="M33" i="12"/>
  <c r="L34" i="12"/>
  <c r="K35" i="12"/>
  <c r="J36" i="12"/>
  <c r="I37" i="12"/>
  <c r="H38" i="12"/>
  <c r="G39" i="12"/>
  <c r="M49" i="12"/>
  <c r="L50" i="12"/>
  <c r="K51" i="12"/>
  <c r="J52" i="12"/>
  <c r="I53" i="12"/>
  <c r="H54" i="12"/>
  <c r="G55" i="12"/>
  <c r="M50" i="12"/>
  <c r="L51" i="12"/>
  <c r="K52" i="12"/>
  <c r="J53" i="12"/>
  <c r="I54" i="12"/>
  <c r="H55" i="12"/>
  <c r="G56" i="12"/>
  <c r="M55" i="12"/>
  <c r="L56" i="12"/>
  <c r="K57" i="12"/>
  <c r="J58" i="12"/>
  <c r="I59" i="12"/>
  <c r="H60" i="12"/>
  <c r="G61" i="12"/>
  <c r="M62" i="12"/>
  <c r="L63" i="12"/>
  <c r="K64" i="12"/>
  <c r="J65" i="12"/>
  <c r="I66" i="12"/>
  <c r="H67" i="12"/>
  <c r="G68" i="12"/>
  <c r="M52" i="12"/>
  <c r="L53" i="12"/>
  <c r="K54" i="12"/>
  <c r="J55" i="12"/>
  <c r="I56" i="12"/>
  <c r="H57" i="12"/>
  <c r="G58" i="12"/>
  <c r="M7" i="12"/>
  <c r="L8" i="12"/>
  <c r="K9" i="12"/>
  <c r="J10" i="12"/>
  <c r="I11" i="12"/>
  <c r="H12" i="12"/>
  <c r="G13" i="12"/>
  <c r="M67" i="12"/>
  <c r="L68" i="12"/>
  <c r="K69" i="12"/>
  <c r="J70" i="12"/>
  <c r="I71" i="12"/>
  <c r="H72" i="12"/>
  <c r="G73" i="12"/>
  <c r="M35" i="12"/>
  <c r="L36" i="12"/>
  <c r="K37" i="12"/>
  <c r="J38" i="12"/>
  <c r="I39" i="12"/>
  <c r="H40" i="12"/>
  <c r="G41" i="12"/>
  <c r="M70" i="12"/>
  <c r="L71" i="12"/>
  <c r="K72" i="12"/>
  <c r="J73" i="12"/>
  <c r="I74" i="12"/>
  <c r="H75" i="12"/>
  <c r="G76" i="12"/>
  <c r="M61" i="12"/>
  <c r="L62" i="12"/>
  <c r="K63" i="12"/>
  <c r="J64" i="12"/>
  <c r="I65" i="12"/>
  <c r="H66" i="12"/>
  <c r="G67" i="12"/>
  <c r="M57" i="12"/>
  <c r="L58" i="12"/>
  <c r="K59" i="12"/>
  <c r="J60" i="12"/>
  <c r="I61" i="12"/>
  <c r="H62" i="12"/>
  <c r="G63" i="12"/>
  <c r="M20" i="12"/>
  <c r="L21" i="12"/>
  <c r="K22" i="12"/>
  <c r="J23" i="12"/>
  <c r="I24" i="12"/>
  <c r="H25" i="12"/>
  <c r="G26" i="12"/>
  <c r="M72" i="12"/>
  <c r="L73" i="12"/>
  <c r="K74" i="12"/>
  <c r="J75" i="12"/>
  <c r="I76" i="12"/>
  <c r="H77" i="12"/>
  <c r="G78" i="12"/>
  <c r="M45" i="12"/>
  <c r="L46" i="12"/>
  <c r="K47" i="12"/>
  <c r="J48" i="12"/>
  <c r="I49" i="12"/>
  <c r="H50" i="12"/>
  <c r="G51" i="12"/>
  <c r="M4" i="12"/>
  <c r="K6" i="12"/>
  <c r="J7" i="12"/>
  <c r="I8" i="12"/>
  <c r="H9" i="12"/>
  <c r="G10" i="12"/>
  <c r="F9" i="11" s="1"/>
  <c r="L5" i="12"/>
  <c r="M31" i="12"/>
  <c r="L32" i="12"/>
  <c r="K33" i="12"/>
  <c r="J34" i="12"/>
  <c r="I35" i="12"/>
  <c r="H36" i="12"/>
  <c r="G37" i="12"/>
  <c r="F24" i="27" l="1"/>
  <c r="F33" i="27"/>
  <c r="G33" i="27"/>
  <c r="G24" i="27"/>
  <c r="G34" i="27"/>
  <c r="G25" i="27"/>
  <c r="F34" i="27"/>
  <c r="F35" i="27"/>
  <c r="F41" i="27"/>
  <c r="G41" i="27"/>
  <c r="G35" i="27"/>
  <c r="G40" i="27"/>
  <c r="F40" i="27"/>
  <c r="F39" i="27"/>
  <c r="G39" i="27"/>
  <c r="G38" i="27"/>
  <c r="F38" i="27"/>
  <c r="F37" i="27"/>
  <c r="G37" i="27"/>
  <c r="F36" i="27"/>
  <c r="G36" i="27"/>
  <c r="G10" i="27"/>
  <c r="F10" i="27"/>
  <c r="G32" i="27"/>
  <c r="F32" i="27"/>
  <c r="F31" i="27"/>
  <c r="G31" i="27"/>
  <c r="G30" i="27"/>
  <c r="F30" i="27"/>
  <c r="G27" i="27"/>
  <c r="G29" i="27"/>
  <c r="G28" i="27"/>
  <c r="G26" i="27"/>
  <c r="G16" i="27"/>
  <c r="F16" i="27"/>
  <c r="G13" i="27"/>
  <c r="F25" i="27"/>
  <c r="F26" i="27"/>
  <c r="F21" i="27"/>
  <c r="G17" i="27"/>
  <c r="G21" i="27"/>
  <c r="F17" i="27"/>
  <c r="F13" i="27"/>
  <c r="F5" i="27"/>
  <c r="F28" i="27"/>
  <c r="G23" i="27"/>
  <c r="F23" i="27"/>
  <c r="F29" i="27"/>
  <c r="F27" i="27"/>
  <c r="G14" i="27"/>
  <c r="F6" i="27"/>
  <c r="F14" i="27"/>
  <c r="G9" i="27"/>
  <c r="F7" i="27"/>
  <c r="G6" i="27"/>
  <c r="F18" i="27"/>
  <c r="G18" i="27"/>
  <c r="F11" i="27"/>
  <c r="F22" i="27"/>
  <c r="G22" i="27"/>
  <c r="F19" i="27"/>
  <c r="F8" i="27"/>
  <c r="F12" i="27"/>
  <c r="G7" i="27"/>
  <c r="G11" i="27"/>
  <c r="F9" i="27"/>
  <c r="G8" i="27"/>
  <c r="G19" i="27"/>
  <c r="G5" i="27"/>
  <c r="G12" i="27"/>
  <c r="F13" i="11"/>
  <c r="E9" i="11"/>
  <c r="F20" i="11"/>
  <c r="F8" i="11"/>
  <c r="E8" i="11"/>
  <c r="E25" i="11"/>
  <c r="E7" i="11"/>
  <c r="E20" i="11"/>
  <c r="E12" i="11"/>
  <c r="F14" i="11"/>
  <c r="E6" i="11"/>
  <c r="E10" i="11"/>
  <c r="E13" i="11"/>
  <c r="F19" i="11"/>
  <c r="F5" i="11"/>
  <c r="E26" i="11"/>
  <c r="E21" i="11"/>
  <c r="F25" i="11"/>
  <c r="E19" i="11"/>
  <c r="E30" i="11"/>
  <c r="E14" i="11"/>
  <c r="F7" i="11"/>
  <c r="F12" i="11"/>
  <c r="F10" i="11"/>
  <c r="F6" i="11"/>
  <c r="F26"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<sst xmlns="http://schemas.openxmlformats.org/spreadsheetml/2006/main" count="3126" uniqueCount="989">
  <si>
    <t>Appendix A – Participant Definitions</t>
  </si>
  <si>
    <t>Program</t>
  </si>
  <si>
    <t>Sub-Program</t>
  </si>
  <si>
    <t>Participants (as lead utility)</t>
  </si>
  <si>
    <t>Energy Efficient Products</t>
  </si>
  <si>
    <t>HVAC</t>
  </si>
  <si>
    <t>Sum of HVAC units (multiple units per customer, counts as multiple participants)</t>
  </si>
  <si>
    <t>Rebated Products</t>
  </si>
  <si>
    <t>Quantity of units rebated (based on SKU)</t>
  </si>
  <si>
    <t>Mid-Stream Products</t>
  </si>
  <si>
    <t>Quantity of units sold (based on SKU) - net of returns (negative in current period)</t>
  </si>
  <si>
    <t>Appliance Recycling</t>
  </si>
  <si>
    <t>Count of visits to premise not units</t>
  </si>
  <si>
    <t>Online Marketplace</t>
  </si>
  <si>
    <t>Consumer Electronics</t>
  </si>
  <si>
    <t>For rebated programs, count of rebate applications For Midstream, every measure is considered a participant - net of returns (negative in current period)</t>
  </si>
  <si>
    <t>Whole Homes</t>
  </si>
  <si>
    <t xml:space="preserve">Comp Retrofit </t>
  </si>
  <si>
    <t>Count of completed HPwES projects</t>
  </si>
  <si>
    <t>Home Energy Assessment</t>
  </si>
  <si>
    <t>Count of completed visits</t>
  </si>
  <si>
    <t xml:space="preserve">Income Qualified </t>
  </si>
  <si>
    <t>Income Qualified MIW x</t>
  </si>
  <si>
    <t>Same as HPwES - (distinction would be paying for audit in this program)</t>
  </si>
  <si>
    <t>Behavioral</t>
  </si>
  <si>
    <t>Count of treatment customers at end of reporting period</t>
  </si>
  <si>
    <t>C&amp;I Direct Install</t>
  </si>
  <si>
    <t>Direct Install</t>
  </si>
  <si>
    <t>Count based on number of applications/projects completed, not account number</t>
  </si>
  <si>
    <t>Prescriptive/Custom</t>
  </si>
  <si>
    <t>Energy Solutions</t>
  </si>
  <si>
    <t>Retrocom/Energy Solutions</t>
  </si>
  <si>
    <t xml:space="preserve">Multifamily </t>
  </si>
  <si>
    <t>Count based on number of projects completed (see approach)</t>
  </si>
  <si>
    <t>Engineered Solutions</t>
  </si>
  <si>
    <t>Table 1 – Electric Savings (Quarterly and Annual Report)</t>
  </si>
  <si>
    <t>Tri 1 - Utility-Administered Retail Savings1,2
(MWh)</t>
  </si>
  <si>
    <t>Tri 2 - Utility-Administered Retail Savings1,2
(MWh)</t>
  </si>
  <si>
    <t>Comfort Partners Retail Savings  (MWh)1,2</t>
  </si>
  <si>
    <r>
      <rPr>
        <sz val="11"/>
        <color theme="0"/>
        <rFont val="Calibri"/>
        <family val="2"/>
        <scheme val="minor"/>
      </rPr>
      <t xml:space="preserve">Additional </t>
    </r>
    <r>
      <rPr>
        <sz val="11"/>
        <color indexed="9"/>
        <rFont val="Calibri"/>
        <family val="2"/>
        <scheme val="minor"/>
      </rPr>
      <t>Programs Retail savings  (MWh)2,4</t>
    </r>
  </si>
  <si>
    <t>Total Portfolio Retail Savings
(MWh)1,2,5</t>
  </si>
  <si>
    <t>Compliance Baseline  (MWh)3</t>
  </si>
  <si>
    <t>Annual Target
 (%)</t>
  </si>
  <si>
    <t>Annual Target 
(MWh)</t>
  </si>
  <si>
    <t xml:space="preserve">Percent of Annual Target 
(%) </t>
  </si>
  <si>
    <t>(A)</t>
  </si>
  <si>
    <t>(B)</t>
  </si>
  <si>
    <t xml:space="preserve">(C) </t>
  </si>
  <si>
    <t xml:space="preserve">(D) </t>
  </si>
  <si>
    <t>(E) = (A)+(B)+(C)+(D)</t>
  </si>
  <si>
    <t>(F)</t>
  </si>
  <si>
    <t>(G)</t>
  </si>
  <si>
    <t>(H) = (F)*(G)</t>
  </si>
  <si>
    <t>(I) = (E) / (H)</t>
  </si>
  <si>
    <t>Quarter</t>
  </si>
  <si>
    <t>YTD</t>
  </si>
  <si>
    <r>
      <t xml:space="preserve">1 </t>
    </r>
    <r>
      <rPr>
        <sz val="9"/>
        <color theme="1"/>
        <rFont val="Times New Roman"/>
        <family val="1"/>
      </rPr>
      <t>Calculated savings at the retail (customer meter) level. Savings are estimated from participation counts and TRM calculations, where applicable.</t>
    </r>
  </si>
  <si>
    <r>
      <t>2</t>
    </r>
    <r>
      <rPr>
        <sz val="9"/>
        <color theme="1"/>
        <rFont val="Times New Roman"/>
        <family val="1"/>
      </rPr>
      <t xml:space="preserve"> Encompasses all ex-ante savings for the Plan Year, including prior period adjustments.</t>
    </r>
  </si>
  <si>
    <r>
      <t xml:space="preserve">3 </t>
    </r>
    <r>
      <rPr>
        <sz val="9"/>
        <color rgb="FF000000"/>
        <rFont val="Times New Roman"/>
        <family val="1"/>
      </rPr>
      <t>Calculated as average annual electricity usage in the prior three plan years (</t>
    </r>
    <r>
      <rPr>
        <i/>
        <sz val="9"/>
        <color rgb="FF000000"/>
        <rFont val="Times New Roman"/>
        <family val="1"/>
      </rPr>
      <t>i.e.,</t>
    </r>
    <r>
      <rPr>
        <sz val="9"/>
        <color rgb="FF000000"/>
        <rFont val="Times New Roman"/>
        <family val="1"/>
      </rPr>
      <t xml:space="preserve"> July – June) per N.J.S.A. 48:3-87.9(a).  Details are provided in Appendix E</t>
    </r>
  </si>
  <si>
    <r>
      <rPr>
        <vertAlign val="superscript"/>
        <sz val="9"/>
        <color theme="1"/>
        <rFont val="Times New Roman"/>
        <family val="1"/>
      </rPr>
      <t>4</t>
    </r>
    <r>
      <rPr>
        <sz val="9"/>
        <color theme="1"/>
        <rFont val="Times New Roman"/>
        <family val="1"/>
      </rPr>
      <t xml:space="preserve">Other Programs includes Company-specific programs that are not part of the Clean Energy Act (CEA) energy efficiency programs and Comfort Partners, such as legacy programs and pilots. </t>
    </r>
  </si>
  <si>
    <t>Individual elements may differ from summed totals due to rounding.</t>
  </si>
  <si>
    <t>CG 3/21, corrected labels in row 3</t>
  </si>
  <si>
    <t>Table 2 – Quantitative Performance Indicators (Annual Only)</t>
  </si>
  <si>
    <t>Year to Date</t>
  </si>
  <si>
    <t>* Prior to preparation of annual report, JU to link to QPI tables, which are to be added to Appendix J</t>
  </si>
  <si>
    <t>Description</t>
  </si>
  <si>
    <t>Weight</t>
  </si>
  <si>
    <t>Achievement to Target</t>
  </si>
  <si>
    <t xml:space="preserve">1) Annual Energy Savings </t>
  </si>
  <si>
    <t>Verified first year energy savings from measured completed in the given program year  (Source MMBtu)</t>
  </si>
  <si>
    <t xml:space="preserve">(total) </t>
  </si>
  <si>
    <t xml:space="preserve">2) Annual Demand Savings </t>
  </si>
  <si>
    <t>Verified peak demand savings from measures completed in the given program year (MW)</t>
  </si>
  <si>
    <t xml:space="preserve">3) Lifetime Energy Savings </t>
  </si>
  <si>
    <t>Verified lifetime energy savings from measures completed in the given program year  (Source MMBtu)</t>
  </si>
  <si>
    <t xml:space="preserve">4) LMI and OBC Lifetime Savings </t>
  </si>
  <si>
    <t>Verified lifetime energy savings from measures completed in the given program year from LMI and OBC cutomers (Source MMBtu)</t>
  </si>
  <si>
    <t xml:space="preserve">5) Small Business Lifetime Savings </t>
  </si>
  <si>
    <t>Verified lifetime energy savings from measures completed in the given program year for small business customers (Source MMBtu)</t>
  </si>
  <si>
    <t xml:space="preserve">6) Cost to Achieve </t>
  </si>
  <si>
    <t>Total EE portfolio costs divided by total portfolio verified lifetime energy savings (formula)</t>
  </si>
  <si>
    <t>Total Weighted QPI</t>
  </si>
  <si>
    <t>Table 3 – Sector-Level Participation (Quarterly and Annual Report)</t>
  </si>
  <si>
    <t>Sector</t>
  </si>
  <si>
    <t>Annual Forecasted Participants</t>
  </si>
  <si>
    <t>Percent of Annual Forecast</t>
  </si>
  <si>
    <t>Residential</t>
  </si>
  <si>
    <t>Multifamily  </t>
  </si>
  <si>
    <t xml:space="preserve">C&amp;I </t>
  </si>
  <si>
    <t>Reported Totals for Core Programs</t>
  </si>
  <si>
    <t>Additional</t>
  </si>
  <si>
    <t>Comfort Partners</t>
  </si>
  <si>
    <t>Utility Total</t>
  </si>
  <si>
    <t>Table 4 – Sector-Level Expenditures</t>
  </si>
  <si>
    <t>Expenditures</t>
  </si>
  <si>
    <t>Annual Budget  Expenditures ($000)</t>
  </si>
  <si>
    <t>Percent of Annual Budget</t>
  </si>
  <si>
    <t xml:space="preserve">Residential </t>
  </si>
  <si>
    <t>Multifamily</t>
  </si>
  <si>
    <t>Table 5 – Sector-Level Energy Savings</t>
  </si>
  <si>
    <t>Annual Energy Savings</t>
  </si>
  <si>
    <t>Annual Target Retail Savings (MWh)</t>
  </si>
  <si>
    <t>Percent of Annual Target</t>
  </si>
  <si>
    <t>C&amp;I</t>
  </si>
  <si>
    <t>Additional excluding Building Decarbonization</t>
  </si>
  <si>
    <t>Total Utility EE/PDR</t>
  </si>
  <si>
    <t>Quarter Reported ($000)</t>
  </si>
  <si>
    <t>YTD Reported ($000)</t>
  </si>
  <si>
    <t>Full Year Budget ($000)</t>
  </si>
  <si>
    <t>Percent of Annual Budget Spent</t>
  </si>
  <si>
    <t>Triennium 2 Budget Dollars Utilized in completing a Tri 1 project (YTD) *</t>
  </si>
  <si>
    <t>CG Q - should this be YTD? (Yes) Are these dollars also included in Col C? (Yes)</t>
  </si>
  <si>
    <t>Capital Costs</t>
  </si>
  <si>
    <t>Utility Administration</t>
  </si>
  <si>
    <t>Marketing</t>
  </si>
  <si>
    <t>Outside Services</t>
  </si>
  <si>
    <t>Rebates</t>
  </si>
  <si>
    <t>No- or Low-Interest Loans</t>
  </si>
  <si>
    <t>Evaluation, Measurement &amp; Verification ("EM&amp;V")</t>
  </si>
  <si>
    <t>Inspections &amp; Quality Control</t>
  </si>
  <si>
    <t>* only if applicable when utility runs out of Tri 1 funds</t>
  </si>
  <si>
    <t>Table 6b - Loan Amounts</t>
  </si>
  <si>
    <t>Deferred until PY4Q2.</t>
  </si>
  <si>
    <t>New Loan Amount QTR ($)</t>
  </si>
  <si>
    <t>New Loan Amount  YTD ($)</t>
  </si>
  <si>
    <t xml:space="preserve">New Loans Reported QTR </t>
  </si>
  <si>
    <t xml:space="preserve">New Loans YTD Reported </t>
  </si>
  <si>
    <t>Total Dollars Outstanding For Triennium 2 Loan Program Utility Total</t>
  </si>
  <si>
    <t>Triennium 2 Loan Default Rate*</t>
  </si>
  <si>
    <t>Whole Home</t>
  </si>
  <si>
    <t>Income Qualified</t>
  </si>
  <si>
    <t>Multi-Family</t>
  </si>
  <si>
    <t>Building Decarbonization</t>
  </si>
  <si>
    <t>* Cumulative</t>
  </si>
  <si>
    <t>Utilities requesting proposed method for calculating loan default rate, UPDATE 3/21 - BPU provided guidance.</t>
  </si>
  <si>
    <t>Territory-Level Benchmarks</t>
  </si>
  <si>
    <r>
      <t>Over-burdened</t>
    </r>
    <r>
      <rPr>
        <vertAlign val="superscript"/>
        <sz val="11"/>
        <color theme="0"/>
        <rFont val="Times New Roman"/>
        <family val="1"/>
      </rPr>
      <t>1</t>
    </r>
  </si>
  <si>
    <t>Non-Over-burdened</t>
  </si>
  <si>
    <r>
      <t>Overburdened (%)</t>
    </r>
    <r>
      <rPr>
        <vertAlign val="superscript"/>
        <sz val="11"/>
        <color theme="0"/>
        <rFont val="Times New Roman"/>
        <family val="1"/>
      </rPr>
      <t>2</t>
    </r>
  </si>
  <si>
    <r>
      <t xml:space="preserve">  # of Household Accounts</t>
    </r>
    <r>
      <rPr>
        <vertAlign val="superscript"/>
        <sz val="10"/>
        <color theme="1"/>
        <rFont val="Times New Roman"/>
        <family val="1"/>
      </rPr>
      <t>3</t>
    </r>
  </si>
  <si>
    <t>N/A</t>
  </si>
  <si>
    <r>
      <t xml:space="preserve">  # of Business Accounts</t>
    </r>
    <r>
      <rPr>
        <vertAlign val="superscript"/>
        <sz val="10"/>
        <color theme="1"/>
        <rFont val="Times New Roman"/>
        <family val="1"/>
      </rPr>
      <t>3</t>
    </r>
  </si>
  <si>
    <r>
      <t xml:space="preserve">  Total Annual Energy (MWh)</t>
    </r>
    <r>
      <rPr>
        <vertAlign val="superscript"/>
        <sz val="10"/>
        <color theme="1"/>
        <rFont val="Times New Roman"/>
        <family val="1"/>
      </rPr>
      <t>4</t>
    </r>
  </si>
  <si>
    <t>Programs</t>
  </si>
  <si>
    <t>Sub Program or Offering</t>
  </si>
  <si>
    <t>Type of Sub Program/Offering</t>
  </si>
  <si>
    <r>
      <t>Quarter Over-burdened</t>
    </r>
    <r>
      <rPr>
        <vertAlign val="superscript"/>
        <sz val="11"/>
        <color theme="0"/>
        <rFont val="Times New Roman"/>
        <family val="1"/>
      </rPr>
      <t>1</t>
    </r>
  </si>
  <si>
    <t>Quarter Non-Over-burdened</t>
  </si>
  <si>
    <t>Annual Over-burdened</t>
  </si>
  <si>
    <t>Annual Non-Over-burdened</t>
  </si>
  <si>
    <t>Overburdened (%)</t>
  </si>
  <si>
    <t>Particpants</t>
  </si>
  <si>
    <t>Core</t>
  </si>
  <si>
    <t>Appliance Rebates</t>
  </si>
  <si>
    <t>On Line Marketplace</t>
  </si>
  <si>
    <t>Comp Retrofit</t>
  </si>
  <si>
    <t>Moderate Income Weatherization</t>
  </si>
  <si>
    <t xml:space="preserve">Core </t>
  </si>
  <si>
    <t>Conservation Voltage Reduction</t>
  </si>
  <si>
    <r>
      <t xml:space="preserve">  Total Core Participation</t>
    </r>
    <r>
      <rPr>
        <vertAlign val="superscript"/>
        <sz val="10"/>
        <color rgb="FF000000"/>
        <rFont val="Times New Roman"/>
        <family val="1"/>
      </rPr>
      <t>6</t>
    </r>
  </si>
  <si>
    <r>
      <t>Total Participation</t>
    </r>
    <r>
      <rPr>
        <b/>
        <vertAlign val="superscript"/>
        <sz val="10"/>
        <color rgb="FF000000"/>
        <rFont val="Times New Roman"/>
        <family val="1"/>
      </rPr>
      <t>6</t>
    </r>
  </si>
  <si>
    <r>
      <t xml:space="preserve">  Total Core Annual Energy Savings</t>
    </r>
    <r>
      <rPr>
        <vertAlign val="superscript"/>
        <sz val="10"/>
        <color rgb="FF000000"/>
        <rFont val="Times New Roman"/>
        <family val="1"/>
      </rPr>
      <t>6</t>
    </r>
  </si>
  <si>
    <r>
      <t>Total Annual Energy Savings</t>
    </r>
    <r>
      <rPr>
        <b/>
        <vertAlign val="superscript"/>
        <sz val="10"/>
        <color rgb="FF000000"/>
        <rFont val="Times New Roman"/>
        <family val="1"/>
      </rPr>
      <t>6</t>
    </r>
  </si>
  <si>
    <r>
      <t xml:space="preserve">  Total Core Lifetime Eenrgy Savings</t>
    </r>
    <r>
      <rPr>
        <vertAlign val="superscript"/>
        <sz val="10"/>
        <color rgb="FF000000"/>
        <rFont val="Times New Roman"/>
        <family val="1"/>
      </rPr>
      <t>6</t>
    </r>
  </si>
  <si>
    <r>
      <t>Total Lifetime Energy Savings</t>
    </r>
    <r>
      <rPr>
        <b/>
        <vertAlign val="superscript"/>
        <sz val="10"/>
        <color theme="1"/>
        <rFont val="Times New Roman"/>
        <family val="1"/>
      </rPr>
      <t>6</t>
    </r>
    <r>
      <rPr>
        <b/>
        <sz val="10"/>
        <color theme="1"/>
        <rFont val="Times New Roman"/>
        <family val="1"/>
      </rPr>
      <t xml:space="preserve"> </t>
    </r>
  </si>
  <si>
    <r>
      <t>1</t>
    </r>
    <r>
      <rPr>
        <sz val="10"/>
        <color theme="1"/>
        <rFont val="Times New Roman"/>
        <family val="1"/>
      </rPr>
      <t xml:space="preserve"> Across all programs, subprograms, or offerings, participation/expenditures/savings are classified as either in an Environmental Justice Overburdened Community census block or not based on the program participant’s address.</t>
    </r>
  </si>
  <si>
    <t>Overburdened Community census blocks were developed and defined by the NJ Department of Environmental Protection (www.nj.gov/dep/ej/communities.html). The EM&amp;V WG agreed to only include OBC census blocks where at least 35% of households qualify as low-income.  For example, a census block that only satisfies the limited English proficiency criteria is not included.</t>
  </si>
  <si>
    <r>
      <t>2</t>
    </r>
    <r>
      <rPr>
        <sz val="10"/>
        <color theme="1"/>
        <rFont val="Times New Roman"/>
        <family val="1"/>
      </rPr>
      <t xml:space="preserve"> The Ratio column shows the ratio of the overburdened metric over the total of overburdened plus non-overburdened. Comparing the territory-level benchmark ratios versus the program ratios shows how equitable the distribution of the program is between the overburdened and non-overburdened populations. If the program ratio is greater than the benchmark ratio, then the overburdened population is better represented in the program.</t>
    </r>
  </si>
  <si>
    <r>
      <t>3</t>
    </r>
    <r>
      <rPr>
        <sz val="10"/>
        <color theme="1"/>
        <rFont val="Times New Roman"/>
        <family val="1"/>
      </rPr>
      <t xml:space="preserve"> Estimation of accounts with overburdened designation determined to be active immediately preceding the current Plan Year.</t>
    </r>
  </si>
  <si>
    <r>
      <t>4</t>
    </r>
    <r>
      <rPr>
        <sz val="10"/>
        <color theme="1"/>
        <rFont val="Times New Roman"/>
        <family val="1"/>
      </rPr>
      <t xml:space="preserve"> Estimation of usage with overburdened designation for the 12-month period immediately preceding the current Plan Year.</t>
    </r>
  </si>
  <si>
    <r>
      <t>5</t>
    </r>
    <r>
      <rPr>
        <sz val="10"/>
        <color theme="1"/>
        <rFont val="Times New Roman"/>
        <family val="1"/>
      </rPr>
      <t xml:space="preserve"> Efficient Products Program, Lighting participants represent sales of products originating from stores located within an Overburdened Community. This metric is not intended to identify individual participants who reside in Overburdened Community, but rather the proportion of retail lighting sales stemming from locations serving Overburdened Communities aligned to BPU Staff’s modifications. </t>
    </r>
  </si>
  <si>
    <r>
      <t xml:space="preserve">6 </t>
    </r>
    <r>
      <rPr>
        <sz val="10"/>
        <color theme="1"/>
        <rFont val="Times New Roman"/>
        <family val="1"/>
      </rPr>
      <t>Individual line items or totals as listed in this table may slightly differ from those results in Appendix B table due to rounding.</t>
    </r>
  </si>
  <si>
    <t>7 OBC results as listed for the Behavioral offering are estimated based on percentages of customers that reside in OBC designated areas within the behavioral treatment population.  </t>
  </si>
  <si>
    <t>Table 8 -  Benefit-Cost Test Results (Annual Report Only)</t>
  </si>
  <si>
    <r>
      <t>Initial</t>
    </r>
    <r>
      <rPr>
        <vertAlign val="superscript"/>
        <sz val="9"/>
        <color rgb="FFFFFFFF"/>
        <rFont val="Calibri"/>
        <family val="2"/>
        <scheme val="minor"/>
      </rPr>
      <t>1</t>
    </r>
  </si>
  <si>
    <t>Final</t>
  </si>
  <si>
    <t>NJCT</t>
  </si>
  <si>
    <r>
      <t>PCT</t>
    </r>
    <r>
      <rPr>
        <vertAlign val="superscript"/>
        <sz val="9"/>
        <color rgb="FFFFFFFF"/>
        <rFont val="Calibri"/>
        <family val="2"/>
        <scheme val="minor"/>
      </rPr>
      <t>3</t>
    </r>
  </si>
  <si>
    <t>PACT</t>
  </si>
  <si>
    <t>RIMT</t>
  </si>
  <si>
    <t>TRCT</t>
  </si>
  <si>
    <t>SCT</t>
  </si>
  <si>
    <t>PCT</t>
  </si>
  <si>
    <t xml:space="preserve">Behavioral </t>
  </si>
  <si>
    <r>
      <t xml:space="preserve"> Load Optimization &amp; Peak Demand Reduction</t>
    </r>
    <r>
      <rPr>
        <vertAlign val="superscript"/>
        <sz val="11"/>
        <rFont val="Calibri"/>
        <family val="2"/>
        <scheme val="minor"/>
      </rPr>
      <t>2</t>
    </r>
  </si>
  <si>
    <t>Portfolio Total</t>
  </si>
  <si>
    <r>
      <t>1</t>
    </r>
    <r>
      <rPr>
        <sz val="9"/>
        <color theme="1"/>
        <rFont val="Times New Roman"/>
        <family val="1"/>
      </rPr>
      <t>Initial values reflected in this table represent cost effectiveness scores as filed in JCP&amp;L’s EEC Plan.</t>
    </r>
  </si>
  <si>
    <r>
      <t>2</t>
    </r>
    <r>
      <rPr>
        <sz val="9"/>
        <color theme="1"/>
        <rFont val="Times New Roman"/>
        <family val="1"/>
      </rPr>
      <t>The Company plans to implement the Home Optimization &amp; Peak Demand Reduction program in 2023 as outlined in our filed Plan.</t>
    </r>
  </si>
  <si>
    <r>
      <t>3</t>
    </r>
    <r>
      <rPr>
        <sz val="9"/>
        <color theme="1"/>
        <rFont val="Times New Roman"/>
        <family val="1"/>
      </rPr>
      <t>PCT values are heavily influenced by programs designed with low or no out of pocket expenses to participants</t>
    </r>
  </si>
  <si>
    <t>Each utility will need to Clean Up Program names in columns A and B to match the nomenclature on the JCPL/IMS</t>
  </si>
  <si>
    <t>Net Realized Site Savings-CEA Compliance</t>
  </si>
  <si>
    <t>Triennium 2 Projects</t>
  </si>
  <si>
    <t>Participation</t>
  </si>
  <si>
    <t>Budget</t>
  </si>
  <si>
    <t>A</t>
  </si>
  <si>
    <t>B</t>
  </si>
  <si>
    <t>C</t>
  </si>
  <si>
    <t>D=C/B</t>
  </si>
  <si>
    <t>F</t>
  </si>
  <si>
    <t>G</t>
  </si>
  <si>
    <t>H</t>
  </si>
  <si>
    <t>J</t>
  </si>
  <si>
    <t>L</t>
  </si>
  <si>
    <t>N</t>
  </si>
  <si>
    <t>P</t>
  </si>
  <si>
    <t>Q</t>
  </si>
  <si>
    <t xml:space="preserve">  Annual Forecasted Participation Number</t>
  </si>
  <si>
    <t xml:space="preserve">YTD Reported Participation Number </t>
  </si>
  <si>
    <t>YTD % of Annual Participants</t>
  </si>
  <si>
    <t xml:space="preserve"> Quarter Program Costs ($000)</t>
  </si>
  <si>
    <r>
      <t>Annual  Forecasted Program Costs ($000)</t>
    </r>
    <r>
      <rPr>
        <vertAlign val="superscript"/>
        <sz val="9"/>
        <color rgb="FFFFFFFF"/>
        <rFont val="Calibri"/>
        <family val="2"/>
        <scheme val="minor"/>
      </rPr>
      <t>2</t>
    </r>
  </si>
  <si>
    <t>YTD Program Costs ($000)</t>
  </si>
  <si>
    <t>YTD % of Annual Budget</t>
  </si>
  <si>
    <t>Quarter Annual Retail Energy Savings (MWh)</t>
  </si>
  <si>
    <t>Annual Forecasted Retail Energy Savings (MWh)</t>
  </si>
  <si>
    <t>YTD Annual Retail Energy Savings  (MWh)</t>
  </si>
  <si>
    <t>YTD % of Annual Energy Savings</t>
  </si>
  <si>
    <t>YTD Peak Demand Savings (MW)</t>
  </si>
  <si>
    <t>Quarter Lifetime Retail Energy Savings (MWh)</t>
  </si>
  <si>
    <t>YTD Lifetime Retail Energy Savings (MWh)</t>
  </si>
  <si>
    <t>Residential Programs</t>
  </si>
  <si>
    <r>
      <t>Sub Program or Offering</t>
    </r>
    <r>
      <rPr>
        <b/>
        <vertAlign val="superscript"/>
        <sz val="11"/>
        <color theme="1"/>
        <rFont val="Calibri"/>
        <family val="2"/>
        <scheme val="minor"/>
      </rPr>
      <t>1, 3, 5</t>
    </r>
  </si>
  <si>
    <t>Subtotal Energy Efficient Products</t>
  </si>
  <si>
    <r>
      <t>Total Residential</t>
    </r>
    <r>
      <rPr>
        <b/>
        <vertAlign val="superscript"/>
        <sz val="11"/>
        <color rgb="FF000000"/>
        <rFont val="Calibri"/>
        <family val="2"/>
        <scheme val="minor"/>
      </rPr>
      <t>5</t>
    </r>
  </si>
  <si>
    <t>Business Programs</t>
  </si>
  <si>
    <r>
      <t>Sub Program or Offering</t>
    </r>
    <r>
      <rPr>
        <b/>
        <vertAlign val="superscript"/>
        <sz val="11"/>
        <color rgb="FF000000"/>
        <rFont val="Calibri"/>
        <family val="2"/>
        <scheme val="minor"/>
      </rPr>
      <t>2, 3</t>
    </r>
  </si>
  <si>
    <r>
      <t>Total Business</t>
    </r>
    <r>
      <rPr>
        <b/>
        <vertAlign val="superscript"/>
        <sz val="11"/>
        <color rgb="FF000000"/>
        <rFont val="Calibri"/>
        <family val="2"/>
        <scheme val="minor"/>
      </rPr>
      <t>5</t>
    </r>
  </si>
  <si>
    <t>Multifamily Programs</t>
  </si>
  <si>
    <r>
      <t>Sub Program or Offering</t>
    </r>
    <r>
      <rPr>
        <b/>
        <vertAlign val="superscript"/>
        <sz val="11"/>
        <color rgb="FF000000"/>
        <rFont val="Calibri"/>
        <family val="2"/>
        <scheme val="minor"/>
      </rPr>
      <t>3</t>
    </r>
  </si>
  <si>
    <r>
      <t>Total Multi-Family</t>
    </r>
    <r>
      <rPr>
        <b/>
        <vertAlign val="superscript"/>
        <sz val="11"/>
        <color rgb="FF000000"/>
        <rFont val="Calibri"/>
        <family val="2"/>
        <scheme val="minor"/>
      </rPr>
      <t>5</t>
    </r>
  </si>
  <si>
    <t>Total Core Programs</t>
  </si>
  <si>
    <t>Residential Building Decarbonization</t>
  </si>
  <si>
    <t>C&amp;I Building Decarbonization</t>
  </si>
  <si>
    <r>
      <t>Portfolio Total</t>
    </r>
    <r>
      <rPr>
        <b/>
        <vertAlign val="superscript"/>
        <sz val="11"/>
        <color theme="1"/>
        <rFont val="Calibri"/>
        <family val="2"/>
        <scheme val="minor"/>
      </rPr>
      <t>5</t>
    </r>
  </si>
  <si>
    <r>
      <rPr>
        <vertAlign val="superscript"/>
        <sz val="11"/>
        <rFont val="Calibri"/>
        <family val="2"/>
        <scheme val="minor"/>
      </rPr>
      <t>1</t>
    </r>
    <r>
      <rPr>
        <sz val="11"/>
        <rFont val="Calibri"/>
        <family val="2"/>
        <scheme val="minor"/>
      </rPr>
      <t xml:space="preserve"> Subprograms provide relevant forecasts as included in the Company's approved EE/PDR Plans. Program delivery elements listed as offerings were not forecast in the Company's EEPDR Plan and are for informational purposes only</t>
    </r>
  </si>
  <si>
    <r>
      <rPr>
        <vertAlign val="superscript"/>
        <sz val="11"/>
        <rFont val="Calibri"/>
        <family val="2"/>
        <scheme val="minor"/>
      </rPr>
      <t>2</t>
    </r>
    <r>
      <rPr>
        <sz val="11"/>
        <rFont val="Calibri"/>
        <family val="2"/>
        <scheme val="minor"/>
      </rPr>
      <t xml:space="preserve"> Annual Forecasted Program Costs reflect values anticipated in Board-approved Utility EE/PDR proposals and may incorporate budget adjustments as provided for in the June 10, 2020 Board Order.</t>
    </r>
  </si>
  <si>
    <r>
      <rPr>
        <vertAlign val="superscript"/>
        <sz val="11"/>
        <color theme="1"/>
        <rFont val="Calibri"/>
        <family val="2"/>
        <scheme val="minor"/>
      </rPr>
      <t>3</t>
    </r>
    <r>
      <rPr>
        <sz val="11"/>
        <color theme="1"/>
        <rFont val="Calibri"/>
        <family val="2"/>
        <scheme val="minor"/>
      </rPr>
      <t xml:space="preserve"> Was not offered during this reporting period; however start up costs may have been incurred</t>
    </r>
  </si>
  <si>
    <r>
      <rPr>
        <vertAlign val="superscript"/>
        <sz val="11"/>
        <color theme="1"/>
        <rFont val="Calibri"/>
        <family val="2"/>
        <scheme val="minor"/>
      </rPr>
      <t xml:space="preserve">4 </t>
    </r>
    <r>
      <rPr>
        <sz val="11"/>
        <color theme="1"/>
        <rFont val="Calibri"/>
        <family val="2"/>
        <scheme val="minor"/>
      </rPr>
      <t>Please note JCP&amp;L's EEPDR filing did not include supportive costs outside of portfolio</t>
    </r>
  </si>
  <si>
    <r>
      <rPr>
        <vertAlign val="superscript"/>
        <sz val="11"/>
        <rFont val="Calibri"/>
        <family val="2"/>
        <scheme val="minor"/>
      </rPr>
      <t>5</t>
    </r>
    <r>
      <rPr>
        <sz val="11"/>
        <rFont val="Calibri"/>
        <family val="2"/>
        <scheme val="minor"/>
      </rPr>
      <t>Individual line items or totals as listed in Appendix B may slightly differ due to rounding.</t>
    </r>
  </si>
  <si>
    <r>
      <rPr>
        <vertAlign val="superscript"/>
        <sz val="12"/>
        <color theme="1"/>
        <rFont val="Calibri"/>
        <family val="2"/>
        <scheme val="minor"/>
      </rPr>
      <t>6</t>
    </r>
    <r>
      <rPr>
        <sz val="12"/>
        <color theme="1"/>
        <rFont val="Calibri"/>
        <family val="2"/>
        <scheme val="minor"/>
      </rPr>
      <t>Wholesale savings at the gross wholesale level include retail savings plus marginal line losses, using approved line loss factor in utility’s tariff grossed up by 1.5, per the Avoided Cost Methodology in the NJ Cost Test .</t>
    </r>
  </si>
  <si>
    <t>How should CVR be reported?  JU has proposal on the QPI detailed tab</t>
  </si>
  <si>
    <t>D</t>
  </si>
  <si>
    <t>E</t>
  </si>
  <si>
    <t>Reported Participation Number YTD</t>
  </si>
  <si>
    <r>
      <t>Reported Incentive Costs YTD ($000)</t>
    </r>
    <r>
      <rPr>
        <vertAlign val="superscript"/>
        <sz val="10"/>
        <color theme="0"/>
        <rFont val="Calibri"/>
        <family val="2"/>
        <scheme val="minor"/>
      </rPr>
      <t>3</t>
    </r>
  </si>
  <si>
    <t>Reported Annual Retail Energy Savings YTD (MWh)</t>
  </si>
  <si>
    <r>
      <t>Sub Program or Offering</t>
    </r>
    <r>
      <rPr>
        <b/>
        <vertAlign val="superscript"/>
        <sz val="10"/>
        <color theme="1"/>
        <rFont val="Calibri"/>
        <family val="2"/>
        <scheme val="minor"/>
      </rPr>
      <t>1, 2</t>
    </r>
  </si>
  <si>
    <t>LMI</t>
  </si>
  <si>
    <t>Non-LMI or Unverified</t>
  </si>
  <si>
    <t>Quick Home Energy Check-Up</t>
  </si>
  <si>
    <r>
      <t>Total Residential</t>
    </r>
    <r>
      <rPr>
        <b/>
        <vertAlign val="superscript"/>
        <sz val="10"/>
        <color rgb="FF000000"/>
        <rFont val="Calibri"/>
        <family val="2"/>
        <scheme val="minor"/>
      </rPr>
      <t>2</t>
    </r>
  </si>
  <si>
    <r>
      <t>Sub Program or Offering</t>
    </r>
    <r>
      <rPr>
        <b/>
        <vertAlign val="superscript"/>
        <sz val="10"/>
        <color rgb="FF000000"/>
        <rFont val="Calibri"/>
        <family val="2"/>
        <scheme val="minor"/>
      </rPr>
      <t>1</t>
    </r>
  </si>
  <si>
    <r>
      <t>Portfolio Total</t>
    </r>
    <r>
      <rPr>
        <b/>
        <vertAlign val="superscript"/>
        <sz val="10"/>
        <color theme="1"/>
        <rFont val="Calibri"/>
        <family val="2"/>
        <scheme val="minor"/>
      </rPr>
      <t>2</t>
    </r>
  </si>
  <si>
    <r>
      <rPr>
        <vertAlign val="superscript"/>
        <sz val="10"/>
        <rFont val="Calibri"/>
        <family val="2"/>
        <scheme val="minor"/>
      </rPr>
      <t xml:space="preserve">1 </t>
    </r>
    <r>
      <rPr>
        <sz val="10"/>
        <rFont val="Calibri"/>
        <family val="2"/>
        <scheme val="minor"/>
      </rPr>
      <t xml:space="preserve">Income-qualified customers are directed to participate through the Comfort Partners or Moderate Income Weatherization programs. </t>
    </r>
  </si>
  <si>
    <r>
      <rPr>
        <vertAlign val="superscript"/>
        <sz val="10"/>
        <color theme="1"/>
        <rFont val="Calibri"/>
        <family val="2"/>
        <scheme val="minor"/>
      </rPr>
      <t>2</t>
    </r>
    <r>
      <rPr>
        <sz val="10"/>
        <color theme="1"/>
        <rFont val="Calibri"/>
        <family val="2"/>
        <scheme val="minor"/>
      </rPr>
      <t>Individual line items or totals as listed in Appendix C may slightly differ due to rounding.</t>
    </r>
  </si>
  <si>
    <t>Appendix D - Energy Efficiency and PDR Savings Summary - Business Class</t>
  </si>
  <si>
    <t xml:space="preserve">Reported Participation Number YTD </t>
  </si>
  <si>
    <r>
      <t>Reported Incentive Costs YTD   ($000)</t>
    </r>
    <r>
      <rPr>
        <b/>
        <vertAlign val="superscript"/>
        <sz val="10"/>
        <color rgb="FFFFFFFF"/>
        <rFont val="Calibri"/>
        <family val="2"/>
        <scheme val="minor"/>
      </rPr>
      <t>2</t>
    </r>
  </si>
  <si>
    <t>Reported Annual Retail Energy Savings YTD  (MWh)</t>
  </si>
  <si>
    <t>Small Commercial</t>
  </si>
  <si>
    <t>Large Commercial</t>
  </si>
  <si>
    <t>-</t>
  </si>
  <si>
    <r>
      <t>Total Business</t>
    </r>
    <r>
      <rPr>
        <b/>
        <vertAlign val="superscript"/>
        <sz val="10"/>
        <color theme="1"/>
        <rFont val="Calibri"/>
        <family val="2"/>
        <scheme val="minor"/>
      </rPr>
      <t>1</t>
    </r>
  </si>
  <si>
    <t>Total Multifamily</t>
  </si>
  <si>
    <r>
      <t>Portfolio Total</t>
    </r>
    <r>
      <rPr>
        <b/>
        <vertAlign val="superscript"/>
        <sz val="10"/>
        <color theme="1"/>
        <rFont val="Calibri"/>
        <family val="2"/>
        <scheme val="minor"/>
      </rPr>
      <t>1</t>
    </r>
  </si>
  <si>
    <r>
      <rPr>
        <vertAlign val="superscript"/>
        <sz val="10"/>
        <color theme="1"/>
        <rFont val="Calibri"/>
        <family val="2"/>
        <scheme val="minor"/>
      </rPr>
      <t>1</t>
    </r>
    <r>
      <rPr>
        <sz val="10"/>
        <color theme="1"/>
        <rFont val="Calibri"/>
        <family val="2"/>
        <scheme val="minor"/>
      </rPr>
      <t>Individual line items or totals as listed in Appendix D may slightly differ due to rounding.</t>
    </r>
  </si>
  <si>
    <t xml:space="preserve">Appendix E Annual Report Baseline Calculation </t>
  </si>
  <si>
    <t>Energy Efficiency Compliance Baselines and Benchmarks (MWh)</t>
  </si>
  <si>
    <t>Electric Utility</t>
  </si>
  <si>
    <t>Plan Year</t>
  </si>
  <si>
    <t>Sales Period</t>
  </si>
  <si>
    <t>Sales
(MWh)</t>
  </si>
  <si>
    <t>Adjustments
(MWh)</t>
  </si>
  <si>
    <t>Adjusted Retail Sales
(MWh)</t>
  </si>
  <si>
    <t>Compliance Baseline
(MWh)</t>
  </si>
  <si>
    <t>Overall Annual Energy Reduction Target (%)</t>
  </si>
  <si>
    <t>Overall Annual Energy Reduction Target (MWh)</t>
  </si>
  <si>
    <t>State-Administered Annual Energy Reduction Target (%)</t>
  </si>
  <si>
    <t>State-Administered Annual Energy Reduction Target (MWh)</t>
  </si>
  <si>
    <t>Utility-Administered Annual Energy Reduction Target (%)</t>
  </si>
  <si>
    <t>Utility-Administered Annual Energy Reduction Target (MWh)</t>
  </si>
  <si>
    <t>(C) = (A)-(B)</t>
  </si>
  <si>
    <t xml:space="preserve">(D) = Average (C) </t>
  </si>
  <si>
    <t>(E)</t>
  </si>
  <si>
    <t>(F) = (E) * (D)</t>
  </si>
  <si>
    <t>(H) = (G) * (D)</t>
  </si>
  <si>
    <t>(I)</t>
  </si>
  <si>
    <t>(J) = (I) * (D)</t>
  </si>
  <si>
    <t>JCP&amp;L</t>
  </si>
  <si>
    <t>1/1/22 - 12/31/22</t>
  </si>
  <si>
    <t>1/1/23 - 12/31/23</t>
  </si>
  <si>
    <t>1/1/24 - 12/31/24</t>
  </si>
  <si>
    <t>Program Year 4</t>
  </si>
  <si>
    <t>Energy Efficiency Compliance Baselines and Benchmarks (Dth)</t>
  </si>
  <si>
    <t>Sales
(Dth)</t>
  </si>
  <si>
    <t>Adjustments
(Dth)</t>
  </si>
  <si>
    <t>Adjusted Retail Sales
(Dth)</t>
  </si>
  <si>
    <t>Compliance Baseline
(Dth)</t>
  </si>
  <si>
    <t>Overall Annual Energy Reduction Target (Dth)</t>
  </si>
  <si>
    <t>State-Administered Annual Energy Reduction Target (Dth)</t>
  </si>
  <si>
    <t>Utility-Administered Annual Energy Reduction Target (Dth)</t>
  </si>
  <si>
    <t>Notes:</t>
  </si>
  <si>
    <t>(A) Includes sales as reported on FERC Form-1, as adjusted for the given sales period (planning year)</t>
  </si>
  <si>
    <t>(B) No included adjustments</t>
  </si>
  <si>
    <t>Appendix F - Additional Programs (Annual Report)</t>
  </si>
  <si>
    <t>Table F-1 Demand Response Program Performance</t>
  </si>
  <si>
    <t>YTD New Enrollments</t>
  </si>
  <si>
    <t>Total Current Participants</t>
  </si>
  <si>
    <t>YTD Control Events</t>
  </si>
  <si>
    <t>Demand Reduction, MW</t>
  </si>
  <si>
    <t>Load Optimization and Peak Demand Response</t>
  </si>
  <si>
    <t>Table F-2a Heat Pump Installation</t>
  </si>
  <si>
    <t>Table F-2b Heat Pump Water Heater Installation</t>
  </si>
  <si>
    <t>Year-to-Date</t>
  </si>
  <si>
    <t xml:space="preserve">Sector </t>
  </si>
  <si>
    <t>Type</t>
  </si>
  <si>
    <t>Unique Premises Served (#)</t>
  </si>
  <si>
    <t>Measures Installed (units)</t>
  </si>
  <si>
    <t>Annual Net Realized Site Energy  Savings (MWh)</t>
  </si>
  <si>
    <t xml:space="preserve">Site Therms </t>
  </si>
  <si>
    <t>Net Source MMBTU</t>
  </si>
  <si>
    <t>Res</t>
  </si>
  <si>
    <t>EE</t>
  </si>
  <si>
    <t>ASHP</t>
  </si>
  <si>
    <t>GSHP</t>
  </si>
  <si>
    <t>MF</t>
  </si>
  <si>
    <t>Other HP</t>
  </si>
  <si>
    <t>PTHP</t>
  </si>
  <si>
    <t>EE Total</t>
  </si>
  <si>
    <t>BD</t>
  </si>
  <si>
    <t>Full-ASHP</t>
  </si>
  <si>
    <t>Partial-ASHP</t>
  </si>
  <si>
    <t>BD Total</t>
  </si>
  <si>
    <t>Program Total</t>
  </si>
  <si>
    <t>Provide annual with annual report, broken down by sector (res EE, res BD, C&amp;I EE, C&amp;I BD)</t>
  </si>
  <si>
    <t>EE measures should document net realized source savings</t>
  </si>
  <si>
    <t>BD measures included in separate table. should be net realized source savings.</t>
  </si>
  <si>
    <t>footnote to explain conversion from site to source</t>
  </si>
  <si>
    <t>Table F-3 Conservation Voltage Regulation</t>
  </si>
  <si>
    <t>YTD Customers Impacted</t>
  </si>
  <si>
    <t>Average Voltage Reduction per Impacted Customer, V</t>
  </si>
  <si>
    <t>YTD Energy Saved, MWh</t>
  </si>
  <si>
    <t>Conservation Voltage Regulation</t>
  </si>
  <si>
    <t>Appendix G - Cost Effectiveness Test Details (Annual Report Only)</t>
  </si>
  <si>
    <t>Business</t>
  </si>
  <si>
    <t xml:space="preserve">Other </t>
  </si>
  <si>
    <t>Total Portfolio</t>
  </si>
  <si>
    <t>Total Resource Cost Test (TRC)</t>
  </si>
  <si>
    <t>Lifetime Avoided Electric Supply Costs</t>
  </si>
  <si>
    <t>Lifetime Avoided Electric Capacity Costs</t>
  </si>
  <si>
    <t>Lifetime Avoided Natural Gas Supply Costs</t>
  </si>
  <si>
    <t>Lifetime Merit Order (DRIPE) Benefits</t>
  </si>
  <si>
    <t>Lifetime REC Avoided Purchases</t>
  </si>
  <si>
    <t>Lifetime Wholesale Volatility Value</t>
  </si>
  <si>
    <t>Lifetime Avoided Replacement</t>
  </si>
  <si>
    <t>Lifetime Avoided T&amp;D Costs</t>
  </si>
  <si>
    <t>Total Benefit = 1+2+3+4+5+6+7+8</t>
  </si>
  <si>
    <t>Lifetime Participant Costs</t>
  </si>
  <si>
    <t>Lifetime Administration Costs</t>
  </si>
  <si>
    <t>Lifetime Program Investment Costs</t>
  </si>
  <si>
    <t>Total Costs (9+10+11)</t>
  </si>
  <si>
    <t>Benefit Cost Ratio = (1+2+3+4+5+6+7+8)/(9+10+11)</t>
  </si>
  <si>
    <t>Particpant Cost Test (PCT)</t>
  </si>
  <si>
    <t>Lifetime Participant Benefits</t>
  </si>
  <si>
    <t>Lifetime Repayment Benefits</t>
  </si>
  <si>
    <t>Benefit Cost Ratio = (11+12+13)/9</t>
  </si>
  <si>
    <t>Program Administrator Cost Test (PAC)</t>
  </si>
  <si>
    <t>Benefit Cost ratio = (1+2+3+4+5+6+7+8)/(10+11+13)</t>
  </si>
  <si>
    <t>Ratepayer Impact Measure Test (RIM)</t>
  </si>
  <si>
    <t>Lifetime utility Revenue Gained</t>
  </si>
  <si>
    <t>Lifetime Utility Cost</t>
  </si>
  <si>
    <t>Benefit Cost ratio = (1+2+3+4+5+6+7+8+14)/(10+11+13+15)</t>
  </si>
  <si>
    <t>Societal Cost Test (SC)</t>
  </si>
  <si>
    <t>Lifetime Merit Order (DRIPE) Energy Benefits</t>
  </si>
  <si>
    <t>Natural Gas Demand Reduction Induced Price Effects (DRIPE)</t>
  </si>
  <si>
    <t>Avoided RPS REC Purchase Costs</t>
  </si>
  <si>
    <t>Avoided Wholesale Volatility Costs</t>
  </si>
  <si>
    <t>Lifetime Avoided Wholesale T&amp;D Costs</t>
  </si>
  <si>
    <t>Lifetime Emission Savings</t>
  </si>
  <si>
    <t>Avoided SO₂ + NOx Emissions Damages</t>
  </si>
  <si>
    <t>Job and Energy Savings Economic Value-Added Multiplier Benefits</t>
  </si>
  <si>
    <t>Total Benefit = (16+17+18+19+20+21+22+23+24+25+26)</t>
  </si>
  <si>
    <t>Total Costs = (27+28)</t>
  </si>
  <si>
    <t>Benefit Cost Ratio = (16+17+18+19+20+21+22+23+24+25+26)/(27+28)</t>
  </si>
  <si>
    <t>New Jersey Cost Test (NJCT)</t>
  </si>
  <si>
    <t>Lifetime Merit Order (DRIPE) Capacity Benefits</t>
  </si>
  <si>
    <t>Lifetime Avoided Ancillary Services Costs</t>
  </si>
  <si>
    <t>Lifetime Non Energy Benefits</t>
  </si>
  <si>
    <t>Total Benefit = 16+17+18+19+23+24+29+30+31+32</t>
  </si>
  <si>
    <t>Benefit Cost Ratio = (16+17+18+19+23+24+29+30+31+32)/(27+28)</t>
  </si>
  <si>
    <t>Appendix H – Program Changes (Annual Report Only)</t>
  </si>
  <si>
    <t xml:space="preserve">Table A-2 – Program Changes </t>
  </si>
  <si>
    <t>Summary of Program Changes</t>
  </si>
  <si>
    <t>Direct Install*</t>
  </si>
  <si>
    <t>Prescriptive/Custom*</t>
  </si>
  <si>
    <t>Energy Solutions*</t>
  </si>
  <si>
    <t>Additional Programs</t>
  </si>
  <si>
    <t>Load Optimization and Peak Demand Reduction</t>
  </si>
  <si>
    <t>Appendix I - Working Tables for QPI</t>
  </si>
  <si>
    <t>*provided values are for example only not actuals</t>
  </si>
  <si>
    <t>1) Annual Energy Savings - PY4</t>
  </si>
  <si>
    <t> </t>
  </si>
  <si>
    <t>EE Goal</t>
  </si>
  <si>
    <t>EE Annual Savings Accomplishment</t>
  </si>
  <si>
    <t>EE Annual Savings Accomplishment (Source MMBtu)</t>
  </si>
  <si>
    <t>Annual Interactive Effects from Electric Measures (Therms)</t>
  </si>
  <si>
    <t>Annual Internactive Effects from Electric Measures (Source MMBtu)</t>
  </si>
  <si>
    <t>EE Annual Savings Accomplishments Including Interactive Effects (Source MMBtu)</t>
  </si>
  <si>
    <t>EE Annual Savings QPI Value</t>
  </si>
  <si>
    <t>BD Annual Savings</t>
  </si>
  <si>
    <t xml:space="preserve">EE+BD Annual Savings (Source MMBtu) </t>
  </si>
  <si>
    <t>EE+BD Annual Savings QPI Value</t>
  </si>
  <si>
    <t>(Source MMBtu)</t>
  </si>
  <si>
    <t>(MWh)</t>
  </si>
  <si>
    <t>I</t>
  </si>
  <si>
    <t>Plan Value</t>
  </si>
  <si>
    <t>Reported Value</t>
  </si>
  <si>
    <t>B * MWh to MMBtu * Conversion Factor</t>
  </si>
  <si>
    <t>(D /10) / (1-losses)</t>
  </si>
  <si>
    <t>C + E</t>
  </si>
  <si>
    <t>F / A</t>
  </si>
  <si>
    <t>F + H</t>
  </si>
  <si>
    <t>I / A</t>
  </si>
  <si>
    <t>Conservation Voltage Reduction Program</t>
  </si>
  <si>
    <t>EE&amp;C I completed after January 1, 2025</t>
  </si>
  <si>
    <t xml:space="preserve">EE&amp;C Plan II Savings </t>
  </si>
  <si>
    <t>Achieved Savings</t>
  </si>
  <si>
    <t>Carryover Savings from PY3</t>
  </si>
  <si>
    <t>Total Savings</t>
  </si>
  <si>
    <t>Banked Carryover Savings to be counted in PY5</t>
  </si>
  <si>
    <t>Total</t>
  </si>
  <si>
    <t>2) Annual Demand Savings - PY4</t>
  </si>
  <si>
    <t>Projected EE&amp;C Plan II Demand Savings Accomplishment</t>
  </si>
  <si>
    <t>Demand Savings Accomplishment</t>
  </si>
  <si>
    <t>Annual Demand Savings QPI Value</t>
  </si>
  <si>
    <t>(MW)</t>
  </si>
  <si>
    <t>B / A</t>
  </si>
  <si>
    <t>EE&amp;C Plan II</t>
  </si>
  <si>
    <t>Subtotal</t>
  </si>
  <si>
    <t>3) Lifetime Energy Savings - PY4</t>
  </si>
  <si>
    <t>Projected EE&amp;C Plan II Lifetime Energy Savings</t>
  </si>
  <si>
    <t>EE Lifetime Savings Accomplishment (MWh)</t>
  </si>
  <si>
    <t>EE Lifetime Savings Accomplishment (Source MMBtu)</t>
  </si>
  <si>
    <t>Lifetime Interactive Effects from Electric Measures (Therms)</t>
  </si>
  <si>
    <t>Lifetime Interactive Effects from Electric Measures (Source MMBtu)</t>
  </si>
  <si>
    <t>EE Lifetime Savings Accomplishments Including Interactive Effects (Source MMBtu)</t>
  </si>
  <si>
    <t>EE Lifetime Energy Savings QPI</t>
  </si>
  <si>
    <t>BD Lifetime Savings</t>
  </si>
  <si>
    <t>EE+BD Lifetime Savings</t>
  </si>
  <si>
    <t>EE+BD Lifetime Savings QPI Value</t>
  </si>
  <si>
    <t>4) Residential LMI and OBC Lifetime Savings - PY4</t>
  </si>
  <si>
    <t>Projected EE&amp;C Plan II LMI and OBC Lifetime Energy Savings</t>
  </si>
  <si>
    <t>LMI and OBC Lifetime Savings Accomplishment (MWh)</t>
  </si>
  <si>
    <t>LMI and OBC Lifetime  Savings Accomplishment (Source MMBtu)</t>
  </si>
  <si>
    <t>EE Lifetime Savings Accomplishments Including Interactive Effects (Souce MMBtu)</t>
  </si>
  <si>
    <t>EE LMI and OBC Lifetime Energy Savings QPI</t>
  </si>
  <si>
    <t>BD LMI and OBC Lifetime Savings</t>
  </si>
  <si>
    <t>EE+BD LMI and OBC Lifetime Savings</t>
  </si>
  <si>
    <t>EE+BD LMI and OBC Lifetime Savings QPI Value</t>
  </si>
  <si>
    <t>5) Small Business Lifetime Savings - PY4</t>
  </si>
  <si>
    <t>Projected EE&amp;C Plan II Small Business Lifetime Energy Savings</t>
  </si>
  <si>
    <t>Small Business Lifetime Savings Accomplishment (MWh)</t>
  </si>
  <si>
    <t>Small Business Lifetime  Savings Accomplishment (Source MMBtu)</t>
  </si>
  <si>
    <t>EE Lifetime Savings Accomplishment  Including Interactive Effects (Source MMBtu)</t>
  </si>
  <si>
    <t>EE Small Business Lifetime Energy Savings QPI</t>
  </si>
  <si>
    <t>BD Small Business Lifetime Savings</t>
  </si>
  <si>
    <t>EE+BD Small Business Lifetime Savings</t>
  </si>
  <si>
    <t>EE+BD Small Business Lifetime Savings QPI Value</t>
  </si>
  <si>
    <t>6) Cost to Achieve - PY4</t>
  </si>
  <si>
    <t>Projected EE&amp;C Plan II Cost to Achieve ($ / Lifetime Source MMBtu)</t>
  </si>
  <si>
    <t>Total EE Portfolio Spend ($)</t>
  </si>
  <si>
    <t>Lifetime Interactive Effects from Electric Measures
(Source MMBtu)</t>
  </si>
  <si>
    <t>Cost to Achieve ($ / Lifetime Source MMBtu)</t>
  </si>
  <si>
    <t>Cost to Achieve QPI Value</t>
  </si>
  <si>
    <t>C * MWh to MMBtu * Conversion Factor</t>
  </si>
  <si>
    <t>(E /10) / (1-losses)</t>
  </si>
  <si>
    <t>D + F</t>
  </si>
  <si>
    <t>B / G</t>
  </si>
  <si>
    <t>A / H</t>
  </si>
  <si>
    <t>(Need?)--&gt;</t>
  </si>
  <si>
    <t>Parameter</t>
  </si>
  <si>
    <t>Utlity 3-Year Average kWh Sales</t>
  </si>
  <si>
    <t>Utility PY5 EE Goals at 1.77% of kWh Sales, First-Year Savings</t>
  </si>
  <si>
    <t>Utility PY5 EE Goal in Source MMBtu, First-Year Savings</t>
  </si>
  <si>
    <t>Utility PY5 EE First-Year Savings Accomplishment, kWh</t>
  </si>
  <si>
    <t>Utility PY5 EE First-Year Savings Accomplishment, Source MMBtu</t>
  </si>
  <si>
    <t>Utility PY5 EE First-Year Savings QPI Value</t>
  </si>
  <si>
    <t>Utility PY5 BD Savings, Source MMBtu</t>
  </si>
  <si>
    <t>Utility PY5 EE+BD Savings, Source MMBtu</t>
  </si>
  <si>
    <t>Utility PY5 EE+BD First-Year Savings QPI Value</t>
  </si>
  <si>
    <t>Calculation</t>
  </si>
  <si>
    <t>Average 3 year kWh sales</t>
  </si>
  <si>
    <t>A x 0.0177</t>
  </si>
  <si>
    <t>B x 3412 x 2.5/1,000,000 (2.5= Site-to-Source Conversion Factor)</t>
  </si>
  <si>
    <t>Verified Savings</t>
  </si>
  <si>
    <t>D x 3412 x 2.5/1,000,000 (2.5 = site-to-source Conversion Factor)</t>
  </si>
  <si>
    <t>E/C</t>
  </si>
  <si>
    <t>G+E</t>
  </si>
  <si>
    <t>H/C</t>
  </si>
  <si>
    <t>Value</t>
  </si>
  <si>
    <t>Net Transfer Tables for the EE Programs Only (Quarterly and Annual Reports)</t>
  </si>
  <si>
    <t>Included Below is an example of Net Transfer Tables that Staff would like from the Utilities</t>
  </si>
  <si>
    <t>EE Programs Only</t>
  </si>
  <si>
    <t>Electric</t>
  </si>
  <si>
    <t>Gas</t>
  </si>
  <si>
    <t>JCPL Net Transfers</t>
  </si>
  <si>
    <t>Partner</t>
  </si>
  <si>
    <t>Net Transfer Dollars QTR</t>
  </si>
  <si>
    <t>Net Transfer Dollars YTD</t>
  </si>
  <si>
    <t>Net Transfer Savings Site kWh QTR</t>
  </si>
  <si>
    <t>Net Transfer Savings Site kWh YTD</t>
  </si>
  <si>
    <t>Net Transfer Savings Site Dth QTR</t>
  </si>
  <si>
    <t>Net Transfer Savings Site Dth YTD</t>
  </si>
  <si>
    <t>PSE&amp;G</t>
  </si>
  <si>
    <t>NJNG</t>
  </si>
  <si>
    <t>ETG</t>
  </si>
  <si>
    <t>ACE Net Transfers</t>
  </si>
  <si>
    <t>SJG</t>
  </si>
  <si>
    <t>RECO Net Transfers</t>
  </si>
  <si>
    <t>PSE&amp;G Net Transfers</t>
  </si>
  <si>
    <t>ACE</t>
  </si>
  <si>
    <t>JCPL</t>
  </si>
  <si>
    <t>RECO</t>
  </si>
  <si>
    <t>NJNG Net Transfers</t>
  </si>
  <si>
    <t>ETG Net Transfers</t>
  </si>
  <si>
    <t>SJG Net Transfers</t>
  </si>
  <si>
    <t>Program Year</t>
  </si>
  <si>
    <t/>
  </si>
  <si>
    <t>Program/Utility Information</t>
  </si>
  <si>
    <t>Participants Forecasted</t>
  </si>
  <si>
    <t>Participants QTR</t>
  </si>
  <si>
    <t>Participants YTD</t>
  </si>
  <si>
    <t>Budget &amp; Expenses Forecasted ($)</t>
  </si>
  <si>
    <t>Budget &amp; Expenses QTR ($)</t>
  </si>
  <si>
    <t>Budget &amp; Expenses YTD ($)</t>
  </si>
  <si>
    <t>On Bill Repayments ($000)</t>
  </si>
  <si>
    <t>Utility</t>
  </si>
  <si>
    <t>Program Cycle</t>
  </si>
  <si>
    <t>Forecasted Annual Participation Number</t>
  </si>
  <si>
    <t>Participation QTR</t>
  </si>
  <si>
    <t>OBC Participation QTR</t>
  </si>
  <si>
    <t>Participation YTD</t>
  </si>
  <si>
    <t xml:space="preserve">OBC Participation YTD </t>
  </si>
  <si>
    <t>Participation YTD SB</t>
  </si>
  <si>
    <t>Participation YTD LMI</t>
  </si>
  <si>
    <t>Forecasted Annual Retail Energy Savings (MWh) Annual Retail Electric Savings Forecasted</t>
  </si>
  <si>
    <t>Annual Retail Electric Energy  Savings
QTR</t>
  </si>
  <si>
    <t xml:space="preserve">Lifetime Retail Electric Energy Savings
QTR </t>
  </si>
  <si>
    <t xml:space="preserve">Annual Electric Energy  Savings
OBC QTR </t>
  </si>
  <si>
    <t>Lifetime Electric Energy Savings
OBC QTR</t>
  </si>
  <si>
    <t>Annual Retail Electric Energy  Savings
YTD</t>
  </si>
  <si>
    <t>Annual Wholesale Electric Energy  Savings YTD</t>
  </si>
  <si>
    <t>Lifetime Retail Electric Energy Savings
YTD</t>
  </si>
  <si>
    <t>Annual Electric Energy Savings OBC YTD</t>
  </si>
  <si>
    <t>Lifetime Electric Energy Savings
OBC YTD</t>
  </si>
  <si>
    <t>Annual Retail Energy Savings SB YTD</t>
  </si>
  <si>
    <t>Peak Demand Electric Energy  Savings YTD
(MW)</t>
  </si>
  <si>
    <t>Forecasted Annual Retail Gas Savings</t>
  </si>
  <si>
    <t>Annual Retail Gas Savings QTR</t>
  </si>
  <si>
    <t>Lifetime Retail Gas Savings QTR</t>
  </si>
  <si>
    <t>Annual Gas Savings OBC QTR</t>
  </si>
  <si>
    <t>Lifetime Gas Savings OBC QTR</t>
  </si>
  <si>
    <t>Annual Retail Gas Savings YTD</t>
  </si>
  <si>
    <t>Wholesale Gas Savings YTD</t>
  </si>
  <si>
    <t>Lifetime Retail Gas Savings YTD</t>
  </si>
  <si>
    <t>Annual Gas Savings OBC YTD</t>
  </si>
  <si>
    <t>Lifetime Gas Savings OBC YTD</t>
  </si>
  <si>
    <r>
      <rPr>
        <strike/>
        <sz val="11"/>
        <color theme="1"/>
        <rFont val="Calibri"/>
        <family val="2"/>
        <scheme val="minor"/>
      </rPr>
      <t xml:space="preserve"> </t>
    </r>
    <r>
      <rPr>
        <sz val="11"/>
        <color rgb="FFFF0000"/>
        <rFont val="Calibri"/>
        <family val="2"/>
        <scheme val="minor"/>
      </rPr>
      <t>Forecasted Annual Program Costs ($000)</t>
    </r>
  </si>
  <si>
    <t>Actual Expenditures  QTR</t>
  </si>
  <si>
    <t>T2 Expenditures for T1 Projects QTR</t>
  </si>
  <si>
    <t xml:space="preserve">Actual Expenditures  YTD </t>
  </si>
  <si>
    <t>T2 Expenditures for T1 Projects YTD</t>
  </si>
  <si>
    <t>Incentive Costs YTD</t>
  </si>
  <si>
    <t>Incentive Costs SB YTD</t>
  </si>
  <si>
    <t>Incentive Costs LMI YTD</t>
  </si>
  <si>
    <t>New Loans QTR (Program Count)</t>
  </si>
  <si>
    <t>New Loans YTD (Program Count)</t>
  </si>
  <si>
    <t>S-U01</t>
  </si>
  <si>
    <t>S-U02</t>
  </si>
  <si>
    <t>S-U03</t>
  </si>
  <si>
    <t>S-U04</t>
  </si>
  <si>
    <t>S-U05</t>
  </si>
  <si>
    <t>S-P01</t>
  </si>
  <si>
    <t>S-P02</t>
  </si>
  <si>
    <t>S-P03</t>
  </si>
  <si>
    <t>S-P04</t>
  </si>
  <si>
    <t>S-P05</t>
  </si>
  <si>
    <t>S-P06</t>
  </si>
  <si>
    <t>S-P07</t>
  </si>
  <si>
    <t>E-E01</t>
  </si>
  <si>
    <t>E-E02</t>
  </si>
  <si>
    <t>E-E03</t>
  </si>
  <si>
    <t>E-E04</t>
  </si>
  <si>
    <t>E-E05</t>
  </si>
  <si>
    <t>E-E06</t>
  </si>
  <si>
    <t>E-E07</t>
  </si>
  <si>
    <t>E-E08</t>
  </si>
  <si>
    <t>E-E09</t>
  </si>
  <si>
    <t>E-E10</t>
  </si>
  <si>
    <t>E-E11</t>
  </si>
  <si>
    <t>E-E12</t>
  </si>
  <si>
    <t>E-E13</t>
  </si>
  <si>
    <t>G-G01</t>
  </si>
  <si>
    <t>G-G02</t>
  </si>
  <si>
    <t>G-G03</t>
  </si>
  <si>
    <t>G-G04</t>
  </si>
  <si>
    <t>G-G05</t>
  </si>
  <si>
    <t>G-G06</t>
  </si>
  <si>
    <t>G-G07</t>
  </si>
  <si>
    <t>G-G08</t>
  </si>
  <si>
    <t>G-G09</t>
  </si>
  <si>
    <t>G-G10</t>
  </si>
  <si>
    <t>G-G11</t>
  </si>
  <si>
    <t>S-B01</t>
  </si>
  <si>
    <t>S-B02</t>
  </si>
  <si>
    <t>S-B03</t>
  </si>
  <si>
    <t>S-B04</t>
  </si>
  <si>
    <t>S-B05</t>
  </si>
  <si>
    <t>S-B06</t>
  </si>
  <si>
    <t>S-B07</t>
  </si>
  <si>
    <t>S-B08</t>
  </si>
  <si>
    <t>S-R01</t>
  </si>
  <si>
    <t>S-R02</t>
  </si>
  <si>
    <t>S-R03</t>
  </si>
  <si>
    <t>S-R04</t>
  </si>
  <si>
    <t>Tri 2</t>
  </si>
  <si>
    <t xml:space="preserve">Appliance Recycling </t>
  </si>
  <si>
    <t>Behavioral - Online Audits</t>
  </si>
  <si>
    <t>Commercial</t>
  </si>
  <si>
    <t xml:space="preserve">Direct Install </t>
  </si>
  <si>
    <t>Tri 1</t>
  </si>
  <si>
    <t>Efficient Products</t>
  </si>
  <si>
    <t>Lighting</t>
  </si>
  <si>
    <t>Existing Homes</t>
  </si>
  <si>
    <t>HPwES</t>
  </si>
  <si>
    <t>Home Energy Education &amp; Management</t>
  </si>
  <si>
    <t>Energy Solutions for Business</t>
  </si>
  <si>
    <t>Energy Management</t>
  </si>
  <si>
    <t xml:space="preserve">Pilot Program </t>
  </si>
  <si>
    <t>Home Optimization &amp; Peak Demand Reduction</t>
  </si>
  <si>
    <t xml:space="preserve"> Energy Savings Forecasted (Source MMBTU)</t>
  </si>
  <si>
    <t>Energy Savings QTR (Source MMBTU)</t>
  </si>
  <si>
    <t xml:space="preserve"> Energy Savings YTD (Source MMBTU)</t>
  </si>
  <si>
    <t>Forecasted Annual Retail Energy Savings (Source MMBTU)</t>
  </si>
  <si>
    <t>Annual Retail Energy  Savings
QTR</t>
  </si>
  <si>
    <t xml:space="preserve">Lifetime Retail Energy Savings
QTR </t>
  </si>
  <si>
    <t xml:space="preserve">Annual Energy  Savings
OBC QTR </t>
  </si>
  <si>
    <t>Lifetime Energy Savings
OBC QTR</t>
  </si>
  <si>
    <t>Annual Retail Energy  Savings
YTD</t>
  </si>
  <si>
    <t>Lifetime Retail Energy Savings
YTD</t>
  </si>
  <si>
    <t>Annual Energy Savings OBC YTD</t>
  </si>
  <si>
    <t>Lifetime Energy Savings
OBC YTD</t>
  </si>
  <si>
    <t>Annual Retail Energy  Savings
LMI YTD</t>
  </si>
  <si>
    <t>E-BD01</t>
  </si>
  <si>
    <t>E-BD02</t>
  </si>
  <si>
    <t>E-BD03</t>
  </si>
  <si>
    <t>E-BD04</t>
  </si>
  <si>
    <t>E-BD05</t>
  </si>
  <si>
    <t>E-BD06</t>
  </si>
  <si>
    <t>E-BD07</t>
  </si>
  <si>
    <t>E-BD08</t>
  </si>
  <si>
    <t>E-BD09</t>
  </si>
  <si>
    <t>E-BD10</t>
  </si>
  <si>
    <t>E-BD11</t>
  </si>
  <si>
    <t>* Site-to-Source conversion footnote forthcoming</t>
  </si>
  <si>
    <t>Reporting Period</t>
  </si>
  <si>
    <t>MMBtu per MWH</t>
  </si>
  <si>
    <t>Tons CO2 per MMBtu</t>
  </si>
  <si>
    <t>Carbon Dioxide Reductions (Metric Tons)</t>
  </si>
  <si>
    <t>MMBtu Saved</t>
  </si>
  <si>
    <t>Ratios and Metrics</t>
  </si>
  <si>
    <r>
      <t>Lifetime Electric CO</t>
    </r>
    <r>
      <rPr>
        <vertAlign val="subscript"/>
        <sz val="11"/>
        <rFont val="Calibri"/>
        <family val="2"/>
        <scheme val="minor"/>
      </rPr>
      <t>2</t>
    </r>
    <r>
      <rPr>
        <sz val="11"/>
        <rFont val="Calibri"/>
        <family val="2"/>
        <scheme val="minor"/>
      </rPr>
      <t xml:space="preserve"> Reduction QTR</t>
    </r>
  </si>
  <si>
    <r>
      <t>Lifetime Electric  CO</t>
    </r>
    <r>
      <rPr>
        <vertAlign val="subscript"/>
        <sz val="11"/>
        <rFont val="Calibri"/>
        <family val="2"/>
        <scheme val="minor"/>
      </rPr>
      <t>2</t>
    </r>
    <r>
      <rPr>
        <sz val="11"/>
        <rFont val="Calibri"/>
        <family val="2"/>
        <scheme val="minor"/>
      </rPr>
      <t xml:space="preserve"> Reduction YTD</t>
    </r>
  </si>
  <si>
    <r>
      <t>Lifetime Gas CO</t>
    </r>
    <r>
      <rPr>
        <vertAlign val="subscript"/>
        <sz val="11"/>
        <color rgb="FF000000"/>
        <rFont val="Calibri"/>
        <family val="2"/>
        <scheme val="minor"/>
      </rPr>
      <t>2</t>
    </r>
    <r>
      <rPr>
        <sz val="11"/>
        <color rgb="FF000000"/>
        <rFont val="Calibri"/>
        <family val="2"/>
        <scheme val="minor"/>
      </rPr>
      <t xml:space="preserve"> Reduction QTR</t>
    </r>
  </si>
  <si>
    <r>
      <t>Lifetime Gas  CO</t>
    </r>
    <r>
      <rPr>
        <vertAlign val="subscript"/>
        <sz val="11"/>
        <color rgb="FF000000"/>
        <rFont val="Calibri"/>
        <family val="2"/>
        <scheme val="minor"/>
      </rPr>
      <t>2</t>
    </r>
    <r>
      <rPr>
        <sz val="11"/>
        <color rgb="FF000000"/>
        <rFont val="Calibri"/>
        <family val="2"/>
        <scheme val="minor"/>
      </rPr>
      <t xml:space="preserve"> Reduction YTD</t>
    </r>
  </si>
  <si>
    <t>Annual Electric MMBTU Saved</t>
  </si>
  <si>
    <t>Lifetime Electric MMBTU Saved</t>
  </si>
  <si>
    <t>Annual Gas MMBTU Saved</t>
  </si>
  <si>
    <t>Lifetime Gas MMBTU Saved</t>
  </si>
  <si>
    <t>Annual MMBTU Saved</t>
  </si>
  <si>
    <t>Lifetime MMBTU Saved</t>
  </si>
  <si>
    <t>Participation Ratio (YTD vs Forecast)</t>
  </si>
  <si>
    <t>Savings Ratio Electric (YTD vs Forecast)</t>
  </si>
  <si>
    <t>Savings Ratio Gas (YTD vs Forecast)</t>
  </si>
  <si>
    <t>Dollars ($) Spent YTD Per Participant YTD</t>
  </si>
  <si>
    <t>Annual Electric Savings YTD (MWh) per Participant YTD</t>
  </si>
  <si>
    <t>Lifetime Electric Savings YTD (MWh) per Participant YTD</t>
  </si>
  <si>
    <t>Annual Gas Savings YTD (Dth) per Participant YTD</t>
  </si>
  <si>
    <t>Lifetime Gas Savings YTD (Dth) per Participant YTD</t>
  </si>
  <si>
    <t>Dollars ($) Spent YTD per Annual MWh Saved YTD</t>
  </si>
  <si>
    <t>Dollars ($) Spent YTD per Lifetime MWh Saved YTD</t>
  </si>
  <si>
    <t>E-C01</t>
  </si>
  <si>
    <t>E-C02</t>
  </si>
  <si>
    <t>G-C03</t>
  </si>
  <si>
    <t>G-C04</t>
  </si>
  <si>
    <t>E-M01</t>
  </si>
  <si>
    <t>E-M02</t>
  </si>
  <si>
    <t>G-M03</t>
  </si>
  <si>
    <t>G-M04</t>
  </si>
  <si>
    <t>S-M05</t>
  </si>
  <si>
    <t>S-M06</t>
  </si>
  <si>
    <t>S-Me01</t>
  </si>
  <si>
    <t>E-Me02</t>
  </si>
  <si>
    <t>G-Me03</t>
  </si>
  <si>
    <t>S-Me04</t>
  </si>
  <si>
    <t>E-Me05</t>
  </si>
  <si>
    <t>E-Me06</t>
  </si>
  <si>
    <t>G-Me07</t>
  </si>
  <si>
    <t>G-Me08</t>
  </si>
  <si>
    <t>S-Me09</t>
  </si>
  <si>
    <t>S-Me10</t>
  </si>
  <si>
    <t>S-Me11</t>
  </si>
  <si>
    <t>S-Me12</t>
  </si>
  <si>
    <t>AP D - Qtr Electric Business Q4</t>
  </si>
  <si>
    <t>FY-22Q4</t>
  </si>
  <si>
    <r>
      <t xml:space="preserve">Budget &amp; Expenses Forecasted </t>
    </r>
    <r>
      <rPr>
        <b/>
        <sz val="11"/>
        <color theme="1"/>
        <rFont val="Calibri"/>
        <family val="2"/>
        <scheme val="minor"/>
      </rPr>
      <t>($000)</t>
    </r>
  </si>
  <si>
    <r>
      <t xml:space="preserve">Budget &amp; Expenses QTR </t>
    </r>
    <r>
      <rPr>
        <b/>
        <sz val="11"/>
        <color theme="1"/>
        <rFont val="Calibri"/>
        <family val="2"/>
        <scheme val="minor"/>
      </rPr>
      <t>($000)</t>
    </r>
  </si>
  <si>
    <r>
      <t xml:space="preserve">Budget &amp; Expenses YTD </t>
    </r>
    <r>
      <rPr>
        <b/>
        <sz val="11"/>
        <color theme="1"/>
        <rFont val="Calibri"/>
        <family val="2"/>
        <scheme val="minor"/>
      </rPr>
      <t>($000)</t>
    </r>
  </si>
  <si>
    <t>Net Transfer ($000)</t>
  </si>
  <si>
    <t>Net Transfer (MMBTU)</t>
  </si>
  <si>
    <t>Energy Savings QTR (MWh)</t>
  </si>
  <si>
    <t>Energy Savings YTD (MWh)</t>
  </si>
  <si>
    <t>Participation Forecasted Annual</t>
  </si>
  <si>
    <t>Participation QTR OBC</t>
  </si>
  <si>
    <t>Participation YTD OBC</t>
  </si>
  <si>
    <t xml:space="preserve">Budget Forecasted Annual </t>
  </si>
  <si>
    <t>Program Costs QTR</t>
  </si>
  <si>
    <t xml:space="preserve">Program Costs YTD </t>
  </si>
  <si>
    <t>Incentive Costs YTD LMI</t>
  </si>
  <si>
    <t>Out Transfer Dollars QTR</t>
  </si>
  <si>
    <t>Out Transfer Dollars YTD</t>
  </si>
  <si>
    <t>In Transfer Dollars QTR</t>
  </si>
  <si>
    <t>In Transfer Dollars YTD</t>
  </si>
  <si>
    <t>Pending (Out Transfers Outstanding)</t>
  </si>
  <si>
    <t>Net Transfer Savings Gas QTR</t>
  </si>
  <si>
    <t>Net Transfer Savings Gas YTD</t>
  </si>
  <si>
    <t>Loan Principal Outstanding</t>
  </si>
  <si>
    <t>Loan Weighted Average Remaining Term</t>
  </si>
  <si>
    <t xml:space="preserve">Loan Operating Income QTR </t>
  </si>
  <si>
    <t>Loan Operating Income YTD</t>
  </si>
  <si>
    <t>Delinquent Balance</t>
  </si>
  <si>
    <t>Arrearages Rate</t>
  </si>
  <si>
    <t>New Loans QTR (Program)</t>
  </si>
  <si>
    <t>New Loans YTD (Program)</t>
  </si>
  <si>
    <t>Annual Retail Electric Savings Forecasted</t>
  </si>
  <si>
    <t>Annual Retail Electric Savings
QTR</t>
  </si>
  <si>
    <t>Wholesale Electric Savings QTR</t>
  </si>
  <si>
    <t xml:space="preserve">Lifetime Retail Electric Savings
QTR </t>
  </si>
  <si>
    <t xml:space="preserve">Annual Electric Savings
OBC QTR </t>
  </si>
  <si>
    <t>Lifetime Electric Savings
OBC QTR</t>
  </si>
  <si>
    <t>Annual Retail Electric Savings
YTD</t>
  </si>
  <si>
    <t>Lifetime Retail Electric Savings
YTD</t>
  </si>
  <si>
    <t>Annual Electric Savings OBC YTD</t>
  </si>
  <si>
    <t>Lifetime Electric Savings
OBC YTD</t>
  </si>
  <si>
    <t>Annual Retail Electric Savings
LMI YTD</t>
  </si>
  <si>
    <t>Peak Demand Electric Savings YTD
(MW)</t>
  </si>
  <si>
    <t>Table 6 is potentially problematic for bringing into a single table as are Appendix D+E</t>
  </si>
  <si>
    <t>Utilizing a locked table structure and only allowing edits in this table and tables with unrelated core information will solve this small hiccup</t>
  </si>
  <si>
    <t>S-N01</t>
  </si>
  <si>
    <t>S-N02</t>
  </si>
  <si>
    <t>S-N03</t>
  </si>
  <si>
    <t>S-N04</t>
  </si>
  <si>
    <t>S-N05</t>
  </si>
  <si>
    <t>S-N06</t>
  </si>
  <si>
    <t>S-N07</t>
  </si>
  <si>
    <t>S-R05</t>
  </si>
  <si>
    <t>S-R06</t>
  </si>
  <si>
    <t>S-R07</t>
  </si>
  <si>
    <t>S-R08</t>
  </si>
  <si>
    <t>S-E01</t>
  </si>
  <si>
    <t>S-E02</t>
  </si>
  <si>
    <t>S-E03</t>
  </si>
  <si>
    <t>S-E04</t>
  </si>
  <si>
    <t>S-E05</t>
  </si>
  <si>
    <t>S-E06</t>
  </si>
  <si>
    <t>S-E07</t>
  </si>
  <si>
    <t>S-E08</t>
  </si>
  <si>
    <t>S-E09</t>
  </si>
  <si>
    <t>S-E10</t>
  </si>
  <si>
    <t>S-E11</t>
  </si>
  <si>
    <t>S-E12</t>
  </si>
  <si>
    <t>HVAC*</t>
  </si>
  <si>
    <t>Note That these three sections (Net Transfer, Savings Transferred and OBR) are placeholders, contingent of Utility discussions.</t>
  </si>
  <si>
    <t>Appliance Rebates*</t>
  </si>
  <si>
    <t>Appliance Recycling*</t>
  </si>
  <si>
    <t>Energy Efficient Kits3</t>
  </si>
  <si>
    <t>Online Marketplace*</t>
  </si>
  <si>
    <r>
      <t>Behavioral - Home Energy Reports</t>
    </r>
    <r>
      <rPr>
        <vertAlign val="superscript"/>
        <sz val="11"/>
        <color theme="1"/>
        <rFont val="Calibri"/>
        <family val="2"/>
        <scheme val="minor"/>
      </rPr>
      <t>3</t>
    </r>
  </si>
  <si>
    <t>Budget &amp; Expenses Forecasted ($000)</t>
  </si>
  <si>
    <t>Budget &amp; Expenses QTR ($000)</t>
  </si>
  <si>
    <t>Budget &amp; Expenses YTD ($000)</t>
  </si>
  <si>
    <t>Energy Savings Forecasted (MWh)</t>
  </si>
  <si>
    <t>Loan Outstanding</t>
  </si>
  <si>
    <t xml:space="preserve">Loan Maintenance QTR </t>
  </si>
  <si>
    <t>Loan Maintenance YTD</t>
  </si>
  <si>
    <t>Behavioral - Home Energy Reports3</t>
  </si>
  <si>
    <t>MMBTU Saved</t>
  </si>
  <si>
    <t>Lifetime Combined MMBTU Saved</t>
  </si>
  <si>
    <t>S-C01</t>
  </si>
  <si>
    <t>S-C02</t>
  </si>
  <si>
    <t>S-M01</t>
  </si>
  <si>
    <t>S-M02</t>
  </si>
  <si>
    <t>S-M03</t>
  </si>
  <si>
    <t>S-M04</t>
  </si>
  <si>
    <t>Taken From Table 6, Attachment B of BPU DOCKET NOS. QO1901040, 
QO23030150, &amp; QO17091004. Transformed to Metric Tons.</t>
  </si>
  <si>
    <t>Year</t>
  </si>
  <si>
    <t>Emissions De-escalation Factor</t>
  </si>
  <si>
    <t>CO2 in Metric Tons</t>
  </si>
  <si>
    <t>Factor presumed constant beyond this point</t>
  </si>
  <si>
    <t>Sheet Name</t>
  </si>
  <si>
    <t>Purpose</t>
  </si>
  <si>
    <t>IMS Linked</t>
  </si>
  <si>
    <t>Annual v. Quarter v. Triennium</t>
  </si>
  <si>
    <t>Table 1</t>
  </si>
  <si>
    <t>Savings Percentage Table Versus Projected</t>
  </si>
  <si>
    <t>Y</t>
  </si>
  <si>
    <t>Annual</t>
  </si>
  <si>
    <t>Various Reporting Tables</t>
  </si>
  <si>
    <t>Y, Majority (N, T6)</t>
  </si>
  <si>
    <t>Table 7</t>
  </si>
  <si>
    <t>OBC and equity table</t>
  </si>
  <si>
    <t>Y, Majority</t>
  </si>
  <si>
    <t>Quarter Majority, 7a is Triennium</t>
  </si>
  <si>
    <t>Table 8</t>
  </si>
  <si>
    <t>Annual Cost Tests</t>
  </si>
  <si>
    <t>Appendix A</t>
  </si>
  <si>
    <t>Particpant Definitions</t>
  </si>
  <si>
    <t>Triennium</t>
  </si>
  <si>
    <t>Appendix B</t>
  </si>
  <si>
    <t>QTR Electric Master for Reports</t>
  </si>
  <si>
    <t>Appendix C</t>
  </si>
  <si>
    <t>LMI versus non-LMI participation</t>
  </si>
  <si>
    <t>Appendix D</t>
  </si>
  <si>
    <t>Small Business versus Large Business Participation and savings</t>
  </si>
  <si>
    <t>Appendix E</t>
  </si>
  <si>
    <t>Sales and Energy Efficiency Targets</t>
  </si>
  <si>
    <t>Appendix F</t>
  </si>
  <si>
    <t>Annual report on the number of Heat pump installations in accordance with EO 316</t>
  </si>
  <si>
    <t>Cost Test</t>
  </si>
  <si>
    <t>Appendix H</t>
  </si>
  <si>
    <t>Programmatic Changes (Qualitative updates)</t>
  </si>
  <si>
    <t>As Needed</t>
  </si>
  <si>
    <t>Appendix I</t>
  </si>
  <si>
    <t>QPI Reporting</t>
  </si>
  <si>
    <t>Program Manager</t>
  </si>
  <si>
    <t>Appendix J</t>
  </si>
  <si>
    <t>Net Transfers</t>
  </si>
  <si>
    <t>Central IMS tab</t>
  </si>
  <si>
    <t>H_Factors</t>
  </si>
  <si>
    <t>MWH Carbon emission factors from the T2 Board order</t>
  </si>
  <si>
    <t>PSEG</t>
  </si>
  <si>
    <t>Overall, data reported every quarter is sourced form the IMS tab, while annual and Triennium Reports do not.</t>
  </si>
  <si>
    <t>Reporting Quarter &amp; Year</t>
  </si>
  <si>
    <t>FY22-Q1</t>
  </si>
  <si>
    <t>FY22-Q2</t>
  </si>
  <si>
    <t>FY22-Q3</t>
  </si>
  <si>
    <t>FY22-Q4</t>
  </si>
  <si>
    <t>FY23-Q1</t>
  </si>
  <si>
    <t>FY23-Q2</t>
  </si>
  <si>
    <t>FY23-Q3</t>
  </si>
  <si>
    <t>FY23-Q4</t>
  </si>
  <si>
    <t>FY24-Q1</t>
  </si>
  <si>
    <t>FY24-Q2</t>
  </si>
  <si>
    <t>FY24-Q3</t>
  </si>
  <si>
    <t>FY24-Q4</t>
  </si>
  <si>
    <t>Triennium 2 Quarter Participants</t>
  </si>
  <si>
    <t>Total Quarter Participants</t>
  </si>
  <si>
    <t>Triennium 2 YTD Participants</t>
  </si>
  <si>
    <t>Total YTD Participants</t>
  </si>
  <si>
    <t>Triennium 2 Quarter Expenditures ($000)</t>
  </si>
  <si>
    <t>Total Quarter Expenditures ($000)</t>
  </si>
  <si>
    <t>Total YTD  Expenditures ($000)</t>
  </si>
  <si>
    <t xml:space="preserve"> Triennium 2 Quarter Retail (MWh)</t>
  </si>
  <si>
    <t xml:space="preserve"> Total Quarter Retail (MWh)</t>
  </si>
  <si>
    <t>Triennium 2 YTD Retail (MWh)</t>
  </si>
  <si>
    <t>Total YTD Retail (MWh)</t>
  </si>
  <si>
    <t>Table 7 – Triennium 2 Equity Performance (Quarterly and Annual Report)</t>
  </si>
  <si>
    <t>Triennium 2 YTD Program Costs in Support of Tri 1($000)</t>
  </si>
  <si>
    <t>Subtotal Whole Home</t>
  </si>
  <si>
    <t>M</t>
  </si>
  <si>
    <t>R</t>
  </si>
  <si>
    <t>YTD Wholesale Energy Savings (MWh)6</t>
  </si>
  <si>
    <t>Triennium 2 YTD  Expenditures ($000)</t>
  </si>
  <si>
    <t>Dollars ($) Spent YTD per Annual MMBtu Saved YTD</t>
  </si>
  <si>
    <t>Dollars ($) Spent YTD per Lifetime MMBtu Saved YTD</t>
  </si>
  <si>
    <t>Triennium 2 Quarter Program Costs for Projects Approved in Tri 1 ($000)</t>
  </si>
  <si>
    <t>Additional excluding Building Decarbonization*</t>
  </si>
  <si>
    <t>*May include CVR savings if applicable</t>
  </si>
  <si>
    <t>Forecasted Participants</t>
  </si>
  <si>
    <t>Forecasted Net Realized Site Electric Savings (MWh)</t>
  </si>
  <si>
    <t>Net Realized Site Electric Savings QTR (MWh)</t>
  </si>
  <si>
    <t>Net Realized Site Electric Savings YTD (MWh/MW)</t>
  </si>
  <si>
    <t>Forecasted Net Realized Site Gas Savings (DTh)</t>
  </si>
  <si>
    <t>Net Realized Site Gas Savings QTR (DTh)</t>
  </si>
  <si>
    <t>Net Realized Site Gas Savings YTD (DTh)</t>
  </si>
  <si>
    <t>Participants Previously Approved in Triennium 1, Quarter*</t>
  </si>
  <si>
    <t>Participants Previously Approved in Triennium 1, YTD*</t>
  </si>
  <si>
    <t>Previously Approved Triennium 1 Quarter Retail (MWh)</t>
  </si>
  <si>
    <t>Previously Approved Triennium 1 YTD Retail (MWh)</t>
  </si>
  <si>
    <t>Table 6 – Expenses and Budget by Category</t>
  </si>
  <si>
    <t>G-G12</t>
  </si>
  <si>
    <t>Annual Retail Gas Savings SB YTD</t>
  </si>
  <si>
    <t>Utility Total plus BD</t>
  </si>
  <si>
    <t>Table 3b – Participation Including Building Decarbonization</t>
  </si>
  <si>
    <t>Table 4b – Expenditures Including Building Decarbonization</t>
  </si>
  <si>
    <r>
      <rPr>
        <strike/>
        <sz val="11"/>
        <color theme="1"/>
        <rFont val="Calibri"/>
        <family val="2"/>
        <scheme val="minor"/>
      </rPr>
      <t xml:space="preserve"> </t>
    </r>
    <r>
      <rPr>
        <sz val="11"/>
        <color rgb="FFFF0000"/>
        <rFont val="Calibri"/>
        <family val="2"/>
        <scheme val="minor"/>
      </rPr>
      <t>Forecasted Annual Program Costs ($)</t>
    </r>
  </si>
  <si>
    <t>On Bill Repayments</t>
  </si>
  <si>
    <t>Appendix G</t>
  </si>
  <si>
    <t>Tables 3-6</t>
  </si>
  <si>
    <t>Tables 2</t>
  </si>
  <si>
    <t>Quantitative Performance Indicators</t>
  </si>
  <si>
    <t>*Some participants approved in Triennium 1 were involved in long term projects that did not complete until Triennium 2; these participants are captured here to reflect total energy efficiency participants with completed projects in the given quarter.</t>
  </si>
  <si>
    <t>QPI Verification</t>
  </si>
  <si>
    <t>Participation YTD LMI &amp; OBC</t>
  </si>
  <si>
    <t>Delayed Until Q2</t>
  </si>
  <si>
    <t>Incentive Costs LMI &amp; OBC YTD</t>
  </si>
  <si>
    <t>Annual Retail Gas Savings LMI &amp; OBC YTD</t>
  </si>
  <si>
    <t>Annual Retail Electric Energy  Savings
LMI &amp; OBC YTD</t>
  </si>
  <si>
    <t>BPU confirmed 4.14.25: All utilities will report as LMI/OBC. Delayed PY25 Q2 report</t>
  </si>
  <si>
    <t>Appendix C - Energy Efficiency and PDR Savings Summary - LMI/OBC</t>
  </si>
  <si>
    <t>J=(I+G)/H</t>
  </si>
  <si>
    <t>O</t>
  </si>
  <si>
    <t>N=M/L</t>
  </si>
  <si>
    <t>K</t>
  </si>
  <si>
    <t>Incentive Expenditures (Customer Rebates)</t>
  </si>
  <si>
    <t>Added 4-17</t>
  </si>
  <si>
    <t>PY-4-Q1</t>
  </si>
  <si>
    <t>Lifetime Energy Savings - Electric (MWh)</t>
  </si>
  <si>
    <t xml:space="preserve"> Annual Energy Savings - Electric (MWh)</t>
  </si>
  <si>
    <t>Quarter Annual Retail Energy Savings (DTh)</t>
  </si>
  <si>
    <t>Annual Forecasted Retail Energy Savings (DTh)</t>
  </si>
  <si>
    <t>YTD Annual Retail Energy Savings  (DTh)</t>
  </si>
  <si>
    <t>YTD Wholesale Energy Savings (DTh)6</t>
  </si>
  <si>
    <t>YTD Peak Demand Savings (DTh)</t>
  </si>
  <si>
    <t>Quarter Lifetime Retail Energy Savings (DTh)</t>
  </si>
  <si>
    <t>YTD Lifetime Retail Energy Savings (DTh)</t>
  </si>
  <si>
    <t>Reported Annual Retail Energy Savings YTD (DTh)</t>
  </si>
  <si>
    <t>Reported Annual Retail Energy Savings YTD  (DTh)</t>
  </si>
  <si>
    <t>YTD Negative Interactive Effects from Savings (DTh)</t>
  </si>
  <si>
    <t>Natural Gas</t>
  </si>
  <si>
    <t>Previously Approved Triennium 1 Quarter Retail (DTh)</t>
  </si>
  <si>
    <t xml:space="preserve"> Triennium 2 Quarter Retail (DTh)</t>
  </si>
  <si>
    <t xml:space="preserve"> Total Quarter Retail (DTh)</t>
  </si>
  <si>
    <t>Previously Approved Triennium 1 YTD Retail (DTh)</t>
  </si>
  <si>
    <t>Triennium 2 YTD Retail (DTh)</t>
  </si>
  <si>
    <t>Total YTD Retail (DTh)</t>
  </si>
  <si>
    <t>Annual Target Retail Savings (DTh)</t>
  </si>
  <si>
    <t>YTD Negative Interactive Effects from Savings (MWh)</t>
  </si>
  <si>
    <t>Table 1 – Natural Gas Savings (Quarterly and Annual Report)</t>
  </si>
  <si>
    <t>Tri 1 - Utility-Administered Retail Savings1,2
(DTh)</t>
  </si>
  <si>
    <t>Tri 2 - Utility-Administered Retail Savings1,2
(DTh)</t>
  </si>
  <si>
    <t>Comfort Partners Retail Savings  (DTh)1,2</t>
  </si>
  <si>
    <t>Additional Programs Retail savings  (DTh)2,4</t>
  </si>
  <si>
    <t>Total Portfolio Retail Savings
(DTh)1,2,5</t>
  </si>
  <si>
    <t>Compliance Baseline  (DTh)3</t>
  </si>
  <si>
    <t>Annual Target 
(DTh)</t>
  </si>
  <si>
    <t xml:space="preserve"> Annual Energy Savings - Gas (DTh)</t>
  </si>
  <si>
    <t>Lifetime Energy Savings - Gas (DTh)</t>
  </si>
  <si>
    <t>S</t>
  </si>
  <si>
    <t>T</t>
  </si>
  <si>
    <t>U</t>
  </si>
  <si>
    <t>V=M/L</t>
  </si>
  <si>
    <t>Appliance Markdown</t>
  </si>
  <si>
    <t>Midstream Lighting</t>
  </si>
  <si>
    <t>Midstream HVAC</t>
  </si>
  <si>
    <t>Demand Response</t>
  </si>
  <si>
    <t>BYOD</t>
  </si>
  <si>
    <t>CSRP</t>
  </si>
  <si>
    <t>Clean Heat Electrification</t>
  </si>
  <si>
    <t>RECO_BD</t>
  </si>
  <si>
    <t>Subtotal Income Qualified</t>
  </si>
  <si>
    <r>
      <rPr>
        <vertAlign val="superscript"/>
        <sz val="11"/>
        <rFont val="Calibri"/>
        <family val="2"/>
        <scheme val="minor"/>
      </rPr>
      <t>1</t>
    </r>
    <r>
      <rPr>
        <sz val="11"/>
        <rFont val="Calibri"/>
        <family val="2"/>
        <scheme val="minor"/>
      </rPr>
      <t xml:space="preserve"> Subprograms provide relevant forecasts as included in the Company's approved EE/PDR Plans. Program delivery elements listed as offerings were not forecast in the Company's EEPDR Plan and are for informational purposes only.</t>
    </r>
  </si>
  <si>
    <r>
      <rPr>
        <vertAlign val="superscript"/>
        <sz val="11"/>
        <rFont val="Calibri"/>
        <family val="2"/>
        <scheme val="minor"/>
      </rPr>
      <t>2</t>
    </r>
    <r>
      <rPr>
        <sz val="11"/>
        <rFont val="Calibri"/>
        <family val="2"/>
        <scheme val="minor"/>
      </rPr>
      <t xml:space="preserve"> Annual Forecasted Program Costs reflect values anticipated in Board-approved Utility EE/PDR proposals and may incorporate budget adjustments as provided for in the May 24, 2023 Board Order.</t>
    </r>
  </si>
  <si>
    <r>
      <rPr>
        <vertAlign val="superscript"/>
        <sz val="11"/>
        <color theme="1"/>
        <rFont val="Calibri"/>
        <family val="2"/>
        <scheme val="minor"/>
      </rPr>
      <t xml:space="preserve">4 </t>
    </r>
    <r>
      <rPr>
        <sz val="11"/>
        <color theme="1"/>
        <rFont val="Calibri"/>
        <family val="2"/>
        <scheme val="minor"/>
      </rPr>
      <t>Please note RECO's EEPDR filing did not include supportive costs outside of portfolio</t>
    </r>
  </si>
  <si>
    <r>
      <rPr>
        <vertAlign val="superscript"/>
        <sz val="12"/>
        <color theme="1"/>
        <rFont val="Calibri"/>
        <family val="2"/>
        <scheme val="minor"/>
      </rPr>
      <t>6</t>
    </r>
    <r>
      <rPr>
        <sz val="12"/>
        <color theme="1"/>
        <rFont val="Calibri"/>
        <family val="2"/>
        <scheme val="minor"/>
      </rPr>
      <t>Wholesale savings at the gross wholesale level include retail savings plus marginal line losses, using approved line loss factor in utility’s tariff grossed up by 3.45%, per the Avoided Cost Methodology in the NJ Cost Test .</t>
    </r>
  </si>
  <si>
    <t>Subtotal Prescriptive/Custom</t>
  </si>
  <si>
    <t>For Period Ending Q1 PY25</t>
  </si>
  <si>
    <r>
      <rPr>
        <vertAlign val="superscript"/>
        <sz val="10"/>
        <color theme="1"/>
        <rFont val="Calibri"/>
        <family val="2"/>
        <scheme val="minor"/>
      </rPr>
      <t>3</t>
    </r>
    <r>
      <rPr>
        <sz val="10"/>
        <color theme="1"/>
        <rFont val="Calibri"/>
        <family val="2"/>
        <scheme val="minor"/>
      </rPr>
      <t>Incentives include rebates and interest-rate buydown fees.</t>
    </r>
    <r>
      <rPr>
        <vertAlign val="superscript"/>
        <sz val="10"/>
        <color theme="1"/>
        <rFont val="Calibri"/>
        <family val="2"/>
        <scheme val="minor"/>
      </rPr>
      <t xml:space="preserve">  </t>
    </r>
    <r>
      <rPr>
        <sz val="10"/>
        <color theme="1"/>
        <rFont val="Calibri"/>
        <family val="2"/>
        <scheme val="minor"/>
      </rPr>
      <t>LMI v. Non LMI incentive costs in certain instances may be estimated or may differ slightly from portfolio results as listed in table 6 due to the recognition of accrued financials at the time of reporting.</t>
    </r>
  </si>
  <si>
    <r>
      <rPr>
        <vertAlign val="superscript"/>
        <sz val="10"/>
        <color theme="1"/>
        <rFont val="Calibri"/>
        <family val="2"/>
        <scheme val="minor"/>
      </rPr>
      <t>3</t>
    </r>
    <r>
      <rPr>
        <sz val="10"/>
        <color theme="1"/>
        <rFont val="Calibri"/>
        <family val="2"/>
        <scheme val="minor"/>
      </rPr>
      <t>Incentives include rebates and interest-rate buydown fees.</t>
    </r>
    <r>
      <rPr>
        <vertAlign val="superscript"/>
        <sz val="10"/>
        <color theme="1"/>
        <rFont val="Calibri"/>
        <family val="2"/>
        <scheme val="minor"/>
      </rPr>
      <t xml:space="preserve">  </t>
    </r>
    <r>
      <rPr>
        <sz val="10"/>
        <color theme="1"/>
        <rFont val="Calibri"/>
        <family val="2"/>
        <scheme val="minor"/>
      </rPr>
      <t>Small Comm v. Large Comm incentive costs in certain instances may be estimated or may differ slightly from portfolio results as listed in table 6 due to the recognition of accrued financials at the time of reporting.</t>
    </r>
  </si>
  <si>
    <t>Peak Demand Response</t>
  </si>
  <si>
    <t>*Includes DR Program spending.</t>
  </si>
  <si>
    <r>
      <t>2</t>
    </r>
    <r>
      <rPr>
        <sz val="9"/>
        <color theme="1"/>
        <rFont val="Times New Roman"/>
        <family val="1"/>
      </rPr>
      <t xml:space="preserve"> Encompasses all net realized savings for the Plan Year, including prior period adjustments.</t>
    </r>
  </si>
  <si>
    <t>Clean Heat Beneficial Electrification</t>
  </si>
  <si>
    <t>Other</t>
  </si>
  <si>
    <t>Additional Utility-Led Programs</t>
  </si>
  <si>
    <t>BYOD, CSRP</t>
  </si>
  <si>
    <t>Joint Utility Operated Programs</t>
  </si>
  <si>
    <t>**Excludes Portfolio Support Costs and all Tri1-Runout expenses.</t>
  </si>
  <si>
    <t>**Includes Portfolio Support Costs. Excludes Comfort Partners costs and all Tri1-Runout expenses.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</si>
</sst>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8" formatCode="&quot;$&quot;#,##0.00_);[Red]\(&quot;$&quot;#,##0.00\)"/>
    <numFmt numFmtId="44" formatCode="_(&quot;$&quot;* #,##0.00_);_(&quot;$&quot;* \(#,##0.00\);_(&quot;$&quot;* &quot;-&quot;??_);_(@_)"/>
    <numFmt numFmtId="43" formatCode="_(* #,##0.00_);_(* \(#,##0.00\);_(* &quot;-&quot;??_);_(@_)"/>
    <numFmt numFmtId="164" formatCode="_(* #,##0_);_(* \(#,##0\);_(* &quot;-&quot;??_);_(@_)"/>
    <numFmt numFmtId="165" formatCode="_(* #,##0.0_);_(* \(#,##0.0\);_(* &quot;-&quot;??_);_(@_)"/>
    <numFmt numFmtId="166" formatCode="_(&quot;$&quot;* #,##0,_);_(&quot;$&quot;* \(#,##0\);_(&quot;$&quot;* &quot;-&quot;_);_(@_)"/>
    <numFmt numFmtId="167" formatCode="_(&quot;$&quot;* #,##0_);_(&quot;$&quot;* \(#,##0\);_(&quot;$&quot;* &quot;-&quot;??_);_(@_)"/>
    <numFmt numFmtId="168" formatCode="0.000"/>
    <numFmt numFmtId="169" formatCode="0.0"/>
    <numFmt numFmtId="170" formatCode="&quot;$&quot;#,##0.00"/>
    <numFmt numFmtId="171" formatCode="_(* #,##0_);_(* \(#,##0\);_(* &quot;-&quot;???_);_(@_)"/>
    <numFmt numFmtId="172" formatCode="0.0%"/>
    <numFmt numFmtId="173" formatCode="#,##0.0"/>
    <numFmt numFmtId="174" formatCode="0.0000"/>
    <numFmt numFmtId="175" formatCode="_(* #,##0.000_);_(* \(#,##0.000\);_(* &quot;-&quot;??_);_(@_)"/>
    <numFmt numFmtId="176" formatCode="#,##0.000"/>
  </numFmts>
  <fonts count="95">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9"/>
      <color indexed="9"/>
      <name val="Calibri"/>
      <family val="2"/>
      <scheme val="minor"/>
    </font>
    <font>
      <sz val="9"/>
      <color indexed="9"/>
      <name val="Calibri"/>
      <family val="2"/>
      <scheme val="minor"/>
    </font>
    <font>
      <vertAlign val="superscript"/>
      <sz val="9"/>
      <color rgb="FFFFFFFF"/>
      <name val="Calibri"/>
      <family val="2"/>
      <scheme val="minor"/>
    </font>
    <font>
      <vertAlign val="superscript"/>
      <sz val="11"/>
      <color theme="1"/>
      <name val="Calibri"/>
      <family val="2"/>
      <scheme val="minor"/>
    </font>
    <font>
      <sz val="11"/>
      <name val="Calibri"/>
      <family val="2"/>
      <scheme val="minor"/>
    </font>
    <font>
      <vertAlign val="superscript"/>
      <sz val="11"/>
      <name val="Calibri"/>
      <family val="2"/>
      <scheme val="minor"/>
    </font>
    <font>
      <sz val="10"/>
      <color theme="1"/>
      <name val="Calibri"/>
      <family val="2"/>
      <scheme val="minor"/>
    </font>
    <font>
      <b/>
      <sz val="10"/>
      <color theme="1"/>
      <name val="Calibri"/>
      <family val="2"/>
      <scheme val="minor"/>
    </font>
    <font>
      <b/>
      <sz val="10"/>
      <color indexed="9"/>
      <name val="Calibri"/>
      <family val="2"/>
      <scheme val="minor"/>
    </font>
    <font>
      <sz val="10"/>
      <color indexed="9"/>
      <name val="Calibri"/>
      <family val="2"/>
      <scheme val="minor"/>
    </font>
    <font>
      <vertAlign val="superscript"/>
      <sz val="10"/>
      <color theme="1"/>
      <name val="Calibri"/>
      <family val="2"/>
      <scheme val="minor"/>
    </font>
    <font>
      <vertAlign val="superscript"/>
      <sz val="10"/>
      <name val="Calibri"/>
      <family val="2"/>
      <scheme val="minor"/>
    </font>
    <font>
      <sz val="10"/>
      <color rgb="FFFF0000"/>
      <name val="Calibri"/>
      <family val="2"/>
      <scheme val="minor"/>
    </font>
    <font>
      <b/>
      <vertAlign val="superscript"/>
      <sz val="10"/>
      <color theme="1"/>
      <name val="Calibri"/>
      <family val="2"/>
      <scheme val="minor"/>
    </font>
    <font>
      <sz val="10"/>
      <name val="Calibri"/>
      <family val="2"/>
      <scheme val="minor"/>
    </font>
    <font>
      <b/>
      <vertAlign val="superscript"/>
      <sz val="10"/>
      <color rgb="FFFFFFFF"/>
      <name val="Calibri"/>
      <family val="2"/>
      <scheme val="minor"/>
    </font>
    <font>
      <sz val="11"/>
      <name val="Arial Black"/>
      <family val="2"/>
    </font>
    <font>
      <b/>
      <sz val="12"/>
      <color indexed="9"/>
      <name val="Times New Roman"/>
      <family val="1"/>
    </font>
    <font>
      <sz val="12"/>
      <name val="Times New Roman"/>
      <family val="1"/>
    </font>
    <font>
      <b/>
      <sz val="12"/>
      <name val="Times New Roman"/>
      <family val="1"/>
    </font>
    <font>
      <sz val="12"/>
      <color rgb="FF000000"/>
      <name val="Times New Roman"/>
      <family val="1"/>
    </font>
    <font>
      <sz val="11"/>
      <color theme="1"/>
      <name val="Arial"/>
      <family val="2"/>
    </font>
    <font>
      <b/>
      <sz val="12"/>
      <color theme="1"/>
      <name val="Times New Roman"/>
      <family val="1"/>
    </font>
    <font>
      <vertAlign val="superscript"/>
      <sz val="9"/>
      <color theme="1"/>
      <name val="Times New Roman"/>
      <family val="1"/>
    </font>
    <font>
      <sz val="9"/>
      <color theme="1"/>
      <name val="Times New Roman"/>
      <family val="1"/>
    </font>
    <font>
      <b/>
      <sz val="10"/>
      <color theme="0"/>
      <name val="Calibri"/>
      <family val="2"/>
      <scheme val="minor"/>
    </font>
    <font>
      <vertAlign val="superscript"/>
      <sz val="10"/>
      <color theme="0"/>
      <name val="Calibri"/>
      <family val="2"/>
      <scheme val="minor"/>
    </font>
    <font>
      <sz val="12"/>
      <color theme="1"/>
      <name val="Calibri"/>
      <family val="2"/>
      <scheme val="minor"/>
    </font>
    <font>
      <b/>
      <sz val="18"/>
      <color theme="1"/>
      <name val="Times New Roman"/>
      <family val="1"/>
    </font>
    <font>
      <b/>
      <vertAlign val="superscript"/>
      <sz val="11"/>
      <color theme="1"/>
      <name val="Calibri"/>
      <family val="2"/>
      <scheme val="minor"/>
    </font>
    <font>
      <sz val="11"/>
      <color theme="0"/>
      <name val="Calibri"/>
      <family val="2"/>
      <scheme val="minor"/>
    </font>
    <font>
      <sz val="10"/>
      <name val="Arial"/>
      <family val="2"/>
    </font>
    <font>
      <b/>
      <sz val="10"/>
      <name val="Arial"/>
      <family val="2"/>
    </font>
    <font>
      <vertAlign val="subscript"/>
      <sz val="11"/>
      <name val="Calibri"/>
      <family val="2"/>
      <scheme val="minor"/>
    </font>
    <font>
      <u/>
      <sz val="11"/>
      <color theme="10"/>
      <name val="Calibri"/>
      <family val="2"/>
      <scheme val="minor"/>
    </font>
    <font>
      <sz val="11"/>
      <color theme="1"/>
      <name val="Times New Roman"/>
      <family val="1"/>
    </font>
    <font>
      <sz val="9"/>
      <color rgb="FF000000"/>
      <name val="Times New Roman"/>
      <family val="1"/>
    </font>
    <font>
      <b/>
      <sz val="10"/>
      <color rgb="FF000000"/>
      <name val="Times New Roman"/>
      <family val="1"/>
    </font>
    <font>
      <sz val="10"/>
      <color theme="1"/>
      <name val="Times New Roman"/>
      <family val="1"/>
    </font>
    <font>
      <sz val="10"/>
      <color rgb="FF000000"/>
      <name val="Times New Roman"/>
      <family val="1"/>
    </font>
    <font>
      <vertAlign val="superscript"/>
      <sz val="10"/>
      <color theme="1"/>
      <name val="Times New Roman"/>
      <family val="1"/>
    </font>
    <font>
      <b/>
      <sz val="10"/>
      <color theme="1"/>
      <name val="Times New Roman"/>
      <family val="1"/>
    </font>
    <font>
      <b/>
      <vertAlign val="superscript"/>
      <sz val="10"/>
      <color theme="1"/>
      <name val="Times New Roman"/>
      <family val="1"/>
    </font>
    <font>
      <sz val="11"/>
      <color rgb="FF000000"/>
      <name val="Times New Roman"/>
      <family val="1"/>
    </font>
    <font>
      <vertAlign val="superscript"/>
      <sz val="9"/>
      <color rgb="FF000000"/>
      <name val="Times New Roman"/>
      <family val="1"/>
    </font>
    <font>
      <i/>
      <sz val="9"/>
      <color rgb="FF000000"/>
      <name val="Times New Roman"/>
      <family val="1"/>
    </font>
    <font>
      <sz val="8"/>
      <name val="Calibri"/>
      <family val="2"/>
      <scheme val="minor"/>
    </font>
    <font>
      <strike/>
      <sz val="11"/>
      <color theme="1"/>
      <name val="Calibri"/>
      <family val="2"/>
      <scheme val="minor"/>
    </font>
    <font>
      <sz val="11"/>
      <color theme="0"/>
      <name val="Times New Roman"/>
      <family val="1"/>
    </font>
    <font>
      <sz val="9"/>
      <color theme="1"/>
      <name val="Calibri"/>
      <family val="2"/>
      <scheme val="minor"/>
    </font>
    <font>
      <sz val="11"/>
      <color rgb="FF000000"/>
      <name val="Calibri"/>
      <family val="2"/>
      <scheme val="minor"/>
    </font>
    <font>
      <b/>
      <sz val="11"/>
      <color rgb="FF000000"/>
      <name val="Calibri"/>
      <family val="2"/>
      <scheme val="minor"/>
    </font>
    <font>
      <sz val="12"/>
      <color rgb="FF000000"/>
      <name val="Aptos"/>
      <family val="2"/>
      <charset val="1"/>
    </font>
    <font>
      <b/>
      <vertAlign val="superscript"/>
      <sz val="11"/>
      <color rgb="FF000000"/>
      <name val="Calibri"/>
      <family val="2"/>
      <scheme val="minor"/>
    </font>
    <font>
      <sz val="10"/>
      <color rgb="FF000000"/>
      <name val="Calibri"/>
      <family val="2"/>
      <scheme val="minor"/>
    </font>
    <font>
      <b/>
      <sz val="10"/>
      <color rgb="FF000000"/>
      <name val="Calibri"/>
      <family val="2"/>
      <scheme val="minor"/>
    </font>
    <font>
      <b/>
      <vertAlign val="superscript"/>
      <sz val="10"/>
      <color rgb="FF000000"/>
      <name val="Calibri"/>
      <family val="2"/>
      <scheme val="minor"/>
    </font>
    <font>
      <vertAlign val="superscript"/>
      <sz val="10"/>
      <color rgb="FF000000"/>
      <name val="Times New Roman"/>
      <family val="1"/>
    </font>
    <font>
      <b/>
      <vertAlign val="superscript"/>
      <sz val="10"/>
      <color rgb="FF000000"/>
      <name val="Times New Roman"/>
      <family val="1"/>
    </font>
    <font>
      <b/>
      <sz val="12"/>
      <color rgb="FF000000"/>
      <name val="Aptos"/>
      <family val="2"/>
      <charset val="1"/>
    </font>
    <font>
      <b/>
      <sz val="12"/>
      <color theme="1"/>
      <name val="Calibri"/>
      <family val="2"/>
      <scheme val="minor"/>
    </font>
    <font>
      <b/>
      <sz val="10"/>
      <color rgb="FFFF0000"/>
      <name val="Calibri"/>
      <family val="2"/>
      <scheme val="minor"/>
    </font>
    <font>
      <sz val="12"/>
      <name val="Calibri"/>
      <family val="2"/>
      <scheme val="minor"/>
    </font>
    <font>
      <b/>
      <sz val="9"/>
      <color theme="1"/>
      <name val="Calibri"/>
      <family val="2"/>
      <scheme val="minor"/>
    </font>
    <font>
      <sz val="11"/>
      <color rgb="FF000000"/>
      <name val="Aptos Narrow"/>
      <family val="2"/>
    </font>
    <font>
      <vertAlign val="subscript"/>
      <sz val="11"/>
      <color rgb="FF000000"/>
      <name val="Calibri"/>
      <family val="2"/>
      <scheme val="minor"/>
    </font>
    <font>
      <sz val="11"/>
      <color rgb="FF000000"/>
      <name val="Calibri"/>
      <family val="2"/>
    </font>
    <font>
      <b/>
      <sz val="11"/>
      <color rgb="FF000000"/>
      <name val="Aptos Narrow"/>
      <family val="2"/>
    </font>
    <font>
      <b/>
      <sz val="9"/>
      <color rgb="FFFFFFFF"/>
      <name val="Aptos Narrow"/>
      <family val="2"/>
    </font>
    <font>
      <sz val="12"/>
      <color theme="1"/>
      <name val="Aptos"/>
      <family val="2"/>
      <charset val="1"/>
    </font>
    <font>
      <sz val="11"/>
      <color rgb="FFFF0000"/>
      <name val="Aptos Narrow"/>
      <family val="2"/>
    </font>
    <font>
      <sz val="11"/>
      <color theme="1" tint="4.9989318521683403E-2"/>
      <name val="Calibri"/>
      <family val="2"/>
      <scheme val="minor"/>
    </font>
    <font>
      <sz val="11"/>
      <color theme="1" tint="4.9989318521683403E-2"/>
      <name val="Calibri"/>
      <family val="2"/>
    </font>
    <font>
      <b/>
      <sz val="11"/>
      <color theme="1" tint="4.9989318521683403E-2"/>
      <name val="Calibri"/>
      <family val="2"/>
      <scheme val="minor"/>
    </font>
    <font>
      <sz val="11"/>
      <color theme="2" tint="-0.499984740745262"/>
      <name val="Calibri"/>
      <family val="2"/>
      <scheme val="minor"/>
    </font>
    <font>
      <sz val="10"/>
      <color theme="2" tint="-0.499984740745262"/>
      <name val="Calibri"/>
      <family val="2"/>
      <scheme val="minor"/>
    </font>
    <font>
      <sz val="10"/>
      <color rgb="FFFFFF00"/>
      <name val="Calibri"/>
      <family val="2"/>
      <scheme val="minor"/>
    </font>
    <font>
      <sz val="11"/>
      <color rgb="FFFFFF00"/>
      <name val="Calibri"/>
      <family val="2"/>
      <scheme val="minor"/>
    </font>
    <font>
      <vertAlign val="superscript"/>
      <sz val="11"/>
      <color theme="0"/>
      <name val="Times New Roman"/>
      <family val="1"/>
    </font>
    <font>
      <b/>
      <sz val="12"/>
      <color rgb="FF000000"/>
      <name val="Times New Roman"/>
      <family val="1"/>
    </font>
    <font>
      <u/>
      <sz val="10"/>
      <color theme="10"/>
      <name val="Calibri"/>
      <family val="2"/>
      <scheme val="minor"/>
    </font>
    <font>
      <b/>
      <sz val="20"/>
      <color indexed="9"/>
      <name val="Calibri"/>
      <family val="2"/>
      <scheme val="minor"/>
    </font>
    <font>
      <vertAlign val="superscript"/>
      <sz val="12"/>
      <color theme="1"/>
      <name val="Calibri"/>
      <family val="2"/>
      <scheme val="minor"/>
    </font>
    <font>
      <b/>
      <sz val="12"/>
      <color rgb="FF000000"/>
      <name val="Aptos Narrow"/>
      <family val="2"/>
    </font>
    <font>
      <b/>
      <sz val="12"/>
      <color rgb="FF000000"/>
      <name val="Calibri"/>
      <family val="2"/>
      <scheme val="minor"/>
    </font>
    <font>
      <sz val="11"/>
      <color indexed="9"/>
      <name val="Calibri"/>
      <family val="2"/>
      <scheme val="minor"/>
    </font>
    <font>
      <b/>
      <sz val="12"/>
      <name val="Calibri "/>
    </font>
    <font>
      <sz val="10"/>
      <color theme="0"/>
      <name val="Calibri"/>
      <family val="2"/>
      <scheme val="minor"/>
    </font>
    <font>
      <sz val="11"/>
      <color rgb="FFFF0000"/>
      <name val="Calibri"/>
      <family val="2"/>
    </font>
    <font>
      <b/>
      <sz val="12"/>
      <name val="Calibri"/>
      <family val="2"/>
      <scheme val="minor"/>
    </font>
    <font>
      <sz val="9"/>
      <name val="Times New Roman"/>
      <family val="1"/>
    </font>
  </fonts>
  <fills count="55">
    <fill>
      <patternFill patternType="none"/>
    </fill>
    <fill>
      <patternFill patternType="gray125"/>
    </fill>
    <fill>
      <patternFill patternType="solid">
        <fgColor theme="3" tint="0.39997558519241921"/>
        <bgColor indexed="64"/>
      </patternFill>
    </fill>
    <fill>
      <patternFill patternType="solid">
        <fgColor rgb="FF1F497D"/>
        <bgColor indexed="64"/>
      </patternFill>
    </fill>
    <fill>
      <patternFill patternType="solid">
        <fgColor rgb="FFBFBFBF"/>
        <bgColor indexed="64"/>
      </patternFill>
    </fill>
    <fill>
      <patternFill patternType="solid">
        <fgColor theme="2" tint="-0.249977111117893"/>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theme="0" tint="-0.249977111117893"/>
        <bgColor indexed="64"/>
      </patternFill>
    </fill>
    <fill>
      <patternFill patternType="solid">
        <fgColor indexed="22"/>
        <bgColor indexed="64"/>
      </patternFill>
    </fill>
    <fill>
      <patternFill patternType="solid">
        <fgColor theme="7" tint="0.39997558519241921"/>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1E497D"/>
        <bgColor indexed="64"/>
      </patternFill>
    </fill>
    <fill>
      <patternFill patternType="solid">
        <fgColor theme="2" tint="-0.499984740745262"/>
        <bgColor indexed="64"/>
      </patternFill>
    </fill>
    <fill>
      <patternFill patternType="solid">
        <fgColor theme="8"/>
        <bgColor indexed="64"/>
      </patternFill>
    </fill>
    <fill>
      <patternFill patternType="solid">
        <fgColor rgb="FFD9D9D9"/>
        <bgColor indexed="64"/>
      </patternFill>
    </fill>
    <fill>
      <patternFill patternType="solid">
        <fgColor rgb="FFDBDBDB"/>
        <bgColor indexed="64"/>
      </patternFill>
    </fill>
    <fill>
      <patternFill patternType="solid">
        <fgColor rgb="FFFFFF00"/>
        <bgColor indexed="64"/>
      </patternFill>
    </fill>
    <fill>
      <patternFill patternType="solid">
        <fgColor theme="0" tint="-0.499984740745262"/>
        <bgColor indexed="64"/>
      </patternFill>
    </fill>
    <fill>
      <patternFill patternType="solid">
        <fgColor rgb="FFFFFFFF"/>
        <bgColor indexed="64"/>
      </patternFill>
    </fill>
    <fill>
      <patternFill patternType="solid">
        <fgColor theme="8" tint="-0.499984740745262"/>
        <bgColor indexed="64"/>
      </patternFill>
    </fill>
    <fill>
      <patternFill patternType="solid">
        <fgColor rgb="FF92D050"/>
        <bgColor indexed="64"/>
      </patternFill>
    </fill>
    <fill>
      <patternFill patternType="solid">
        <fgColor theme="2"/>
        <bgColor indexed="64"/>
      </patternFill>
    </fill>
    <fill>
      <patternFill patternType="solid">
        <fgColor theme="1" tint="0.499984740745262"/>
        <bgColor indexed="64"/>
      </patternFill>
    </fill>
    <fill>
      <patternFill patternType="solid">
        <fgColor rgb="FFE8E8E8"/>
        <bgColor rgb="FF000000"/>
      </patternFill>
    </fill>
    <fill>
      <patternFill patternType="solid">
        <fgColor rgb="FF8EA9DB"/>
        <bgColor rgb="FF000000"/>
      </patternFill>
    </fill>
    <fill>
      <patternFill patternType="solid">
        <fgColor rgb="FFFFD966"/>
        <bgColor rgb="FF000000"/>
      </patternFill>
    </fill>
    <fill>
      <patternFill patternType="solid">
        <fgColor rgb="FFA9D08E"/>
        <bgColor rgb="FF000000"/>
      </patternFill>
    </fill>
    <fill>
      <patternFill patternType="solid">
        <fgColor rgb="FFC9C9C9"/>
        <bgColor rgb="FF000000"/>
      </patternFill>
    </fill>
    <fill>
      <patternFill patternType="solid">
        <fgColor rgb="FFD9E1F2"/>
        <bgColor rgb="FF000000"/>
      </patternFill>
    </fill>
    <fill>
      <patternFill patternType="solid">
        <fgColor rgb="FFFFF2CC"/>
        <bgColor rgb="FF000000"/>
      </patternFill>
    </fill>
    <fill>
      <patternFill patternType="solid">
        <fgColor rgb="FFC6E0B4"/>
        <bgColor rgb="FF000000"/>
      </patternFill>
    </fill>
    <fill>
      <patternFill patternType="solid">
        <fgColor rgb="FFDBDBDB"/>
        <bgColor rgb="FF000000"/>
      </patternFill>
    </fill>
    <fill>
      <patternFill patternType="solid">
        <fgColor rgb="FF92D050"/>
        <bgColor rgb="FF000000"/>
      </patternFill>
    </fill>
    <fill>
      <patternFill patternType="solid">
        <fgColor rgb="FFE2EFDA"/>
        <bgColor rgb="FF000000"/>
      </patternFill>
    </fill>
    <fill>
      <patternFill patternType="solid">
        <fgColor rgb="FF1F497D"/>
        <bgColor rgb="FF000000"/>
      </patternFill>
    </fill>
    <fill>
      <patternFill patternType="solid">
        <fgColor rgb="FFD9D9D9"/>
        <bgColor rgb="FF000000"/>
      </patternFill>
    </fill>
    <fill>
      <patternFill patternType="solid">
        <fgColor rgb="FFFFFF00"/>
        <bgColor rgb="FF000000"/>
      </patternFill>
    </fill>
    <fill>
      <patternFill patternType="solid">
        <fgColor theme="0" tint="-0.34998626667073579"/>
        <bgColor indexed="64"/>
      </patternFill>
    </fill>
    <fill>
      <patternFill patternType="solid">
        <fgColor theme="6" tint="0.39997558519241921"/>
        <bgColor indexed="64"/>
      </patternFill>
    </fill>
  </fills>
  <borders count="129">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right/>
      <top/>
      <bottom style="medium">
        <color rgb="FF000000"/>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thin">
        <color rgb="FF000000"/>
      </top>
      <bottom style="thin">
        <color rgb="FF000000"/>
      </bottom>
      <diagonal/>
    </border>
    <border>
      <left style="medium">
        <color indexed="64"/>
      </left>
      <right style="medium">
        <color indexed="64"/>
      </right>
      <top style="thin">
        <color indexed="64"/>
      </top>
      <bottom/>
      <diagonal/>
    </border>
    <border>
      <left style="thin">
        <color indexed="64"/>
      </left>
      <right/>
      <top/>
      <bottom/>
      <diagonal/>
    </border>
    <border>
      <left style="medium">
        <color indexed="64"/>
      </left>
      <right style="hair">
        <color indexed="64"/>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right style="hair">
        <color indexed="64"/>
      </right>
      <top style="medium">
        <color indexed="64"/>
      </top>
      <bottom/>
      <diagonal/>
    </border>
    <border>
      <left style="hair">
        <color indexed="64"/>
      </left>
      <right style="medium">
        <color indexed="64"/>
      </right>
      <top style="medium">
        <color indexed="64"/>
      </top>
      <bottom style="hair">
        <color indexed="64"/>
      </bottom>
      <diagonal/>
    </border>
    <border>
      <left style="medium">
        <color indexed="64"/>
      </left>
      <right/>
      <top style="thin">
        <color rgb="FF000000"/>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right/>
      <top style="medium">
        <color rgb="FF000000"/>
      </top>
      <bottom style="medium">
        <color rgb="FF000000"/>
      </bottom>
      <diagonal/>
    </border>
    <border>
      <left style="thin">
        <color rgb="FF000000"/>
      </left>
      <right/>
      <top style="thin">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right style="thin">
        <color indexed="64"/>
      </right>
      <top style="medium">
        <color indexed="64"/>
      </top>
      <bottom/>
      <diagonal/>
    </border>
    <border>
      <left style="thin">
        <color indexed="64"/>
      </left>
      <right style="medium">
        <color rgb="FF000000"/>
      </right>
      <top style="medium">
        <color rgb="FF000000"/>
      </top>
      <bottom style="medium">
        <color indexed="64"/>
      </bottom>
      <diagonal/>
    </border>
    <border>
      <left style="medium">
        <color rgb="FF000000"/>
      </left>
      <right/>
      <top style="medium">
        <color rgb="FF000000"/>
      </top>
      <bottom/>
      <diagonal/>
    </border>
    <border>
      <left style="thin">
        <color indexed="64"/>
      </left>
      <right style="thin">
        <color rgb="FF000000"/>
      </right>
      <top style="thin">
        <color indexed="64"/>
      </top>
      <bottom style="thin">
        <color indexed="64"/>
      </bottom>
      <diagonal/>
    </border>
    <border>
      <left style="medium">
        <color indexed="64"/>
      </left>
      <right style="medium">
        <color indexed="64"/>
      </right>
      <top/>
      <bottom style="medium">
        <color rgb="FF000000"/>
      </bottom>
      <diagonal/>
    </border>
    <border>
      <left style="medium">
        <color indexed="64"/>
      </left>
      <right style="thin">
        <color indexed="64"/>
      </right>
      <top/>
      <bottom style="medium">
        <color rgb="FF000000"/>
      </bottom>
      <diagonal/>
    </border>
    <border>
      <left/>
      <right style="thin">
        <color indexed="64"/>
      </right>
      <top/>
      <bottom/>
      <diagonal/>
    </border>
    <border>
      <left style="thin">
        <color indexed="64"/>
      </left>
      <right style="medium">
        <color rgb="FF000000"/>
      </right>
      <top/>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indexed="64"/>
      </right>
      <top/>
      <bottom style="medium">
        <color indexed="64"/>
      </bottom>
      <diagonal/>
    </border>
    <border>
      <left/>
      <right style="hair">
        <color indexed="64"/>
      </right>
      <top style="hair">
        <color indexed="64"/>
      </top>
      <bottom/>
      <diagonal/>
    </border>
    <border>
      <left style="hair">
        <color indexed="64"/>
      </left>
      <right style="hair">
        <color indexed="64"/>
      </right>
      <top style="hair">
        <color indexed="64"/>
      </top>
      <bottom style="dotted">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medium">
        <color indexed="64"/>
      </bottom>
      <diagonal/>
    </border>
  </borders>
  <cellStyleXfs count="11">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0" fillId="0" borderId="0"/>
    <xf numFmtId="0" fontId="25" fillId="0" borderId="0"/>
    <xf numFmtId="0" fontId="25" fillId="0" borderId="0"/>
    <xf numFmtId="0" fontId="35" fillId="0" borderId="0"/>
    <xf numFmtId="0" fontId="38" fillId="0" borderId="0" applyNumberFormat="0" applyFill="0" applyBorder="0" applyAlignment="0" applyProtection="0"/>
    <xf numFmtId="0" fontId="35" fillId="0" borderId="0"/>
    <xf numFmtId="0" fontId="1" fillId="0" borderId="0"/>
  </cellStyleXfs>
  <cellXfs count="1445">
    <xf numFmtId="0" fontId="0" fillId="0" borderId="0" xfId="0"/>
    <xf numFmtId="164" fontId="5" fillId="3" borderId="14" xfId="1" applyNumberFormat="1" applyFont="1" applyFill="1" applyBorder="1" applyAlignment="1">
      <alignment horizontal="center" vertical="center" wrapText="1"/>
    </xf>
    <xf numFmtId="164" fontId="5" fillId="3" borderId="13" xfId="1" applyNumberFormat="1" applyFont="1" applyFill="1" applyBorder="1" applyAlignment="1">
      <alignment horizontal="center" vertical="center" wrapText="1"/>
    </xf>
    <xf numFmtId="43" fontId="5" fillId="3" borderId="14" xfId="1" applyFont="1" applyFill="1" applyBorder="1" applyAlignment="1">
      <alignment horizontal="center" vertical="center" wrapText="1"/>
    </xf>
    <xf numFmtId="0" fontId="3" fillId="4" borderId="3" xfId="0" applyFont="1" applyFill="1" applyBorder="1"/>
    <xf numFmtId="164" fontId="3" fillId="4" borderId="18" xfId="1" applyNumberFormat="1" applyFont="1" applyFill="1" applyBorder="1"/>
    <xf numFmtId="164" fontId="3" fillId="4" borderId="17" xfId="1" applyNumberFormat="1" applyFont="1" applyFill="1" applyBorder="1"/>
    <xf numFmtId="164" fontId="0" fillId="0" borderId="7" xfId="1" applyNumberFormat="1" applyFont="1" applyBorder="1" applyAlignment="1">
      <alignment vertical="center"/>
    </xf>
    <xf numFmtId="164" fontId="0" fillId="5" borderId="8" xfId="1" applyNumberFormat="1" applyFont="1" applyFill="1" applyBorder="1" applyAlignment="1">
      <alignment vertical="center"/>
    </xf>
    <xf numFmtId="164" fontId="0" fillId="0" borderId="8" xfId="1" applyNumberFormat="1" applyFont="1" applyBorder="1" applyAlignment="1">
      <alignment vertical="center"/>
    </xf>
    <xf numFmtId="164" fontId="0" fillId="0" borderId="8" xfId="1" applyNumberFormat="1" applyFont="1" applyFill="1" applyBorder="1" applyAlignment="1">
      <alignment horizontal="right"/>
    </xf>
    <xf numFmtId="10" fontId="0" fillId="5" borderId="8" xfId="3" applyNumberFormat="1" applyFont="1" applyFill="1" applyBorder="1" applyAlignment="1">
      <alignment horizontal="right" vertical="center"/>
    </xf>
    <xf numFmtId="164" fontId="0" fillId="0" borderId="24" xfId="1" applyNumberFormat="1" applyFont="1" applyFill="1" applyBorder="1" applyAlignment="1">
      <alignment horizontal="right"/>
    </xf>
    <xf numFmtId="43" fontId="0" fillId="0" borderId="8" xfId="1" applyFont="1" applyFill="1" applyBorder="1"/>
    <xf numFmtId="164" fontId="0" fillId="5" borderId="24" xfId="1" applyNumberFormat="1" applyFont="1" applyFill="1" applyBorder="1" applyAlignment="1">
      <alignment vertical="center"/>
    </xf>
    <xf numFmtId="164" fontId="0" fillId="0" borderId="28" xfId="1" applyNumberFormat="1" applyFont="1" applyBorder="1" applyAlignment="1">
      <alignment vertical="center"/>
    </xf>
    <xf numFmtId="10" fontId="0" fillId="5" borderId="24" xfId="3" applyNumberFormat="1" applyFont="1" applyFill="1" applyBorder="1" applyAlignment="1">
      <alignment horizontal="right"/>
    </xf>
    <xf numFmtId="43" fontId="0" fillId="0" borderId="24" xfId="1" applyFont="1" applyFill="1" applyBorder="1"/>
    <xf numFmtId="164" fontId="0" fillId="7" borderId="13" xfId="1" applyNumberFormat="1" applyFont="1" applyFill="1" applyBorder="1" applyAlignment="1">
      <alignment vertical="center"/>
    </xf>
    <xf numFmtId="164" fontId="0" fillId="7" borderId="14" xfId="1" applyNumberFormat="1" applyFont="1" applyFill="1" applyBorder="1" applyAlignment="1">
      <alignment vertical="center"/>
    </xf>
    <xf numFmtId="164" fontId="0" fillId="7" borderId="14" xfId="1" applyNumberFormat="1" applyFont="1" applyFill="1" applyBorder="1" applyAlignment="1">
      <alignment horizontal="right"/>
    </xf>
    <xf numFmtId="10" fontId="0" fillId="7" borderId="14" xfId="3" applyNumberFormat="1" applyFont="1" applyFill="1" applyBorder="1" applyAlignment="1">
      <alignment horizontal="right"/>
    </xf>
    <xf numFmtId="43" fontId="0" fillId="7" borderId="14" xfId="1" applyFont="1" applyFill="1" applyBorder="1"/>
    <xf numFmtId="164" fontId="0" fillId="0" borderId="24" xfId="1" applyNumberFormat="1" applyFont="1" applyBorder="1" applyAlignment="1">
      <alignment vertical="center"/>
    </xf>
    <xf numFmtId="10" fontId="0" fillId="0" borderId="24" xfId="3" applyNumberFormat="1" applyFont="1" applyFill="1" applyBorder="1" applyAlignment="1">
      <alignment horizontal="right"/>
    </xf>
    <xf numFmtId="164" fontId="0" fillId="0" borderId="14" xfId="1" applyNumberFormat="1" applyFont="1" applyBorder="1" applyAlignment="1">
      <alignment vertical="center"/>
    </xf>
    <xf numFmtId="10" fontId="0" fillId="0" borderId="14" xfId="3" applyNumberFormat="1" applyFont="1" applyFill="1" applyBorder="1" applyAlignment="1">
      <alignment horizontal="right"/>
    </xf>
    <xf numFmtId="164" fontId="0" fillId="0" borderId="39" xfId="1" applyNumberFormat="1" applyFont="1" applyBorder="1" applyAlignment="1">
      <alignment vertical="center"/>
    </xf>
    <xf numFmtId="164" fontId="0" fillId="0" borderId="23" xfId="1" applyNumberFormat="1" applyFont="1" applyBorder="1" applyAlignment="1">
      <alignment vertical="center"/>
    </xf>
    <xf numFmtId="164" fontId="0" fillId="0" borderId="23" xfId="1" applyNumberFormat="1" applyFont="1" applyFill="1" applyBorder="1" applyAlignment="1">
      <alignment horizontal="right"/>
    </xf>
    <xf numFmtId="9" fontId="0" fillId="0" borderId="24" xfId="3" applyFont="1" applyFill="1" applyBorder="1" applyAlignment="1">
      <alignment horizontal="right"/>
    </xf>
    <xf numFmtId="0" fontId="3" fillId="4" borderId="6" xfId="0" applyFont="1" applyFill="1" applyBorder="1"/>
    <xf numFmtId="164" fontId="0" fillId="0" borderId="10" xfId="1" applyNumberFormat="1" applyFont="1" applyBorder="1" applyAlignment="1">
      <alignment vertical="center"/>
    </xf>
    <xf numFmtId="10" fontId="0" fillId="0" borderId="8" xfId="3" applyNumberFormat="1" applyFont="1" applyFill="1" applyBorder="1" applyAlignment="1">
      <alignment horizontal="right"/>
    </xf>
    <xf numFmtId="164" fontId="0" fillId="0" borderId="13" xfId="1" applyNumberFormat="1" applyFont="1" applyBorder="1" applyAlignment="1">
      <alignment vertical="center"/>
    </xf>
    <xf numFmtId="164" fontId="0" fillId="0" borderId="14" xfId="1" applyNumberFormat="1" applyFont="1" applyFill="1" applyBorder="1"/>
    <xf numFmtId="0" fontId="3" fillId="4" borderId="13" xfId="0" applyFont="1" applyFill="1" applyBorder="1"/>
    <xf numFmtId="0" fontId="0" fillId="0" borderId="24" xfId="0" applyBorder="1"/>
    <xf numFmtId="164" fontId="0" fillId="0" borderId="24" xfId="1" applyNumberFormat="1" applyFont="1" applyFill="1" applyBorder="1"/>
    <xf numFmtId="0" fontId="3" fillId="4" borderId="14" xfId="0" applyFont="1" applyFill="1" applyBorder="1"/>
    <xf numFmtId="0" fontId="0" fillId="3" borderId="51" xfId="0" applyFill="1" applyBorder="1" applyAlignment="1">
      <alignment vertical="center" wrapText="1"/>
    </xf>
    <xf numFmtId="0" fontId="8" fillId="0" borderId="52" xfId="0" applyFont="1" applyBorder="1"/>
    <xf numFmtId="0" fontId="2" fillId="0" borderId="52" xfId="0" applyFont="1" applyBorder="1"/>
    <xf numFmtId="164" fontId="2" fillId="0" borderId="52" xfId="1" applyNumberFormat="1" applyFont="1" applyFill="1" applyBorder="1"/>
    <xf numFmtId="164" fontId="2" fillId="0" borderId="52" xfId="1" applyNumberFormat="1" applyFont="1" applyBorder="1"/>
    <xf numFmtId="0" fontId="8" fillId="0" borderId="53" xfId="0" applyFont="1" applyBorder="1"/>
    <xf numFmtId="0" fontId="2" fillId="0" borderId="53" xfId="0" applyFont="1" applyBorder="1"/>
    <xf numFmtId="164" fontId="2" fillId="0" borderId="53" xfId="1" applyNumberFormat="1" applyFont="1" applyBorder="1"/>
    <xf numFmtId="0" fontId="0" fillId="8" borderId="53" xfId="0" applyFill="1" applyBorder="1"/>
    <xf numFmtId="164" fontId="0" fillId="8" borderId="53" xfId="1" applyNumberFormat="1" applyFont="1" applyFill="1" applyBorder="1"/>
    <xf numFmtId="0" fontId="8" fillId="8" borderId="53" xfId="0" applyFont="1" applyFill="1" applyBorder="1"/>
    <xf numFmtId="164" fontId="0" fillId="8" borderId="0" xfId="1" applyNumberFormat="1" applyFont="1" applyFill="1"/>
    <xf numFmtId="164" fontId="0" fillId="0" borderId="0" xfId="1" applyNumberFormat="1" applyFont="1"/>
    <xf numFmtId="0" fontId="3" fillId="8" borderId="0" xfId="0" applyFont="1" applyFill="1"/>
    <xf numFmtId="0" fontId="10" fillId="8" borderId="0" xfId="0" applyFont="1" applyFill="1"/>
    <xf numFmtId="164" fontId="10" fillId="8" borderId="0" xfId="1" applyNumberFormat="1" applyFont="1" applyFill="1"/>
    <xf numFmtId="0" fontId="11" fillId="8" borderId="0" xfId="0" applyFont="1" applyFill="1"/>
    <xf numFmtId="0" fontId="12" fillId="3" borderId="18" xfId="0" applyFont="1" applyFill="1" applyBorder="1" applyAlignment="1">
      <alignment horizontal="center" vertical="center" wrapText="1"/>
    </xf>
    <xf numFmtId="0" fontId="13" fillId="3" borderId="19"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13" fillId="2" borderId="19" xfId="0" applyFont="1" applyFill="1" applyBorder="1" applyAlignment="1">
      <alignment horizontal="center" vertical="center" wrapText="1"/>
    </xf>
    <xf numFmtId="0" fontId="13" fillId="3" borderId="54" xfId="0" applyFont="1" applyFill="1" applyBorder="1" applyAlignment="1">
      <alignment horizontal="center" vertical="center" wrapText="1"/>
    </xf>
    <xf numFmtId="164" fontId="13" fillId="3" borderId="19" xfId="1" applyNumberFormat="1" applyFont="1" applyFill="1" applyBorder="1" applyAlignment="1">
      <alignment horizontal="center" vertical="center" wrapText="1"/>
    </xf>
    <xf numFmtId="0" fontId="11" fillId="4" borderId="1" xfId="0" applyFont="1" applyFill="1" applyBorder="1"/>
    <xf numFmtId="0" fontId="11" fillId="4" borderId="3" xfId="0" applyFont="1" applyFill="1" applyBorder="1" applyAlignment="1">
      <alignment horizontal="center" vertical="center"/>
    </xf>
    <xf numFmtId="0" fontId="11" fillId="4" borderId="19" xfId="0" applyFont="1" applyFill="1" applyBorder="1" applyAlignment="1">
      <alignment horizontal="center" vertical="center" wrapText="1"/>
    </xf>
    <xf numFmtId="164" fontId="11" fillId="4" borderId="19" xfId="1" applyNumberFormat="1" applyFont="1" applyFill="1" applyBorder="1" applyAlignment="1">
      <alignment horizontal="center" vertical="center" wrapText="1"/>
    </xf>
    <xf numFmtId="0" fontId="10" fillId="0" borderId="21" xfId="0" applyFont="1" applyBorder="1" applyAlignment="1">
      <alignment horizontal="left" vertical="center" wrapText="1"/>
    </xf>
    <xf numFmtId="164" fontId="10" fillId="0" borderId="22" xfId="1" applyNumberFormat="1" applyFont="1" applyBorder="1" applyAlignment="1">
      <alignment vertical="center"/>
    </xf>
    <xf numFmtId="164" fontId="10" fillId="0" borderId="40" xfId="1" applyNumberFormat="1" applyFont="1" applyBorder="1" applyAlignment="1">
      <alignment vertical="center"/>
    </xf>
    <xf numFmtId="164" fontId="10" fillId="0" borderId="27" xfId="1" applyNumberFormat="1" applyFont="1" applyBorder="1" applyAlignment="1">
      <alignment vertical="center"/>
    </xf>
    <xf numFmtId="166" fontId="10" fillId="0" borderId="28" xfId="2" applyNumberFormat="1" applyFont="1" applyBorder="1" applyAlignment="1">
      <alignment vertical="center"/>
    </xf>
    <xf numFmtId="166" fontId="10" fillId="0" borderId="34" xfId="2" applyNumberFormat="1" applyFont="1" applyBorder="1" applyAlignment="1">
      <alignment vertical="center"/>
    </xf>
    <xf numFmtId="164" fontId="10" fillId="0" borderId="28" xfId="1" applyNumberFormat="1" applyFont="1" applyBorder="1" applyAlignment="1">
      <alignment vertical="center"/>
    </xf>
    <xf numFmtId="164" fontId="10" fillId="0" borderId="27" xfId="1" applyNumberFormat="1" applyFont="1" applyFill="1" applyBorder="1" applyAlignment="1">
      <alignment vertical="center"/>
    </xf>
    <xf numFmtId="166" fontId="10" fillId="0" borderId="28" xfId="2" applyNumberFormat="1" applyFont="1" applyFill="1" applyBorder="1" applyAlignment="1">
      <alignment vertical="center"/>
    </xf>
    <xf numFmtId="166" fontId="10" fillId="0" borderId="34" xfId="2" applyNumberFormat="1" applyFont="1" applyFill="1" applyBorder="1" applyAlignment="1">
      <alignment vertical="center"/>
    </xf>
    <xf numFmtId="164" fontId="10" fillId="0" borderId="28" xfId="1" applyNumberFormat="1" applyFont="1" applyFill="1" applyBorder="1" applyAlignment="1">
      <alignment vertical="center"/>
    </xf>
    <xf numFmtId="166" fontId="10" fillId="0" borderId="27" xfId="2" applyNumberFormat="1" applyFont="1" applyFill="1" applyBorder="1" applyAlignment="1">
      <alignment vertical="center"/>
    </xf>
    <xf numFmtId="166" fontId="10" fillId="0" borderId="27" xfId="2" applyNumberFormat="1" applyFont="1" applyBorder="1" applyAlignment="1">
      <alignment vertical="center"/>
    </xf>
    <xf numFmtId="164" fontId="10" fillId="6" borderId="15" xfId="1" applyNumberFormat="1" applyFont="1" applyFill="1" applyBorder="1" applyAlignment="1">
      <alignment vertical="center"/>
    </xf>
    <xf numFmtId="166" fontId="10" fillId="6" borderId="38" xfId="2" applyNumberFormat="1" applyFont="1" applyFill="1" applyBorder="1" applyAlignment="1">
      <alignment vertical="center"/>
    </xf>
    <xf numFmtId="166" fontId="10" fillId="6" borderId="15" xfId="2" applyNumberFormat="1" applyFont="1" applyFill="1" applyBorder="1" applyAlignment="1">
      <alignment vertical="center"/>
    </xf>
    <xf numFmtId="164" fontId="10" fillId="6" borderId="13" xfId="1" applyNumberFormat="1" applyFont="1" applyFill="1" applyBorder="1" applyAlignment="1">
      <alignment vertical="center"/>
    </xf>
    <xf numFmtId="164" fontId="10" fillId="0" borderId="1" xfId="1" applyNumberFormat="1" applyFont="1" applyBorder="1" applyAlignment="1">
      <alignment horizontal="center" vertical="center"/>
    </xf>
    <xf numFmtId="164" fontId="10" fillId="0" borderId="59" xfId="1" applyNumberFormat="1" applyFont="1" applyBorder="1" applyAlignment="1">
      <alignment horizontal="right" vertical="center"/>
    </xf>
    <xf numFmtId="166" fontId="10" fillId="0" borderId="1" xfId="2" applyNumberFormat="1" applyFont="1" applyBorder="1" applyAlignment="1">
      <alignment horizontal="center" vertical="center"/>
    </xf>
    <xf numFmtId="166" fontId="10" fillId="0" borderId="60" xfId="2" applyNumberFormat="1" applyFont="1" applyBorder="1" applyAlignment="1">
      <alignment vertical="center"/>
    </xf>
    <xf numFmtId="164" fontId="10" fillId="0" borderId="7" xfId="1" applyNumberFormat="1" applyFont="1" applyBorder="1" applyAlignment="1">
      <alignment vertical="center"/>
    </xf>
    <xf numFmtId="164" fontId="10" fillId="0" borderId="9" xfId="1" applyNumberFormat="1" applyFont="1" applyBorder="1" applyAlignment="1">
      <alignment vertical="center"/>
    </xf>
    <xf numFmtId="164" fontId="10" fillId="0" borderId="13" xfId="1" applyNumberFormat="1" applyFont="1" applyBorder="1" applyAlignment="1">
      <alignment vertical="center"/>
    </xf>
    <xf numFmtId="164" fontId="10" fillId="0" borderId="15" xfId="1" applyNumberFormat="1" applyFont="1" applyBorder="1" applyAlignment="1">
      <alignment vertical="center"/>
    </xf>
    <xf numFmtId="164" fontId="10" fillId="0" borderId="40" xfId="1" applyNumberFormat="1" applyFont="1" applyBorder="1" applyAlignment="1">
      <alignment horizontal="right" vertical="center"/>
    </xf>
    <xf numFmtId="164" fontId="10" fillId="6" borderId="11" xfId="1" applyNumberFormat="1" applyFont="1" applyFill="1" applyBorder="1" applyAlignment="1">
      <alignment vertical="center"/>
    </xf>
    <xf numFmtId="164" fontId="10" fillId="6" borderId="48" xfId="1" applyNumberFormat="1" applyFont="1" applyFill="1" applyBorder="1" applyAlignment="1">
      <alignment vertical="center"/>
    </xf>
    <xf numFmtId="166" fontId="10" fillId="6" borderId="11" xfId="2" applyNumberFormat="1" applyFont="1" applyFill="1" applyBorder="1" applyAlignment="1">
      <alignment vertical="center"/>
    </xf>
    <xf numFmtId="166" fontId="10" fillId="6" borderId="48" xfId="2" applyNumberFormat="1" applyFont="1" applyFill="1" applyBorder="1" applyAlignment="1">
      <alignment vertical="center"/>
    </xf>
    <xf numFmtId="164" fontId="10" fillId="6" borderId="45" xfId="1" applyNumberFormat="1" applyFont="1" applyFill="1" applyBorder="1" applyAlignment="1">
      <alignment vertical="center"/>
    </xf>
    <xf numFmtId="164" fontId="10" fillId="6" borderId="9" xfId="1" applyNumberFormat="1" applyFont="1" applyFill="1" applyBorder="1" applyAlignment="1">
      <alignment vertical="center"/>
    </xf>
    <xf numFmtId="0" fontId="10" fillId="3" borderId="23" xfId="0" applyFont="1" applyFill="1" applyBorder="1" applyAlignment="1">
      <alignment vertical="center" wrapText="1"/>
    </xf>
    <xf numFmtId="0" fontId="10" fillId="3" borderId="22" xfId="0" applyFont="1" applyFill="1" applyBorder="1" applyAlignment="1">
      <alignment vertical="center" wrapText="1"/>
    </xf>
    <xf numFmtId="0" fontId="10" fillId="3" borderId="62" xfId="0" applyFont="1" applyFill="1" applyBorder="1" applyAlignment="1">
      <alignment vertical="center" wrapText="1"/>
    </xf>
    <xf numFmtId="0" fontId="10" fillId="3" borderId="40" xfId="0" applyFont="1" applyFill="1" applyBorder="1" applyAlignment="1">
      <alignment vertical="center" wrapText="1"/>
    </xf>
    <xf numFmtId="0" fontId="10" fillId="3" borderId="39" xfId="0" applyFont="1" applyFill="1" applyBorder="1" applyAlignment="1">
      <alignment vertical="center" wrapText="1"/>
    </xf>
    <xf numFmtId="164" fontId="10" fillId="3" borderId="40" xfId="1" applyNumberFormat="1" applyFont="1" applyFill="1" applyBorder="1" applyAlignment="1">
      <alignment vertical="center" wrapText="1"/>
    </xf>
    <xf numFmtId="0" fontId="11" fillId="4" borderId="7" xfId="0" applyFont="1" applyFill="1" applyBorder="1"/>
    <xf numFmtId="164" fontId="11" fillId="4" borderId="7" xfId="1" applyNumberFormat="1" applyFont="1" applyFill="1" applyBorder="1"/>
    <xf numFmtId="164" fontId="11" fillId="4" borderId="63" xfId="1" applyNumberFormat="1" applyFont="1" applyFill="1" applyBorder="1"/>
    <xf numFmtId="0" fontId="11" fillId="4" borderId="9" xfId="0" applyFont="1" applyFill="1" applyBorder="1"/>
    <xf numFmtId="0" fontId="11" fillId="4" borderId="13" xfId="0" applyFont="1" applyFill="1" applyBorder="1"/>
    <xf numFmtId="0" fontId="11" fillId="4" borderId="14" xfId="0" applyFont="1" applyFill="1" applyBorder="1"/>
    <xf numFmtId="164" fontId="11" fillId="4" borderId="15" xfId="1" applyNumberFormat="1" applyFont="1" applyFill="1" applyBorder="1"/>
    <xf numFmtId="166" fontId="11" fillId="4" borderId="13" xfId="2" applyNumberFormat="1" applyFont="1" applyFill="1" applyBorder="1"/>
    <xf numFmtId="166" fontId="11" fillId="4" borderId="15" xfId="2" applyNumberFormat="1" applyFont="1" applyFill="1" applyBorder="1"/>
    <xf numFmtId="164" fontId="11" fillId="4" borderId="16" xfId="1" applyNumberFormat="1" applyFont="1" applyFill="1" applyBorder="1"/>
    <xf numFmtId="164" fontId="11" fillId="4" borderId="15" xfId="1" applyNumberFormat="1" applyFont="1" applyFill="1" applyBorder="1" applyAlignment="1"/>
    <xf numFmtId="0" fontId="16" fillId="8" borderId="0" xfId="0" applyFont="1" applyFill="1"/>
    <xf numFmtId="0" fontId="10" fillId="0" borderId="0" xfId="0" applyFont="1"/>
    <xf numFmtId="164" fontId="10" fillId="0" borderId="0" xfId="1" applyNumberFormat="1" applyFont="1"/>
    <xf numFmtId="0" fontId="13" fillId="3" borderId="18" xfId="0" applyFont="1" applyFill="1" applyBorder="1" applyAlignment="1">
      <alignment horizontal="center" vertical="center" wrapText="1"/>
    </xf>
    <xf numFmtId="0" fontId="11" fillId="4" borderId="64" xfId="0" applyFont="1" applyFill="1" applyBorder="1"/>
    <xf numFmtId="0" fontId="11" fillId="4" borderId="1" xfId="0" applyFont="1" applyFill="1" applyBorder="1" applyAlignment="1">
      <alignment horizontal="center" vertical="center" wrapText="1"/>
    </xf>
    <xf numFmtId="0" fontId="11" fillId="4" borderId="60" xfId="0" applyFont="1" applyFill="1" applyBorder="1" applyAlignment="1">
      <alignment horizontal="center" vertical="center" wrapText="1"/>
    </xf>
    <xf numFmtId="164" fontId="10" fillId="0" borderId="16" xfId="1" applyNumberFormat="1" applyFont="1" applyBorder="1" applyAlignment="1">
      <alignment vertical="center"/>
    </xf>
    <xf numFmtId="164" fontId="10" fillId="0" borderId="15" xfId="1" applyNumberFormat="1" applyFont="1" applyFill="1" applyBorder="1"/>
    <xf numFmtId="164" fontId="11" fillId="4" borderId="47" xfId="1" applyNumberFormat="1" applyFont="1" applyFill="1" applyBorder="1"/>
    <xf numFmtId="164" fontId="11" fillId="4" borderId="48" xfId="1" applyNumberFormat="1" applyFont="1" applyFill="1" applyBorder="1"/>
    <xf numFmtId="164" fontId="11" fillId="4" borderId="43" xfId="1" applyNumberFormat="1" applyFont="1" applyFill="1" applyBorder="1" applyAlignment="1"/>
    <xf numFmtId="0" fontId="10" fillId="3" borderId="65" xfId="0" applyFont="1" applyFill="1" applyBorder="1" applyAlignment="1">
      <alignment vertical="center" wrapText="1"/>
    </xf>
    <xf numFmtId="0" fontId="10" fillId="3" borderId="59" xfId="0" applyFont="1" applyFill="1" applyBorder="1" applyAlignment="1">
      <alignment vertical="center" wrapText="1"/>
    </xf>
    <xf numFmtId="164" fontId="10" fillId="3" borderId="65" xfId="1" applyNumberFormat="1" applyFont="1" applyFill="1" applyBorder="1" applyAlignment="1">
      <alignment vertical="center" wrapText="1"/>
    </xf>
    <xf numFmtId="164" fontId="10" fillId="3" borderId="60" xfId="1" applyNumberFormat="1" applyFont="1" applyFill="1" applyBorder="1" applyAlignment="1">
      <alignment vertical="center" wrapText="1"/>
    </xf>
    <xf numFmtId="167" fontId="10" fillId="3" borderId="65" xfId="2" applyNumberFormat="1" applyFont="1" applyFill="1" applyBorder="1" applyAlignment="1">
      <alignment vertical="center" wrapText="1"/>
    </xf>
    <xf numFmtId="167" fontId="10" fillId="3" borderId="60" xfId="2" applyNumberFormat="1" applyFont="1" applyFill="1" applyBorder="1" applyAlignment="1">
      <alignment vertical="center" wrapText="1"/>
    </xf>
    <xf numFmtId="0" fontId="10" fillId="0" borderId="2" xfId="0" applyFont="1" applyBorder="1" applyAlignment="1">
      <alignment horizontal="left" vertical="center" wrapText="1"/>
    </xf>
    <xf numFmtId="164" fontId="10" fillId="0" borderId="22" xfId="1" applyNumberFormat="1" applyFont="1" applyFill="1" applyBorder="1" applyAlignment="1">
      <alignment vertical="center"/>
    </xf>
    <xf numFmtId="0" fontId="10" fillId="8" borderId="37" xfId="0" applyFont="1" applyFill="1" applyBorder="1" applyAlignment="1">
      <alignment horizontal="left" vertical="center" wrapText="1"/>
    </xf>
    <xf numFmtId="164" fontId="10" fillId="3" borderId="22" xfId="1" applyNumberFormat="1" applyFont="1" applyFill="1" applyBorder="1" applyAlignment="1">
      <alignment vertical="center" wrapText="1"/>
    </xf>
    <xf numFmtId="167" fontId="10" fillId="3" borderId="22" xfId="2" applyNumberFormat="1" applyFont="1" applyFill="1" applyBorder="1" applyAlignment="1">
      <alignment vertical="center" wrapText="1"/>
    </xf>
    <xf numFmtId="167" fontId="10" fillId="3" borderId="40" xfId="2" applyNumberFormat="1" applyFont="1" applyFill="1" applyBorder="1" applyAlignment="1">
      <alignment vertical="center" wrapText="1"/>
    </xf>
    <xf numFmtId="0" fontId="11" fillId="4" borderId="41" xfId="0" applyFont="1" applyFill="1" applyBorder="1"/>
    <xf numFmtId="164" fontId="11" fillId="4" borderId="13" xfId="1" applyNumberFormat="1" applyFont="1" applyFill="1" applyBorder="1"/>
    <xf numFmtId="167" fontId="10" fillId="8" borderId="0" xfId="2" applyNumberFormat="1" applyFont="1" applyFill="1"/>
    <xf numFmtId="0" fontId="20" fillId="8" borderId="0" xfId="4" applyFill="1"/>
    <xf numFmtId="0" fontId="20" fillId="8" borderId="0" xfId="4" applyFill="1" applyAlignment="1">
      <alignment horizontal="center"/>
    </xf>
    <xf numFmtId="0" fontId="22" fillId="10" borderId="66" xfId="0" applyFont="1" applyFill="1" applyBorder="1" applyAlignment="1">
      <alignment horizontal="center" vertical="center" wrapText="1"/>
    </xf>
    <xf numFmtId="0" fontId="22" fillId="11" borderId="68" xfId="4" applyFont="1" applyFill="1" applyBorder="1" applyAlignment="1">
      <alignment horizontal="center" vertical="center" wrapText="1"/>
    </xf>
    <xf numFmtId="0" fontId="22" fillId="11" borderId="69" xfId="4" applyFont="1" applyFill="1" applyBorder="1" applyAlignment="1">
      <alignment horizontal="center" vertical="center" wrapText="1"/>
    </xf>
    <xf numFmtId="0" fontId="23" fillId="11" borderId="69" xfId="4" applyFont="1" applyFill="1" applyBorder="1" applyAlignment="1">
      <alignment horizontal="center" vertical="center" wrapText="1"/>
    </xf>
    <xf numFmtId="0" fontId="23" fillId="11" borderId="69" xfId="4" quotePrefix="1" applyFont="1" applyFill="1" applyBorder="1" applyAlignment="1">
      <alignment horizontal="center" vertical="center" wrapText="1"/>
    </xf>
    <xf numFmtId="0" fontId="23" fillId="11" borderId="67" xfId="4" quotePrefix="1" applyFont="1" applyFill="1" applyBorder="1" applyAlignment="1">
      <alignment horizontal="center" vertical="center" wrapText="1"/>
    </xf>
    <xf numFmtId="0" fontId="22" fillId="8" borderId="68" xfId="4" applyFont="1" applyFill="1" applyBorder="1" applyAlignment="1">
      <alignment horizontal="center" vertical="center" wrapText="1"/>
    </xf>
    <xf numFmtId="0" fontId="22" fillId="8" borderId="69" xfId="4" applyFont="1" applyFill="1" applyBorder="1" applyAlignment="1">
      <alignment horizontal="center" vertical="center" wrapText="1"/>
    </xf>
    <xf numFmtId="0" fontId="22" fillId="8" borderId="69" xfId="4" quotePrefix="1" applyFont="1" applyFill="1" applyBorder="1" applyAlignment="1">
      <alignment horizontal="center" vertical="center" wrapText="1"/>
    </xf>
    <xf numFmtId="0" fontId="23" fillId="8" borderId="69" xfId="4" quotePrefix="1" applyFont="1" applyFill="1" applyBorder="1" applyAlignment="1">
      <alignment horizontal="center" vertical="center" wrapText="1"/>
    </xf>
    <xf numFmtId="0" fontId="23" fillId="8" borderId="67" xfId="4" applyFont="1" applyFill="1" applyBorder="1" applyAlignment="1">
      <alignment horizontal="center" vertical="center" wrapText="1"/>
    </xf>
    <xf numFmtId="0" fontId="22" fillId="0" borderId="68" xfId="4" applyFont="1" applyBorder="1" applyAlignment="1">
      <alignment horizontal="center"/>
    </xf>
    <xf numFmtId="0" fontId="22" fillId="0" borderId="69" xfId="4" applyFont="1" applyBorder="1" applyAlignment="1">
      <alignment horizontal="center"/>
    </xf>
    <xf numFmtId="164" fontId="22" fillId="0" borderId="69" xfId="1" applyNumberFormat="1" applyFont="1" applyBorder="1" applyAlignment="1">
      <alignment horizontal="right"/>
    </xf>
    <xf numFmtId="10" fontId="23" fillId="0" borderId="69" xfId="3" applyNumberFormat="1" applyFont="1" applyBorder="1" applyAlignment="1">
      <alignment horizontal="right"/>
    </xf>
    <xf numFmtId="3" fontId="23" fillId="0" borderId="70" xfId="4" applyNumberFormat="1" applyFont="1" applyBorder="1" applyAlignment="1">
      <alignment horizontal="center"/>
    </xf>
    <xf numFmtId="0" fontId="22" fillId="0" borderId="68" xfId="4" applyFont="1" applyBorder="1" applyAlignment="1">
      <alignment horizontal="right"/>
    </xf>
    <xf numFmtId="0" fontId="23" fillId="8" borderId="0" xfId="4" applyFont="1" applyFill="1"/>
    <xf numFmtId="0" fontId="24" fillId="8" borderId="0" xfId="0" applyFont="1" applyFill="1" applyAlignment="1">
      <alignment horizontal="left" vertical="center" readingOrder="1"/>
    </xf>
    <xf numFmtId="0" fontId="3" fillId="4" borderId="71" xfId="0" applyFont="1" applyFill="1" applyBorder="1"/>
    <xf numFmtId="0" fontId="0" fillId="0" borderId="1" xfId="0" applyBorder="1"/>
    <xf numFmtId="0" fontId="0" fillId="0" borderId="2" xfId="0" applyBorder="1"/>
    <xf numFmtId="0" fontId="3" fillId="0" borderId="1" xfId="0" applyFont="1" applyBorder="1" applyAlignment="1">
      <alignment horizontal="center" wrapText="1"/>
    </xf>
    <xf numFmtId="0" fontId="3" fillId="0" borderId="2" xfId="0" applyFont="1" applyBorder="1" applyAlignment="1">
      <alignment horizontal="center" wrapText="1"/>
    </xf>
    <xf numFmtId="0" fontId="3" fillId="0" borderId="32" xfId="0" applyFont="1" applyBorder="1" applyAlignment="1">
      <alignment horizontal="center" wrapText="1"/>
    </xf>
    <xf numFmtId="0" fontId="3" fillId="12" borderId="6" xfId="0" applyFont="1" applyFill="1" applyBorder="1"/>
    <xf numFmtId="0" fontId="0" fillId="12" borderId="0" xfId="0" applyFill="1"/>
    <xf numFmtId="0" fontId="0" fillId="12" borderId="6" xfId="0" applyFill="1" applyBorder="1"/>
    <xf numFmtId="0" fontId="0" fillId="12" borderId="58" xfId="0" applyFill="1" applyBorder="1"/>
    <xf numFmtId="0" fontId="0" fillId="0" borderId="6" xfId="0" applyBorder="1"/>
    <xf numFmtId="167" fontId="0" fillId="0" borderId="6" xfId="2" applyNumberFormat="1" applyFont="1" applyBorder="1"/>
    <xf numFmtId="167" fontId="0" fillId="0" borderId="0" xfId="2" applyNumberFormat="1" applyFont="1" applyBorder="1"/>
    <xf numFmtId="167" fontId="0" fillId="0" borderId="0" xfId="2" applyNumberFormat="1" applyFont="1"/>
    <xf numFmtId="167" fontId="0" fillId="0" borderId="58" xfId="2" applyNumberFormat="1" applyFont="1" applyBorder="1"/>
    <xf numFmtId="0" fontId="3" fillId="0" borderId="33" xfId="0" applyFont="1" applyBorder="1"/>
    <xf numFmtId="167" fontId="3" fillId="0" borderId="35" xfId="0" applyNumberFormat="1" applyFont="1" applyBorder="1"/>
    <xf numFmtId="167" fontId="3" fillId="0" borderId="33" xfId="0" applyNumberFormat="1" applyFont="1" applyBorder="1"/>
    <xf numFmtId="167" fontId="3" fillId="0" borderId="34" xfId="0" applyNumberFormat="1" applyFont="1" applyBorder="1"/>
    <xf numFmtId="167" fontId="3" fillId="0" borderId="6" xfId="2" applyNumberFormat="1" applyFont="1" applyBorder="1"/>
    <xf numFmtId="167" fontId="3" fillId="0" borderId="0" xfId="2" applyNumberFormat="1" applyFont="1"/>
    <xf numFmtId="167" fontId="3" fillId="0" borderId="58" xfId="2" applyNumberFormat="1" applyFont="1" applyBorder="1"/>
    <xf numFmtId="2" fontId="3" fillId="0" borderId="35" xfId="0" applyNumberFormat="1" applyFont="1" applyBorder="1"/>
    <xf numFmtId="2" fontId="3" fillId="0" borderId="33" xfId="0" applyNumberFormat="1" applyFont="1" applyBorder="1"/>
    <xf numFmtId="2" fontId="3" fillId="0" borderId="34" xfId="0" applyNumberFormat="1" applyFont="1" applyBorder="1"/>
    <xf numFmtId="0" fontId="0" fillId="0" borderId="58" xfId="0" applyBorder="1"/>
    <xf numFmtId="167" fontId="3" fillId="0" borderId="35" xfId="2" applyNumberFormat="1" applyFont="1" applyBorder="1"/>
    <xf numFmtId="167" fontId="3" fillId="0" borderId="33" xfId="2" applyNumberFormat="1" applyFont="1" applyBorder="1"/>
    <xf numFmtId="167" fontId="3" fillId="0" borderId="34" xfId="2" applyNumberFormat="1" applyFont="1" applyBorder="1"/>
    <xf numFmtId="0" fontId="0" fillId="0" borderId="11" xfId="0" applyBorder="1"/>
    <xf numFmtId="0" fontId="3" fillId="0" borderId="12" xfId="0" applyFont="1" applyBorder="1"/>
    <xf numFmtId="2" fontId="3" fillId="0" borderId="11" xfId="0" applyNumberFormat="1" applyFont="1" applyBorder="1"/>
    <xf numFmtId="2" fontId="3" fillId="0" borderId="12" xfId="0" applyNumberFormat="1" applyFont="1" applyBorder="1"/>
    <xf numFmtId="2" fontId="3" fillId="0" borderId="43" xfId="0" applyNumberFormat="1" applyFont="1" applyBorder="1"/>
    <xf numFmtId="0" fontId="27" fillId="0" borderId="0" xfId="0" applyFont="1" applyAlignment="1">
      <alignment vertical="center"/>
    </xf>
    <xf numFmtId="0" fontId="0" fillId="7" borderId="17" xfId="0" applyFill="1" applyBorder="1" applyAlignment="1">
      <alignment horizontal="left" vertical="center" wrapText="1"/>
    </xf>
    <xf numFmtId="0" fontId="0" fillId="0" borderId="0" xfId="0" applyAlignment="1">
      <alignment vertical="center"/>
    </xf>
    <xf numFmtId="0" fontId="0" fillId="0" borderId="23" xfId="0" applyBorder="1" applyAlignment="1">
      <alignment vertical="center" wrapText="1"/>
    </xf>
    <xf numFmtId="0" fontId="0" fillId="0" borderId="23" xfId="0" applyBorder="1" applyAlignment="1">
      <alignment horizontal="left" vertical="center" wrapText="1"/>
    </xf>
    <xf numFmtId="0" fontId="0" fillId="0" borderId="24" xfId="0" applyBorder="1" applyAlignment="1">
      <alignment vertical="center" wrapText="1"/>
    </xf>
    <xf numFmtId="0" fontId="0" fillId="0" borderId="24" xfId="0" applyBorder="1" applyAlignment="1">
      <alignment horizontal="left" vertical="center" wrapText="1"/>
    </xf>
    <xf numFmtId="0" fontId="0" fillId="0" borderId="0" xfId="0" applyAlignment="1">
      <alignment vertical="center" wrapText="1"/>
    </xf>
    <xf numFmtId="0" fontId="0" fillId="0" borderId="0" xfId="0" applyAlignment="1">
      <alignment horizontal="left" vertical="center" wrapText="1"/>
    </xf>
    <xf numFmtId="0" fontId="32" fillId="0" borderId="0" xfId="0" applyFont="1" applyAlignment="1">
      <alignment vertical="center"/>
    </xf>
    <xf numFmtId="0" fontId="36" fillId="14" borderId="24" xfId="7" applyFont="1" applyFill="1" applyBorder="1" applyAlignment="1">
      <alignment horizontal="center"/>
    </xf>
    <xf numFmtId="49" fontId="0" fillId="0" borderId="24" xfId="0" applyNumberFormat="1" applyBorder="1"/>
    <xf numFmtId="0" fontId="36" fillId="14" borderId="74" xfId="7" applyFont="1" applyFill="1" applyBorder="1" applyAlignment="1">
      <alignment horizontal="center"/>
    </xf>
    <xf numFmtId="0" fontId="35" fillId="0" borderId="24" xfId="7" applyBorder="1"/>
    <xf numFmtId="0" fontId="3" fillId="0" borderId="24" xfId="0" applyFont="1" applyBorder="1" applyAlignment="1">
      <alignment wrapText="1"/>
    </xf>
    <xf numFmtId="0" fontId="3" fillId="0" borderId="24" xfId="0" applyFont="1" applyBorder="1"/>
    <xf numFmtId="2" fontId="0" fillId="0" borderId="24" xfId="0" applyNumberFormat="1" applyBorder="1"/>
    <xf numFmtId="168" fontId="0" fillId="0" borderId="24" xfId="0" applyNumberFormat="1" applyBorder="1"/>
    <xf numFmtId="0" fontId="0" fillId="15" borderId="24" xfId="0" applyFill="1" applyBorder="1"/>
    <xf numFmtId="168" fontId="0" fillId="15" borderId="24" xfId="0" applyNumberFormat="1" applyFill="1" applyBorder="1"/>
    <xf numFmtId="0" fontId="2" fillId="0" borderId="0" xfId="0" applyFont="1"/>
    <xf numFmtId="169" fontId="0" fillId="0" borderId="0" xfId="0" applyNumberFormat="1"/>
    <xf numFmtId="0" fontId="0" fillId="16" borderId="33" xfId="0" applyFill="1" applyBorder="1" applyAlignment="1" applyProtection="1">
      <alignment horizontal="left" vertical="center"/>
      <protection hidden="1"/>
    </xf>
    <xf numFmtId="0" fontId="0" fillId="16" borderId="33" xfId="0" applyFill="1" applyBorder="1" applyAlignment="1" applyProtection="1">
      <alignment vertical="center"/>
      <protection hidden="1"/>
    </xf>
    <xf numFmtId="0" fontId="0" fillId="16" borderId="46" xfId="0" applyFill="1" applyBorder="1" applyAlignment="1" applyProtection="1">
      <alignment vertical="center"/>
      <protection hidden="1"/>
    </xf>
    <xf numFmtId="169" fontId="0" fillId="12" borderId="61" xfId="0" applyNumberFormat="1" applyFill="1" applyBorder="1" applyAlignment="1" applyProtection="1">
      <alignment vertical="center"/>
      <protection hidden="1"/>
    </xf>
    <xf numFmtId="169" fontId="0" fillId="12" borderId="46" xfId="0" applyNumberFormat="1" applyFill="1" applyBorder="1" applyAlignment="1" applyProtection="1">
      <alignment vertical="center"/>
      <protection hidden="1"/>
    </xf>
    <xf numFmtId="0" fontId="0" fillId="17" borderId="61" xfId="0" applyFill="1" applyBorder="1"/>
    <xf numFmtId="0" fontId="0" fillId="17" borderId="33" xfId="0" applyFill="1" applyBorder="1"/>
    <xf numFmtId="0" fontId="0" fillId="17" borderId="46" xfId="0" applyFill="1" applyBorder="1"/>
    <xf numFmtId="0" fontId="0" fillId="18" borderId="24" xfId="0" applyFill="1" applyBorder="1" applyAlignment="1" applyProtection="1">
      <alignment horizontal="center" vertical="center"/>
      <protection hidden="1"/>
    </xf>
    <xf numFmtId="0" fontId="8" fillId="18" borderId="24" xfId="0" applyFont="1" applyFill="1" applyBorder="1" applyAlignment="1" applyProtection="1">
      <alignment horizontal="center" vertical="center"/>
      <protection hidden="1"/>
    </xf>
    <xf numFmtId="0" fontId="8" fillId="18" borderId="74" xfId="0" applyFont="1" applyFill="1" applyBorder="1" applyAlignment="1" applyProtection="1">
      <alignment horizontal="center" vertical="center"/>
      <protection hidden="1"/>
    </xf>
    <xf numFmtId="169" fontId="8" fillId="19" borderId="24" xfId="0" applyNumberFormat="1" applyFont="1" applyFill="1" applyBorder="1" applyAlignment="1" applyProtection="1">
      <alignment horizontal="center" vertical="center" wrapText="1"/>
      <protection hidden="1"/>
    </xf>
    <xf numFmtId="0" fontId="8" fillId="14" borderId="24" xfId="0" applyFont="1" applyFill="1" applyBorder="1" applyAlignment="1" applyProtection="1">
      <alignment horizontal="center" vertical="center" wrapText="1"/>
      <protection hidden="1"/>
    </xf>
    <xf numFmtId="0" fontId="8" fillId="14" borderId="24" xfId="0" applyFont="1" applyFill="1" applyBorder="1" applyAlignment="1" applyProtection="1">
      <alignment horizontal="center" vertical="center"/>
      <protection hidden="1"/>
    </xf>
    <xf numFmtId="0" fontId="0" fillId="0" borderId="24" xfId="0" applyBorder="1" applyProtection="1">
      <protection hidden="1"/>
    </xf>
    <xf numFmtId="0" fontId="0" fillId="0" borderId="61" xfId="0" applyBorder="1" applyProtection="1">
      <protection hidden="1"/>
    </xf>
    <xf numFmtId="169" fontId="0" fillId="0" borderId="24" xfId="0" applyNumberFormat="1" applyBorder="1"/>
    <xf numFmtId="0" fontId="0" fillId="7" borderId="24" xfId="0" applyFill="1" applyBorder="1" applyProtection="1">
      <protection hidden="1"/>
    </xf>
    <xf numFmtId="0" fontId="0" fillId="7" borderId="61" xfId="0" applyFill="1" applyBorder="1" applyProtection="1">
      <protection hidden="1"/>
    </xf>
    <xf numFmtId="0" fontId="0" fillId="7" borderId="24" xfId="0" applyFill="1" applyBorder="1" applyAlignment="1">
      <alignment horizontal="left" vertical="center" wrapText="1"/>
    </xf>
    <xf numFmtId="1" fontId="3" fillId="7" borderId="46" xfId="0" applyNumberFormat="1" applyFont="1" applyFill="1" applyBorder="1" applyProtection="1">
      <protection hidden="1"/>
    </xf>
    <xf numFmtId="0" fontId="0" fillId="0" borderId="74" xfId="0" applyBorder="1" applyAlignment="1">
      <alignment horizontal="left" vertical="center" wrapText="1"/>
    </xf>
    <xf numFmtId="0" fontId="0" fillId="7" borderId="74" xfId="0" applyFill="1" applyBorder="1" applyAlignment="1">
      <alignment horizontal="left" vertical="center" wrapText="1"/>
    </xf>
    <xf numFmtId="0" fontId="0" fillId="13" borderId="24" xfId="0" applyFill="1" applyBorder="1" applyProtection="1">
      <protection hidden="1"/>
    </xf>
    <xf numFmtId="0" fontId="0" fillId="13" borderId="61" xfId="0" applyFill="1" applyBorder="1" applyProtection="1">
      <protection hidden="1"/>
    </xf>
    <xf numFmtId="0" fontId="0" fillId="13" borderId="24" xfId="0" applyFill="1" applyBorder="1" applyAlignment="1">
      <alignment horizontal="left" vertical="center" wrapText="1"/>
    </xf>
    <xf numFmtId="0" fontId="2" fillId="0" borderId="0" xfId="0" quotePrefix="1" applyFont="1"/>
    <xf numFmtId="44" fontId="0" fillId="0" borderId="0" xfId="2" applyFont="1"/>
    <xf numFmtId="0" fontId="0" fillId="20" borderId="61" xfId="0" applyFill="1" applyBorder="1" applyAlignment="1" applyProtection="1">
      <alignment vertical="center"/>
      <protection hidden="1"/>
    </xf>
    <xf numFmtId="0" fontId="0" fillId="20" borderId="46" xfId="0" applyFill="1" applyBorder="1" applyAlignment="1" applyProtection="1">
      <alignment vertical="center"/>
      <protection hidden="1"/>
    </xf>
    <xf numFmtId="0" fontId="0" fillId="20" borderId="33" xfId="0" applyFill="1" applyBorder="1" applyAlignment="1" applyProtection="1">
      <alignment vertical="center"/>
      <protection hidden="1"/>
    </xf>
    <xf numFmtId="44" fontId="0" fillId="21" borderId="24" xfId="2" applyFont="1" applyFill="1" applyBorder="1" applyAlignment="1" applyProtection="1">
      <alignment horizontal="center" vertical="center"/>
      <protection hidden="1"/>
    </xf>
    <xf numFmtId="44" fontId="0" fillId="21" borderId="61" xfId="2" applyFont="1" applyFill="1" applyBorder="1" applyAlignment="1" applyProtection="1">
      <alignment vertical="center"/>
      <protection hidden="1"/>
    </xf>
    <xf numFmtId="44" fontId="0" fillId="21" borderId="33" xfId="2" applyFont="1" applyFill="1" applyBorder="1" applyAlignment="1" applyProtection="1">
      <alignment vertical="center"/>
      <protection hidden="1"/>
    </xf>
    <xf numFmtId="44" fontId="0" fillId="21" borderId="46" xfId="2" applyFont="1" applyFill="1" applyBorder="1" applyAlignment="1" applyProtection="1">
      <alignment vertical="center"/>
      <protection hidden="1"/>
    </xf>
    <xf numFmtId="44" fontId="8" fillId="22" borderId="61" xfId="2" applyFont="1" applyFill="1" applyBorder="1" applyAlignment="1" applyProtection="1">
      <alignment vertical="center"/>
      <protection hidden="1"/>
    </xf>
    <xf numFmtId="44" fontId="8" fillId="22" borderId="46" xfId="2" applyFont="1" applyFill="1" applyBorder="1" applyAlignment="1" applyProtection="1">
      <alignment vertical="center"/>
      <protection hidden="1"/>
    </xf>
    <xf numFmtId="44" fontId="0" fillId="7" borderId="61" xfId="2" applyFont="1" applyFill="1" applyBorder="1" applyAlignment="1" applyProtection="1">
      <alignment vertical="center"/>
      <protection hidden="1"/>
    </xf>
    <xf numFmtId="44" fontId="0" fillId="7" borderId="33" xfId="2" applyFont="1" applyFill="1" applyBorder="1" applyAlignment="1" applyProtection="1">
      <alignment vertical="center"/>
      <protection hidden="1"/>
    </xf>
    <xf numFmtId="44" fontId="0" fillId="7" borderId="46" xfId="2" applyFont="1" applyFill="1" applyBorder="1" applyAlignment="1" applyProtection="1">
      <alignment vertical="center"/>
      <protection hidden="1"/>
    </xf>
    <xf numFmtId="169" fontId="0" fillId="17" borderId="61" xfId="0" applyNumberFormat="1" applyFill="1" applyBorder="1" applyAlignment="1" applyProtection="1">
      <alignment horizontal="center" vertical="center"/>
      <protection hidden="1"/>
    </xf>
    <xf numFmtId="169" fontId="0" fillId="17" borderId="61" xfId="0" applyNumberFormat="1" applyFill="1" applyBorder="1" applyAlignment="1" applyProtection="1">
      <alignment vertical="center"/>
      <protection hidden="1"/>
    </xf>
    <xf numFmtId="169" fontId="0" fillId="17" borderId="33" xfId="0" applyNumberFormat="1" applyFill="1" applyBorder="1" applyAlignment="1" applyProtection="1">
      <alignment vertical="center"/>
      <protection hidden="1"/>
    </xf>
    <xf numFmtId="169" fontId="0" fillId="17" borderId="46" xfId="0" applyNumberFormat="1" applyFill="1" applyBorder="1" applyAlignment="1" applyProtection="1">
      <alignment vertical="center"/>
      <protection hidden="1"/>
    </xf>
    <xf numFmtId="0" fontId="0" fillId="19" borderId="24" xfId="0" applyFill="1" applyBorder="1" applyAlignment="1" applyProtection="1">
      <alignment horizontal="center" vertical="center" wrapText="1"/>
      <protection hidden="1"/>
    </xf>
    <xf numFmtId="44" fontId="0" fillId="23" borderId="24" xfId="2" applyFont="1" applyFill="1" applyBorder="1" applyAlignment="1" applyProtection="1">
      <alignment horizontal="center" vertical="center" wrapText="1"/>
      <protection hidden="1"/>
    </xf>
    <xf numFmtId="44" fontId="0" fillId="18" borderId="24" xfId="2" applyFont="1" applyFill="1" applyBorder="1" applyAlignment="1" applyProtection="1">
      <alignment horizontal="center" vertical="center" wrapText="1"/>
      <protection hidden="1"/>
    </xf>
    <xf numFmtId="44" fontId="0" fillId="24" borderId="24" xfId="2" applyFont="1" applyFill="1" applyBorder="1" applyAlignment="1" applyProtection="1">
      <alignment horizontal="center" vertical="center" wrapText="1"/>
      <protection hidden="1"/>
    </xf>
    <xf numFmtId="169" fontId="8" fillId="25" borderId="24" xfId="0" applyNumberFormat="1" applyFont="1" applyFill="1" applyBorder="1" applyAlignment="1" applyProtection="1">
      <alignment horizontal="center" vertical="center" wrapText="1"/>
      <protection hidden="1"/>
    </xf>
    <xf numFmtId="169" fontId="0" fillId="25" borderId="24" xfId="0" applyNumberFormat="1" applyFill="1" applyBorder="1" applyAlignment="1" applyProtection="1">
      <alignment horizontal="center" vertical="center" wrapText="1"/>
      <protection hidden="1"/>
    </xf>
    <xf numFmtId="0" fontId="0" fillId="26" borderId="76" xfId="0" applyFill="1" applyBorder="1" applyAlignment="1" applyProtection="1">
      <alignment horizontal="center" vertical="center" wrapText="1"/>
      <protection hidden="1"/>
    </xf>
    <xf numFmtId="44" fontId="0" fillId="23" borderId="24" xfId="0" applyNumberFormat="1" applyFill="1" applyBorder="1" applyAlignment="1" applyProtection="1">
      <alignment horizontal="center" vertical="center" wrapText="1"/>
      <protection hidden="1"/>
    </xf>
    <xf numFmtId="169" fontId="0" fillId="7" borderId="24" xfId="0" applyNumberFormat="1" applyFill="1" applyBorder="1"/>
    <xf numFmtId="9" fontId="43" fillId="0" borderId="24" xfId="3" applyFont="1" applyBorder="1" applyAlignment="1">
      <alignment horizontal="right" vertical="center" wrapText="1"/>
    </xf>
    <xf numFmtId="164" fontId="43" fillId="0" borderId="24" xfId="1" applyNumberFormat="1" applyFont="1" applyBorder="1" applyAlignment="1">
      <alignment horizontal="center" vertical="center" wrapText="1"/>
    </xf>
    <xf numFmtId="9" fontId="43" fillId="0" borderId="27" xfId="3" applyFont="1" applyBorder="1" applyAlignment="1">
      <alignment horizontal="right" vertical="center" wrapText="1"/>
    </xf>
    <xf numFmtId="14" fontId="0" fillId="0" borderId="0" xfId="0" applyNumberFormat="1"/>
    <xf numFmtId="9" fontId="41" fillId="0" borderId="24" xfId="3" applyFont="1" applyBorder="1" applyAlignment="1">
      <alignment horizontal="right" vertical="center" wrapText="1"/>
    </xf>
    <xf numFmtId="164" fontId="41" fillId="0" borderId="74" xfId="1" applyNumberFormat="1" applyFont="1" applyBorder="1" applyAlignment="1">
      <alignment horizontal="center" vertical="center" wrapText="1"/>
    </xf>
    <xf numFmtId="9" fontId="41" fillId="0" borderId="27" xfId="3" applyFont="1" applyBorder="1" applyAlignment="1">
      <alignment horizontal="right" vertical="center" wrapText="1"/>
    </xf>
    <xf numFmtId="0" fontId="0" fillId="2" borderId="24" xfId="0" applyFill="1" applyBorder="1"/>
    <xf numFmtId="164" fontId="47" fillId="0" borderId="24" xfId="1" applyNumberFormat="1" applyFont="1" applyFill="1" applyBorder="1" applyAlignment="1">
      <alignment vertical="center" wrapText="1"/>
    </xf>
    <xf numFmtId="164" fontId="47" fillId="8" borderId="24" xfId="1" applyNumberFormat="1" applyFont="1" applyFill="1" applyBorder="1" applyAlignment="1">
      <alignment horizontal="center" wrapText="1"/>
    </xf>
    <xf numFmtId="164" fontId="47" fillId="8" borderId="24" xfId="1" applyNumberFormat="1" applyFont="1" applyFill="1" applyBorder="1" applyAlignment="1">
      <alignment vertical="center" wrapText="1"/>
    </xf>
    <xf numFmtId="164" fontId="47" fillId="28" borderId="24" xfId="1" applyNumberFormat="1" applyFont="1" applyFill="1" applyBorder="1" applyAlignment="1">
      <alignment vertical="center" wrapText="1"/>
    </xf>
    <xf numFmtId="10" fontId="39" fillId="0" borderId="24" xfId="3" applyNumberFormat="1" applyFont="1" applyBorder="1" applyAlignment="1">
      <alignment horizontal="center" vertical="center"/>
    </xf>
    <xf numFmtId="169" fontId="0" fillId="24" borderId="24" xfId="0" applyNumberFormat="1" applyFill="1" applyBorder="1"/>
    <xf numFmtId="0" fontId="0" fillId="24" borderId="24" xfId="0" applyFill="1" applyBorder="1" applyProtection="1">
      <protection hidden="1"/>
    </xf>
    <xf numFmtId="0" fontId="0" fillId="24" borderId="61" xfId="0" applyFill="1" applyBorder="1" applyProtection="1">
      <protection hidden="1"/>
    </xf>
    <xf numFmtId="0" fontId="0" fillId="24" borderId="24" xfId="0" applyFill="1" applyBorder="1" applyAlignment="1">
      <alignment horizontal="left" vertical="center" wrapText="1"/>
    </xf>
    <xf numFmtId="1" fontId="0" fillId="24" borderId="46" xfId="0" applyNumberFormat="1" applyFill="1" applyBorder="1" applyProtection="1">
      <protection hidden="1"/>
    </xf>
    <xf numFmtId="0" fontId="0" fillId="24" borderId="46" xfId="0" applyFill="1" applyBorder="1" applyProtection="1">
      <protection hidden="1"/>
    </xf>
    <xf numFmtId="44" fontId="8" fillId="24" borderId="24" xfId="2" applyFont="1" applyFill="1" applyBorder="1" applyProtection="1">
      <protection hidden="1"/>
    </xf>
    <xf numFmtId="44" fontId="8" fillId="24" borderId="24" xfId="2" applyFont="1" applyFill="1" applyBorder="1" applyProtection="1">
      <protection locked="0"/>
    </xf>
    <xf numFmtId="169" fontId="8" fillId="24" borderId="24" xfId="0" applyNumberFormat="1" applyFont="1" applyFill="1" applyBorder="1"/>
    <xf numFmtId="169" fontId="0" fillId="24" borderId="46" xfId="0" applyNumberFormat="1" applyFill="1" applyBorder="1" applyProtection="1">
      <protection hidden="1"/>
    </xf>
    <xf numFmtId="169" fontId="0" fillId="24" borderId="46" xfId="0" applyNumberFormat="1" applyFill="1" applyBorder="1"/>
    <xf numFmtId="169" fontId="0" fillId="0" borderId="46" xfId="0" applyNumberFormat="1" applyBorder="1"/>
    <xf numFmtId="0" fontId="8" fillId="18" borderId="10" xfId="0" applyFont="1" applyFill="1" applyBorder="1" applyAlignment="1" applyProtection="1">
      <alignment horizontal="center" vertical="center"/>
      <protection hidden="1"/>
    </xf>
    <xf numFmtId="0" fontId="8" fillId="18" borderId="8" xfId="0" applyFont="1" applyFill="1" applyBorder="1" applyAlignment="1" applyProtection="1">
      <alignment horizontal="center" vertical="center"/>
      <protection hidden="1"/>
    </xf>
    <xf numFmtId="0" fontId="0" fillId="19" borderId="8" xfId="0" applyFill="1" applyBorder="1" applyAlignment="1" applyProtection="1">
      <alignment horizontal="center" vertical="center" wrapText="1"/>
      <protection hidden="1"/>
    </xf>
    <xf numFmtId="44" fontId="0" fillId="23" borderId="8" xfId="0" applyNumberFormat="1" applyFill="1" applyBorder="1" applyAlignment="1" applyProtection="1">
      <alignment horizontal="center" vertical="center" wrapText="1"/>
      <protection hidden="1"/>
    </xf>
    <xf numFmtId="44" fontId="0" fillId="18" borderId="8" xfId="2" applyFont="1" applyFill="1" applyBorder="1" applyAlignment="1" applyProtection="1">
      <alignment horizontal="center" vertical="center" wrapText="1"/>
      <protection hidden="1"/>
    </xf>
    <xf numFmtId="44" fontId="0" fillId="24" borderId="8" xfId="2" applyFont="1" applyFill="1" applyBorder="1" applyAlignment="1" applyProtection="1">
      <alignment horizontal="center" vertical="center" wrapText="1"/>
      <protection hidden="1"/>
    </xf>
    <xf numFmtId="169" fontId="8" fillId="25" borderId="8" xfId="0" applyNumberFormat="1" applyFont="1" applyFill="1" applyBorder="1" applyAlignment="1" applyProtection="1">
      <alignment horizontal="center" vertical="center" wrapText="1"/>
      <protection hidden="1"/>
    </xf>
    <xf numFmtId="0" fontId="0" fillId="24" borderId="77" xfId="0" applyFill="1" applyBorder="1" applyProtection="1">
      <protection hidden="1"/>
    </xf>
    <xf numFmtId="0" fontId="0" fillId="24" borderId="78" xfId="0" applyFill="1" applyBorder="1" applyProtection="1">
      <protection hidden="1"/>
    </xf>
    <xf numFmtId="44" fontId="8" fillId="22" borderId="33" xfId="2" applyFont="1" applyFill="1" applyBorder="1" applyAlignment="1" applyProtection="1">
      <alignment vertical="center"/>
      <protection hidden="1"/>
    </xf>
    <xf numFmtId="0" fontId="5" fillId="3" borderId="65" xfId="0" applyFont="1" applyFill="1" applyBorder="1" applyAlignment="1">
      <alignment horizontal="center" vertical="center" wrapText="1"/>
    </xf>
    <xf numFmtId="0" fontId="0" fillId="0" borderId="79" xfId="0" applyBorder="1" applyAlignment="1">
      <alignment wrapText="1"/>
    </xf>
    <xf numFmtId="0" fontId="0" fillId="8" borderId="0" xfId="0" applyFill="1" applyAlignment="1">
      <alignment horizontal="center" vertical="center" wrapText="1"/>
    </xf>
    <xf numFmtId="0" fontId="5" fillId="3" borderId="40" xfId="0" applyFont="1" applyFill="1" applyBorder="1" applyAlignment="1">
      <alignment horizontal="center" vertical="center" wrapText="1"/>
    </xf>
    <xf numFmtId="0" fontId="34" fillId="2" borderId="28" xfId="0" applyFont="1" applyFill="1" applyBorder="1" applyAlignment="1">
      <alignment horizontal="center" vertical="center"/>
    </xf>
    <xf numFmtId="0" fontId="34" fillId="2" borderId="24" xfId="0" applyFont="1" applyFill="1" applyBorder="1" applyAlignment="1">
      <alignment horizontal="center" vertical="center"/>
    </xf>
    <xf numFmtId="0" fontId="34" fillId="2" borderId="27" xfId="0" applyFont="1" applyFill="1" applyBorder="1" applyAlignment="1">
      <alignment horizontal="center" vertical="center"/>
    </xf>
    <xf numFmtId="0" fontId="5" fillId="3" borderId="1" xfId="0" applyFont="1" applyFill="1" applyBorder="1" applyAlignment="1">
      <alignment horizontal="center" vertical="center" wrapText="1"/>
    </xf>
    <xf numFmtId="0" fontId="0" fillId="8" borderId="0" xfId="0" applyFill="1"/>
    <xf numFmtId="164" fontId="5" fillId="3" borderId="0" xfId="1" applyNumberFormat="1" applyFont="1" applyFill="1" applyBorder="1" applyAlignment="1">
      <alignment horizontal="center" vertical="center" wrapText="1"/>
    </xf>
    <xf numFmtId="0" fontId="5" fillId="3" borderId="73" xfId="0" applyFont="1" applyFill="1" applyBorder="1" applyAlignment="1">
      <alignment horizontal="center" vertical="center" wrapText="1"/>
    </xf>
    <xf numFmtId="0" fontId="0" fillId="0" borderId="24" xfId="0" applyBorder="1" applyAlignment="1">
      <alignment wrapText="1"/>
    </xf>
    <xf numFmtId="0" fontId="0" fillId="0" borderId="0" xfId="0" applyAlignment="1">
      <alignment wrapText="1"/>
    </xf>
    <xf numFmtId="0" fontId="5" fillId="3" borderId="57" xfId="0" applyFont="1" applyFill="1" applyBorder="1" applyAlignment="1">
      <alignment horizontal="center" vertical="center" wrapText="1"/>
    </xf>
    <xf numFmtId="164" fontId="5" fillId="3" borderId="76" xfId="1" applyNumberFormat="1" applyFont="1" applyFill="1" applyBorder="1" applyAlignment="1">
      <alignment horizontal="center" vertical="center" wrapText="1"/>
    </xf>
    <xf numFmtId="164" fontId="5" fillId="3" borderId="56" xfId="1" applyNumberFormat="1" applyFont="1" applyFill="1" applyBorder="1" applyAlignment="1">
      <alignment horizontal="center" vertical="center" wrapText="1"/>
    </xf>
    <xf numFmtId="164" fontId="0" fillId="0" borderId="0" xfId="0" applyNumberFormat="1"/>
    <xf numFmtId="0" fontId="5" fillId="3" borderId="23" xfId="0" applyFont="1" applyFill="1" applyBorder="1" applyAlignment="1">
      <alignment horizontal="center" vertical="center" wrapText="1"/>
    </xf>
    <xf numFmtId="0" fontId="51" fillId="0" borderId="0" xfId="0" applyFont="1"/>
    <xf numFmtId="164" fontId="0" fillId="0" borderId="28" xfId="1" applyNumberFormat="1" applyFont="1" applyFill="1" applyBorder="1" applyAlignment="1">
      <alignment wrapText="1"/>
    </xf>
    <xf numFmtId="0" fontId="0" fillId="8" borderId="79" xfId="0" applyFill="1" applyBorder="1" applyAlignment="1">
      <alignment wrapText="1"/>
    </xf>
    <xf numFmtId="0" fontId="47" fillId="0" borderId="22" xfId="0" applyFont="1" applyBorder="1" applyAlignment="1">
      <alignment vertical="center"/>
    </xf>
    <xf numFmtId="164" fontId="47" fillId="0" borderId="23" xfId="1" applyNumberFormat="1" applyFont="1" applyFill="1" applyBorder="1" applyAlignment="1">
      <alignment horizontal="right" vertical="center" wrapText="1"/>
    </xf>
    <xf numFmtId="164" fontId="47" fillId="0" borderId="23" xfId="1" applyNumberFormat="1" applyFont="1" applyBorder="1" applyAlignment="1">
      <alignment horizontal="right" vertical="center"/>
    </xf>
    <xf numFmtId="10" fontId="47" fillId="0" borderId="40" xfId="3" applyNumberFormat="1" applyFont="1" applyBorder="1" applyAlignment="1">
      <alignment horizontal="right" vertical="center"/>
    </xf>
    <xf numFmtId="0" fontId="47" fillId="0" borderId="28" xfId="0" applyFont="1" applyBorder="1" applyAlignment="1">
      <alignment vertical="center"/>
    </xf>
    <xf numFmtId="164" fontId="47" fillId="0" borderId="24" xfId="1" applyNumberFormat="1" applyFont="1" applyFill="1" applyBorder="1" applyAlignment="1">
      <alignment horizontal="right" vertical="center" wrapText="1"/>
    </xf>
    <xf numFmtId="164" fontId="47" fillId="0" borderId="24" xfId="1" applyNumberFormat="1" applyFont="1" applyBorder="1" applyAlignment="1">
      <alignment horizontal="right" vertical="center"/>
    </xf>
    <xf numFmtId="10" fontId="47" fillId="0" borderId="27" xfId="3" applyNumberFormat="1" applyFont="1" applyBorder="1" applyAlignment="1">
      <alignment horizontal="right" vertical="center"/>
    </xf>
    <xf numFmtId="164" fontId="47" fillId="0" borderId="24" xfId="1" applyNumberFormat="1" applyFont="1" applyFill="1" applyBorder="1" applyAlignment="1">
      <alignment horizontal="center" vertical="center" wrapText="1"/>
    </xf>
    <xf numFmtId="164" fontId="47" fillId="0" borderId="24" xfId="1" applyNumberFormat="1" applyFont="1" applyBorder="1" applyAlignment="1">
      <alignment horizontal="center" vertical="center"/>
    </xf>
    <xf numFmtId="0" fontId="39" fillId="7" borderId="28" xfId="0" applyFont="1" applyFill="1" applyBorder="1" applyAlignment="1">
      <alignment vertical="center"/>
    </xf>
    <xf numFmtId="164" fontId="47" fillId="7" borderId="24" xfId="1" applyNumberFormat="1" applyFont="1" applyFill="1" applyBorder="1" applyAlignment="1">
      <alignment horizontal="center" vertical="center" wrapText="1"/>
    </xf>
    <xf numFmtId="164" fontId="47" fillId="7" borderId="24" xfId="1" applyNumberFormat="1" applyFont="1" applyFill="1" applyBorder="1" applyAlignment="1">
      <alignment horizontal="center" vertical="center"/>
    </xf>
    <xf numFmtId="10" fontId="47" fillId="7" borderId="27" xfId="3" applyNumberFormat="1" applyFont="1" applyFill="1" applyBorder="1" applyAlignment="1">
      <alignment horizontal="right" vertical="center"/>
    </xf>
    <xf numFmtId="0" fontId="39" fillId="0" borderId="28" xfId="0" applyFont="1" applyBorder="1" applyAlignment="1">
      <alignment vertical="center"/>
    </xf>
    <xf numFmtId="164" fontId="47" fillId="0" borderId="24" xfId="1" applyNumberFormat="1" applyFont="1" applyFill="1" applyBorder="1" applyAlignment="1">
      <alignment horizontal="right" vertical="center"/>
    </xf>
    <xf numFmtId="10" fontId="47" fillId="0" borderId="27" xfId="3" applyNumberFormat="1" applyFont="1" applyFill="1" applyBorder="1" applyAlignment="1">
      <alignment horizontal="right" vertical="center"/>
    </xf>
    <xf numFmtId="0" fontId="47" fillId="30" borderId="18" xfId="0" applyFont="1" applyFill="1" applyBorder="1" applyAlignment="1">
      <alignment vertical="center" wrapText="1"/>
    </xf>
    <xf numFmtId="164" fontId="39" fillId="30" borderId="17" xfId="1" applyNumberFormat="1" applyFont="1" applyFill="1" applyBorder="1" applyAlignment="1">
      <alignment horizontal="right" vertical="center" wrapText="1"/>
    </xf>
    <xf numFmtId="10" fontId="39" fillId="30" borderId="19" xfId="3" applyNumberFormat="1" applyFont="1" applyFill="1" applyBorder="1" applyAlignment="1">
      <alignment horizontal="right" vertical="center" wrapText="1"/>
    </xf>
    <xf numFmtId="0" fontId="52" fillId="3" borderId="23" xfId="0" applyFont="1" applyFill="1" applyBorder="1" applyAlignment="1">
      <alignment horizontal="center" vertical="center" wrapText="1"/>
    </xf>
    <xf numFmtId="0" fontId="52" fillId="3" borderId="40" xfId="0" applyFont="1" applyFill="1" applyBorder="1" applyAlignment="1">
      <alignment horizontal="center" vertical="center" wrapText="1"/>
    </xf>
    <xf numFmtId="0" fontId="39" fillId="0" borderId="28" xfId="0" applyFont="1" applyBorder="1" applyAlignment="1">
      <alignment vertical="center" wrapText="1"/>
    </xf>
    <xf numFmtId="0" fontId="39" fillId="0" borderId="73" xfId="0" applyFont="1" applyBorder="1" applyAlignment="1">
      <alignment vertical="center" wrapText="1"/>
    </xf>
    <xf numFmtId="0" fontId="0" fillId="32" borderId="0" xfId="0" applyFill="1"/>
    <xf numFmtId="166" fontId="40" fillId="32" borderId="23" xfId="2" applyNumberFormat="1" applyFont="1" applyFill="1" applyBorder="1" applyAlignment="1">
      <alignment horizontal="left" vertical="center" indent="2"/>
    </xf>
    <xf numFmtId="166" fontId="40" fillId="32" borderId="23" xfId="2" applyNumberFormat="1" applyFont="1" applyFill="1" applyBorder="1" applyAlignment="1">
      <alignment horizontal="left" vertical="center" wrapText="1" indent="2"/>
    </xf>
    <xf numFmtId="166" fontId="40" fillId="32" borderId="24" xfId="2" applyNumberFormat="1" applyFont="1" applyFill="1" applyBorder="1" applyAlignment="1">
      <alignment horizontal="left" vertical="center" indent="2"/>
    </xf>
    <xf numFmtId="166" fontId="40" fillId="32" borderId="24" xfId="2" applyNumberFormat="1" applyFont="1" applyFill="1" applyBorder="1" applyAlignment="1">
      <alignment horizontal="left" vertical="center" wrapText="1" indent="2"/>
    </xf>
    <xf numFmtId="166" fontId="40" fillId="32" borderId="14" xfId="2" applyNumberFormat="1" applyFont="1" applyFill="1" applyBorder="1" applyAlignment="1">
      <alignment horizontal="left" vertical="center" indent="2"/>
    </xf>
    <xf numFmtId="164" fontId="0" fillId="0" borderId="74" xfId="1" applyNumberFormat="1" applyFont="1" applyFill="1" applyBorder="1"/>
    <xf numFmtId="164" fontId="47" fillId="8" borderId="0" xfId="1" applyNumberFormat="1" applyFont="1" applyFill="1" applyBorder="1" applyAlignment="1">
      <alignment vertical="center" wrapText="1"/>
    </xf>
    <xf numFmtId="164" fontId="47" fillId="0" borderId="0" xfId="1" applyNumberFormat="1" applyFont="1" applyFill="1" applyBorder="1" applyAlignment="1">
      <alignment vertical="center" wrapText="1"/>
    </xf>
    <xf numFmtId="10" fontId="39" fillId="0" borderId="0" xfId="0" applyNumberFormat="1" applyFont="1" applyAlignment="1">
      <alignment horizontal="center" vertical="center"/>
    </xf>
    <xf numFmtId="10" fontId="39" fillId="0" borderId="0" xfId="3" applyNumberFormat="1" applyFont="1" applyBorder="1" applyAlignment="1">
      <alignment horizontal="center" vertical="center"/>
    </xf>
    <xf numFmtId="0" fontId="22" fillId="0" borderId="0" xfId="4" applyFont="1" applyAlignment="1">
      <alignment horizontal="center"/>
    </xf>
    <xf numFmtId="164" fontId="22" fillId="0" borderId="0" xfId="1" applyNumberFormat="1" applyFont="1" applyBorder="1" applyAlignment="1">
      <alignment horizontal="right"/>
    </xf>
    <xf numFmtId="10" fontId="22" fillId="0" borderId="0" xfId="1" applyNumberFormat="1" applyFont="1" applyBorder="1" applyAlignment="1">
      <alignment horizontal="right"/>
    </xf>
    <xf numFmtId="43" fontId="22" fillId="0" borderId="0" xfId="1" applyFont="1" applyBorder="1" applyAlignment="1">
      <alignment horizontal="right"/>
    </xf>
    <xf numFmtId="10" fontId="23" fillId="0" borderId="0" xfId="1" applyNumberFormat="1" applyFont="1" applyBorder="1" applyAlignment="1">
      <alignment horizontal="right"/>
    </xf>
    <xf numFmtId="43" fontId="23" fillId="0" borderId="0" xfId="1" applyFont="1" applyBorder="1" applyAlignment="1">
      <alignment horizontal="center"/>
    </xf>
    <xf numFmtId="0" fontId="22" fillId="11" borderId="82" xfId="4" applyFont="1" applyFill="1" applyBorder="1" applyAlignment="1">
      <alignment horizontal="center" vertical="center" wrapText="1"/>
    </xf>
    <xf numFmtId="0" fontId="22" fillId="11" borderId="83" xfId="4" applyFont="1" applyFill="1" applyBorder="1" applyAlignment="1">
      <alignment horizontal="center" vertical="center" wrapText="1"/>
    </xf>
    <xf numFmtId="0" fontId="22" fillId="11" borderId="84" xfId="4" applyFont="1" applyFill="1" applyBorder="1" applyAlignment="1">
      <alignment horizontal="center" vertical="center" wrapText="1"/>
    </xf>
    <xf numFmtId="0" fontId="22" fillId="10" borderId="85" xfId="0" applyFont="1" applyFill="1" applyBorder="1" applyAlignment="1">
      <alignment horizontal="center" vertical="center" wrapText="1"/>
    </xf>
    <xf numFmtId="0" fontId="23" fillId="11" borderId="83" xfId="4" applyFont="1" applyFill="1" applyBorder="1" applyAlignment="1">
      <alignment horizontal="center" vertical="center" wrapText="1"/>
    </xf>
    <xf numFmtId="0" fontId="23" fillId="11" borderId="86" xfId="4" applyFont="1" applyFill="1" applyBorder="1" applyAlignment="1">
      <alignment horizontal="center" vertical="center" wrapText="1"/>
    </xf>
    <xf numFmtId="0" fontId="22" fillId="0" borderId="6" xfId="4" applyFont="1" applyBorder="1" applyAlignment="1">
      <alignment horizontal="center"/>
    </xf>
    <xf numFmtId="43" fontId="23" fillId="0" borderId="58" xfId="1" applyFont="1" applyBorder="1" applyAlignment="1">
      <alignment horizontal="center"/>
    </xf>
    <xf numFmtId="0" fontId="22" fillId="0" borderId="11" xfId="4" applyFont="1" applyBorder="1" applyAlignment="1">
      <alignment horizontal="center"/>
    </xf>
    <xf numFmtId="0" fontId="22" fillId="0" borderId="12" xfId="4" applyFont="1" applyBorder="1" applyAlignment="1">
      <alignment horizontal="center"/>
    </xf>
    <xf numFmtId="164" fontId="22" fillId="0" borderId="12" xfId="1" applyNumberFormat="1" applyFont="1" applyBorder="1" applyAlignment="1">
      <alignment horizontal="right"/>
    </xf>
    <xf numFmtId="10" fontId="22" fillId="0" borderId="12" xfId="1" applyNumberFormat="1" applyFont="1" applyBorder="1" applyAlignment="1">
      <alignment horizontal="right"/>
    </xf>
    <xf numFmtId="43" fontId="22" fillId="0" borderId="12" xfId="1" applyFont="1" applyBorder="1" applyAlignment="1">
      <alignment horizontal="right"/>
    </xf>
    <xf numFmtId="10" fontId="23" fillId="0" borderId="12" xfId="1" applyNumberFormat="1" applyFont="1" applyBorder="1" applyAlignment="1">
      <alignment horizontal="right"/>
    </xf>
    <xf numFmtId="43" fontId="23" fillId="0" borderId="43" xfId="1" applyFont="1" applyBorder="1" applyAlignment="1">
      <alignment horizontal="center"/>
    </xf>
    <xf numFmtId="10" fontId="22" fillId="0" borderId="69" xfId="1" applyNumberFormat="1" applyFont="1" applyBorder="1" applyAlignment="1">
      <alignment horizontal="right"/>
    </xf>
    <xf numFmtId="43" fontId="22" fillId="0" borderId="69" xfId="1" applyFont="1" applyBorder="1" applyAlignment="1">
      <alignment horizontal="right"/>
    </xf>
    <xf numFmtId="10" fontId="23" fillId="0" borderId="69" xfId="1" applyNumberFormat="1" applyFont="1" applyBorder="1" applyAlignment="1">
      <alignment horizontal="right"/>
    </xf>
    <xf numFmtId="43" fontId="23" fillId="0" borderId="70" xfId="1" applyFont="1" applyBorder="1" applyAlignment="1">
      <alignment horizontal="center"/>
    </xf>
    <xf numFmtId="3" fontId="0" fillId="0" borderId="0" xfId="0" applyNumberFormat="1" applyAlignment="1">
      <alignment wrapText="1"/>
    </xf>
    <xf numFmtId="0" fontId="0" fillId="0" borderId="27" xfId="0" applyBorder="1" applyAlignment="1">
      <alignment horizontal="center" vertical="center" wrapText="1"/>
    </xf>
    <xf numFmtId="0" fontId="0" fillId="0" borderId="87" xfId="0" applyBorder="1" applyAlignment="1">
      <alignment wrapText="1"/>
    </xf>
    <xf numFmtId="3" fontId="0" fillId="0" borderId="73" xfId="0" applyNumberFormat="1" applyBorder="1" applyAlignment="1">
      <alignment wrapText="1"/>
    </xf>
    <xf numFmtId="9" fontId="0" fillId="0" borderId="46" xfId="0" applyNumberFormat="1" applyBorder="1" applyAlignment="1">
      <alignment wrapText="1"/>
    </xf>
    <xf numFmtId="9" fontId="0" fillId="0" borderId="46" xfId="1" applyNumberFormat="1" applyFont="1" applyFill="1" applyBorder="1" applyAlignment="1">
      <alignment wrapText="1"/>
    </xf>
    <xf numFmtId="0" fontId="0" fillId="0" borderId="88" xfId="0" applyBorder="1"/>
    <xf numFmtId="0" fontId="0" fillId="0" borderId="89" xfId="0" applyBorder="1"/>
    <xf numFmtId="0" fontId="0" fillId="0" borderId="90" xfId="0" applyBorder="1"/>
    <xf numFmtId="0" fontId="0" fillId="0" borderId="91" xfId="0" applyBorder="1"/>
    <xf numFmtId="0" fontId="0" fillId="0" borderId="92" xfId="0" applyBorder="1"/>
    <xf numFmtId="0" fontId="0" fillId="0" borderId="93" xfId="0" applyBorder="1"/>
    <xf numFmtId="0" fontId="0" fillId="0" borderId="94" xfId="0" applyBorder="1"/>
    <xf numFmtId="0" fontId="0" fillId="0" borderId="95" xfId="0" applyBorder="1"/>
    <xf numFmtId="0" fontId="0" fillId="0" borderId="96" xfId="0" applyBorder="1"/>
    <xf numFmtId="0" fontId="0" fillId="0" borderId="97" xfId="0" applyBorder="1"/>
    <xf numFmtId="0" fontId="0" fillId="0" borderId="98" xfId="0" applyBorder="1" applyAlignment="1">
      <alignment wrapText="1"/>
    </xf>
    <xf numFmtId="0" fontId="0" fillId="0" borderId="99" xfId="0" applyBorder="1" applyAlignment="1">
      <alignment wrapText="1"/>
    </xf>
    <xf numFmtId="0" fontId="0" fillId="0" borderId="88" xfId="0" applyBorder="1" applyAlignment="1">
      <alignment wrapText="1"/>
    </xf>
    <xf numFmtId="169" fontId="0" fillId="17" borderId="61" xfId="0" applyNumberFormat="1" applyFill="1" applyBorder="1" applyAlignment="1" applyProtection="1">
      <alignment horizontal="center" vertical="center" wrapText="1"/>
      <protection hidden="1"/>
    </xf>
    <xf numFmtId="169" fontId="54" fillId="25" borderId="24" xfId="0" applyNumberFormat="1" applyFont="1" applyFill="1" applyBorder="1" applyAlignment="1" applyProtection="1">
      <alignment horizontal="center" vertical="center" wrapText="1"/>
      <protection hidden="1"/>
    </xf>
    <xf numFmtId="169" fontId="53" fillId="32" borderId="24" xfId="2" applyNumberFormat="1" applyFont="1" applyFill="1" applyBorder="1" applyAlignment="1">
      <alignment horizontal="center" vertical="center"/>
    </xf>
    <xf numFmtId="169" fontId="53" fillId="32" borderId="24" xfId="3" applyNumberFormat="1" applyFont="1" applyFill="1" applyBorder="1" applyAlignment="1">
      <alignment horizontal="center" vertical="center"/>
    </xf>
    <xf numFmtId="0" fontId="0" fillId="24" borderId="24" xfId="0" applyFill="1" applyBorder="1"/>
    <xf numFmtId="0" fontId="0" fillId="7" borderId="24" xfId="0" applyFill="1" applyBorder="1"/>
    <xf numFmtId="44" fontId="0" fillId="0" borderId="24" xfId="2" applyFont="1" applyBorder="1"/>
    <xf numFmtId="0" fontId="0" fillId="0" borderId="45" xfId="0" applyBorder="1"/>
    <xf numFmtId="0" fontId="11" fillId="4" borderId="1" xfId="0" applyFont="1" applyFill="1" applyBorder="1" applyAlignment="1">
      <alignment horizontal="center" vertical="center"/>
    </xf>
    <xf numFmtId="0" fontId="3" fillId="0" borderId="0" xfId="0" applyFont="1"/>
    <xf numFmtId="0" fontId="11" fillId="4" borderId="20" xfId="0" applyFont="1" applyFill="1" applyBorder="1" applyAlignment="1">
      <alignment horizontal="center" vertical="center"/>
    </xf>
    <xf numFmtId="0" fontId="56" fillId="34" borderId="88" xfId="0" applyFont="1" applyFill="1" applyBorder="1"/>
    <xf numFmtId="166" fontId="10" fillId="8" borderId="88" xfId="2" applyNumberFormat="1" applyFont="1" applyFill="1" applyBorder="1" applyAlignment="1">
      <alignment vertical="center"/>
    </xf>
    <xf numFmtId="164" fontId="10" fillId="8" borderId="88" xfId="1" applyNumberFormat="1" applyFont="1" applyFill="1" applyBorder="1" applyAlignment="1">
      <alignment vertical="center"/>
    </xf>
    <xf numFmtId="166" fontId="10" fillId="8" borderId="90" xfId="2" applyNumberFormat="1" applyFont="1" applyFill="1" applyBorder="1" applyAlignment="1">
      <alignment vertical="center"/>
    </xf>
    <xf numFmtId="166" fontId="10" fillId="8" borderId="102" xfId="2" applyNumberFormat="1" applyFont="1" applyFill="1" applyBorder="1" applyAlignment="1">
      <alignment vertical="center"/>
    </xf>
    <xf numFmtId="164" fontId="10" fillId="8" borderId="102" xfId="1" applyNumberFormat="1" applyFont="1" applyFill="1" applyBorder="1" applyAlignment="1">
      <alignment vertical="center"/>
    </xf>
    <xf numFmtId="166" fontId="10" fillId="8" borderId="103" xfId="2" applyNumberFormat="1" applyFont="1" applyFill="1" applyBorder="1" applyAlignment="1">
      <alignment vertical="center"/>
    </xf>
    <xf numFmtId="0" fontId="56" fillId="34" borderId="108" xfId="0" applyFont="1" applyFill="1" applyBorder="1"/>
    <xf numFmtId="0" fontId="56" fillId="34" borderId="104" xfId="0" applyFont="1" applyFill="1" applyBorder="1"/>
    <xf numFmtId="0" fontId="56" fillId="34" borderId="105" xfId="0" applyFont="1" applyFill="1" applyBorder="1"/>
    <xf numFmtId="0" fontId="56" fillId="34" borderId="109" xfId="0" applyFont="1" applyFill="1" applyBorder="1"/>
    <xf numFmtId="166" fontId="10" fillId="8" borderId="105" xfId="2" applyNumberFormat="1" applyFont="1" applyFill="1" applyBorder="1" applyAlignment="1">
      <alignment vertical="center"/>
    </xf>
    <xf numFmtId="164" fontId="10" fillId="8" borderId="105" xfId="1" applyNumberFormat="1" applyFont="1" applyFill="1" applyBorder="1" applyAlignment="1">
      <alignment vertical="center"/>
    </xf>
    <xf numFmtId="166" fontId="10" fillId="8" borderId="106" xfId="2" applyNumberFormat="1" applyFont="1" applyFill="1" applyBorder="1" applyAlignment="1">
      <alignment vertical="center"/>
    </xf>
    <xf numFmtId="0" fontId="56" fillId="34" borderId="89" xfId="0" applyFont="1" applyFill="1" applyBorder="1"/>
    <xf numFmtId="0" fontId="12" fillId="35" borderId="1" xfId="0" applyFont="1" applyFill="1" applyBorder="1" applyAlignment="1">
      <alignment horizontal="center" vertical="center" wrapText="1"/>
    </xf>
    <xf numFmtId="0" fontId="12" fillId="35" borderId="2" xfId="0" applyFont="1" applyFill="1" applyBorder="1" applyAlignment="1">
      <alignment horizontal="center" vertical="center" wrapText="1"/>
    </xf>
    <xf numFmtId="169" fontId="54" fillId="24" borderId="24" xfId="0" applyNumberFormat="1" applyFont="1" applyFill="1" applyBorder="1"/>
    <xf numFmtId="169" fontId="54" fillId="10" borderId="24" xfId="0" applyNumberFormat="1" applyFont="1" applyFill="1" applyBorder="1"/>
    <xf numFmtId="169" fontId="54" fillId="0" borderId="24" xfId="0" applyNumberFormat="1" applyFont="1" applyBorder="1"/>
    <xf numFmtId="169" fontId="54" fillId="0" borderId="24" xfId="0" applyNumberFormat="1" applyFont="1" applyBorder="1" applyAlignment="1">
      <alignment wrapText="1"/>
    </xf>
    <xf numFmtId="0" fontId="54" fillId="24" borderId="74" xfId="0" applyFont="1" applyFill="1" applyBorder="1" applyProtection="1">
      <protection hidden="1"/>
    </xf>
    <xf numFmtId="0" fontId="54" fillId="0" borderId="21" xfId="0" applyFont="1" applyBorder="1" applyAlignment="1">
      <alignment horizontal="left" vertical="center" wrapText="1"/>
    </xf>
    <xf numFmtId="0" fontId="54" fillId="0" borderId="26" xfId="0" applyFont="1" applyBorder="1"/>
    <xf numFmtId="0" fontId="54" fillId="0" borderId="26" xfId="0" applyFont="1" applyBorder="1" applyAlignment="1">
      <alignment vertical="center" wrapText="1"/>
    </xf>
    <xf numFmtId="0" fontId="54" fillId="0" borderId="29" xfId="0" applyFont="1" applyBorder="1"/>
    <xf numFmtId="0" fontId="54" fillId="6" borderId="29" xfId="0" applyFont="1" applyFill="1" applyBorder="1"/>
    <xf numFmtId="0" fontId="54" fillId="0" borderId="26" xfId="0" applyFont="1" applyBorder="1" applyAlignment="1">
      <alignment horizontal="left" vertical="center" wrapText="1"/>
    </xf>
    <xf numFmtId="0" fontId="54" fillId="3" borderId="3" xfId="0" applyFont="1" applyFill="1" applyBorder="1" applyAlignment="1">
      <alignment vertical="center" wrapText="1"/>
    </xf>
    <xf numFmtId="0" fontId="54" fillId="3" borderId="4" xfId="0" applyFont="1" applyFill="1" applyBorder="1" applyAlignment="1">
      <alignment vertical="center" wrapText="1"/>
    </xf>
    <xf numFmtId="0" fontId="58" fillId="0" borderId="21" xfId="0" applyFont="1" applyBorder="1" applyAlignment="1">
      <alignment horizontal="left" vertical="center" wrapText="1"/>
    </xf>
    <xf numFmtId="0" fontId="58" fillId="0" borderId="29" xfId="0" applyFont="1" applyBorder="1"/>
    <xf numFmtId="0" fontId="58" fillId="0" borderId="29" xfId="0" applyFont="1" applyBorder="1" applyAlignment="1">
      <alignment horizontal="left" vertical="center" wrapText="1"/>
    </xf>
    <xf numFmtId="0" fontId="59" fillId="4" borderId="47" xfId="0" applyFont="1" applyFill="1" applyBorder="1"/>
    <xf numFmtId="0" fontId="59" fillId="4" borderId="42" xfId="0" applyFont="1" applyFill="1" applyBorder="1"/>
    <xf numFmtId="0" fontId="58" fillId="3" borderId="7" xfId="0" applyFont="1" applyFill="1" applyBorder="1" applyAlignment="1">
      <alignment vertical="center" wrapText="1"/>
    </xf>
    <xf numFmtId="0" fontId="58" fillId="3" borderId="23" xfId="0" applyFont="1" applyFill="1" applyBorder="1" applyAlignment="1">
      <alignment vertical="center" wrapText="1"/>
    </xf>
    <xf numFmtId="0" fontId="59" fillId="4" borderId="7" xfId="0" applyFont="1" applyFill="1" applyBorder="1"/>
    <xf numFmtId="0" fontId="59" fillId="4" borderId="8" xfId="0" applyFont="1" applyFill="1" applyBorder="1"/>
    <xf numFmtId="0" fontId="58" fillId="0" borderId="36" xfId="0" applyFont="1" applyBorder="1" applyAlignment="1">
      <alignment horizontal="left" vertical="center" wrapText="1"/>
    </xf>
    <xf numFmtId="164" fontId="10" fillId="0" borderId="75" xfId="1" applyNumberFormat="1" applyFont="1" applyBorder="1" applyAlignment="1">
      <alignment vertical="center"/>
    </xf>
    <xf numFmtId="0" fontId="43" fillId="8" borderId="24" xfId="0" applyFont="1" applyFill="1" applyBorder="1" applyAlignment="1">
      <alignment vertical="center"/>
    </xf>
    <xf numFmtId="0" fontId="43" fillId="0" borderId="24" xfId="0" applyFont="1" applyBorder="1" applyAlignment="1">
      <alignment vertical="center" wrapText="1"/>
    </xf>
    <xf numFmtId="164" fontId="43" fillId="0" borderId="24" xfId="1" applyNumberFormat="1" applyFont="1" applyFill="1" applyBorder="1" applyAlignment="1">
      <alignment horizontal="center" vertical="center" wrapText="1"/>
    </xf>
    <xf numFmtId="0" fontId="43" fillId="8" borderId="24" xfId="0" applyFont="1" applyFill="1" applyBorder="1" applyAlignment="1">
      <alignment vertical="center" wrapText="1"/>
    </xf>
    <xf numFmtId="0" fontId="54" fillId="0" borderId="24" xfId="0" applyFont="1" applyBorder="1" applyAlignment="1">
      <alignment wrapText="1"/>
    </xf>
    <xf numFmtId="166" fontId="40" fillId="5" borderId="24" xfId="2" applyNumberFormat="1" applyFont="1" applyFill="1" applyBorder="1" applyAlignment="1">
      <alignment horizontal="left" vertical="center" indent="2"/>
    </xf>
    <xf numFmtId="166" fontId="40" fillId="5" borderId="24" xfId="2" applyNumberFormat="1" applyFont="1" applyFill="1" applyBorder="1" applyAlignment="1">
      <alignment horizontal="left" vertical="center" wrapText="1" indent="2"/>
    </xf>
    <xf numFmtId="44" fontId="0" fillId="21" borderId="33" xfId="2" applyFont="1" applyFill="1" applyBorder="1" applyAlignment="1" applyProtection="1">
      <alignment vertical="center" wrapText="1"/>
      <protection hidden="1"/>
    </xf>
    <xf numFmtId="166" fontId="10" fillId="28" borderId="90" xfId="2" applyNumberFormat="1" applyFont="1" applyFill="1" applyBorder="1" applyAlignment="1">
      <alignment vertical="center"/>
    </xf>
    <xf numFmtId="166" fontId="10" fillId="28" borderId="106" xfId="2" applyNumberFormat="1" applyFont="1" applyFill="1" applyBorder="1" applyAlignment="1">
      <alignment vertical="center"/>
    </xf>
    <xf numFmtId="166" fontId="10" fillId="28" borderId="103" xfId="2" applyNumberFormat="1" applyFont="1" applyFill="1" applyBorder="1" applyAlignment="1">
      <alignment vertical="center"/>
    </xf>
    <xf numFmtId="164" fontId="11" fillId="4" borderId="94" xfId="1" applyNumberFormat="1" applyFont="1" applyFill="1" applyBorder="1"/>
    <xf numFmtId="164" fontId="11" fillId="4" borderId="95" xfId="1" applyNumberFormat="1" applyFont="1" applyFill="1" applyBorder="1"/>
    <xf numFmtId="166" fontId="11" fillId="4" borderId="95" xfId="2" applyNumberFormat="1" applyFont="1" applyFill="1" applyBorder="1"/>
    <xf numFmtId="166" fontId="11" fillId="4" borderId="96" xfId="2" applyNumberFormat="1" applyFont="1" applyFill="1" applyBorder="1"/>
    <xf numFmtId="0" fontId="0" fillId="36" borderId="24" xfId="0" applyFill="1" applyBorder="1" applyAlignment="1">
      <alignment wrapText="1"/>
    </xf>
    <xf numFmtId="0" fontId="54" fillId="6" borderId="36" xfId="0" applyFont="1" applyFill="1" applyBorder="1"/>
    <xf numFmtId="0" fontId="55" fillId="4" borderId="11" xfId="0" applyFont="1" applyFill="1" applyBorder="1"/>
    <xf numFmtId="0" fontId="55" fillId="4" borderId="30" xfId="0" applyFont="1" applyFill="1" applyBorder="1"/>
    <xf numFmtId="169" fontId="54" fillId="24" borderId="24" xfId="0" applyNumberFormat="1" applyFont="1" applyFill="1" applyBorder="1" applyAlignment="1">
      <alignment wrapText="1"/>
    </xf>
    <xf numFmtId="0" fontId="54" fillId="0" borderId="74" xfId="0" applyFont="1" applyBorder="1" applyProtection="1">
      <protection hidden="1"/>
    </xf>
    <xf numFmtId="0" fontId="8" fillId="0" borderId="24" xfId="0" applyFont="1" applyBorder="1" applyAlignment="1">
      <alignment vertical="center" wrapText="1"/>
    </xf>
    <xf numFmtId="0" fontId="8" fillId="0" borderId="0" xfId="0" applyFont="1"/>
    <xf numFmtId="166" fontId="10" fillId="0" borderId="99" xfId="2" applyNumberFormat="1" applyFont="1" applyFill="1" applyBorder="1" applyAlignment="1">
      <alignment vertical="center"/>
    </xf>
    <xf numFmtId="166" fontId="10" fillId="0" borderId="90" xfId="2" applyNumberFormat="1" applyFont="1" applyFill="1" applyBorder="1" applyAlignment="1">
      <alignment vertical="center"/>
    </xf>
    <xf numFmtId="166" fontId="10" fillId="0" borderId="103" xfId="2" applyNumberFormat="1" applyFont="1" applyFill="1" applyBorder="1" applyAlignment="1">
      <alignment vertical="center"/>
    </xf>
    <xf numFmtId="166" fontId="10" fillId="0" borderId="98" xfId="2" applyNumberFormat="1" applyFont="1" applyFill="1" applyBorder="1" applyAlignment="1">
      <alignment vertical="center"/>
    </xf>
    <xf numFmtId="166" fontId="10" fillId="0" borderId="88" xfId="2" applyNumberFormat="1" applyFont="1" applyFill="1" applyBorder="1" applyAlignment="1">
      <alignment vertical="center"/>
    </xf>
    <xf numFmtId="166" fontId="10" fillId="0" borderId="102" xfId="2" applyNumberFormat="1" applyFont="1" applyFill="1" applyBorder="1" applyAlignment="1">
      <alignment vertical="center"/>
    </xf>
    <xf numFmtId="0" fontId="56" fillId="0" borderId="89" xfId="0" applyFont="1" applyBorder="1"/>
    <xf numFmtId="0" fontId="56" fillId="0" borderId="88" xfId="0" applyFont="1" applyBorder="1"/>
    <xf numFmtId="0" fontId="56" fillId="0" borderId="108" xfId="0" applyFont="1" applyBorder="1"/>
    <xf numFmtId="0" fontId="56" fillId="0" borderId="101" xfId="0" applyFont="1" applyBorder="1"/>
    <xf numFmtId="0" fontId="56" fillId="0" borderId="102" xfId="0" applyFont="1" applyBorder="1"/>
    <xf numFmtId="166" fontId="10" fillId="37" borderId="111" xfId="2" applyNumberFormat="1" applyFont="1" applyFill="1" applyBorder="1" applyAlignment="1">
      <alignment vertical="center"/>
    </xf>
    <xf numFmtId="164" fontId="10" fillId="37" borderId="112" xfId="1" applyNumberFormat="1" applyFont="1" applyFill="1" applyBorder="1" applyAlignment="1">
      <alignment vertical="center"/>
    </xf>
    <xf numFmtId="166" fontId="10" fillId="37" borderId="113" xfId="2" applyNumberFormat="1" applyFont="1" applyFill="1" applyBorder="1" applyAlignment="1">
      <alignment vertical="center"/>
    </xf>
    <xf numFmtId="0" fontId="2" fillId="0" borderId="0" xfId="0" applyFont="1" applyAlignment="1">
      <alignment wrapText="1"/>
    </xf>
    <xf numFmtId="167" fontId="8" fillId="38" borderId="74" xfId="2" applyNumberFormat="1" applyFont="1" applyFill="1" applyBorder="1" applyProtection="1">
      <protection hidden="1"/>
    </xf>
    <xf numFmtId="0" fontId="0" fillId="2" borderId="74" xfId="0" applyFill="1" applyBorder="1"/>
    <xf numFmtId="164" fontId="47" fillId="0" borderId="0" xfId="1" applyNumberFormat="1" applyFont="1" applyFill="1" applyBorder="1" applyAlignment="1">
      <alignment horizontal="center" wrapText="1"/>
    </xf>
    <xf numFmtId="9" fontId="0" fillId="0" borderId="77" xfId="0" applyNumberFormat="1" applyBorder="1" applyAlignment="1">
      <alignment wrapText="1"/>
    </xf>
    <xf numFmtId="3" fontId="0" fillId="9" borderId="24" xfId="0" applyNumberFormat="1" applyFill="1" applyBorder="1" applyAlignment="1">
      <alignment wrapText="1"/>
    </xf>
    <xf numFmtId="0" fontId="0" fillId="7" borderId="3" xfId="0" applyFill="1" applyBorder="1" applyAlignment="1">
      <alignment vertical="center" wrapText="1"/>
    </xf>
    <xf numFmtId="0" fontId="0" fillId="7" borderId="54" xfId="0" applyFill="1" applyBorder="1" applyAlignment="1">
      <alignment vertical="center" wrapText="1"/>
    </xf>
    <xf numFmtId="0" fontId="66" fillId="0" borderId="28" xfId="0" applyFont="1" applyBorder="1" applyAlignment="1">
      <alignment horizontal="center" vertical="center" wrapText="1"/>
    </xf>
    <xf numFmtId="0" fontId="31" fillId="0" borderId="28" xfId="0" applyFont="1" applyBorder="1" applyAlignment="1">
      <alignment horizontal="center" vertical="center" wrapText="1"/>
    </xf>
    <xf numFmtId="164" fontId="28" fillId="0" borderId="0" xfId="0" applyNumberFormat="1" applyFont="1" applyAlignment="1">
      <alignment horizontal="center" vertical="center" wrapText="1"/>
    </xf>
    <xf numFmtId="10" fontId="28" fillId="0" borderId="0" xfId="3" applyNumberFormat="1" applyFont="1" applyFill="1" applyBorder="1" applyAlignment="1">
      <alignment horizontal="right" vertical="center" wrapText="1"/>
    </xf>
    <xf numFmtId="0" fontId="43" fillId="0" borderId="28" xfId="0" applyFont="1" applyBorder="1" applyAlignment="1">
      <alignment horizontal="center" vertical="center" wrapText="1"/>
    </xf>
    <xf numFmtId="0" fontId="42" fillId="0" borderId="28" xfId="0" applyFont="1" applyBorder="1" applyAlignment="1">
      <alignment vertical="center" wrapText="1"/>
    </xf>
    <xf numFmtId="3" fontId="42" fillId="32" borderId="24" xfId="0" applyNumberFormat="1" applyFont="1" applyFill="1" applyBorder="1" applyAlignment="1">
      <alignment horizontal="center" vertical="center"/>
    </xf>
    <xf numFmtId="0" fontId="42" fillId="0" borderId="13" xfId="0" applyFont="1" applyBorder="1" applyAlignment="1">
      <alignment vertical="center" wrapText="1"/>
    </xf>
    <xf numFmtId="3" fontId="42" fillId="32" borderId="14" xfId="0" applyNumberFormat="1" applyFont="1" applyFill="1" applyBorder="1" applyAlignment="1">
      <alignment horizontal="center" vertical="center"/>
    </xf>
    <xf numFmtId="0" fontId="44" fillId="0" borderId="0" xfId="0" applyFont="1" applyAlignment="1">
      <alignment vertical="center"/>
    </xf>
    <xf numFmtId="0" fontId="8" fillId="0" borderId="24" xfId="0" applyFont="1" applyBorder="1" applyAlignment="1">
      <alignment wrapText="1"/>
    </xf>
    <xf numFmtId="169" fontId="67" fillId="32" borderId="24" xfId="2" applyNumberFormat="1" applyFont="1" applyFill="1" applyBorder="1" applyAlignment="1">
      <alignment horizontal="center" vertical="center"/>
    </xf>
    <xf numFmtId="169" fontId="67" fillId="32" borderId="24" xfId="3" applyNumberFormat="1" applyFont="1" applyFill="1" applyBorder="1" applyAlignment="1">
      <alignment horizontal="center" vertical="center"/>
    </xf>
    <xf numFmtId="164" fontId="8" fillId="0" borderId="7" xfId="1" applyNumberFormat="1" applyFont="1" applyFill="1" applyBorder="1" applyAlignment="1">
      <alignment vertical="center"/>
    </xf>
    <xf numFmtId="10" fontId="0" fillId="5" borderId="8" xfId="3" applyNumberFormat="1" applyFont="1" applyFill="1" applyBorder="1" applyAlignment="1">
      <alignment horizontal="right"/>
    </xf>
    <xf numFmtId="10" fontId="0" fillId="0" borderId="23" xfId="3" applyNumberFormat="1" applyFont="1" applyFill="1" applyBorder="1" applyAlignment="1">
      <alignment horizontal="right"/>
    </xf>
    <xf numFmtId="43" fontId="0" fillId="0" borderId="23" xfId="1" applyFont="1" applyFill="1" applyBorder="1"/>
    <xf numFmtId="0" fontId="54" fillId="8" borderId="26" xfId="0" applyFont="1" applyFill="1" applyBorder="1" applyAlignment="1">
      <alignment horizontal="left" vertical="center" wrapText="1"/>
    </xf>
    <xf numFmtId="164" fontId="0" fillId="3" borderId="0" xfId="1" applyNumberFormat="1" applyFont="1" applyFill="1" applyBorder="1" applyAlignment="1">
      <alignment vertical="center" wrapText="1"/>
    </xf>
    <xf numFmtId="10" fontId="0" fillId="3" borderId="0" xfId="3" applyNumberFormat="1" applyFont="1" applyFill="1" applyBorder="1" applyAlignment="1">
      <alignment vertical="center" wrapText="1"/>
    </xf>
    <xf numFmtId="165" fontId="0" fillId="3" borderId="0" xfId="1" applyNumberFormat="1" applyFont="1" applyFill="1" applyBorder="1" applyAlignment="1">
      <alignment vertical="center" wrapText="1"/>
    </xf>
    <xf numFmtId="164" fontId="0" fillId="8" borderId="24" xfId="1" applyNumberFormat="1" applyFont="1" applyFill="1" applyBorder="1"/>
    <xf numFmtId="164" fontId="0" fillId="0" borderId="8" xfId="1" applyNumberFormat="1" applyFont="1" applyFill="1" applyBorder="1"/>
    <xf numFmtId="164" fontId="5" fillId="3" borderId="22" xfId="1" applyNumberFormat="1" applyFont="1" applyFill="1" applyBorder="1" applyAlignment="1">
      <alignment horizontal="center" vertical="center" wrapText="1"/>
    </xf>
    <xf numFmtId="164" fontId="5" fillId="3" borderId="23" xfId="1" applyNumberFormat="1" applyFont="1" applyFill="1" applyBorder="1" applyAlignment="1">
      <alignment horizontal="center" vertical="center" wrapText="1"/>
    </xf>
    <xf numFmtId="10" fontId="5" fillId="3" borderId="23" xfId="3" applyNumberFormat="1" applyFont="1" applyFill="1" applyBorder="1" applyAlignment="1">
      <alignment horizontal="center" vertical="center" wrapText="1"/>
    </xf>
    <xf numFmtId="43" fontId="5" fillId="3" borderId="23" xfId="1" applyFont="1" applyFill="1" applyBorder="1" applyAlignment="1">
      <alignment horizontal="center" vertical="center" wrapText="1"/>
    </xf>
    <xf numFmtId="10" fontId="5" fillId="3" borderId="14" xfId="3" applyNumberFormat="1" applyFont="1" applyFill="1" applyBorder="1" applyAlignment="1">
      <alignment horizontal="center" vertical="center" wrapText="1"/>
    </xf>
    <xf numFmtId="164" fontId="0" fillId="0" borderId="23" xfId="1" applyNumberFormat="1" applyFont="1" applyFill="1" applyBorder="1"/>
    <xf numFmtId="164" fontId="0" fillId="7" borderId="14" xfId="1" applyNumberFormat="1" applyFont="1" applyFill="1" applyBorder="1"/>
    <xf numFmtId="164" fontId="0" fillId="5" borderId="8" xfId="1" applyNumberFormat="1" applyFont="1" applyFill="1" applyBorder="1" applyAlignment="1">
      <alignment horizontal="right"/>
    </xf>
    <xf numFmtId="165" fontId="0" fillId="5" borderId="8" xfId="1" applyNumberFormat="1" applyFont="1" applyFill="1" applyBorder="1"/>
    <xf numFmtId="164" fontId="0" fillId="5" borderId="8" xfId="1" applyNumberFormat="1" applyFont="1" applyFill="1" applyBorder="1"/>
    <xf numFmtId="164" fontId="0" fillId="0" borderId="14" xfId="1" applyNumberFormat="1" applyFont="1" applyFill="1" applyBorder="1" applyAlignment="1">
      <alignment horizontal="right"/>
    </xf>
    <xf numFmtId="164" fontId="0" fillId="7" borderId="73" xfId="1" applyNumberFormat="1" applyFont="1" applyFill="1" applyBorder="1" applyAlignment="1">
      <alignment vertical="center"/>
    </xf>
    <xf numFmtId="164" fontId="0" fillId="7" borderId="74" xfId="1" applyNumberFormat="1" applyFont="1" applyFill="1" applyBorder="1" applyAlignment="1">
      <alignment vertical="center"/>
    </xf>
    <xf numFmtId="164" fontId="3" fillId="4" borderId="3" xfId="1" applyNumberFormat="1" applyFont="1" applyFill="1" applyBorder="1"/>
    <xf numFmtId="164" fontId="3" fillId="4" borderId="4" xfId="1" applyNumberFormat="1" applyFont="1" applyFill="1" applyBorder="1" applyAlignment="1"/>
    <xf numFmtId="10" fontId="3" fillId="4" borderId="17" xfId="3" applyNumberFormat="1" applyFont="1" applyFill="1" applyBorder="1" applyAlignment="1"/>
    <xf numFmtId="43" fontId="3" fillId="4" borderId="17" xfId="1" applyFont="1" applyFill="1" applyBorder="1" applyAlignment="1"/>
    <xf numFmtId="164" fontId="3" fillId="4" borderId="17" xfId="1" applyNumberFormat="1" applyFont="1" applyFill="1" applyBorder="1" applyAlignment="1"/>
    <xf numFmtId="43" fontId="0" fillId="0" borderId="63" xfId="1" applyFont="1" applyFill="1" applyBorder="1"/>
    <xf numFmtId="165" fontId="0" fillId="0" borderId="63" xfId="1" applyNumberFormat="1" applyFont="1" applyFill="1" applyBorder="1"/>
    <xf numFmtId="165" fontId="0" fillId="0" borderId="78" xfId="1" applyNumberFormat="1" applyFont="1" applyFill="1" applyBorder="1"/>
    <xf numFmtId="165" fontId="0" fillId="3" borderId="76" xfId="1" applyNumberFormat="1" applyFont="1" applyFill="1" applyBorder="1" applyAlignment="1">
      <alignment vertical="center" wrapText="1"/>
    </xf>
    <xf numFmtId="164" fontId="0" fillId="3" borderId="76" xfId="1" applyNumberFormat="1" applyFont="1" applyFill="1" applyBorder="1" applyAlignment="1">
      <alignment vertical="center" wrapText="1"/>
    </xf>
    <xf numFmtId="164" fontId="0" fillId="0" borderId="44" xfId="1" applyNumberFormat="1" applyFont="1" applyBorder="1" applyAlignment="1">
      <alignment vertical="center"/>
    </xf>
    <xf numFmtId="164" fontId="0" fillId="0" borderId="45" xfId="1" applyNumberFormat="1" applyFont="1" applyFill="1" applyBorder="1" applyAlignment="1">
      <alignment horizontal="right"/>
    </xf>
    <xf numFmtId="165" fontId="3" fillId="4" borderId="17" xfId="1" applyNumberFormat="1" applyFont="1" applyFill="1" applyBorder="1" applyAlignment="1"/>
    <xf numFmtId="165" fontId="3" fillId="4" borderId="55" xfId="1" applyNumberFormat="1" applyFont="1" applyFill="1" applyBorder="1" applyAlignment="1"/>
    <xf numFmtId="164" fontId="0" fillId="0" borderId="74" xfId="1" applyNumberFormat="1" applyFont="1" applyBorder="1" applyAlignment="1">
      <alignment vertical="center"/>
    </xf>
    <xf numFmtId="164" fontId="3" fillId="4" borderId="55" xfId="1" applyNumberFormat="1" applyFont="1" applyFill="1" applyBorder="1" applyAlignment="1"/>
    <xf numFmtId="43" fontId="3" fillId="4" borderId="55" xfId="1" applyFont="1" applyFill="1" applyBorder="1" applyAlignment="1"/>
    <xf numFmtId="164" fontId="3" fillId="4" borderId="17" xfId="1" applyNumberFormat="1" applyFont="1" applyFill="1" applyBorder="1" applyAlignment="1">
      <alignment horizontal="right"/>
    </xf>
    <xf numFmtId="164" fontId="0" fillId="3" borderId="6" xfId="1" applyNumberFormat="1" applyFont="1" applyFill="1" applyBorder="1" applyAlignment="1">
      <alignment vertical="center" wrapText="1"/>
    </xf>
    <xf numFmtId="0" fontId="54" fillId="8" borderId="80" xfId="0" applyFont="1" applyFill="1" applyBorder="1" applyAlignment="1">
      <alignment horizontal="left" vertical="center" wrapText="1"/>
    </xf>
    <xf numFmtId="164" fontId="0" fillId="0" borderId="74" xfId="1" applyNumberFormat="1" applyFont="1" applyFill="1" applyBorder="1" applyAlignment="1">
      <alignment horizontal="right"/>
    </xf>
    <xf numFmtId="164" fontId="0" fillId="6" borderId="17" xfId="1" applyNumberFormat="1" applyFont="1" applyFill="1" applyBorder="1" applyAlignment="1">
      <alignment vertical="center"/>
    </xf>
    <xf numFmtId="164" fontId="0" fillId="6" borderId="18" xfId="1" applyNumberFormat="1" applyFont="1" applyFill="1" applyBorder="1" applyAlignment="1">
      <alignment vertical="center"/>
    </xf>
    <xf numFmtId="164" fontId="0" fillId="6" borderId="17" xfId="1" applyNumberFormat="1" applyFont="1" applyFill="1" applyBorder="1" applyAlignment="1">
      <alignment horizontal="right"/>
    </xf>
    <xf numFmtId="10" fontId="0" fillId="6" borderId="17" xfId="3" applyNumberFormat="1" applyFont="1" applyFill="1" applyBorder="1" applyAlignment="1">
      <alignment horizontal="right"/>
    </xf>
    <xf numFmtId="165" fontId="0" fillId="6" borderId="55" xfId="1" applyNumberFormat="1" applyFont="1" applyFill="1" applyBorder="1"/>
    <xf numFmtId="164" fontId="0" fillId="6" borderId="17" xfId="1" applyNumberFormat="1" applyFont="1" applyFill="1" applyBorder="1"/>
    <xf numFmtId="0" fontId="55" fillId="4" borderId="54" xfId="0" applyFont="1" applyFill="1" applyBorder="1"/>
    <xf numFmtId="0" fontId="55" fillId="4" borderId="71" xfId="0" applyFont="1" applyFill="1" applyBorder="1"/>
    <xf numFmtId="0" fontId="3" fillId="4" borderId="16" xfId="0" applyFont="1" applyFill="1" applyBorder="1"/>
    <xf numFmtId="0" fontId="0" fillId="3" borderId="21" xfId="0" applyFill="1" applyBorder="1" applyAlignment="1">
      <alignment vertical="center" wrapText="1"/>
    </xf>
    <xf numFmtId="164" fontId="10" fillId="6" borderId="41" xfId="1" applyNumberFormat="1" applyFont="1" applyFill="1" applyBorder="1" applyAlignment="1">
      <alignment vertical="center"/>
    </xf>
    <xf numFmtId="166" fontId="10" fillId="0" borderId="50" xfId="2" applyNumberFormat="1" applyFont="1" applyBorder="1" applyAlignment="1">
      <alignment vertical="center"/>
    </xf>
    <xf numFmtId="166" fontId="10" fillId="0" borderId="40" xfId="2" applyNumberFormat="1" applyFont="1" applyBorder="1" applyAlignment="1">
      <alignment vertical="center"/>
    </xf>
    <xf numFmtId="164" fontId="10" fillId="0" borderId="73" xfId="1" applyNumberFormat="1" applyFont="1" applyBorder="1" applyAlignment="1">
      <alignment vertical="center"/>
    </xf>
    <xf numFmtId="166" fontId="10" fillId="0" borderId="73" xfId="2" applyNumberFormat="1" applyFont="1" applyFill="1" applyBorder="1" applyAlignment="1">
      <alignment vertical="center"/>
    </xf>
    <xf numFmtId="166" fontId="10" fillId="0" borderId="75" xfId="2" applyNumberFormat="1" applyFont="1" applyFill="1" applyBorder="1" applyAlignment="1">
      <alignment vertical="center"/>
    </xf>
    <xf numFmtId="164" fontId="10" fillId="0" borderId="10" xfId="1" applyNumberFormat="1" applyFont="1" applyBorder="1" applyAlignment="1">
      <alignment vertical="center"/>
    </xf>
    <xf numFmtId="164" fontId="10" fillId="0" borderId="40" xfId="1" applyNumberFormat="1" applyFont="1" applyBorder="1" applyAlignment="1">
      <alignment horizontal="center" vertical="center"/>
    </xf>
    <xf numFmtId="0" fontId="11" fillId="4" borderId="11" xfId="0" applyFont="1" applyFill="1" applyBorder="1"/>
    <xf numFmtId="0" fontId="11" fillId="4" borderId="71" xfId="0" applyFont="1" applyFill="1" applyBorder="1"/>
    <xf numFmtId="166" fontId="11" fillId="10" borderId="3" xfId="2" applyNumberFormat="1" applyFont="1" applyFill="1" applyBorder="1" applyAlignment="1">
      <alignment vertical="center"/>
    </xf>
    <xf numFmtId="166" fontId="10" fillId="0" borderId="40" xfId="2" applyNumberFormat="1" applyFont="1" applyFill="1" applyBorder="1" applyAlignment="1">
      <alignment horizontal="center" vertical="center"/>
    </xf>
    <xf numFmtId="166" fontId="11" fillId="10" borderId="19" xfId="2" applyNumberFormat="1" applyFont="1" applyFill="1" applyBorder="1" applyAlignment="1">
      <alignment vertical="center"/>
    </xf>
    <xf numFmtId="0" fontId="3" fillId="4" borderId="22" xfId="0" applyFont="1" applyFill="1" applyBorder="1"/>
    <xf numFmtId="0" fontId="3" fillId="4" borderId="40" xfId="0" applyFont="1" applyFill="1" applyBorder="1"/>
    <xf numFmtId="0" fontId="0" fillId="0" borderId="28" xfId="0" applyBorder="1" applyAlignment="1">
      <alignment vertical="center" wrapText="1"/>
    </xf>
    <xf numFmtId="0" fontId="0" fillId="0" borderId="27" xfId="0" applyBorder="1" applyAlignment="1">
      <alignment vertical="center" wrapText="1"/>
    </xf>
    <xf numFmtId="0" fontId="0" fillId="0" borderId="13" xfId="0" applyBorder="1" applyAlignment="1">
      <alignment vertical="center" wrapText="1"/>
    </xf>
    <xf numFmtId="0" fontId="0" fillId="0" borderId="15" xfId="0" applyBorder="1" applyAlignment="1">
      <alignment vertical="center" wrapText="1"/>
    </xf>
    <xf numFmtId="0" fontId="54" fillId="0" borderId="28" xfId="0" applyFont="1" applyBorder="1" applyAlignment="1">
      <alignment horizontal="left" vertical="center" wrapText="1"/>
    </xf>
    <xf numFmtId="0" fontId="54" fillId="0" borderId="13" xfId="0" applyFont="1" applyBorder="1" applyAlignment="1">
      <alignment horizontal="left" vertical="center" wrapText="1"/>
    </xf>
    <xf numFmtId="0" fontId="54" fillId="0" borderId="7" xfId="0" applyFont="1" applyBorder="1" applyAlignment="1">
      <alignment horizontal="left" vertical="center" wrapText="1"/>
    </xf>
    <xf numFmtId="0" fontId="0" fillId="0" borderId="9" xfId="0" applyBorder="1" applyAlignment="1">
      <alignment horizontal="left" vertical="center" wrapText="1"/>
    </xf>
    <xf numFmtId="0" fontId="3" fillId="4" borderId="19" xfId="0" applyFont="1" applyFill="1" applyBorder="1"/>
    <xf numFmtId="0" fontId="0" fillId="8" borderId="3" xfId="0" applyFill="1" applyBorder="1" applyAlignment="1">
      <alignment vertical="center"/>
    </xf>
    <xf numFmtId="0" fontId="0" fillId="8" borderId="19" xfId="0" applyFill="1" applyBorder="1" applyAlignment="1">
      <alignment vertical="center"/>
    </xf>
    <xf numFmtId="0" fontId="3" fillId="4" borderId="60" xfId="0" applyFont="1" applyFill="1" applyBorder="1"/>
    <xf numFmtId="0" fontId="0" fillId="0" borderId="40" xfId="0" applyBorder="1"/>
    <xf numFmtId="0" fontId="0" fillId="0" borderId="15" xfId="0" applyBorder="1"/>
    <xf numFmtId="0" fontId="0" fillId="0" borderId="22" xfId="0" applyBorder="1" applyAlignment="1">
      <alignment vertical="center" wrapText="1"/>
    </xf>
    <xf numFmtId="0" fontId="0" fillId="0" borderId="13" xfId="0" applyBorder="1" applyAlignment="1">
      <alignment vertical="center"/>
    </xf>
    <xf numFmtId="0" fontId="26" fillId="0" borderId="116" xfId="0" applyFont="1" applyBorder="1" applyAlignment="1">
      <alignment vertical="center" wrapText="1"/>
    </xf>
    <xf numFmtId="0" fontId="26" fillId="0" borderId="115" xfId="0" applyFont="1" applyBorder="1" applyAlignment="1">
      <alignment vertical="center" wrapText="1"/>
    </xf>
    <xf numFmtId="0" fontId="0" fillId="0" borderId="3" xfId="0" applyBorder="1"/>
    <xf numFmtId="0" fontId="0" fillId="0" borderId="4" xfId="0" applyBorder="1" applyAlignment="1">
      <alignment wrapText="1"/>
    </xf>
    <xf numFmtId="0" fontId="0" fillId="0" borderId="42" xfId="0" applyBorder="1"/>
    <xf numFmtId="0" fontId="0" fillId="0" borderId="48" xfId="0" applyBorder="1"/>
    <xf numFmtId="0" fontId="66" fillId="0" borderId="7" xfId="0" applyFont="1" applyBorder="1" applyAlignment="1">
      <alignment horizontal="center" vertical="center" wrapText="1"/>
    </xf>
    <xf numFmtId="0" fontId="66" fillId="0" borderId="73" xfId="0" applyFont="1" applyBorder="1" applyAlignment="1">
      <alignment horizontal="center" vertical="center" wrapText="1"/>
    </xf>
    <xf numFmtId="0" fontId="43" fillId="0" borderId="73" xfId="0" applyFont="1" applyBorder="1" applyAlignment="1">
      <alignment horizontal="center" vertical="center" wrapText="1"/>
    </xf>
    <xf numFmtId="0" fontId="54" fillId="0" borderId="29" xfId="0" applyFont="1" applyBorder="1" applyAlignment="1">
      <alignment horizontal="left" vertical="center" wrapText="1"/>
    </xf>
    <xf numFmtId="0" fontId="58" fillId="0" borderId="25" xfId="0" applyFont="1" applyBorder="1" applyAlignment="1">
      <alignment horizontal="left" vertical="center" wrapText="1"/>
    </xf>
    <xf numFmtId="0" fontId="58" fillId="0" borderId="0" xfId="0" applyFont="1" applyAlignment="1">
      <alignment horizontal="left" vertical="center" wrapText="1"/>
    </xf>
    <xf numFmtId="0" fontId="54" fillId="0" borderId="0" xfId="0" applyFont="1"/>
    <xf numFmtId="0" fontId="68" fillId="39" borderId="0" xfId="0" applyFont="1" applyFill="1"/>
    <xf numFmtId="0" fontId="54" fillId="39" borderId="0" xfId="0" applyFont="1" applyFill="1"/>
    <xf numFmtId="0" fontId="54" fillId="40" borderId="33" xfId="0" applyFont="1" applyFill="1" applyBorder="1"/>
    <xf numFmtId="0" fontId="54" fillId="40" borderId="46" xfId="0" applyFont="1" applyFill="1" applyBorder="1"/>
    <xf numFmtId="0" fontId="54" fillId="41" borderId="117" xfId="0" applyFont="1" applyFill="1" applyBorder="1"/>
    <xf numFmtId="0" fontId="54" fillId="41" borderId="46" xfId="0" applyFont="1" applyFill="1" applyBorder="1"/>
    <xf numFmtId="0" fontId="54" fillId="41" borderId="33" xfId="0" applyFont="1" applyFill="1" applyBorder="1"/>
    <xf numFmtId="0" fontId="54" fillId="42" borderId="33" xfId="0" applyFont="1" applyFill="1" applyBorder="1"/>
    <xf numFmtId="0" fontId="54" fillId="42" borderId="46" xfId="0" applyFont="1" applyFill="1" applyBorder="1"/>
    <xf numFmtId="0" fontId="54" fillId="43" borderId="33" xfId="0" applyFont="1" applyFill="1" applyBorder="1"/>
    <xf numFmtId="0" fontId="54" fillId="43" borderId="46" xfId="0" applyFont="1" applyFill="1" applyBorder="1"/>
    <xf numFmtId="0" fontId="8" fillId="44" borderId="76" xfId="0" applyFont="1" applyFill="1" applyBorder="1"/>
    <xf numFmtId="0" fontId="8" fillId="45" borderId="10" xfId="0" applyFont="1" applyFill="1" applyBorder="1" applyAlignment="1">
      <alignment wrapText="1"/>
    </xf>
    <xf numFmtId="0" fontId="8" fillId="46" borderId="10" xfId="0" applyFont="1" applyFill="1" applyBorder="1"/>
    <xf numFmtId="0" fontId="8" fillId="47" borderId="10" xfId="0" applyFont="1" applyFill="1" applyBorder="1"/>
    <xf numFmtId="0" fontId="70" fillId="48" borderId="33" xfId="0" applyFont="1" applyFill="1" applyBorder="1"/>
    <xf numFmtId="0" fontId="70" fillId="48" borderId="46" xfId="0" applyFont="1" applyFill="1" applyBorder="1"/>
    <xf numFmtId="0" fontId="70" fillId="49" borderId="8" xfId="0" applyFont="1" applyFill="1" applyBorder="1" applyAlignment="1">
      <alignment horizontal="center" vertical="center" wrapText="1"/>
    </xf>
    <xf numFmtId="0" fontId="70" fillId="49" borderId="10" xfId="0" applyFont="1" applyFill="1" applyBorder="1" applyAlignment="1">
      <alignment horizontal="center" vertical="center" wrapText="1"/>
    </xf>
    <xf numFmtId="0" fontId="70" fillId="49" borderId="8" xfId="0" applyFont="1" applyFill="1" applyBorder="1" applyAlignment="1">
      <alignment wrapText="1"/>
    </xf>
    <xf numFmtId="0" fontId="70" fillId="49" borderId="10" xfId="0" applyFont="1" applyFill="1" applyBorder="1" applyAlignment="1">
      <alignment wrapText="1"/>
    </xf>
    <xf numFmtId="169" fontId="0" fillId="10" borderId="46" xfId="0" applyNumberFormat="1" applyFill="1" applyBorder="1"/>
    <xf numFmtId="169" fontId="0" fillId="10" borderId="24" xfId="0" applyNumberFormat="1" applyFill="1" applyBorder="1"/>
    <xf numFmtId="2" fontId="0" fillId="10" borderId="24" xfId="0" applyNumberFormat="1" applyFill="1" applyBorder="1"/>
    <xf numFmtId="170" fontId="0" fillId="0" borderId="24" xfId="0" applyNumberFormat="1" applyBorder="1"/>
    <xf numFmtId="170" fontId="0" fillId="10" borderId="24" xfId="0" applyNumberFormat="1" applyFill="1" applyBorder="1"/>
    <xf numFmtId="0" fontId="68" fillId="0" borderId="0" xfId="0" applyFont="1"/>
    <xf numFmtId="0" fontId="68" fillId="0" borderId="0" xfId="0" applyFont="1" applyAlignment="1">
      <alignment wrapText="1"/>
    </xf>
    <xf numFmtId="0" fontId="73" fillId="34" borderId="108" xfId="0" applyFont="1" applyFill="1" applyBorder="1"/>
    <xf numFmtId="0" fontId="73" fillId="0" borderId="108" xfId="0" applyFont="1" applyBorder="1"/>
    <xf numFmtId="0" fontId="65" fillId="4" borderId="6" xfId="0" applyFont="1" applyFill="1" applyBorder="1" applyAlignment="1">
      <alignment horizontal="center" vertical="center" wrapText="1"/>
    </xf>
    <xf numFmtId="0" fontId="11" fillId="4" borderId="81" xfId="0" applyFont="1" applyFill="1" applyBorder="1" applyAlignment="1">
      <alignment horizontal="center" vertical="center" wrapText="1"/>
    </xf>
    <xf numFmtId="0" fontId="11" fillId="4" borderId="121" xfId="0" applyFont="1" applyFill="1" applyBorder="1" applyAlignment="1">
      <alignment horizontal="center" vertical="center" wrapText="1"/>
    </xf>
    <xf numFmtId="0" fontId="54" fillId="19" borderId="24" xfId="0" applyFont="1" applyFill="1" applyBorder="1" applyAlignment="1" applyProtection="1">
      <alignment horizontal="center" vertical="center" wrapText="1"/>
      <protection hidden="1"/>
    </xf>
    <xf numFmtId="0" fontId="74" fillId="0" borderId="0" xfId="0" applyFont="1"/>
    <xf numFmtId="0" fontId="0" fillId="13" borderId="61" xfId="0" applyFill="1" applyBorder="1" applyAlignment="1">
      <alignment wrapText="1"/>
    </xf>
    <xf numFmtId="166" fontId="28" fillId="31" borderId="18" xfId="2" applyNumberFormat="1" applyFont="1" applyFill="1" applyBorder="1" applyAlignment="1">
      <alignment vertical="center"/>
    </xf>
    <xf numFmtId="0" fontId="0" fillId="32" borderId="18" xfId="0" applyFill="1" applyBorder="1"/>
    <xf numFmtId="0" fontId="0" fillId="32" borderId="19" xfId="0" applyFill="1" applyBorder="1"/>
    <xf numFmtId="0" fontId="56" fillId="34" borderId="101" xfId="0" applyFont="1" applyFill="1" applyBorder="1"/>
    <xf numFmtId="0" fontId="56" fillId="34" borderId="102" xfId="0" applyFont="1" applyFill="1" applyBorder="1"/>
    <xf numFmtId="0" fontId="73" fillId="34" borderId="122" xfId="0" applyFont="1" applyFill="1" applyBorder="1"/>
    <xf numFmtId="0" fontId="56" fillId="0" borderId="97" xfId="0" applyFont="1" applyBorder="1"/>
    <xf numFmtId="0" fontId="56" fillId="0" borderId="98" xfId="0" applyFont="1" applyBorder="1"/>
    <xf numFmtId="0" fontId="56" fillId="0" borderId="123" xfId="0" applyFont="1" applyBorder="1"/>
    <xf numFmtId="166" fontId="10" fillId="37" borderId="4" xfId="2" applyNumberFormat="1" applyFont="1" applyFill="1" applyBorder="1" applyAlignment="1">
      <alignment vertical="center"/>
    </xf>
    <xf numFmtId="164" fontId="10" fillId="37" borderId="4" xfId="1" applyNumberFormat="1" applyFont="1" applyFill="1" applyBorder="1" applyAlignment="1">
      <alignment vertical="center"/>
    </xf>
    <xf numFmtId="166" fontId="10" fillId="37" borderId="5" xfId="2" applyNumberFormat="1" applyFont="1" applyFill="1" applyBorder="1" applyAlignment="1">
      <alignment vertical="center"/>
    </xf>
    <xf numFmtId="0" fontId="12" fillId="35" borderId="71"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23" xfId="0" applyFont="1" applyFill="1" applyBorder="1" applyAlignment="1">
      <alignment horizontal="center" vertical="center" wrapText="1"/>
    </xf>
    <xf numFmtId="0" fontId="65" fillId="4" borderId="23" xfId="0" applyFont="1" applyFill="1" applyBorder="1" applyAlignment="1">
      <alignment horizontal="center" vertical="center" wrapText="1"/>
    </xf>
    <xf numFmtId="0" fontId="11" fillId="4" borderId="40" xfId="0" applyFont="1" applyFill="1" applyBorder="1" applyAlignment="1">
      <alignment horizontal="center" vertical="center" wrapText="1"/>
    </xf>
    <xf numFmtId="0" fontId="56" fillId="34" borderId="28" xfId="0" applyFont="1" applyFill="1" applyBorder="1"/>
    <xf numFmtId="0" fontId="0" fillId="0" borderId="27" xfId="0" applyBorder="1"/>
    <xf numFmtId="0" fontId="56" fillId="34" borderId="13" xfId="0" applyFont="1" applyFill="1" applyBorder="1"/>
    <xf numFmtId="0" fontId="0" fillId="0" borderId="14" xfId="0" applyBorder="1"/>
    <xf numFmtId="0" fontId="0" fillId="5" borderId="24" xfId="0" applyFill="1" applyBorder="1"/>
    <xf numFmtId="0" fontId="0" fillId="5" borderId="74" xfId="0" applyFill="1" applyBorder="1"/>
    <xf numFmtId="0" fontId="0" fillId="24" borderId="8" xfId="0" applyFill="1" applyBorder="1" applyProtection="1">
      <protection hidden="1"/>
    </xf>
    <xf numFmtId="0" fontId="0" fillId="24" borderId="8" xfId="0" applyFill="1" applyBorder="1"/>
    <xf numFmtId="0" fontId="0" fillId="24" borderId="8" xfId="0" applyFill="1" applyBorder="1" applyAlignment="1">
      <alignment horizontal="left" vertical="center" wrapText="1"/>
    </xf>
    <xf numFmtId="0" fontId="0" fillId="24" borderId="16" xfId="0" applyFill="1" applyBorder="1" applyProtection="1">
      <protection hidden="1"/>
    </xf>
    <xf numFmtId="0" fontId="0" fillId="24" borderId="41" xfId="0" applyFill="1" applyBorder="1" applyProtection="1">
      <protection hidden="1"/>
    </xf>
    <xf numFmtId="0" fontId="0" fillId="24" borderId="14" xfId="0" applyFill="1" applyBorder="1" applyProtection="1">
      <protection hidden="1"/>
    </xf>
    <xf numFmtId="0" fontId="0" fillId="24" borderId="14" xfId="0" applyFill="1" applyBorder="1" applyAlignment="1">
      <alignment horizontal="left" vertical="center" wrapText="1"/>
    </xf>
    <xf numFmtId="0" fontId="0" fillId="18" borderId="28" xfId="0" applyFill="1" applyBorder="1"/>
    <xf numFmtId="0" fontId="0" fillId="18" borderId="13" xfId="0" applyFill="1" applyBorder="1"/>
    <xf numFmtId="44" fontId="0" fillId="0" borderId="14" xfId="2" applyFont="1" applyBorder="1"/>
    <xf numFmtId="44" fontId="8" fillId="21" borderId="33" xfId="2" applyFont="1" applyFill="1" applyBorder="1" applyAlignment="1" applyProtection="1">
      <alignment vertical="center" wrapText="1"/>
      <protection hidden="1"/>
    </xf>
    <xf numFmtId="0" fontId="72" fillId="50" borderId="25" xfId="0" applyFont="1" applyFill="1" applyBorder="1" applyAlignment="1">
      <alignment wrapText="1"/>
    </xf>
    <xf numFmtId="0" fontId="8" fillId="47" borderId="45" xfId="0" applyFont="1" applyFill="1" applyBorder="1"/>
    <xf numFmtId="170" fontId="0" fillId="0" borderId="61" xfId="0" applyNumberFormat="1" applyBorder="1"/>
    <xf numFmtId="170" fontId="0" fillId="10" borderId="61" xfId="0" applyNumberFormat="1" applyFill="1" applyBorder="1"/>
    <xf numFmtId="0" fontId="54" fillId="44" borderId="76" xfId="0" applyFont="1" applyFill="1" applyBorder="1" applyAlignment="1">
      <alignment horizontal="center" vertical="center"/>
    </xf>
    <xf numFmtId="0" fontId="54" fillId="44" borderId="120" xfId="0" applyFont="1" applyFill="1" applyBorder="1" applyAlignment="1">
      <alignment horizontal="center" vertical="center"/>
    </xf>
    <xf numFmtId="0" fontId="8" fillId="44" borderId="120" xfId="0" applyFont="1" applyFill="1" applyBorder="1" applyAlignment="1">
      <alignment horizontal="center" vertical="center"/>
    </xf>
    <xf numFmtId="0" fontId="8" fillId="45" borderId="120" xfId="0" applyFont="1" applyFill="1" applyBorder="1" applyAlignment="1">
      <alignment horizontal="center" vertical="center" wrapText="1"/>
    </xf>
    <xf numFmtId="0" fontId="54" fillId="45" borderId="120" xfId="0" applyFont="1" applyFill="1" applyBorder="1" applyAlignment="1">
      <alignment horizontal="center" vertical="center" wrapText="1"/>
    </xf>
    <xf numFmtId="0" fontId="8" fillId="46" borderId="120" xfId="0" applyFont="1" applyFill="1" applyBorder="1" applyAlignment="1">
      <alignment horizontal="center" vertical="center" wrapText="1"/>
    </xf>
    <xf numFmtId="0" fontId="8" fillId="47" borderId="120" xfId="0" applyFont="1" applyFill="1" applyBorder="1" applyAlignment="1">
      <alignment horizontal="center" vertical="center" wrapText="1"/>
    </xf>
    <xf numFmtId="0" fontId="75" fillId="18" borderId="10" xfId="0" applyFont="1" applyFill="1" applyBorder="1" applyAlignment="1" applyProtection="1">
      <alignment horizontal="center" vertical="center"/>
      <protection hidden="1"/>
    </xf>
    <xf numFmtId="0" fontId="75" fillId="18" borderId="8" xfId="0" applyFont="1" applyFill="1" applyBorder="1" applyAlignment="1" applyProtection="1">
      <alignment horizontal="center" vertical="center"/>
      <protection hidden="1"/>
    </xf>
    <xf numFmtId="0" fontId="75" fillId="18" borderId="24" xfId="0" applyFont="1" applyFill="1" applyBorder="1" applyAlignment="1" applyProtection="1">
      <alignment horizontal="center" vertical="center"/>
      <protection hidden="1"/>
    </xf>
    <xf numFmtId="0" fontId="75" fillId="19" borderId="8" xfId="0" applyFont="1" applyFill="1" applyBorder="1" applyAlignment="1" applyProtection="1">
      <alignment horizontal="center" vertical="center" wrapText="1"/>
      <protection hidden="1"/>
    </xf>
    <xf numFmtId="0" fontId="76" fillId="49" borderId="10" xfId="0" applyFont="1" applyFill="1" applyBorder="1" applyAlignment="1">
      <alignment wrapText="1"/>
    </xf>
    <xf numFmtId="44" fontId="75" fillId="23" borderId="8" xfId="0" applyNumberFormat="1" applyFont="1" applyFill="1" applyBorder="1" applyAlignment="1" applyProtection="1">
      <alignment horizontal="center" vertical="center" wrapText="1"/>
      <protection hidden="1"/>
    </xf>
    <xf numFmtId="44" fontId="77" fillId="24" borderId="8" xfId="2" applyFont="1" applyFill="1" applyBorder="1" applyAlignment="1" applyProtection="1">
      <alignment horizontal="center" vertical="center" wrapText="1"/>
      <protection hidden="1"/>
    </xf>
    <xf numFmtId="44" fontId="77" fillId="24" borderId="63" xfId="2" applyFont="1" applyFill="1" applyBorder="1" applyAlignment="1" applyProtection="1">
      <alignment horizontal="center" vertical="center" wrapText="1"/>
      <protection hidden="1"/>
    </xf>
    <xf numFmtId="0" fontId="3" fillId="16" borderId="3" xfId="0" applyFont="1" applyFill="1" applyBorder="1"/>
    <xf numFmtId="0" fontId="3" fillId="16" borderId="5" xfId="0" applyFont="1" applyFill="1" applyBorder="1"/>
    <xf numFmtId="0" fontId="75" fillId="24" borderId="77" xfId="0" applyFont="1" applyFill="1" applyBorder="1" applyProtection="1">
      <protection hidden="1"/>
    </xf>
    <xf numFmtId="169" fontId="75" fillId="24" borderId="24" xfId="0" applyNumberFormat="1" applyFont="1" applyFill="1" applyBorder="1"/>
    <xf numFmtId="0" fontId="75" fillId="24" borderId="78" xfId="0" applyFont="1" applyFill="1" applyBorder="1" applyProtection="1">
      <protection hidden="1"/>
    </xf>
    <xf numFmtId="0" fontId="75" fillId="24" borderId="74" xfId="0" applyFont="1" applyFill="1" applyBorder="1" applyProtection="1">
      <protection hidden="1"/>
    </xf>
    <xf numFmtId="0" fontId="3" fillId="22" borderId="22" xfId="0" applyFont="1" applyFill="1" applyBorder="1" applyAlignment="1">
      <alignment wrapText="1"/>
    </xf>
    <xf numFmtId="0" fontId="3" fillId="22" borderId="23" xfId="0" applyFont="1" applyFill="1" applyBorder="1" applyAlignment="1">
      <alignment wrapText="1"/>
    </xf>
    <xf numFmtId="0" fontId="3" fillId="22" borderId="40" xfId="0" applyFont="1" applyFill="1" applyBorder="1" applyAlignment="1">
      <alignment wrapText="1"/>
    </xf>
    <xf numFmtId="44" fontId="0" fillId="0" borderId="0" xfId="2" applyFont="1" applyBorder="1"/>
    <xf numFmtId="164" fontId="79" fillId="28" borderId="98" xfId="1" applyNumberFormat="1" applyFont="1" applyFill="1" applyBorder="1" applyAlignment="1">
      <alignment vertical="center"/>
    </xf>
    <xf numFmtId="166" fontId="79" fillId="28" borderId="99" xfId="2" applyNumberFormat="1" applyFont="1" applyFill="1" applyBorder="1" applyAlignment="1">
      <alignment vertical="center"/>
    </xf>
    <xf numFmtId="164" fontId="79" fillId="28" borderId="88" xfId="1" applyNumberFormat="1" applyFont="1" applyFill="1" applyBorder="1" applyAlignment="1">
      <alignment vertical="center"/>
    </xf>
    <xf numFmtId="166" fontId="79" fillId="28" borderId="90" xfId="2" applyNumberFormat="1" applyFont="1" applyFill="1" applyBorder="1" applyAlignment="1">
      <alignment vertical="center"/>
    </xf>
    <xf numFmtId="164" fontId="79" fillId="28" borderId="102" xfId="1" applyNumberFormat="1" applyFont="1" applyFill="1" applyBorder="1" applyAlignment="1">
      <alignment vertical="center"/>
    </xf>
    <xf numFmtId="166" fontId="79" fillId="28" borderId="103" xfId="2" applyNumberFormat="1" applyFont="1" applyFill="1" applyBorder="1" applyAlignment="1">
      <alignment vertical="center"/>
    </xf>
    <xf numFmtId="0" fontId="0" fillId="18" borderId="73" xfId="0" applyFill="1" applyBorder="1"/>
    <xf numFmtId="44" fontId="0" fillId="0" borderId="74" xfId="2" applyFont="1" applyBorder="1"/>
    <xf numFmtId="0" fontId="0" fillId="0" borderId="75" xfId="0" applyBorder="1"/>
    <xf numFmtId="0" fontId="0" fillId="28" borderId="27" xfId="0" applyFill="1" applyBorder="1"/>
    <xf numFmtId="0" fontId="0" fillId="28" borderId="15" xfId="0" applyFill="1" applyBorder="1"/>
    <xf numFmtId="0" fontId="78" fillId="28" borderId="27" xfId="0" applyFont="1" applyFill="1" applyBorder="1"/>
    <xf numFmtId="0" fontId="78" fillId="28" borderId="15" xfId="0" applyFont="1" applyFill="1" applyBorder="1"/>
    <xf numFmtId="0" fontId="0" fillId="28" borderId="24" xfId="0" applyFill="1" applyBorder="1"/>
    <xf numFmtId="0" fontId="0" fillId="28" borderId="74" xfId="0" applyFill="1" applyBorder="1"/>
    <xf numFmtId="0" fontId="0" fillId="28" borderId="14" xfId="0" applyFill="1" applyBorder="1"/>
    <xf numFmtId="0" fontId="0" fillId="0" borderId="61" xfId="0" applyBorder="1"/>
    <xf numFmtId="0" fontId="0" fillId="0" borderId="41" xfId="0" applyBorder="1"/>
    <xf numFmtId="0" fontId="0" fillId="28" borderId="61" xfId="0" applyFill="1" applyBorder="1"/>
    <xf numFmtId="0" fontId="0" fillId="28" borderId="78" xfId="0" applyFill="1" applyBorder="1"/>
    <xf numFmtId="0" fontId="0" fillId="28" borderId="41" xfId="0" applyFill="1" applyBorder="1"/>
    <xf numFmtId="0" fontId="0" fillId="8" borderId="61" xfId="0" applyFill="1" applyBorder="1"/>
    <xf numFmtId="0" fontId="0" fillId="8" borderId="78" xfId="0" applyFill="1" applyBorder="1"/>
    <xf numFmtId="0" fontId="0" fillId="8" borderId="41" xfId="0" applyFill="1" applyBorder="1"/>
    <xf numFmtId="0" fontId="72" fillId="50" borderId="29" xfId="0" applyFont="1" applyFill="1" applyBorder="1" applyAlignment="1">
      <alignment wrapText="1"/>
    </xf>
    <xf numFmtId="0" fontId="4" fillId="3" borderId="31" xfId="0" applyFont="1" applyFill="1" applyBorder="1" applyAlignment="1">
      <alignment horizontal="center" vertical="center" wrapText="1"/>
    </xf>
    <xf numFmtId="0" fontId="68" fillId="0" borderId="8" xfId="0" applyFont="1" applyBorder="1" applyAlignment="1">
      <alignment wrapText="1"/>
    </xf>
    <xf numFmtId="0" fontId="68" fillId="51" borderId="46" xfId="0" applyFont="1" applyFill="1" applyBorder="1"/>
    <xf numFmtId="0" fontId="68" fillId="52" borderId="46" xfId="0" applyFont="1" applyFill="1" applyBorder="1"/>
    <xf numFmtId="164" fontId="0" fillId="32" borderId="24" xfId="1" applyNumberFormat="1" applyFont="1" applyFill="1" applyBorder="1"/>
    <xf numFmtId="0" fontId="68" fillId="51" borderId="10" xfId="0" applyFont="1" applyFill="1" applyBorder="1"/>
    <xf numFmtId="3" fontId="68" fillId="52" borderId="10" xfId="0" applyNumberFormat="1" applyFont="1" applyFill="1" applyBorder="1"/>
    <xf numFmtId="0" fontId="71" fillId="0" borderId="8" xfId="0" applyFont="1" applyBorder="1" applyAlignment="1">
      <alignment wrapText="1"/>
    </xf>
    <xf numFmtId="0" fontId="71" fillId="51" borderId="10" xfId="0" applyFont="1" applyFill="1" applyBorder="1"/>
    <xf numFmtId="3" fontId="71" fillId="0" borderId="10" xfId="0" applyNumberFormat="1" applyFont="1" applyBorder="1"/>
    <xf numFmtId="164" fontId="3" fillId="0" borderId="24" xfId="1" applyNumberFormat="1" applyFont="1" applyBorder="1"/>
    <xf numFmtId="0" fontId="3" fillId="7" borderId="24" xfId="0" applyFont="1" applyFill="1" applyBorder="1"/>
    <xf numFmtId="3" fontId="68" fillId="8" borderId="10" xfId="0" applyNumberFormat="1" applyFont="1" applyFill="1" applyBorder="1"/>
    <xf numFmtId="171" fontId="3" fillId="0" borderId="24" xfId="0" applyNumberFormat="1" applyFont="1" applyBorder="1"/>
    <xf numFmtId="2" fontId="71" fillId="0" borderId="10" xfId="0" applyNumberFormat="1" applyFont="1" applyBorder="1"/>
    <xf numFmtId="0" fontId="71" fillId="52" borderId="10" xfId="0" applyFont="1" applyFill="1" applyBorder="1"/>
    <xf numFmtId="0" fontId="68" fillId="52" borderId="10" xfId="0" applyFont="1" applyFill="1" applyBorder="1"/>
    <xf numFmtId="0" fontId="71" fillId="0" borderId="10" xfId="0" applyFont="1" applyBorder="1"/>
    <xf numFmtId="3" fontId="68" fillId="52" borderId="46" xfId="0" applyNumberFormat="1" applyFont="1" applyFill="1" applyBorder="1"/>
    <xf numFmtId="0" fontId="4" fillId="3" borderId="23" xfId="0" applyFont="1" applyFill="1" applyBorder="1" applyAlignment="1">
      <alignment horizontal="center" vertical="center" wrapText="1"/>
    </xf>
    <xf numFmtId="8" fontId="68" fillId="52" borderId="10" xfId="0" applyNumberFormat="1" applyFont="1" applyFill="1" applyBorder="1"/>
    <xf numFmtId="8" fontId="71" fillId="0" borderId="10" xfId="0" applyNumberFormat="1" applyFont="1" applyBorder="1"/>
    <xf numFmtId="4" fontId="71" fillId="0" borderId="10" xfId="0" applyNumberFormat="1" applyFont="1" applyBorder="1" applyAlignment="1">
      <alignment wrapText="1"/>
    </xf>
    <xf numFmtId="0" fontId="0" fillId="37" borderId="0" xfId="0" applyFill="1"/>
    <xf numFmtId="0" fontId="0" fillId="10" borderId="0" xfId="0" applyFill="1"/>
    <xf numFmtId="0" fontId="3" fillId="32" borderId="0" xfId="0" applyFont="1" applyFill="1"/>
    <xf numFmtId="44" fontId="0" fillId="21" borderId="24" xfId="2" applyFont="1" applyFill="1" applyBorder="1" applyAlignment="1" applyProtection="1">
      <alignment horizontal="center" vertical="center" wrapText="1"/>
      <protection hidden="1"/>
    </xf>
    <xf numFmtId="0" fontId="0" fillId="20" borderId="61" xfId="0" applyFill="1" applyBorder="1" applyAlignment="1" applyProtection="1">
      <alignment vertical="center" wrapText="1"/>
      <protection hidden="1"/>
    </xf>
    <xf numFmtId="0" fontId="8" fillId="18" borderId="74" xfId="0" applyFont="1" applyFill="1" applyBorder="1" applyAlignment="1" applyProtection="1">
      <alignment horizontal="center" vertical="center" wrapText="1"/>
      <protection hidden="1"/>
    </xf>
    <xf numFmtId="164" fontId="10" fillId="32" borderId="0" xfId="1" applyNumberFormat="1" applyFont="1" applyFill="1" applyBorder="1" applyAlignment="1">
      <alignment horizontal="center" vertical="center" wrapText="1"/>
    </xf>
    <xf numFmtId="0" fontId="80" fillId="3" borderId="73" xfId="0" applyFont="1" applyFill="1" applyBorder="1" applyAlignment="1">
      <alignment horizontal="center" vertical="center" wrapText="1"/>
    </xf>
    <xf numFmtId="164" fontId="81" fillId="3" borderId="74" xfId="1" applyNumberFormat="1" applyFont="1" applyFill="1" applyBorder="1" applyAlignment="1">
      <alignment horizontal="center" vertical="center" wrapText="1"/>
    </xf>
    <xf numFmtId="0" fontId="52" fillId="27" borderId="22" xfId="0" applyFont="1" applyFill="1" applyBorder="1" applyAlignment="1">
      <alignment vertical="center" wrapText="1"/>
    </xf>
    <xf numFmtId="0" fontId="52" fillId="27" borderId="23" xfId="0" applyFont="1" applyFill="1" applyBorder="1" applyAlignment="1">
      <alignment horizontal="center" vertical="center"/>
    </xf>
    <xf numFmtId="0" fontId="52" fillId="27" borderId="23" xfId="0" applyFont="1" applyFill="1" applyBorder="1" applyAlignment="1">
      <alignment horizontal="center" vertical="center" wrapText="1"/>
    </xf>
    <xf numFmtId="0" fontId="52" fillId="27" borderId="3" xfId="0" applyFont="1" applyFill="1" applyBorder="1" applyAlignment="1">
      <alignment horizontal="center" vertical="center" wrapText="1"/>
    </xf>
    <xf numFmtId="0" fontId="52" fillId="27" borderId="40" xfId="1" applyNumberFormat="1" applyFont="1" applyFill="1" applyBorder="1" applyAlignment="1">
      <alignment horizontal="center" vertical="center" wrapText="1"/>
    </xf>
    <xf numFmtId="0" fontId="26" fillId="0" borderId="0" xfId="0" applyFont="1" applyAlignment="1">
      <alignment vertical="center"/>
    </xf>
    <xf numFmtId="0" fontId="84" fillId="0" borderId="0" xfId="8" applyFont="1" applyAlignment="1">
      <alignment vertical="center"/>
    </xf>
    <xf numFmtId="0" fontId="42" fillId="0" borderId="0" xfId="0" applyFont="1" applyAlignment="1">
      <alignment horizontal="left" vertical="center"/>
    </xf>
    <xf numFmtId="0" fontId="64" fillId="0" borderId="0" xfId="0" applyFont="1"/>
    <xf numFmtId="0" fontId="87" fillId="0" borderId="0" xfId="0" applyFont="1" applyAlignment="1">
      <alignment wrapText="1"/>
    </xf>
    <xf numFmtId="44" fontId="8" fillId="21" borderId="61" xfId="2" applyFont="1" applyFill="1" applyBorder="1" applyAlignment="1" applyProtection="1">
      <alignment vertical="center"/>
      <protection hidden="1"/>
    </xf>
    <xf numFmtId="0" fontId="88" fillId="0" borderId="0" xfId="0" applyFont="1"/>
    <xf numFmtId="0" fontId="72" fillId="50" borderId="114" xfId="0" applyFont="1" applyFill="1" applyBorder="1" applyAlignment="1">
      <alignment horizontal="center" wrapText="1"/>
    </xf>
    <xf numFmtId="0" fontId="72" fillId="50" borderId="65" xfId="0" applyFont="1" applyFill="1" applyBorder="1" applyAlignment="1">
      <alignment horizontal="center" wrapText="1"/>
    </xf>
    <xf numFmtId="0" fontId="72" fillId="50" borderId="120" xfId="0" applyFont="1" applyFill="1" applyBorder="1" applyAlignment="1">
      <alignment horizontal="center" wrapText="1"/>
    </xf>
    <xf numFmtId="0" fontId="72" fillId="50" borderId="57" xfId="0" applyFont="1" applyFill="1" applyBorder="1" applyAlignment="1">
      <alignment horizontal="center" wrapText="1"/>
    </xf>
    <xf numFmtId="0" fontId="72" fillId="50" borderId="23" xfId="0" applyFont="1" applyFill="1" applyBorder="1" applyAlignment="1">
      <alignment horizontal="center" wrapText="1"/>
    </xf>
    <xf numFmtId="0" fontId="72" fillId="50" borderId="39" xfId="0" applyFont="1" applyFill="1" applyBorder="1" applyAlignment="1">
      <alignment horizontal="center" wrapText="1"/>
    </xf>
    <xf numFmtId="0" fontId="72" fillId="50" borderId="10" xfId="0" applyFont="1" applyFill="1" applyBorder="1" applyAlignment="1">
      <alignment horizontal="center" wrapText="1"/>
    </xf>
    <xf numFmtId="0" fontId="4" fillId="3" borderId="65" xfId="0" applyFont="1" applyFill="1" applyBorder="1" applyAlignment="1">
      <alignment horizontal="center" vertical="center" wrapText="1"/>
    </xf>
    <xf numFmtId="0" fontId="89" fillId="3" borderId="22" xfId="0" applyFont="1" applyFill="1" applyBorder="1" applyAlignment="1">
      <alignment horizontal="center" vertical="center" wrapText="1"/>
    </xf>
    <xf numFmtId="0" fontId="89" fillId="3" borderId="23" xfId="0" applyFont="1" applyFill="1" applyBorder="1" applyAlignment="1">
      <alignment horizontal="center" vertical="center" wrapText="1"/>
    </xf>
    <xf numFmtId="0" fontId="89" fillId="3" borderId="40" xfId="0" applyFont="1" applyFill="1" applyBorder="1" applyAlignment="1">
      <alignment horizontal="center" vertical="center" wrapText="1"/>
    </xf>
    <xf numFmtId="10" fontId="1" fillId="28" borderId="24" xfId="0" applyNumberFormat="1" applyFont="1" applyFill="1" applyBorder="1" applyAlignment="1">
      <alignment horizontal="center" vertical="center"/>
    </xf>
    <xf numFmtId="0" fontId="1" fillId="28" borderId="24" xfId="0" applyFont="1" applyFill="1" applyBorder="1" applyAlignment="1">
      <alignment horizontal="center" vertical="center"/>
    </xf>
    <xf numFmtId="0" fontId="8" fillId="32" borderId="0" xfId="0" applyFont="1" applyFill="1"/>
    <xf numFmtId="0" fontId="90" fillId="8" borderId="0" xfId="4" applyFont="1" applyFill="1"/>
    <xf numFmtId="0" fontId="87" fillId="0" borderId="0" xfId="0" applyFont="1"/>
    <xf numFmtId="0" fontId="31" fillId="0" borderId="0" xfId="0" applyFont="1"/>
    <xf numFmtId="164" fontId="1" fillId="0" borderId="0" xfId="1" applyNumberFormat="1" applyFont="1" applyFill="1"/>
    <xf numFmtId="0" fontId="75" fillId="0" borderId="0" xfId="0" applyFont="1"/>
    <xf numFmtId="0" fontId="75" fillId="32" borderId="0" xfId="0" applyFont="1" applyFill="1"/>
    <xf numFmtId="0" fontId="54" fillId="0" borderId="30" xfId="0" applyFont="1" applyBorder="1" applyAlignment="1">
      <alignment horizontal="left" vertical="center" wrapText="1"/>
    </xf>
    <xf numFmtId="0" fontId="52" fillId="3" borderId="65" xfId="0" applyFont="1" applyFill="1" applyBorder="1" applyAlignment="1">
      <alignment vertical="center" wrapText="1"/>
    </xf>
    <xf numFmtId="0" fontId="52" fillId="3" borderId="31" xfId="0" applyFont="1" applyFill="1" applyBorder="1" applyAlignment="1">
      <alignment vertical="center" wrapText="1"/>
    </xf>
    <xf numFmtId="0" fontId="52" fillId="3" borderId="60" xfId="0" applyFont="1" applyFill="1" applyBorder="1" applyAlignment="1">
      <alignment vertical="center" wrapText="1"/>
    </xf>
    <xf numFmtId="164" fontId="0" fillId="0" borderId="46" xfId="1" applyNumberFormat="1" applyFont="1" applyBorder="1" applyAlignment="1">
      <alignment vertical="center"/>
    </xf>
    <xf numFmtId="167" fontId="47" fillId="0" borderId="23" xfId="2" applyNumberFormat="1" applyFont="1" applyFill="1" applyBorder="1" applyAlignment="1">
      <alignment horizontal="right" vertical="center" wrapText="1"/>
    </xf>
    <xf numFmtId="167" fontId="47" fillId="0" borderId="23" xfId="2" applyNumberFormat="1" applyFont="1" applyBorder="1" applyAlignment="1">
      <alignment horizontal="right" vertical="center"/>
    </xf>
    <xf numFmtId="167" fontId="47" fillId="0" borderId="24" xfId="2" applyNumberFormat="1" applyFont="1" applyFill="1" applyBorder="1" applyAlignment="1">
      <alignment horizontal="right" vertical="center" wrapText="1"/>
    </xf>
    <xf numFmtId="167" fontId="47" fillId="0" borderId="24" xfId="2" applyNumberFormat="1" applyFont="1" applyBorder="1" applyAlignment="1">
      <alignment horizontal="right" vertical="center"/>
    </xf>
    <xf numFmtId="167" fontId="47" fillId="7" borderId="24" xfId="2" applyNumberFormat="1" applyFont="1" applyFill="1" applyBorder="1" applyAlignment="1">
      <alignment horizontal="center" vertical="center" wrapText="1"/>
    </xf>
    <xf numFmtId="167" fontId="47" fillId="7" borderId="24" xfId="2" applyNumberFormat="1" applyFont="1" applyFill="1" applyBorder="1" applyAlignment="1">
      <alignment horizontal="center" vertical="center"/>
    </xf>
    <xf numFmtId="167" fontId="47" fillId="0" borderId="24" xfId="2" applyNumberFormat="1" applyFont="1" applyFill="1" applyBorder="1" applyAlignment="1">
      <alignment horizontal="center" vertical="center" wrapText="1"/>
    </xf>
    <xf numFmtId="167" fontId="47" fillId="0" borderId="24" xfId="2" applyNumberFormat="1" applyFont="1" applyBorder="1" applyAlignment="1">
      <alignment horizontal="center" vertical="center"/>
    </xf>
    <xf numFmtId="167" fontId="47" fillId="0" borderId="24" xfId="2" applyNumberFormat="1" applyFont="1" applyFill="1" applyBorder="1" applyAlignment="1">
      <alignment horizontal="right" vertical="center"/>
    </xf>
    <xf numFmtId="167" fontId="39" fillId="30" borderId="17" xfId="2" applyNumberFormat="1" applyFont="1" applyFill="1" applyBorder="1" applyAlignment="1">
      <alignment horizontal="right" vertical="center" wrapText="1"/>
    </xf>
    <xf numFmtId="9" fontId="47" fillId="0" borderId="40" xfId="3" applyFont="1" applyBorder="1" applyAlignment="1">
      <alignment horizontal="right" vertical="center"/>
    </xf>
    <xf numFmtId="9" fontId="47" fillId="0" borderId="27" xfId="3" applyFont="1" applyBorder="1" applyAlignment="1">
      <alignment horizontal="right" vertical="center"/>
    </xf>
    <xf numFmtId="9" fontId="47" fillId="7" borderId="27" xfId="3" applyFont="1" applyFill="1" applyBorder="1" applyAlignment="1">
      <alignment horizontal="right" vertical="center"/>
    </xf>
    <xf numFmtId="9" fontId="47" fillId="0" borderId="27" xfId="3" applyFont="1" applyFill="1" applyBorder="1" applyAlignment="1">
      <alignment horizontal="right" vertical="center"/>
    </xf>
    <xf numFmtId="9" fontId="39" fillId="30" borderId="19" xfId="3" applyFont="1" applyFill="1" applyBorder="1" applyAlignment="1">
      <alignment horizontal="right" vertical="center" wrapText="1"/>
    </xf>
    <xf numFmtId="0" fontId="55" fillId="4" borderId="43" xfId="0" applyFont="1" applyFill="1" applyBorder="1"/>
    <xf numFmtId="0" fontId="54" fillId="0" borderId="36" xfId="0" applyFont="1" applyBorder="1" applyAlignment="1">
      <alignment vertical="center" wrapText="1"/>
    </xf>
    <xf numFmtId="0" fontId="58" fillId="0" borderId="29" xfId="0" applyFont="1" applyBorder="1" applyAlignment="1">
      <alignment wrapText="1"/>
    </xf>
    <xf numFmtId="164" fontId="10" fillId="6" borderId="37" xfId="1" applyNumberFormat="1" applyFont="1" applyFill="1" applyBorder="1" applyAlignment="1">
      <alignment vertical="center"/>
    </xf>
    <xf numFmtId="0" fontId="58" fillId="0" borderId="21" xfId="0" applyFont="1" applyBorder="1"/>
    <xf numFmtId="0" fontId="58" fillId="6" borderId="30" xfId="0" applyFont="1" applyFill="1" applyBorder="1"/>
    <xf numFmtId="164" fontId="10" fillId="0" borderId="63" xfId="1" applyNumberFormat="1" applyFont="1" applyBorder="1" applyAlignment="1">
      <alignment vertical="center"/>
    </xf>
    <xf numFmtId="166" fontId="10" fillId="0" borderId="65" xfId="2" applyNumberFormat="1" applyFont="1" applyBorder="1" applyAlignment="1">
      <alignment vertical="center"/>
    </xf>
    <xf numFmtId="166" fontId="10" fillId="0" borderId="32" xfId="2" applyNumberFormat="1" applyFont="1" applyBorder="1" applyAlignment="1">
      <alignment vertical="center"/>
    </xf>
    <xf numFmtId="164" fontId="10" fillId="0" borderId="62" xfId="1" applyNumberFormat="1" applyFont="1" applyBorder="1" applyAlignment="1">
      <alignment horizontal="center" vertical="center"/>
    </xf>
    <xf numFmtId="164" fontId="10" fillId="0" borderId="41" xfId="1" applyNumberFormat="1" applyFont="1" applyBorder="1" applyAlignment="1">
      <alignment vertical="center"/>
    </xf>
    <xf numFmtId="164" fontId="10" fillId="0" borderId="62" xfId="1" applyNumberFormat="1" applyFont="1" applyFill="1" applyBorder="1" applyAlignment="1">
      <alignment vertical="center"/>
    </xf>
    <xf numFmtId="164" fontId="10" fillId="0" borderId="39" xfId="1" applyNumberFormat="1" applyFont="1" applyFill="1" applyBorder="1" applyAlignment="1">
      <alignment vertical="center"/>
    </xf>
    <xf numFmtId="166" fontId="11" fillId="10" borderId="11" xfId="2" applyNumberFormat="1" applyFont="1" applyFill="1" applyBorder="1" applyAlignment="1">
      <alignment vertical="center"/>
    </xf>
    <xf numFmtId="166" fontId="11" fillId="10" borderId="48" xfId="2" applyNumberFormat="1" applyFont="1" applyFill="1" applyBorder="1" applyAlignment="1">
      <alignment vertical="center"/>
    </xf>
    <xf numFmtId="166" fontId="10" fillId="0" borderId="22" xfId="2" applyNumberFormat="1" applyFont="1" applyBorder="1" applyAlignment="1">
      <alignment vertical="center"/>
    </xf>
    <xf numFmtId="166" fontId="10" fillId="0" borderId="13" xfId="2" applyNumberFormat="1" applyFont="1" applyBorder="1" applyAlignment="1">
      <alignment vertical="center"/>
    </xf>
    <xf numFmtId="166" fontId="10" fillId="0" borderId="15" xfId="2" applyNumberFormat="1" applyFont="1" applyFill="1" applyBorder="1" applyAlignment="1">
      <alignment horizontal="center" vertical="center"/>
    </xf>
    <xf numFmtId="44" fontId="8" fillId="21" borderId="46" xfId="2" applyFont="1" applyFill="1" applyBorder="1" applyAlignment="1" applyProtection="1">
      <alignment vertical="center" wrapText="1"/>
      <protection hidden="1"/>
    </xf>
    <xf numFmtId="0" fontId="70" fillId="48" borderId="33" xfId="0" applyFont="1" applyFill="1" applyBorder="1" applyAlignment="1">
      <alignment vertical="center"/>
    </xf>
    <xf numFmtId="0" fontId="67" fillId="0" borderId="0" xfId="0" applyFont="1"/>
    <xf numFmtId="0" fontId="0" fillId="0" borderId="12" xfId="0" applyBorder="1" applyAlignment="1">
      <alignment wrapText="1"/>
    </xf>
    <xf numFmtId="0" fontId="5" fillId="3" borderId="18"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19" xfId="0" applyFont="1" applyFill="1" applyBorder="1" applyAlignment="1">
      <alignment horizontal="center" vertical="center" wrapText="1"/>
    </xf>
    <xf numFmtId="164" fontId="8" fillId="24" borderId="74" xfId="1" applyNumberFormat="1" applyFont="1" applyFill="1" applyBorder="1" applyProtection="1">
      <protection hidden="1"/>
    </xf>
    <xf numFmtId="1" fontId="0" fillId="33" borderId="24" xfId="0" applyNumberFormat="1" applyFill="1" applyBorder="1"/>
    <xf numFmtId="0" fontId="52" fillId="3" borderId="65" xfId="0" applyFont="1" applyFill="1" applyBorder="1" applyAlignment="1">
      <alignment horizontal="center" vertical="center" wrapText="1"/>
    </xf>
    <xf numFmtId="164" fontId="43" fillId="0" borderId="23" xfId="1" applyNumberFormat="1" applyFont="1" applyFill="1" applyBorder="1" applyAlignment="1">
      <alignment horizontal="center" vertical="center" wrapText="1"/>
    </xf>
    <xf numFmtId="164" fontId="43" fillId="0" borderId="23" xfId="1" applyNumberFormat="1" applyFont="1" applyBorder="1" applyAlignment="1">
      <alignment horizontal="center" vertical="center" wrapText="1"/>
    </xf>
    <xf numFmtId="9" fontId="43" fillId="0" borderId="23" xfId="3" applyFont="1" applyBorder="1" applyAlignment="1">
      <alignment horizontal="right" vertical="center" wrapText="1"/>
    </xf>
    <xf numFmtId="9" fontId="43" fillId="0" borderId="40" xfId="3" applyFont="1" applyBorder="1" applyAlignment="1">
      <alignment horizontal="right" vertical="center" wrapText="1"/>
    </xf>
    <xf numFmtId="164" fontId="41" fillId="0" borderId="14" xfId="1" applyNumberFormat="1" applyFont="1" applyBorder="1" applyAlignment="1">
      <alignment horizontal="center" vertical="center" wrapText="1"/>
    </xf>
    <xf numFmtId="9" fontId="41" fillId="0" borderId="14" xfId="3" applyFont="1" applyBorder="1" applyAlignment="1">
      <alignment horizontal="right" vertical="center" wrapText="1"/>
    </xf>
    <xf numFmtId="9" fontId="41" fillId="0" borderId="15" xfId="3" applyFont="1" applyBorder="1" applyAlignment="1">
      <alignment horizontal="right" vertical="center" wrapText="1"/>
    </xf>
    <xf numFmtId="0" fontId="55" fillId="4" borderId="3" xfId="0" applyFont="1" applyFill="1" applyBorder="1"/>
    <xf numFmtId="164" fontId="3" fillId="4" borderId="19" xfId="1" applyNumberFormat="1" applyFont="1" applyFill="1" applyBorder="1" applyAlignment="1"/>
    <xf numFmtId="164" fontId="3" fillId="4" borderId="18" xfId="1" applyNumberFormat="1" applyFont="1" applyFill="1" applyBorder="1" applyAlignment="1"/>
    <xf numFmtId="0" fontId="16" fillId="0" borderId="0" xfId="0" applyFont="1"/>
    <xf numFmtId="0" fontId="0" fillId="5" borderId="21" xfId="0" applyFill="1" applyBorder="1"/>
    <xf numFmtId="0" fontId="0" fillId="5" borderId="26" xfId="0" applyFill="1" applyBorder="1"/>
    <xf numFmtId="0" fontId="2" fillId="19" borderId="24" xfId="0" applyFont="1" applyFill="1" applyBorder="1" applyAlignment="1" applyProtection="1">
      <alignment horizontal="center" vertical="center" wrapText="1"/>
      <protection hidden="1"/>
    </xf>
    <xf numFmtId="44" fontId="2" fillId="23" borderId="24" xfId="2" applyFont="1" applyFill="1" applyBorder="1" applyAlignment="1" applyProtection="1">
      <alignment horizontal="center" vertical="center" wrapText="1"/>
      <protection hidden="1"/>
    </xf>
    <xf numFmtId="0" fontId="92" fillId="49" borderId="10" xfId="0" applyFont="1" applyFill="1" applyBorder="1" applyAlignment="1">
      <alignment horizontal="center" vertical="center" wrapText="1"/>
    </xf>
    <xf numFmtId="169" fontId="2" fillId="25" borderId="24" xfId="0" applyNumberFormat="1" applyFont="1" applyFill="1" applyBorder="1" applyAlignment="1" applyProtection="1">
      <alignment horizontal="center" vertical="center" wrapText="1"/>
      <protection hidden="1"/>
    </xf>
    <xf numFmtId="0" fontId="4"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3" borderId="13" xfId="0" applyFont="1" applyFill="1" applyBorder="1" applyAlignment="1">
      <alignment horizontal="center" vertical="center" wrapText="1"/>
    </xf>
    <xf numFmtId="164" fontId="5" fillId="3" borderId="15" xfId="1" applyNumberFormat="1" applyFont="1" applyFill="1" applyBorder="1" applyAlignment="1">
      <alignment horizontal="center" vertical="center" wrapText="1"/>
    </xf>
    <xf numFmtId="0" fontId="5" fillId="2" borderId="13" xfId="1" applyNumberFormat="1" applyFont="1" applyFill="1" applyBorder="1" applyAlignment="1">
      <alignment horizontal="center" vertical="center" wrapText="1"/>
    </xf>
    <xf numFmtId="0" fontId="5" fillId="2" borderId="14" xfId="1" applyNumberFormat="1" applyFont="1" applyFill="1" applyBorder="1" applyAlignment="1">
      <alignment horizontal="center" vertical="center" wrapText="1"/>
    </xf>
    <xf numFmtId="166" fontId="0" fillId="0" borderId="22" xfId="2" applyNumberFormat="1" applyFont="1" applyBorder="1" applyAlignment="1">
      <alignment vertical="center"/>
    </xf>
    <xf numFmtId="166" fontId="0" fillId="0" borderId="23" xfId="2" applyNumberFormat="1" applyFont="1" applyBorder="1" applyAlignment="1">
      <alignment vertical="center"/>
    </xf>
    <xf numFmtId="166" fontId="0" fillId="0" borderId="24" xfId="2" applyNumberFormat="1" applyFont="1" applyBorder="1" applyAlignment="1">
      <alignment vertical="center"/>
    </xf>
    <xf numFmtId="166" fontId="0" fillId="0" borderId="28" xfId="2" applyNumberFormat="1" applyFont="1" applyFill="1" applyBorder="1" applyAlignment="1">
      <alignment vertical="center"/>
    </xf>
    <xf numFmtId="166" fontId="0" fillId="7" borderId="13" xfId="2" applyNumberFormat="1" applyFont="1" applyFill="1" applyBorder="1" applyAlignment="1">
      <alignment vertical="center"/>
    </xf>
    <xf numFmtId="166" fontId="0" fillId="7" borderId="14" xfId="2" applyNumberFormat="1" applyFont="1" applyFill="1" applyBorder="1" applyAlignment="1">
      <alignment vertical="center"/>
    </xf>
    <xf numFmtId="166" fontId="0" fillId="0" borderId="1" xfId="2" applyNumberFormat="1" applyFont="1" applyBorder="1" applyAlignment="1">
      <alignment vertical="center"/>
    </xf>
    <xf numFmtId="166" fontId="0" fillId="0" borderId="31" xfId="2" applyNumberFormat="1" applyFont="1" applyBorder="1" applyAlignment="1">
      <alignment vertical="center"/>
    </xf>
    <xf numFmtId="166" fontId="0" fillId="0" borderId="35" xfId="2" applyNumberFormat="1" applyFont="1" applyBorder="1" applyAlignment="1">
      <alignment vertical="center"/>
    </xf>
    <xf numFmtId="164" fontId="3" fillId="4" borderId="11" xfId="1" applyNumberFormat="1" applyFont="1" applyFill="1" applyBorder="1"/>
    <xf numFmtId="164" fontId="3" fillId="4" borderId="42" xfId="1" applyNumberFormat="1" applyFont="1" applyFill="1" applyBorder="1"/>
    <xf numFmtId="166" fontId="3" fillId="4" borderId="11" xfId="2" applyNumberFormat="1" applyFont="1" applyFill="1" applyBorder="1"/>
    <xf numFmtId="166" fontId="3" fillId="4" borderId="42" xfId="2" applyNumberFormat="1" applyFont="1" applyFill="1" applyBorder="1"/>
    <xf numFmtId="0" fontId="0" fillId="3" borderId="4" xfId="0" applyFill="1" applyBorder="1" applyAlignment="1">
      <alignment vertical="center" wrapText="1"/>
    </xf>
    <xf numFmtId="0" fontId="0" fillId="3" borderId="4" xfId="0" applyFill="1" applyBorder="1" applyAlignment="1">
      <alignment horizontal="right" vertical="center" wrapText="1"/>
    </xf>
    <xf numFmtId="166" fontId="0" fillId="3" borderId="4" xfId="2" applyNumberFormat="1" applyFont="1" applyFill="1" applyBorder="1" applyAlignment="1">
      <alignment vertical="center" wrapText="1"/>
    </xf>
    <xf numFmtId="10" fontId="0" fillId="3" borderId="4" xfId="3" applyNumberFormat="1" applyFont="1" applyFill="1" applyBorder="1" applyAlignment="1">
      <alignment vertical="center" wrapText="1"/>
    </xf>
    <xf numFmtId="164" fontId="0" fillId="3" borderId="4" xfId="1" applyNumberFormat="1" applyFont="1" applyFill="1" applyBorder="1" applyAlignment="1">
      <alignment vertical="center" wrapText="1"/>
    </xf>
    <xf numFmtId="164" fontId="3" fillId="4" borderId="47" xfId="1" applyNumberFormat="1" applyFont="1" applyFill="1" applyBorder="1"/>
    <xf numFmtId="10" fontId="3" fillId="4" borderId="48" xfId="3" applyNumberFormat="1" applyFont="1" applyFill="1" applyBorder="1" applyAlignment="1">
      <alignment horizontal="right"/>
    </xf>
    <xf numFmtId="166" fontId="3" fillId="4" borderId="47" xfId="2" applyNumberFormat="1" applyFont="1" applyFill="1" applyBorder="1"/>
    <xf numFmtId="164" fontId="0" fillId="3" borderId="4" xfId="1" applyNumberFormat="1" applyFont="1" applyFill="1" applyBorder="1" applyAlignment="1">
      <alignment horizontal="right" vertical="center" wrapText="1"/>
    </xf>
    <xf numFmtId="164" fontId="8" fillId="0" borderId="24" xfId="1" applyNumberFormat="1" applyFont="1" applyFill="1" applyBorder="1" applyAlignment="1">
      <alignment vertical="center"/>
    </xf>
    <xf numFmtId="164" fontId="3" fillId="4" borderId="13" xfId="1" applyNumberFormat="1" applyFont="1" applyFill="1" applyBorder="1"/>
    <xf numFmtId="164" fontId="3" fillId="4" borderId="14" xfId="1" applyNumberFormat="1" applyFont="1" applyFill="1" applyBorder="1"/>
    <xf numFmtId="166" fontId="3" fillId="4" borderId="13" xfId="2" applyNumberFormat="1" applyFont="1" applyFill="1" applyBorder="1"/>
    <xf numFmtId="166" fontId="3" fillId="4" borderId="14" xfId="2" applyNumberFormat="1" applyFont="1" applyFill="1" applyBorder="1"/>
    <xf numFmtId="164" fontId="0" fillId="3" borderId="51" xfId="1" applyNumberFormat="1" applyFont="1" applyFill="1" applyBorder="1" applyAlignment="1">
      <alignment vertical="center" wrapText="1"/>
    </xf>
    <xf numFmtId="166" fontId="0" fillId="3" borderId="51" xfId="2" applyNumberFormat="1" applyFont="1" applyFill="1" applyBorder="1" applyAlignment="1">
      <alignment vertical="center" wrapText="1"/>
    </xf>
    <xf numFmtId="10" fontId="0" fillId="3" borderId="51" xfId="3" applyNumberFormat="1" applyFont="1" applyFill="1" applyBorder="1" applyAlignment="1">
      <alignment vertical="center" wrapText="1"/>
    </xf>
    <xf numFmtId="10" fontId="2" fillId="0" borderId="52" xfId="3" applyNumberFormat="1" applyFont="1" applyFill="1" applyBorder="1"/>
    <xf numFmtId="10" fontId="2" fillId="0" borderId="53" xfId="3" applyNumberFormat="1" applyFont="1" applyBorder="1"/>
    <xf numFmtId="10" fontId="0" fillId="8" borderId="53" xfId="3" applyNumberFormat="1" applyFont="1" applyFill="1" applyBorder="1"/>
    <xf numFmtId="10" fontId="0" fillId="8" borderId="0" xfId="3" applyNumberFormat="1" applyFont="1" applyFill="1"/>
    <xf numFmtId="10" fontId="0" fillId="0" borderId="0" xfId="3" applyNumberFormat="1" applyFont="1"/>
    <xf numFmtId="166" fontId="0" fillId="0" borderId="46" xfId="2" applyNumberFormat="1" applyFont="1" applyFill="1" applyBorder="1" applyAlignment="1">
      <alignment vertical="center"/>
    </xf>
    <xf numFmtId="164" fontId="0" fillId="5" borderId="24" xfId="1" applyNumberFormat="1" applyFont="1" applyFill="1" applyBorder="1" applyAlignment="1">
      <alignment horizontal="right" vertical="center"/>
    </xf>
    <xf numFmtId="166" fontId="0" fillId="0" borderId="8" xfId="2" applyNumberFormat="1" applyFont="1" applyFill="1" applyBorder="1" applyAlignment="1">
      <alignment vertical="center"/>
    </xf>
    <xf numFmtId="166" fontId="0" fillId="0" borderId="7" xfId="2" applyNumberFormat="1" applyFont="1" applyBorder="1" applyAlignment="1">
      <alignment vertical="center"/>
    </xf>
    <xf numFmtId="166" fontId="0" fillId="0" borderId="8" xfId="2" applyNumberFormat="1" applyFont="1" applyBorder="1" applyAlignment="1">
      <alignment vertical="center"/>
    </xf>
    <xf numFmtId="164" fontId="8" fillId="0" borderId="46" xfId="1" applyNumberFormat="1" applyFont="1" applyFill="1" applyBorder="1" applyAlignment="1">
      <alignment vertical="center"/>
    </xf>
    <xf numFmtId="164" fontId="0" fillId="5" borderId="63" xfId="1" applyNumberFormat="1" applyFont="1" applyFill="1" applyBorder="1" applyAlignment="1">
      <alignment horizontal="right" vertical="center"/>
    </xf>
    <xf numFmtId="164" fontId="0" fillId="5" borderId="61" xfId="1" applyNumberFormat="1" applyFont="1" applyFill="1" applyBorder="1" applyAlignment="1">
      <alignment horizontal="right" vertical="center"/>
    </xf>
    <xf numFmtId="10" fontId="5" fillId="2" borderId="63" xfId="3" applyNumberFormat="1" applyFont="1" applyFill="1" applyBorder="1" applyAlignment="1">
      <alignment horizontal="center" vertical="center" wrapText="1"/>
    </xf>
    <xf numFmtId="10" fontId="5" fillId="2" borderId="41" xfId="3" applyNumberFormat="1" applyFont="1" applyFill="1" applyBorder="1" applyAlignment="1">
      <alignment horizontal="center" vertical="center" wrapText="1"/>
    </xf>
    <xf numFmtId="10" fontId="0" fillId="5" borderId="63" xfId="3" applyNumberFormat="1" applyFont="1" applyFill="1" applyBorder="1" applyAlignment="1">
      <alignment horizontal="right" vertical="center"/>
    </xf>
    <xf numFmtId="164" fontId="0" fillId="6" borderId="54" xfId="1" applyNumberFormat="1" applyFont="1" applyFill="1" applyBorder="1" applyAlignment="1">
      <alignment vertical="center"/>
    </xf>
    <xf numFmtId="0" fontId="5" fillId="2" borderId="10" xfId="0" applyFont="1" applyFill="1" applyBorder="1" applyAlignment="1">
      <alignment horizontal="center" vertical="center" wrapText="1"/>
    </xf>
    <xf numFmtId="166" fontId="0" fillId="0" borderId="10" xfId="2" applyNumberFormat="1" applyFont="1" applyBorder="1" applyAlignment="1">
      <alignment vertical="center"/>
    </xf>
    <xf numFmtId="166" fontId="3" fillId="4" borderId="12" xfId="2" applyNumberFormat="1" applyFont="1" applyFill="1" applyBorder="1"/>
    <xf numFmtId="166" fontId="3" fillId="4" borderId="124" xfId="2" applyNumberFormat="1" applyFont="1" applyFill="1" applyBorder="1"/>
    <xf numFmtId="166" fontId="3" fillId="4" borderId="16" xfId="2" applyNumberFormat="1" applyFont="1" applyFill="1" applyBorder="1"/>
    <xf numFmtId="0" fontId="5" fillId="2" borderId="63" xfId="0" applyFont="1" applyFill="1" applyBorder="1" applyAlignment="1">
      <alignment horizontal="center" vertical="center" wrapText="1"/>
    </xf>
    <xf numFmtId="166" fontId="3" fillId="4" borderId="49" xfId="2" applyNumberFormat="1" applyFont="1" applyFill="1" applyBorder="1"/>
    <xf numFmtId="166" fontId="3" fillId="4" borderId="41" xfId="2" applyNumberFormat="1" applyFont="1" applyFill="1" applyBorder="1"/>
    <xf numFmtId="166" fontId="0" fillId="0" borderId="42" xfId="2" applyNumberFormat="1" applyFont="1" applyBorder="1" applyAlignment="1">
      <alignment vertical="center"/>
    </xf>
    <xf numFmtId="164" fontId="0" fillId="5" borderId="63" xfId="1" applyNumberFormat="1" applyFont="1" applyFill="1" applyBorder="1" applyAlignment="1">
      <alignment vertical="center"/>
    </xf>
    <xf numFmtId="166" fontId="3" fillId="4" borderId="55" xfId="2" applyNumberFormat="1" applyFont="1" applyFill="1" applyBorder="1"/>
    <xf numFmtId="166" fontId="3" fillId="4" borderId="3" xfId="2" applyNumberFormat="1" applyFont="1" applyFill="1" applyBorder="1"/>
    <xf numFmtId="166" fontId="3" fillId="4" borderId="54" xfId="2" applyNumberFormat="1" applyFont="1" applyFill="1" applyBorder="1"/>
    <xf numFmtId="164" fontId="0" fillId="5" borderId="8" xfId="1" applyNumberFormat="1" applyFont="1" applyFill="1" applyBorder="1" applyAlignment="1">
      <alignment horizontal="right" vertical="center"/>
    </xf>
    <xf numFmtId="0" fontId="3" fillId="4" borderId="19" xfId="0" applyFont="1" applyFill="1" applyBorder="1" applyAlignment="1">
      <alignment horizontal="right"/>
    </xf>
    <xf numFmtId="9" fontId="0" fillId="8" borderId="9" xfId="3" applyFont="1" applyFill="1" applyBorder="1" applyAlignment="1">
      <alignment horizontal="right" vertical="center"/>
    </xf>
    <xf numFmtId="0" fontId="3" fillId="4" borderId="17" xfId="0" applyFont="1" applyFill="1" applyBorder="1"/>
    <xf numFmtId="164" fontId="0" fillId="5" borderId="41" xfId="1" applyNumberFormat="1" applyFont="1" applyFill="1" applyBorder="1" applyAlignment="1">
      <alignment horizontal="right" vertical="center"/>
    </xf>
    <xf numFmtId="172" fontId="0" fillId="5" borderId="9" xfId="3" applyNumberFormat="1" applyFont="1" applyFill="1" applyBorder="1" applyAlignment="1">
      <alignment horizontal="right" vertical="center"/>
    </xf>
    <xf numFmtId="172" fontId="0" fillId="5" borderId="27" xfId="3" applyNumberFormat="1" applyFont="1" applyFill="1" applyBorder="1" applyAlignment="1">
      <alignment horizontal="right" vertical="center"/>
    </xf>
    <xf numFmtId="172" fontId="0" fillId="7" borderId="15" xfId="3" applyNumberFormat="1" applyFont="1" applyFill="1" applyBorder="1" applyAlignment="1">
      <alignment horizontal="right" vertical="center"/>
    </xf>
    <xf numFmtId="172" fontId="0" fillId="8" borderId="9" xfId="3" applyNumberFormat="1" applyFont="1" applyFill="1" applyBorder="1" applyAlignment="1">
      <alignment horizontal="right" vertical="center"/>
    </xf>
    <xf numFmtId="172" fontId="0" fillId="0" borderId="34" xfId="3" applyNumberFormat="1" applyFont="1" applyBorder="1" applyAlignment="1">
      <alignment horizontal="right" vertical="center"/>
    </xf>
    <xf numFmtId="172" fontId="0" fillId="7" borderId="41" xfId="3" applyNumberFormat="1" applyFont="1" applyFill="1" applyBorder="1" applyAlignment="1">
      <alignment horizontal="right" vertical="center"/>
    </xf>
    <xf numFmtId="172" fontId="3" fillId="4" borderId="43" xfId="3" applyNumberFormat="1" applyFont="1" applyFill="1" applyBorder="1" applyAlignment="1">
      <alignment horizontal="right"/>
    </xf>
    <xf numFmtId="172" fontId="0" fillId="5" borderId="63" xfId="3" applyNumberFormat="1" applyFont="1" applyFill="1" applyBorder="1" applyAlignment="1">
      <alignment horizontal="right" vertical="center"/>
    </xf>
    <xf numFmtId="172" fontId="0" fillId="5" borderId="61" xfId="3" applyNumberFormat="1" applyFont="1" applyFill="1" applyBorder="1" applyAlignment="1">
      <alignment horizontal="right" vertical="center"/>
    </xf>
    <xf numFmtId="0" fontId="3" fillId="4" borderId="5" xfId="0" applyFont="1" applyFill="1" applyBorder="1" applyAlignment="1">
      <alignment horizontal="right"/>
    </xf>
    <xf numFmtId="166" fontId="3" fillId="4" borderId="4" xfId="2" applyNumberFormat="1" applyFont="1" applyFill="1" applyBorder="1"/>
    <xf numFmtId="166" fontId="3" fillId="4" borderId="17" xfId="2" applyNumberFormat="1" applyFont="1" applyFill="1" applyBorder="1"/>
    <xf numFmtId="10" fontId="3" fillId="4" borderId="4" xfId="3" applyNumberFormat="1" applyFont="1" applyFill="1" applyBorder="1"/>
    <xf numFmtId="164" fontId="8" fillId="0" borderId="120" xfId="1" applyNumberFormat="1" applyFont="1" applyFill="1" applyBorder="1" applyAlignment="1">
      <alignment vertical="center"/>
    </xf>
    <xf numFmtId="164" fontId="0" fillId="5" borderId="76" xfId="1" applyNumberFormat="1" applyFont="1" applyFill="1" applyBorder="1" applyAlignment="1">
      <alignment vertical="center"/>
    </xf>
    <xf numFmtId="164" fontId="8" fillId="0" borderId="76" xfId="1" applyNumberFormat="1" applyFont="1" applyFill="1" applyBorder="1" applyAlignment="1">
      <alignment vertical="center"/>
    </xf>
    <xf numFmtId="166" fontId="0" fillId="0" borderId="7" xfId="2" applyNumberFormat="1" applyFont="1" applyFill="1" applyBorder="1" applyAlignment="1">
      <alignment vertical="center"/>
    </xf>
    <xf numFmtId="43" fontId="39" fillId="32" borderId="71" xfId="1" applyFont="1" applyFill="1" applyBorder="1" applyAlignment="1">
      <alignment horizontal="right" vertical="center" wrapText="1"/>
    </xf>
    <xf numFmtId="0" fontId="54" fillId="0" borderId="25" xfId="0" applyFont="1" applyBorder="1" applyAlignment="1">
      <alignment horizontal="left" vertical="center" wrapText="1"/>
    </xf>
    <xf numFmtId="0" fontId="54" fillId="0" borderId="20" xfId="0" applyFont="1" applyBorder="1" applyAlignment="1">
      <alignment horizontal="center" vertical="center" wrapText="1"/>
    </xf>
    <xf numFmtId="2" fontId="0" fillId="7" borderId="24" xfId="0" applyNumberFormat="1" applyFill="1" applyBorder="1"/>
    <xf numFmtId="170" fontId="0" fillId="7" borderId="24" xfId="0" applyNumberFormat="1" applyFill="1" applyBorder="1"/>
    <xf numFmtId="170" fontId="0" fillId="7" borderId="61" xfId="0" applyNumberFormat="1" applyFill="1" applyBorder="1"/>
    <xf numFmtId="169" fontId="54" fillId="7" borderId="24" xfId="0" applyNumberFormat="1" applyFont="1" applyFill="1" applyBorder="1"/>
    <xf numFmtId="169" fontId="0" fillId="7" borderId="46" xfId="0" applyNumberFormat="1" applyFill="1" applyBorder="1"/>
    <xf numFmtId="169" fontId="54" fillId="7" borderId="24" xfId="0" applyNumberFormat="1" applyFont="1" applyFill="1" applyBorder="1" applyAlignment="1">
      <alignment wrapText="1"/>
    </xf>
    <xf numFmtId="169" fontId="0" fillId="8" borderId="46" xfId="0" applyNumberFormat="1" applyFill="1" applyBorder="1"/>
    <xf numFmtId="169" fontId="0" fillId="8" borderId="24" xfId="0" applyNumberFormat="1" applyFill="1" applyBorder="1"/>
    <xf numFmtId="2" fontId="0" fillId="8" borderId="24" xfId="0" applyNumberFormat="1" applyFill="1" applyBorder="1"/>
    <xf numFmtId="170" fontId="0" fillId="8" borderId="24" xfId="0" applyNumberFormat="1" applyFill="1" applyBorder="1"/>
    <xf numFmtId="170" fontId="0" fillId="8" borderId="61" xfId="0" applyNumberFormat="1" applyFill="1" applyBorder="1"/>
    <xf numFmtId="0" fontId="0" fillId="7" borderId="77" xfId="0" applyFill="1" applyBorder="1" applyProtection="1">
      <protection hidden="1"/>
    </xf>
    <xf numFmtId="0" fontId="0" fillId="7" borderId="78" xfId="0" applyFill="1" applyBorder="1" applyProtection="1">
      <protection hidden="1"/>
    </xf>
    <xf numFmtId="0" fontId="54" fillId="7" borderId="74" xfId="0" applyFont="1" applyFill="1" applyBorder="1" applyProtection="1">
      <protection hidden="1"/>
    </xf>
    <xf numFmtId="0" fontId="0" fillId="7" borderId="16" xfId="0" applyFill="1" applyBorder="1" applyProtection="1">
      <protection hidden="1"/>
    </xf>
    <xf numFmtId="0" fontId="0" fillId="7" borderId="41" xfId="0" applyFill="1" applyBorder="1" applyProtection="1">
      <protection hidden="1"/>
    </xf>
    <xf numFmtId="0" fontId="0" fillId="7" borderId="14" xfId="0" applyFill="1" applyBorder="1" applyProtection="1">
      <protection hidden="1"/>
    </xf>
    <xf numFmtId="0" fontId="0" fillId="7" borderId="14" xfId="0" applyFill="1" applyBorder="1" applyAlignment="1">
      <alignment horizontal="left" vertical="center" wrapText="1"/>
    </xf>
    <xf numFmtId="2" fontId="0" fillId="7" borderId="14" xfId="0" applyNumberFormat="1" applyFill="1" applyBorder="1"/>
    <xf numFmtId="170" fontId="0" fillId="7" borderId="14" xfId="0" applyNumberFormat="1" applyFill="1" applyBorder="1"/>
    <xf numFmtId="170" fontId="0" fillId="7" borderId="41" xfId="0" applyNumberFormat="1" applyFill="1" applyBorder="1"/>
    <xf numFmtId="0" fontId="0" fillId="7" borderId="8" xfId="0" applyFill="1" applyBorder="1" applyProtection="1">
      <protection hidden="1"/>
    </xf>
    <xf numFmtId="0" fontId="0" fillId="7" borderId="8" xfId="0" applyFill="1" applyBorder="1"/>
    <xf numFmtId="0" fontId="0" fillId="7" borderId="8" xfId="0" applyFill="1" applyBorder="1" applyAlignment="1">
      <alignment horizontal="left" vertical="center" wrapText="1"/>
    </xf>
    <xf numFmtId="2" fontId="0" fillId="7" borderId="8" xfId="0" applyNumberFormat="1" applyFill="1" applyBorder="1"/>
    <xf numFmtId="170" fontId="0" fillId="7" borderId="8" xfId="0" applyNumberFormat="1" applyFill="1" applyBorder="1"/>
    <xf numFmtId="170" fontId="0" fillId="7" borderId="63" xfId="0" applyNumberFormat="1" applyFill="1" applyBorder="1"/>
    <xf numFmtId="0" fontId="0" fillId="53" borderId="24" xfId="0" applyFill="1" applyBorder="1" applyProtection="1">
      <protection hidden="1"/>
    </xf>
    <xf numFmtId="0" fontId="0" fillId="53" borderId="24" xfId="0" applyFill="1" applyBorder="1"/>
    <xf numFmtId="0" fontId="0" fillId="53" borderId="24" xfId="0" applyFill="1" applyBorder="1" applyAlignment="1">
      <alignment horizontal="left" vertical="center" wrapText="1"/>
    </xf>
    <xf numFmtId="2" fontId="0" fillId="53" borderId="24" xfId="0" applyNumberFormat="1" applyFill="1" applyBorder="1"/>
    <xf numFmtId="170" fontId="0" fillId="53" borderId="24" xfId="0" applyNumberFormat="1" applyFill="1" applyBorder="1"/>
    <xf numFmtId="170" fontId="0" fillId="53" borderId="61" xfId="0" applyNumberFormat="1" applyFill="1" applyBorder="1"/>
    <xf numFmtId="0" fontId="52" fillId="3" borderId="31" xfId="0" applyFont="1" applyFill="1" applyBorder="1" applyAlignment="1">
      <alignment horizontal="center" vertical="center" wrapText="1"/>
    </xf>
    <xf numFmtId="164" fontId="0" fillId="0" borderId="57" xfId="1" applyNumberFormat="1" applyFont="1" applyBorder="1" applyAlignment="1">
      <alignment vertical="center"/>
    </xf>
    <xf numFmtId="164" fontId="0" fillId="0" borderId="76" xfId="1" applyNumberFormat="1" applyFont="1" applyBorder="1" applyAlignment="1">
      <alignment vertical="center"/>
    </xf>
    <xf numFmtId="166" fontId="0" fillId="0" borderId="6" xfId="2" applyNumberFormat="1" applyFont="1" applyBorder="1" applyAlignment="1">
      <alignment vertical="center"/>
    </xf>
    <xf numFmtId="166" fontId="0" fillId="0" borderId="76" xfId="2" applyNumberFormat="1" applyFont="1" applyBorder="1" applyAlignment="1">
      <alignment vertical="center"/>
    </xf>
    <xf numFmtId="164" fontId="0" fillId="5" borderId="81" xfId="1" applyNumberFormat="1" applyFont="1" applyFill="1" applyBorder="1" applyAlignment="1">
      <alignment vertical="center"/>
    </xf>
    <xf numFmtId="164" fontId="0" fillId="5" borderId="78" xfId="1" applyNumberFormat="1" applyFont="1" applyFill="1" applyBorder="1" applyAlignment="1">
      <alignment horizontal="right" vertical="center"/>
    </xf>
    <xf numFmtId="0" fontId="54" fillId="0" borderId="30" xfId="0" applyFont="1" applyBorder="1" applyAlignment="1">
      <alignment vertical="center" wrapText="1"/>
    </xf>
    <xf numFmtId="164" fontId="0" fillId="0" borderId="76" xfId="1" applyNumberFormat="1" applyFont="1" applyFill="1" applyBorder="1" applyAlignment="1">
      <alignment horizontal="right"/>
    </xf>
    <xf numFmtId="0" fontId="54" fillId="0" borderId="44" xfId="0" applyFont="1" applyBorder="1" applyAlignment="1">
      <alignment horizontal="center" vertical="center" wrapText="1"/>
    </xf>
    <xf numFmtId="0" fontId="54" fillId="0" borderId="80" xfId="0" applyFont="1" applyBorder="1" applyAlignment="1">
      <alignment horizontal="center" vertical="center" wrapText="1"/>
    </xf>
    <xf numFmtId="0" fontId="54" fillId="6" borderId="80" xfId="0" applyFont="1" applyFill="1" applyBorder="1"/>
    <xf numFmtId="164" fontId="0" fillId="0" borderId="22" xfId="1" applyNumberFormat="1" applyFont="1" applyBorder="1" applyAlignment="1">
      <alignment vertical="center"/>
    </xf>
    <xf numFmtId="172" fontId="0" fillId="8" borderId="40" xfId="3" applyNumberFormat="1" applyFont="1" applyFill="1" applyBorder="1" applyAlignment="1">
      <alignment horizontal="right" vertical="center"/>
    </xf>
    <xf numFmtId="164" fontId="0" fillId="5" borderId="62" xfId="1" applyNumberFormat="1" applyFont="1" applyFill="1" applyBorder="1" applyAlignment="1">
      <alignment horizontal="right" vertical="center"/>
    </xf>
    <xf numFmtId="172" fontId="0" fillId="7" borderId="75" xfId="3" applyNumberFormat="1" applyFont="1" applyFill="1" applyBorder="1" applyAlignment="1">
      <alignment horizontal="right" vertical="center"/>
    </xf>
    <xf numFmtId="166" fontId="0" fillId="7" borderId="73" xfId="2" applyNumberFormat="1" applyFont="1" applyFill="1" applyBorder="1" applyAlignment="1">
      <alignment vertical="center"/>
    </xf>
    <xf numFmtId="166" fontId="0" fillId="7" borderId="74" xfId="2" applyNumberFormat="1" applyFont="1" applyFill="1" applyBorder="1" applyAlignment="1">
      <alignment vertical="center"/>
    </xf>
    <xf numFmtId="172" fontId="0" fillId="0" borderId="40" xfId="3" applyNumberFormat="1" applyFont="1" applyBorder="1" applyAlignment="1">
      <alignment vertical="center"/>
    </xf>
    <xf numFmtId="172" fontId="0" fillId="0" borderId="27" xfId="3" applyNumberFormat="1" applyFont="1" applyBorder="1" applyAlignment="1">
      <alignment vertical="center"/>
    </xf>
    <xf numFmtId="0" fontId="54" fillId="0" borderId="64" xfId="0" applyFont="1" applyBorder="1" applyAlignment="1">
      <alignment horizontal="center" vertical="center" wrapText="1"/>
    </xf>
    <xf numFmtId="10" fontId="0" fillId="0" borderId="24" xfId="3" applyNumberFormat="1" applyFont="1" applyBorder="1" applyAlignment="1">
      <alignment horizontal="right" vertical="center"/>
    </xf>
    <xf numFmtId="10" fontId="0" fillId="0" borderId="58" xfId="3" applyNumberFormat="1" applyFont="1" applyBorder="1" applyAlignment="1">
      <alignment horizontal="right" vertical="center"/>
    </xf>
    <xf numFmtId="164" fontId="0" fillId="5" borderId="81" xfId="1" applyNumberFormat="1" applyFont="1" applyFill="1" applyBorder="1" applyAlignment="1">
      <alignment horizontal="right" vertical="center"/>
    </xf>
    <xf numFmtId="164" fontId="0" fillId="0" borderId="47" xfId="1" applyNumberFormat="1" applyFont="1" applyBorder="1" applyAlignment="1">
      <alignment vertical="center"/>
    </xf>
    <xf numFmtId="164" fontId="0" fillId="5" borderId="49" xfId="1" applyNumberFormat="1" applyFont="1" applyFill="1" applyBorder="1" applyAlignment="1">
      <alignment vertical="center"/>
    </xf>
    <xf numFmtId="164" fontId="0" fillId="0" borderId="42" xfId="1" applyNumberFormat="1" applyFont="1" applyBorder="1" applyAlignment="1">
      <alignment vertical="center"/>
    </xf>
    <xf numFmtId="10" fontId="0" fillId="0" borderId="48" xfId="3" applyNumberFormat="1" applyFont="1" applyBorder="1" applyAlignment="1">
      <alignment horizontal="right" vertical="center"/>
    </xf>
    <xf numFmtId="166" fontId="0" fillId="0" borderId="47" xfId="2" applyNumberFormat="1" applyFont="1" applyBorder="1" applyAlignment="1">
      <alignment vertical="center"/>
    </xf>
    <xf numFmtId="164" fontId="0" fillId="5" borderId="49" xfId="1" applyNumberFormat="1" applyFont="1" applyFill="1" applyBorder="1" applyAlignment="1">
      <alignment horizontal="right" vertical="center"/>
    </xf>
    <xf numFmtId="10" fontId="0" fillId="0" borderId="23" xfId="3" applyNumberFormat="1" applyFont="1" applyBorder="1" applyAlignment="1">
      <alignment horizontal="right" vertical="center"/>
    </xf>
    <xf numFmtId="164" fontId="0" fillId="5" borderId="23" xfId="1" applyNumberFormat="1" applyFont="1" applyFill="1" applyBorder="1" applyAlignment="1">
      <alignment horizontal="right" vertical="center"/>
    </xf>
    <xf numFmtId="9" fontId="0" fillId="8" borderId="27" xfId="3" applyFont="1" applyFill="1" applyBorder="1" applyAlignment="1">
      <alignment horizontal="right" vertical="center"/>
    </xf>
    <xf numFmtId="164" fontId="0" fillId="7" borderId="16" xfId="1" applyNumberFormat="1" applyFont="1" applyFill="1" applyBorder="1" applyAlignment="1">
      <alignment vertical="center"/>
    </xf>
    <xf numFmtId="172" fontId="0" fillId="7" borderId="15" xfId="3" applyNumberFormat="1" applyFont="1" applyFill="1" applyBorder="1" applyAlignment="1">
      <alignment vertical="center"/>
    </xf>
    <xf numFmtId="164" fontId="0" fillId="54" borderId="54" xfId="1" applyNumberFormat="1" applyFont="1" applyFill="1" applyBorder="1" applyAlignment="1">
      <alignment vertical="center"/>
    </xf>
    <xf numFmtId="164" fontId="0" fillId="54" borderId="17" xfId="1" applyNumberFormat="1" applyFont="1" applyFill="1" applyBorder="1" applyAlignment="1">
      <alignment vertical="center"/>
    </xf>
    <xf numFmtId="10" fontId="3" fillId="54" borderId="19" xfId="3" applyNumberFormat="1" applyFont="1" applyFill="1" applyBorder="1" applyAlignment="1">
      <alignment horizontal="right"/>
    </xf>
    <xf numFmtId="166" fontId="0" fillId="54" borderId="18" xfId="2" applyNumberFormat="1" applyFont="1" applyFill="1" applyBorder="1" applyAlignment="1">
      <alignment vertical="center"/>
    </xf>
    <xf numFmtId="166" fontId="0" fillId="54" borderId="54" xfId="2" applyNumberFormat="1" applyFont="1" applyFill="1" applyBorder="1" applyAlignment="1">
      <alignment vertical="center"/>
    </xf>
    <xf numFmtId="166" fontId="0" fillId="54" borderId="17" xfId="2" applyNumberFormat="1" applyFont="1" applyFill="1" applyBorder="1" applyAlignment="1">
      <alignment vertical="center"/>
    </xf>
    <xf numFmtId="166" fontId="0" fillId="54" borderId="55" xfId="2" applyNumberFormat="1" applyFont="1" applyFill="1" applyBorder="1" applyAlignment="1">
      <alignment vertical="center"/>
    </xf>
    <xf numFmtId="164" fontId="0" fillId="7" borderId="74" xfId="1" applyNumberFormat="1" applyFont="1" applyFill="1" applyBorder="1" applyAlignment="1">
      <alignment horizontal="right"/>
    </xf>
    <xf numFmtId="164" fontId="0" fillId="7" borderId="74" xfId="1" applyNumberFormat="1" applyFont="1" applyFill="1" applyBorder="1"/>
    <xf numFmtId="164" fontId="0" fillId="0" borderId="40" xfId="1" applyNumberFormat="1" applyFont="1" applyFill="1" applyBorder="1"/>
    <xf numFmtId="164" fontId="0" fillId="0" borderId="77" xfId="1" applyNumberFormat="1" applyFont="1" applyBorder="1" applyAlignment="1">
      <alignment vertical="center"/>
    </xf>
    <xf numFmtId="164" fontId="0" fillId="0" borderId="45" xfId="1" applyNumberFormat="1" applyFont="1" applyBorder="1" applyAlignment="1">
      <alignment vertical="center"/>
    </xf>
    <xf numFmtId="0" fontId="3" fillId="4" borderId="124" xfId="0" applyFont="1" applyFill="1" applyBorder="1"/>
    <xf numFmtId="166" fontId="10" fillId="0" borderId="62" xfId="2" applyNumberFormat="1" applyFont="1" applyFill="1" applyBorder="1" applyAlignment="1">
      <alignment horizontal="center" vertical="center"/>
    </xf>
    <xf numFmtId="166" fontId="10" fillId="0" borderId="61" xfId="2" applyNumberFormat="1" applyFont="1" applyFill="1" applyBorder="1" applyAlignment="1">
      <alignment horizontal="center" vertical="center"/>
    </xf>
    <xf numFmtId="166" fontId="10" fillId="0" borderId="41" xfId="2" applyNumberFormat="1" applyFont="1" applyFill="1" applyBorder="1" applyAlignment="1">
      <alignment horizontal="center" vertical="center"/>
    </xf>
    <xf numFmtId="164" fontId="10" fillId="0" borderId="27" xfId="1" applyNumberFormat="1" applyFont="1" applyFill="1" applyBorder="1" applyAlignment="1">
      <alignment horizontal="right"/>
    </xf>
    <xf numFmtId="164" fontId="10" fillId="0" borderId="61" xfId="1" applyNumberFormat="1" applyFont="1" applyFill="1" applyBorder="1" applyAlignment="1">
      <alignment horizontal="right"/>
    </xf>
    <xf numFmtId="164" fontId="10" fillId="0" borderId="41" xfId="1" applyNumberFormat="1" applyFont="1" applyFill="1" applyBorder="1"/>
    <xf numFmtId="164" fontId="10" fillId="0" borderId="65" xfId="1" applyNumberFormat="1" applyFont="1" applyBorder="1" applyAlignment="1">
      <alignment vertical="center"/>
    </xf>
    <xf numFmtId="0" fontId="10" fillId="0" borderId="1" xfId="0" applyFont="1" applyBorder="1" applyAlignment="1">
      <alignment horizontal="left" vertical="center" wrapText="1"/>
    </xf>
    <xf numFmtId="0" fontId="58" fillId="8" borderId="30" xfId="0" applyFont="1" applyFill="1" applyBorder="1" applyAlignment="1">
      <alignment vertical="center" wrapText="1"/>
    </xf>
    <xf numFmtId="166" fontId="10" fillId="0" borderId="46" xfId="2" applyNumberFormat="1" applyFont="1" applyBorder="1" applyAlignment="1">
      <alignment vertical="center"/>
    </xf>
    <xf numFmtId="0" fontId="10" fillId="0" borderId="26" xfId="0" applyFont="1" applyBorder="1" applyAlignment="1">
      <alignment horizontal="left" vertical="center" wrapText="1"/>
    </xf>
    <xf numFmtId="0" fontId="10" fillId="0" borderId="36" xfId="0" applyFont="1" applyBorder="1" applyAlignment="1">
      <alignment horizontal="left" vertical="center" wrapText="1"/>
    </xf>
    <xf numFmtId="166" fontId="10" fillId="0" borderId="39" xfId="2" applyNumberFormat="1" applyFont="1" applyBorder="1" applyAlignment="1">
      <alignment vertical="center"/>
    </xf>
    <xf numFmtId="166" fontId="10" fillId="0" borderId="16" xfId="2" applyNumberFormat="1" applyFont="1" applyBorder="1" applyAlignment="1">
      <alignment vertical="center"/>
    </xf>
    <xf numFmtId="164" fontId="10" fillId="0" borderId="60" xfId="1" applyNumberFormat="1" applyFont="1" applyBorder="1" applyAlignment="1">
      <alignment horizontal="center" vertical="center"/>
    </xf>
    <xf numFmtId="164" fontId="10" fillId="0" borderId="47" xfId="1" applyNumberFormat="1" applyFont="1" applyBorder="1" applyAlignment="1">
      <alignment vertical="center"/>
    </xf>
    <xf numFmtId="164" fontId="10" fillId="0" borderId="48" xfId="1" applyNumberFormat="1" applyFont="1" applyBorder="1" applyAlignment="1">
      <alignment vertical="center"/>
    </xf>
    <xf numFmtId="164" fontId="0" fillId="7" borderId="42" xfId="1" applyNumberFormat="1" applyFont="1" applyFill="1" applyBorder="1" applyAlignment="1">
      <alignment vertical="center"/>
    </xf>
    <xf numFmtId="164" fontId="0" fillId="7" borderId="42" xfId="1" applyNumberFormat="1" applyFont="1" applyFill="1" applyBorder="1" applyAlignment="1">
      <alignment horizontal="right"/>
    </xf>
    <xf numFmtId="9" fontId="0" fillId="7" borderId="42" xfId="3" applyFont="1" applyFill="1" applyBorder="1" applyAlignment="1">
      <alignment horizontal="right"/>
    </xf>
    <xf numFmtId="43" fontId="0" fillId="7" borderId="42" xfId="1" applyFont="1" applyFill="1" applyBorder="1"/>
    <xf numFmtId="164" fontId="0" fillId="7" borderId="42" xfId="1" applyNumberFormat="1" applyFont="1" applyFill="1" applyBorder="1"/>
    <xf numFmtId="164" fontId="0" fillId="7" borderId="48" xfId="1" applyNumberFormat="1" applyFont="1" applyFill="1" applyBorder="1"/>
    <xf numFmtId="164" fontId="0" fillId="0" borderId="31" xfId="1" applyNumberFormat="1" applyFont="1" applyFill="1" applyBorder="1" applyAlignment="1">
      <alignment horizontal="right"/>
    </xf>
    <xf numFmtId="10" fontId="0" fillId="0" borderId="31" xfId="3" applyNumberFormat="1" applyFont="1" applyFill="1" applyBorder="1" applyAlignment="1">
      <alignment horizontal="right"/>
    </xf>
    <xf numFmtId="43" fontId="0" fillId="0" borderId="31" xfId="1" applyFont="1" applyFill="1" applyBorder="1"/>
    <xf numFmtId="164" fontId="0" fillId="0" borderId="31" xfId="1" applyNumberFormat="1" applyFont="1" applyFill="1" applyBorder="1"/>
    <xf numFmtId="164" fontId="0" fillId="0" borderId="60" xfId="1" applyNumberFormat="1" applyFont="1" applyFill="1" applyBorder="1"/>
    <xf numFmtId="164" fontId="0" fillId="0" borderId="65" xfId="1" applyNumberFormat="1" applyFont="1" applyBorder="1" applyAlignment="1">
      <alignment vertical="center"/>
    </xf>
    <xf numFmtId="164" fontId="0" fillId="0" borderId="27" xfId="1" applyNumberFormat="1" applyFont="1" applyFill="1" applyBorder="1"/>
    <xf numFmtId="164" fontId="0" fillId="7" borderId="47" xfId="1" applyNumberFormat="1" applyFont="1" applyFill="1" applyBorder="1" applyAlignment="1">
      <alignment vertical="center"/>
    </xf>
    <xf numFmtId="0" fontId="10" fillId="0" borderId="20" xfId="0" applyFont="1" applyBorder="1" applyAlignment="1">
      <alignment horizontal="center" vertical="center" wrapText="1"/>
    </xf>
    <xf numFmtId="0" fontId="10" fillId="0" borderId="30" xfId="0" applyFont="1" applyBorder="1" applyAlignment="1">
      <alignment horizontal="center" vertical="center" wrapText="1"/>
    </xf>
    <xf numFmtId="164" fontId="0" fillId="0" borderId="50" xfId="1" applyNumberFormat="1" applyFont="1" applyBorder="1" applyAlignment="1">
      <alignment vertical="center"/>
    </xf>
    <xf numFmtId="164" fontId="0" fillId="0" borderId="51" xfId="1" applyNumberFormat="1" applyFont="1" applyFill="1" applyBorder="1" applyAlignment="1">
      <alignment horizontal="right"/>
    </xf>
    <xf numFmtId="164" fontId="0" fillId="0" borderId="27" xfId="1" applyNumberFormat="1" applyFont="1" applyFill="1" applyBorder="1" applyAlignment="1">
      <alignment horizontal="right"/>
    </xf>
    <xf numFmtId="10" fontId="0" fillId="0" borderId="14" xfId="3" applyNumberFormat="1" applyFont="1" applyFill="1" applyBorder="1"/>
    <xf numFmtId="43" fontId="0" fillId="0" borderId="42" xfId="1" applyFont="1" applyFill="1" applyBorder="1"/>
    <xf numFmtId="164" fontId="0" fillId="0" borderId="15" xfId="1" applyNumberFormat="1" applyFont="1" applyFill="1" applyBorder="1"/>
    <xf numFmtId="164" fontId="8" fillId="0" borderId="57" xfId="1" applyNumberFormat="1" applyFont="1" applyFill="1" applyBorder="1" applyAlignment="1">
      <alignment vertical="center"/>
    </xf>
    <xf numFmtId="10" fontId="0" fillId="5" borderId="76" xfId="3" applyNumberFormat="1" applyFont="1" applyFill="1" applyBorder="1" applyAlignment="1">
      <alignment horizontal="right"/>
    </xf>
    <xf numFmtId="43" fontId="0" fillId="0" borderId="76" xfId="1" applyFont="1" applyFill="1" applyBorder="1"/>
    <xf numFmtId="0" fontId="3" fillId="4" borderId="30" xfId="0" applyFont="1" applyFill="1" applyBorder="1"/>
    <xf numFmtId="43" fontId="3" fillId="4" borderId="42" xfId="1" applyFont="1" applyFill="1" applyBorder="1"/>
    <xf numFmtId="164" fontId="3" fillId="4" borderId="42" xfId="1" applyNumberFormat="1" applyFont="1" applyFill="1" applyBorder="1" applyAlignment="1"/>
    <xf numFmtId="10" fontId="3" fillId="4" borderId="42" xfId="3" applyNumberFormat="1" applyFont="1" applyFill="1" applyBorder="1" applyAlignment="1">
      <alignment horizontal="right"/>
    </xf>
    <xf numFmtId="165" fontId="3" fillId="4" borderId="49" xfId="1" applyNumberFormat="1" applyFont="1" applyFill="1" applyBorder="1" applyAlignment="1"/>
    <xf numFmtId="164" fontId="3" fillId="4" borderId="42" xfId="1" applyNumberFormat="1" applyFont="1" applyFill="1" applyBorder="1" applyAlignment="1">
      <alignment horizontal="right"/>
    </xf>
    <xf numFmtId="0" fontId="55" fillId="4" borderId="17" xfId="0" applyFont="1" applyFill="1" applyBorder="1"/>
    <xf numFmtId="164" fontId="0" fillId="6" borderId="19" xfId="1" applyNumberFormat="1" applyFont="1" applyFill="1" applyBorder="1"/>
    <xf numFmtId="172" fontId="0" fillId="8" borderId="62" xfId="3" applyNumberFormat="1" applyFont="1" applyFill="1" applyBorder="1" applyAlignment="1">
      <alignment horizontal="right" vertical="center"/>
    </xf>
    <xf numFmtId="172" fontId="0" fillId="8" borderId="61" xfId="3" applyNumberFormat="1" applyFont="1" applyFill="1" applyBorder="1" applyAlignment="1">
      <alignment horizontal="right" vertical="center"/>
    </xf>
    <xf numFmtId="166" fontId="0" fillId="0" borderId="28" xfId="2" applyNumberFormat="1" applyFont="1" applyBorder="1" applyAlignment="1">
      <alignment vertical="center"/>
    </xf>
    <xf numFmtId="169" fontId="2" fillId="33" borderId="24" xfId="0" applyNumberFormat="1" applyFont="1" applyFill="1" applyBorder="1"/>
    <xf numFmtId="169" fontId="2" fillId="24" borderId="24" xfId="0" applyNumberFormat="1" applyFont="1" applyFill="1" applyBorder="1"/>
    <xf numFmtId="169" fontId="2" fillId="33" borderId="61" xfId="0" applyNumberFormat="1" applyFont="1" applyFill="1" applyBorder="1"/>
    <xf numFmtId="169" fontId="2" fillId="24" borderId="61" xfId="0" applyNumberFormat="1" applyFont="1" applyFill="1" applyBorder="1"/>
    <xf numFmtId="167" fontId="2" fillId="24" borderId="24" xfId="2" applyNumberFormat="1" applyFont="1" applyFill="1" applyBorder="1"/>
    <xf numFmtId="167" fontId="2" fillId="38" borderId="24" xfId="2" applyNumberFormat="1" applyFont="1" applyFill="1" applyBorder="1"/>
    <xf numFmtId="169" fontId="2" fillId="38" borderId="24" xfId="0" applyNumberFormat="1" applyFont="1" applyFill="1" applyBorder="1"/>
    <xf numFmtId="169" fontId="2" fillId="0" borderId="24" xfId="0" applyNumberFormat="1" applyFont="1" applyBorder="1"/>
    <xf numFmtId="167" fontId="2" fillId="0" borderId="24" xfId="2" applyNumberFormat="1" applyFont="1" applyBorder="1"/>
    <xf numFmtId="169" fontId="2" fillId="33" borderId="61" xfId="0" applyNumberFormat="1" applyFont="1" applyFill="1" applyBorder="1" applyProtection="1">
      <protection hidden="1"/>
    </xf>
    <xf numFmtId="167" fontId="2" fillId="38" borderId="74" xfId="2" applyNumberFormat="1" applyFont="1" applyFill="1" applyBorder="1" applyProtection="1">
      <protection hidden="1"/>
    </xf>
    <xf numFmtId="167" fontId="2" fillId="38" borderId="74" xfId="2" applyNumberFormat="1" applyFont="1" applyFill="1" applyBorder="1" applyProtection="1">
      <protection locked="0"/>
    </xf>
    <xf numFmtId="44" fontId="2" fillId="38" borderId="74" xfId="2" applyFont="1" applyFill="1" applyBorder="1" applyProtection="1">
      <protection locked="0"/>
    </xf>
    <xf numFmtId="169" fontId="2" fillId="33" borderId="41" xfId="0" applyNumberFormat="1" applyFont="1" applyFill="1" applyBorder="1" applyProtection="1">
      <protection hidden="1"/>
    </xf>
    <xf numFmtId="167" fontId="2" fillId="38" borderId="14" xfId="2" applyNumberFormat="1" applyFont="1" applyFill="1" applyBorder="1" applyProtection="1">
      <protection hidden="1"/>
    </xf>
    <xf numFmtId="167" fontId="2" fillId="38" borderId="14" xfId="2" applyNumberFormat="1" applyFont="1" applyFill="1" applyBorder="1" applyProtection="1">
      <protection locked="0"/>
    </xf>
    <xf numFmtId="44" fontId="2" fillId="24" borderId="14" xfId="2" applyFont="1" applyFill="1" applyBorder="1" applyProtection="1">
      <protection locked="0"/>
    </xf>
    <xf numFmtId="169" fontId="2" fillId="33" borderId="63" xfId="0" applyNumberFormat="1" applyFont="1" applyFill="1" applyBorder="1"/>
    <xf numFmtId="167" fontId="2" fillId="24" borderId="8" xfId="2" applyNumberFormat="1" applyFont="1" applyFill="1" applyBorder="1"/>
    <xf numFmtId="167" fontId="2" fillId="38" borderId="8" xfId="2" applyNumberFormat="1" applyFont="1" applyFill="1" applyBorder="1"/>
    <xf numFmtId="0" fontId="2" fillId="24" borderId="24" xfId="0" applyFont="1" applyFill="1" applyBorder="1"/>
    <xf numFmtId="44" fontId="2" fillId="24" borderId="24" xfId="2" applyFont="1" applyFill="1" applyBorder="1"/>
    <xf numFmtId="44" fontId="2" fillId="0" borderId="24" xfId="2" applyFont="1" applyBorder="1"/>
    <xf numFmtId="3" fontId="2" fillId="33" borderId="24" xfId="0" applyNumberFormat="1" applyFont="1" applyFill="1" applyBorder="1"/>
    <xf numFmtId="3" fontId="2" fillId="24" borderId="24" xfId="0" applyNumberFormat="1" applyFont="1" applyFill="1" applyBorder="1"/>
    <xf numFmtId="3" fontId="8" fillId="0" borderId="24" xfId="0" applyNumberFormat="1" applyFont="1" applyBorder="1"/>
    <xf numFmtId="3" fontId="2" fillId="0" borderId="24" xfId="0" applyNumberFormat="1" applyFont="1" applyBorder="1"/>
    <xf numFmtId="3" fontId="8" fillId="24" borderId="24" xfId="0" applyNumberFormat="1" applyFont="1" applyFill="1" applyBorder="1"/>
    <xf numFmtId="3" fontId="2" fillId="33" borderId="77" xfId="0" applyNumberFormat="1" applyFont="1" applyFill="1" applyBorder="1" applyProtection="1">
      <protection hidden="1"/>
    </xf>
    <xf numFmtId="3" fontId="2" fillId="38" borderId="77" xfId="0" applyNumberFormat="1" applyFont="1" applyFill="1" applyBorder="1" applyProtection="1">
      <protection hidden="1"/>
    </xf>
    <xf numFmtId="3" fontId="2" fillId="33" borderId="16" xfId="0" applyNumberFormat="1" applyFont="1" applyFill="1" applyBorder="1" applyProtection="1">
      <protection hidden="1"/>
    </xf>
    <xf numFmtId="3" fontId="2" fillId="33" borderId="8" xfId="0" applyNumberFormat="1" applyFont="1" applyFill="1" applyBorder="1"/>
    <xf numFmtId="3" fontId="2" fillId="38" borderId="8" xfId="0" applyNumberFormat="1" applyFont="1" applyFill="1" applyBorder="1"/>
    <xf numFmtId="3" fontId="2" fillId="38" borderId="24" xfId="0" applyNumberFormat="1" applyFont="1" applyFill="1" applyBorder="1"/>
    <xf numFmtId="173" fontId="2" fillId="33" borderId="61" xfId="0" applyNumberFormat="1" applyFont="1" applyFill="1" applyBorder="1"/>
    <xf numFmtId="173" fontId="2" fillId="24" borderId="24" xfId="0" applyNumberFormat="1" applyFont="1" applyFill="1" applyBorder="1"/>
    <xf numFmtId="173" fontId="2" fillId="0" borderId="24" xfId="0" applyNumberFormat="1" applyFont="1" applyBorder="1"/>
    <xf numFmtId="173" fontId="2" fillId="33" borderId="63" xfId="0" applyNumberFormat="1" applyFont="1" applyFill="1" applyBorder="1"/>
    <xf numFmtId="173" fontId="2" fillId="24" borderId="8" xfId="0" applyNumberFormat="1" applyFont="1" applyFill="1" applyBorder="1"/>
    <xf numFmtId="173" fontId="8" fillId="0" borderId="24" xfId="0" applyNumberFormat="1" applyFont="1" applyBorder="1"/>
    <xf numFmtId="173" fontId="8" fillId="24" borderId="24" xfId="0" applyNumberFormat="1" applyFont="1" applyFill="1" applyBorder="1"/>
    <xf numFmtId="0" fontId="70" fillId="48" borderId="24" xfId="0" applyFont="1" applyFill="1" applyBorder="1" applyAlignment="1">
      <alignment vertical="center" wrapText="1"/>
    </xf>
    <xf numFmtId="167" fontId="8" fillId="0" borderId="24" xfId="2" applyNumberFormat="1" applyFont="1" applyBorder="1"/>
    <xf numFmtId="167" fontId="8" fillId="24" borderId="24" xfId="2" applyNumberFormat="1" applyFont="1" applyFill="1" applyBorder="1"/>
    <xf numFmtId="44" fontId="8" fillId="24" borderId="8" xfId="2" applyFont="1" applyFill="1" applyBorder="1"/>
    <xf numFmtId="0" fontId="8" fillId="24" borderId="8" xfId="0" applyFont="1" applyFill="1" applyBorder="1"/>
    <xf numFmtId="44" fontId="8" fillId="24" borderId="24" xfId="2" applyFont="1" applyFill="1" applyBorder="1"/>
    <xf numFmtId="37" fontId="8" fillId="24" borderId="24" xfId="2" applyNumberFormat="1" applyFont="1" applyFill="1" applyBorder="1"/>
    <xf numFmtId="44" fontId="8" fillId="0" borderId="24" xfId="2" applyFont="1" applyBorder="1"/>
    <xf numFmtId="44" fontId="8" fillId="24" borderId="8" xfId="0" applyNumberFormat="1" applyFont="1" applyFill="1" applyBorder="1"/>
    <xf numFmtId="0" fontId="8" fillId="24" borderId="24" xfId="0" applyFont="1" applyFill="1" applyBorder="1"/>
    <xf numFmtId="1" fontId="2" fillId="24" borderId="24" xfId="0" applyNumberFormat="1" applyFont="1" applyFill="1" applyBorder="1"/>
    <xf numFmtId="1" fontId="2" fillId="33" borderId="24" xfId="0" applyNumberFormat="1" applyFont="1" applyFill="1" applyBorder="1"/>
    <xf numFmtId="164" fontId="2" fillId="24" borderId="74" xfId="1" applyNumberFormat="1" applyFont="1" applyFill="1" applyBorder="1" applyProtection="1">
      <protection hidden="1"/>
    </xf>
    <xf numFmtId="164" fontId="2" fillId="38" borderId="74" xfId="1" applyNumberFormat="1" applyFont="1" applyFill="1" applyBorder="1" applyProtection="1">
      <protection hidden="1"/>
    </xf>
    <xf numFmtId="1" fontId="8" fillId="24" borderId="24" xfId="0" applyNumberFormat="1" applyFont="1" applyFill="1" applyBorder="1"/>
    <xf numFmtId="3" fontId="8" fillId="24" borderId="16" xfId="0" applyNumberFormat="1" applyFont="1" applyFill="1" applyBorder="1" applyProtection="1">
      <protection hidden="1"/>
    </xf>
    <xf numFmtId="173" fontId="2" fillId="33" borderId="24" xfId="0" applyNumberFormat="1" applyFont="1" applyFill="1" applyBorder="1"/>
    <xf numFmtId="173" fontId="8" fillId="24" borderId="14" xfId="0" applyNumberFormat="1" applyFont="1" applyFill="1" applyBorder="1"/>
    <xf numFmtId="173" fontId="8" fillId="24" borderId="8" xfId="0" applyNumberFormat="1" applyFont="1" applyFill="1" applyBorder="1"/>
    <xf numFmtId="169" fontId="2" fillId="24" borderId="8" xfId="0" applyNumberFormat="1" applyFont="1" applyFill="1" applyBorder="1"/>
    <xf numFmtId="169" fontId="8" fillId="0" borderId="24" xfId="0" applyNumberFormat="1" applyFont="1" applyBorder="1"/>
    <xf numFmtId="169" fontId="2" fillId="33" borderId="77" xfId="0" applyNumberFormat="1" applyFont="1" applyFill="1" applyBorder="1" applyProtection="1">
      <protection hidden="1"/>
    </xf>
    <xf numFmtId="169" fontId="2" fillId="33" borderId="16" xfId="0" applyNumberFormat="1" applyFont="1" applyFill="1" applyBorder="1" applyProtection="1">
      <protection hidden="1"/>
    </xf>
    <xf numFmtId="0" fontId="2" fillId="33" borderId="8" xfId="0" applyFont="1" applyFill="1" applyBorder="1"/>
    <xf numFmtId="0" fontId="2" fillId="33" borderId="24" xfId="0" applyFont="1" applyFill="1" applyBorder="1"/>
    <xf numFmtId="167" fontId="2" fillId="33" borderId="8" xfId="2" applyNumberFormat="1" applyFont="1" applyFill="1" applyBorder="1"/>
    <xf numFmtId="167" fontId="2" fillId="33" borderId="24" xfId="2" applyNumberFormat="1" applyFont="1" applyFill="1" applyBorder="1"/>
    <xf numFmtId="173" fontId="8" fillId="24" borderId="16" xfId="0" applyNumberFormat="1" applyFont="1" applyFill="1" applyBorder="1" applyProtection="1">
      <protection hidden="1"/>
    </xf>
    <xf numFmtId="169" fontId="8" fillId="24" borderId="16" xfId="0" applyNumberFormat="1" applyFont="1" applyFill="1" applyBorder="1" applyProtection="1">
      <protection hidden="1"/>
    </xf>
    <xf numFmtId="167" fontId="8" fillId="24" borderId="14" xfId="2" applyNumberFormat="1" applyFont="1" applyFill="1" applyBorder="1" applyProtection="1">
      <protection hidden="1"/>
    </xf>
    <xf numFmtId="167" fontId="8" fillId="24" borderId="14" xfId="2" applyNumberFormat="1" applyFont="1" applyFill="1" applyBorder="1" applyProtection="1">
      <protection locked="0"/>
    </xf>
    <xf numFmtId="169" fontId="8" fillId="24" borderId="61" xfId="0" applyNumberFormat="1" applyFont="1" applyFill="1" applyBorder="1"/>
    <xf numFmtId="167" fontId="8" fillId="38" borderId="24" xfId="2" applyNumberFormat="1" applyFont="1" applyFill="1" applyBorder="1"/>
    <xf numFmtId="167" fontId="8" fillId="24" borderId="8" xfId="2" applyNumberFormat="1" applyFont="1" applyFill="1" applyBorder="1"/>
    <xf numFmtId="3" fontId="8" fillId="33" borderId="24" xfId="0" applyNumberFormat="1" applyFont="1" applyFill="1" applyBorder="1"/>
    <xf numFmtId="3" fontId="8" fillId="38" borderId="24" xfId="0" applyNumberFormat="1" applyFont="1" applyFill="1" applyBorder="1"/>
    <xf numFmtId="174" fontId="8" fillId="24" borderId="8" xfId="0" applyNumberFormat="1" applyFont="1" applyFill="1" applyBorder="1"/>
    <xf numFmtId="174" fontId="8" fillId="24" borderId="24" xfId="0" applyNumberFormat="1" applyFont="1" applyFill="1" applyBorder="1"/>
    <xf numFmtId="174" fontId="8" fillId="0" borderId="61" xfId="0" applyNumberFormat="1" applyFont="1" applyBorder="1"/>
    <xf numFmtId="174" fontId="8" fillId="0" borderId="24" xfId="0" applyNumberFormat="1" applyFont="1" applyBorder="1"/>
    <xf numFmtId="173" fontId="8" fillId="33" borderId="24" xfId="0" applyNumberFormat="1" applyFont="1" applyFill="1" applyBorder="1"/>
    <xf numFmtId="173" fontId="2" fillId="33" borderId="74" xfId="0" applyNumberFormat="1" applyFont="1" applyFill="1" applyBorder="1"/>
    <xf numFmtId="169" fontId="2" fillId="0" borderId="61" xfId="0" applyNumberFormat="1" applyFont="1" applyBorder="1"/>
    <xf numFmtId="174" fontId="8" fillId="24" borderId="61" xfId="0" applyNumberFormat="1" applyFont="1" applyFill="1" applyBorder="1"/>
    <xf numFmtId="174" fontId="2" fillId="24" borderId="61" xfId="0" applyNumberFormat="1" applyFont="1" applyFill="1" applyBorder="1"/>
    <xf numFmtId="174" fontId="2" fillId="0" borderId="61" xfId="0" applyNumberFormat="1" applyFont="1" applyBorder="1"/>
    <xf numFmtId="174" fontId="8" fillId="24" borderId="78" xfId="0" applyNumberFormat="1" applyFont="1" applyFill="1" applyBorder="1"/>
    <xf numFmtId="174" fontId="8" fillId="24" borderId="14" xfId="0" applyNumberFormat="1" applyFont="1" applyFill="1" applyBorder="1"/>
    <xf numFmtId="174" fontId="2" fillId="0" borderId="24" xfId="0" applyNumberFormat="1" applyFont="1" applyBorder="1"/>
    <xf numFmtId="3" fontId="42" fillId="32" borderId="24" xfId="0" applyNumberFormat="1" applyFont="1" applyFill="1" applyBorder="1" applyAlignment="1">
      <alignment vertical="center"/>
    </xf>
    <xf numFmtId="164" fontId="43" fillId="32" borderId="24" xfId="1" applyNumberFormat="1" applyFont="1" applyFill="1" applyBorder="1" applyAlignment="1">
      <alignment vertical="center" wrapText="1"/>
    </xf>
    <xf numFmtId="164" fontId="43" fillId="32" borderId="14" xfId="1" applyNumberFormat="1" applyFont="1" applyFill="1" applyBorder="1" applyAlignment="1">
      <alignment vertical="center" wrapText="1"/>
    </xf>
    <xf numFmtId="172" fontId="43" fillId="0" borderId="27" xfId="3" applyNumberFormat="1" applyFont="1" applyFill="1" applyBorder="1" applyAlignment="1">
      <alignment horizontal="center" vertical="center" wrapText="1"/>
    </xf>
    <xf numFmtId="0" fontId="93" fillId="0" borderId="0" xfId="0" applyFont="1"/>
    <xf numFmtId="37" fontId="66" fillId="0" borderId="69" xfId="1" applyNumberFormat="1" applyFont="1" applyBorder="1" applyAlignment="1">
      <alignment horizontal="center"/>
    </xf>
    <xf numFmtId="37" fontId="66" fillId="0" borderId="125" xfId="1" applyNumberFormat="1" applyFont="1" applyBorder="1" applyAlignment="1">
      <alignment horizontal="center"/>
    </xf>
    <xf numFmtId="43" fontId="0" fillId="0" borderId="0" xfId="0" applyNumberFormat="1"/>
    <xf numFmtId="3" fontId="8" fillId="0" borderId="16" xfId="0" applyNumberFormat="1" applyFont="1" applyBorder="1" applyProtection="1">
      <protection hidden="1"/>
    </xf>
    <xf numFmtId="173" fontId="8" fillId="0" borderId="14" xfId="0" applyNumberFormat="1" applyFont="1" applyBorder="1"/>
    <xf numFmtId="167" fontId="8" fillId="0" borderId="14" xfId="2" applyNumberFormat="1" applyFont="1" applyFill="1" applyBorder="1" applyProtection="1">
      <protection hidden="1"/>
    </xf>
    <xf numFmtId="37" fontId="66" fillId="0" borderId="126" xfId="1" applyNumberFormat="1" applyFont="1" applyBorder="1" applyAlignment="1">
      <alignment horizontal="center"/>
    </xf>
    <xf numFmtId="172" fontId="0" fillId="8" borderId="56" xfId="3" applyNumberFormat="1" applyFont="1" applyFill="1" applyBorder="1" applyAlignment="1">
      <alignment horizontal="right" vertical="center"/>
    </xf>
    <xf numFmtId="0" fontId="54" fillId="0" borderId="80" xfId="0" applyFont="1" applyBorder="1" applyAlignment="1">
      <alignment horizontal="left" vertical="center" wrapText="1"/>
    </xf>
    <xf numFmtId="164" fontId="0" fillId="0" borderId="73" xfId="1" applyNumberFormat="1" applyFont="1" applyBorder="1" applyAlignment="1">
      <alignment vertical="center"/>
    </xf>
    <xf numFmtId="10" fontId="0" fillId="0" borderId="74" xfId="3" applyNumberFormat="1" applyFont="1" applyBorder="1" applyAlignment="1">
      <alignment horizontal="right" vertical="center"/>
    </xf>
    <xf numFmtId="166" fontId="0" fillId="0" borderId="74" xfId="2" applyNumberFormat="1" applyFont="1" applyBorder="1" applyAlignment="1">
      <alignment vertical="center"/>
    </xf>
    <xf numFmtId="164" fontId="0" fillId="5" borderId="74" xfId="1" applyNumberFormat="1" applyFont="1" applyFill="1" applyBorder="1" applyAlignment="1">
      <alignment horizontal="right" vertical="center"/>
    </xf>
    <xf numFmtId="9" fontId="0" fillId="8" borderId="75" xfId="3" applyFont="1" applyFill="1" applyBorder="1" applyAlignment="1">
      <alignment horizontal="right" vertical="center"/>
    </xf>
    <xf numFmtId="172" fontId="3" fillId="4" borderId="49" xfId="3" applyNumberFormat="1" applyFont="1" applyFill="1" applyBorder="1"/>
    <xf numFmtId="43" fontId="0" fillId="7" borderId="74" xfId="1" applyFont="1" applyFill="1" applyBorder="1"/>
    <xf numFmtId="164" fontId="0" fillId="7" borderId="15" xfId="1" applyNumberFormat="1" applyFont="1" applyFill="1" applyBorder="1"/>
    <xf numFmtId="164" fontId="10" fillId="0" borderId="6" xfId="1" applyNumberFormat="1" applyFont="1" applyBorder="1" applyAlignment="1">
      <alignment vertical="center"/>
    </xf>
    <xf numFmtId="164" fontId="10" fillId="0" borderId="81" xfId="1" applyNumberFormat="1" applyFont="1" applyBorder="1" applyAlignment="1">
      <alignment horizontal="right" vertical="center"/>
    </xf>
    <xf numFmtId="166" fontId="10" fillId="0" borderId="6" xfId="2" applyNumberFormat="1" applyFont="1" applyBorder="1" applyAlignment="1">
      <alignment vertical="center"/>
    </xf>
    <xf numFmtId="166" fontId="10" fillId="0" borderId="56" xfId="2" applyNumberFormat="1" applyFont="1" applyBorder="1" applyAlignment="1">
      <alignment horizontal="center" vertical="center"/>
    </xf>
    <xf numFmtId="164" fontId="10" fillId="0" borderId="57" xfId="1" applyNumberFormat="1" applyFont="1" applyBorder="1" applyAlignment="1">
      <alignment vertical="center"/>
    </xf>
    <xf numFmtId="164" fontId="10" fillId="0" borderId="56" xfId="1" applyNumberFormat="1" applyFont="1" applyBorder="1" applyAlignment="1">
      <alignment vertical="center"/>
    </xf>
    <xf numFmtId="164" fontId="10" fillId="0" borderId="50" xfId="1" applyNumberFormat="1" applyFont="1" applyBorder="1" applyAlignment="1">
      <alignment vertical="center"/>
    </xf>
    <xf numFmtId="164" fontId="10" fillId="0" borderId="62" xfId="1" applyNumberFormat="1" applyFont="1" applyBorder="1" applyAlignment="1">
      <alignment horizontal="right" vertical="center"/>
    </xf>
    <xf numFmtId="166" fontId="10" fillId="0" borderId="40" xfId="2" applyNumberFormat="1" applyFont="1" applyBorder="1" applyAlignment="1">
      <alignment horizontal="center" vertical="center"/>
    </xf>
    <xf numFmtId="0" fontId="58" fillId="0" borderId="21" xfId="0" applyFont="1" applyBorder="1" applyAlignment="1">
      <alignment horizontal="center" vertical="center" wrapText="1"/>
    </xf>
    <xf numFmtId="10" fontId="47" fillId="8" borderId="24" xfId="3" applyNumberFormat="1" applyFont="1" applyFill="1" applyBorder="1" applyAlignment="1">
      <alignment vertical="center" wrapText="1"/>
    </xf>
    <xf numFmtId="166" fontId="28" fillId="31" borderId="42" xfId="2" applyNumberFormat="1" applyFont="1" applyFill="1" applyBorder="1" applyAlignment="1">
      <alignment vertical="center"/>
    </xf>
    <xf numFmtId="0" fontId="0" fillId="13" borderId="8" xfId="0" applyFill="1" applyBorder="1" applyAlignment="1">
      <alignment wrapText="1"/>
    </xf>
    <xf numFmtId="0" fontId="0" fillId="0" borderId="22" xfId="0" applyBorder="1" applyAlignment="1">
      <alignment wrapText="1"/>
    </xf>
    <xf numFmtId="0" fontId="0" fillId="0" borderId="28" xfId="0" applyBorder="1" applyAlignment="1">
      <alignment wrapText="1"/>
    </xf>
    <xf numFmtId="0" fontId="0" fillId="0" borderId="13" xfId="0" applyBorder="1" applyAlignment="1">
      <alignment wrapText="1"/>
    </xf>
    <xf numFmtId="166" fontId="40" fillId="32" borderId="14" xfId="2" applyNumberFormat="1" applyFont="1" applyFill="1" applyBorder="1" applyAlignment="1">
      <alignment horizontal="left" vertical="center" wrapText="1" indent="2"/>
    </xf>
    <xf numFmtId="172" fontId="40" fillId="32" borderId="40" xfId="3" applyNumberFormat="1" applyFont="1" applyFill="1" applyBorder="1" applyAlignment="1">
      <alignment horizontal="center" vertical="center"/>
    </xf>
    <xf numFmtId="172" fontId="40" fillId="32" borderId="27" xfId="3" applyNumberFormat="1" applyFont="1" applyFill="1" applyBorder="1" applyAlignment="1">
      <alignment horizontal="center" vertical="center"/>
    </xf>
    <xf numFmtId="172" fontId="40" fillId="32" borderId="15" xfId="3" applyNumberFormat="1" applyFont="1" applyFill="1" applyBorder="1" applyAlignment="1">
      <alignment horizontal="center" vertical="center"/>
    </xf>
    <xf numFmtId="172" fontId="28" fillId="31" borderId="48" xfId="3" applyNumberFormat="1" applyFont="1" applyFill="1" applyBorder="1" applyAlignment="1">
      <alignment horizontal="center" vertical="center"/>
    </xf>
    <xf numFmtId="44" fontId="40" fillId="32" borderId="27" xfId="2" applyFont="1" applyFill="1" applyBorder="1" applyAlignment="1">
      <alignment horizontal="center" vertical="center"/>
    </xf>
    <xf numFmtId="44" fontId="40" fillId="32" borderId="15" xfId="2" applyFont="1" applyFill="1" applyBorder="1" applyAlignment="1">
      <alignment horizontal="center" vertical="center"/>
    </xf>
    <xf numFmtId="44" fontId="28" fillId="31" borderId="19" xfId="2" applyFont="1" applyFill="1" applyBorder="1" applyAlignment="1">
      <alignment horizontal="center" vertical="center"/>
    </xf>
    <xf numFmtId="3" fontId="40" fillId="32" borderId="61" xfId="3" applyNumberFormat="1" applyFont="1" applyFill="1" applyBorder="1" applyAlignment="1">
      <alignment horizontal="center" vertical="center"/>
    </xf>
    <xf numFmtId="3" fontId="40" fillId="5" borderId="61" xfId="3" applyNumberFormat="1" applyFont="1" applyFill="1" applyBorder="1" applyAlignment="1">
      <alignment horizontal="center" vertical="center"/>
    </xf>
    <xf numFmtId="3" fontId="28" fillId="31" borderId="17" xfId="2" applyNumberFormat="1" applyFont="1" applyFill="1" applyBorder="1" applyAlignment="1">
      <alignment horizontal="center" vertical="center"/>
    </xf>
    <xf numFmtId="3" fontId="40" fillId="32" borderId="23" xfId="2" applyNumberFormat="1" applyFont="1" applyFill="1" applyBorder="1" applyAlignment="1">
      <alignment horizontal="center" vertical="center"/>
    </xf>
    <xf numFmtId="3" fontId="40" fillId="32" borderId="24" xfId="2" applyNumberFormat="1" applyFont="1" applyFill="1" applyBorder="1" applyAlignment="1">
      <alignment horizontal="center" vertical="center"/>
    </xf>
    <xf numFmtId="3" fontId="40" fillId="5" borderId="24" xfId="2" applyNumberFormat="1" applyFont="1" applyFill="1" applyBorder="1" applyAlignment="1">
      <alignment horizontal="center" vertical="center"/>
    </xf>
    <xf numFmtId="172" fontId="39" fillId="0" borderId="24" xfId="3" applyNumberFormat="1" applyFont="1" applyBorder="1" applyAlignment="1">
      <alignment horizontal="center" vertical="center"/>
    </xf>
    <xf numFmtId="173" fontId="0" fillId="0" borderId="0" xfId="0" applyNumberFormat="1"/>
    <xf numFmtId="0" fontId="8" fillId="24" borderId="77" xfId="0" applyFont="1" applyFill="1" applyBorder="1" applyProtection="1">
      <protection hidden="1"/>
    </xf>
    <xf numFmtId="169" fontId="8" fillId="24" borderId="74" xfId="0" applyNumberFormat="1" applyFont="1" applyFill="1" applyBorder="1"/>
    <xf numFmtId="0" fontId="8" fillId="24" borderId="78" xfId="0" applyFont="1" applyFill="1" applyBorder="1" applyProtection="1">
      <protection hidden="1"/>
    </xf>
    <xf numFmtId="0" fontId="8" fillId="24" borderId="74" xfId="0" applyFont="1" applyFill="1" applyBorder="1" applyProtection="1">
      <protection hidden="1"/>
    </xf>
    <xf numFmtId="1" fontId="8" fillId="33" borderId="24" xfId="0" applyNumberFormat="1" applyFont="1" applyFill="1" applyBorder="1"/>
    <xf numFmtId="1" fontId="8" fillId="24" borderId="61" xfId="0" applyNumberFormat="1" applyFont="1" applyFill="1" applyBorder="1"/>
    <xf numFmtId="169" fontId="8" fillId="24" borderId="46" xfId="0" applyNumberFormat="1" applyFont="1" applyFill="1" applyBorder="1"/>
    <xf numFmtId="173" fontId="8" fillId="33" borderId="61" xfId="0" applyNumberFormat="1" applyFont="1" applyFill="1" applyBorder="1"/>
    <xf numFmtId="169" fontId="8" fillId="33" borderId="61" xfId="0" applyNumberFormat="1" applyFont="1" applyFill="1" applyBorder="1"/>
    <xf numFmtId="169" fontId="8" fillId="33" borderId="24" xfId="0" applyNumberFormat="1" applyFont="1" applyFill="1" applyBorder="1"/>
    <xf numFmtId="167" fontId="8" fillId="33" borderId="24" xfId="2" applyNumberFormat="1" applyFont="1" applyFill="1" applyBorder="1"/>
    <xf numFmtId="169" fontId="8" fillId="0" borderId="46" xfId="0" applyNumberFormat="1" applyFont="1" applyBorder="1"/>
    <xf numFmtId="169" fontId="0" fillId="5" borderId="21" xfId="0" applyNumberFormat="1" applyFill="1" applyBorder="1"/>
    <xf numFmtId="165" fontId="39" fillId="32" borderId="71" xfId="1" applyNumberFormat="1" applyFont="1" applyFill="1" applyBorder="1" applyAlignment="1">
      <alignment horizontal="right" vertical="center" wrapText="1"/>
    </xf>
    <xf numFmtId="172" fontId="0" fillId="5" borderId="8" xfId="1" applyNumberFormat="1" applyFont="1" applyFill="1" applyBorder="1" applyAlignment="1">
      <alignment horizontal="right" vertical="center"/>
    </xf>
    <xf numFmtId="172" fontId="0" fillId="53" borderId="127" xfId="3" applyNumberFormat="1" applyFont="1" applyFill="1" applyBorder="1" applyAlignment="1">
      <alignment horizontal="right" vertical="center"/>
    </xf>
    <xf numFmtId="172" fontId="0" fillId="5" borderId="24" xfId="3" applyNumberFormat="1" applyFont="1" applyFill="1" applyBorder="1" applyAlignment="1">
      <alignment horizontal="right" vertical="center"/>
    </xf>
    <xf numFmtId="172" fontId="0" fillId="53" borderId="48" xfId="3" applyNumberFormat="1" applyFont="1" applyFill="1" applyBorder="1" applyAlignment="1">
      <alignment horizontal="right" vertical="center"/>
    </xf>
    <xf numFmtId="172" fontId="3" fillId="4" borderId="48" xfId="3" applyNumberFormat="1" applyFont="1" applyFill="1" applyBorder="1" applyAlignment="1">
      <alignment horizontal="right"/>
    </xf>
    <xf numFmtId="172" fontId="3" fillId="4" borderId="128" xfId="3" applyNumberFormat="1" applyFont="1" applyFill="1" applyBorder="1"/>
    <xf numFmtId="172" fontId="3" fillId="4" borderId="19" xfId="3" applyNumberFormat="1" applyFont="1" applyFill="1" applyBorder="1"/>
    <xf numFmtId="172" fontId="0" fillId="54" borderId="55" xfId="3" applyNumberFormat="1" applyFont="1" applyFill="1" applyBorder="1" applyAlignment="1">
      <alignment vertical="center"/>
    </xf>
    <xf numFmtId="172" fontId="3" fillId="4" borderId="41" xfId="3" applyNumberFormat="1" applyFont="1" applyFill="1" applyBorder="1" applyAlignment="1">
      <alignment horizontal="right"/>
    </xf>
    <xf numFmtId="172" fontId="0" fillId="7" borderId="14" xfId="3" applyNumberFormat="1" applyFont="1" applyFill="1" applyBorder="1" applyAlignment="1">
      <alignment horizontal="right"/>
    </xf>
    <xf numFmtId="172" fontId="0" fillId="7" borderId="74" xfId="3" applyNumberFormat="1" applyFont="1" applyFill="1" applyBorder="1" applyAlignment="1">
      <alignment horizontal="right"/>
    </xf>
    <xf numFmtId="172" fontId="0" fillId="0" borderId="23" xfId="3" applyNumberFormat="1" applyFont="1" applyFill="1" applyBorder="1" applyAlignment="1">
      <alignment horizontal="right"/>
    </xf>
    <xf numFmtId="172" fontId="3" fillId="4" borderId="17" xfId="3" applyNumberFormat="1" applyFont="1" applyFill="1" applyBorder="1" applyAlignment="1"/>
    <xf numFmtId="172" fontId="0" fillId="0" borderId="8" xfId="3" applyNumberFormat="1" applyFont="1" applyFill="1" applyBorder="1" applyAlignment="1">
      <alignment horizontal="right"/>
    </xf>
    <xf numFmtId="172" fontId="0" fillId="0" borderId="24" xfId="3" applyNumberFormat="1" applyFont="1" applyFill="1" applyBorder="1" applyAlignment="1">
      <alignment horizontal="right"/>
    </xf>
    <xf numFmtId="172" fontId="0" fillId="7" borderId="42" xfId="3" applyNumberFormat="1" applyFont="1" applyFill="1" applyBorder="1" applyAlignment="1">
      <alignment horizontal="right"/>
    </xf>
    <xf numFmtId="172" fontId="0" fillId="0" borderId="74" xfId="3" applyNumberFormat="1" applyFont="1" applyFill="1" applyBorder="1"/>
    <xf numFmtId="172" fontId="0" fillId="6" borderId="17" xfId="3" applyNumberFormat="1" applyFont="1" applyFill="1" applyBorder="1" applyAlignment="1">
      <alignment horizontal="right"/>
    </xf>
    <xf numFmtId="172" fontId="3" fillId="4" borderId="17" xfId="3" applyNumberFormat="1" applyFont="1" applyFill="1" applyBorder="1" applyAlignment="1">
      <alignment horizontal="right"/>
    </xf>
    <xf numFmtId="175" fontId="0" fillId="0" borderId="78" xfId="1" applyNumberFormat="1" applyFont="1" applyFill="1" applyBorder="1"/>
    <xf numFmtId="175" fontId="3" fillId="4" borderId="55" xfId="1" applyNumberFormat="1" applyFont="1" applyFill="1" applyBorder="1" applyAlignment="1"/>
    <xf numFmtId="0" fontId="10" fillId="3" borderId="120" xfId="0" applyFont="1" applyFill="1" applyBorder="1" applyAlignment="1">
      <alignment vertical="center" wrapText="1"/>
    </xf>
    <xf numFmtId="164" fontId="10" fillId="3" borderId="56" xfId="1" applyNumberFormat="1" applyFont="1" applyFill="1" applyBorder="1" applyAlignment="1">
      <alignment vertical="center" wrapText="1"/>
    </xf>
    <xf numFmtId="167" fontId="8" fillId="0" borderId="24" xfId="2" applyNumberFormat="1" applyFont="1" applyFill="1" applyBorder="1"/>
    <xf numFmtId="167" fontId="2" fillId="0" borderId="24" xfId="2" applyNumberFormat="1" applyFont="1" applyFill="1" applyBorder="1"/>
    <xf numFmtId="175" fontId="3" fillId="4" borderId="17" xfId="1" applyNumberFormat="1" applyFont="1" applyFill="1" applyBorder="1"/>
    <xf numFmtId="175" fontId="0" fillId="3" borderId="0" xfId="1" applyNumberFormat="1" applyFont="1" applyFill="1" applyBorder="1" applyAlignment="1">
      <alignment vertical="center" wrapText="1"/>
    </xf>
    <xf numFmtId="176" fontId="0" fillId="0" borderId="0" xfId="0" applyNumberFormat="1"/>
    <xf numFmtId="166" fontId="0" fillId="5" borderId="8" xfId="1" applyNumberFormat="1" applyFont="1" applyFill="1" applyBorder="1" applyAlignment="1">
      <alignment vertical="center"/>
    </xf>
    <xf numFmtId="166" fontId="94" fillId="32" borderId="24" xfId="2" applyNumberFormat="1" applyFont="1" applyFill="1" applyBorder="1" applyAlignment="1">
      <alignment horizontal="left" vertical="center" indent="2"/>
    </xf>
    <xf numFmtId="0" fontId="31" fillId="0" borderId="74" xfId="0" applyFont="1" applyBorder="1" applyAlignment="1">
      <alignment horizontal="center" vertical="center" wrapText="1"/>
    </xf>
    <xf numFmtId="0" fontId="31" fillId="0" borderId="8" xfId="0" applyFont="1" applyBorder="1" applyAlignment="1">
      <alignment horizontal="center" vertical="center" wrapText="1"/>
    </xf>
    <xf numFmtId="0" fontId="66" fillId="0" borderId="65" xfId="0" applyFont="1" applyBorder="1" applyAlignment="1">
      <alignment horizontal="center" vertical="center" wrapText="1"/>
    </xf>
    <xf numFmtId="0" fontId="66" fillId="0" borderId="57" xfId="0" applyFont="1" applyBorder="1" applyAlignment="1">
      <alignment horizontal="center" vertical="center" wrapText="1"/>
    </xf>
    <xf numFmtId="0" fontId="66" fillId="0" borderId="7" xfId="0" applyFont="1" applyBorder="1" applyAlignment="1">
      <alignment horizontal="center" vertical="center" wrapText="1"/>
    </xf>
    <xf numFmtId="0" fontId="66" fillId="0" borderId="73" xfId="0" applyFont="1" applyBorder="1" applyAlignment="1">
      <alignment horizontal="center" vertical="center" wrapText="1"/>
    </xf>
    <xf numFmtId="0" fontId="31" fillId="0" borderId="73" xfId="0" applyFont="1" applyBorder="1" applyAlignment="1">
      <alignment horizontal="center" vertical="center" wrapText="1"/>
    </xf>
    <xf numFmtId="0" fontId="31" fillId="0" borderId="7" xfId="0" applyFont="1" applyBorder="1" applyAlignment="1">
      <alignment horizontal="center" vertical="center" wrapText="1"/>
    </xf>
    <xf numFmtId="0" fontId="27" fillId="0" borderId="0" xfId="0" applyFont="1" applyAlignment="1">
      <alignment horizontal="left" vertical="center"/>
    </xf>
    <xf numFmtId="0" fontId="48" fillId="0" borderId="0" xfId="0" applyFont="1" applyAlignment="1">
      <alignment horizontal="left" vertical="center" wrapText="1"/>
    </xf>
    <xf numFmtId="0" fontId="28" fillId="0" borderId="0" xfId="0" applyFont="1" applyAlignment="1">
      <alignment horizontal="left" vertical="center" wrapText="1"/>
    </xf>
    <xf numFmtId="0" fontId="28" fillId="0" borderId="0" xfId="0" applyFont="1" applyAlignment="1">
      <alignment horizontal="left" vertical="center"/>
    </xf>
    <xf numFmtId="0" fontId="34" fillId="29" borderId="3" xfId="0" applyFont="1" applyFill="1" applyBorder="1" applyAlignment="1">
      <alignment horizontal="center" vertical="center" wrapText="1"/>
    </xf>
    <xf numFmtId="0" fontId="34" fillId="29" borderId="4" xfId="0" applyFont="1" applyFill="1" applyBorder="1" applyAlignment="1">
      <alignment horizontal="center" vertical="center" wrapText="1"/>
    </xf>
    <xf numFmtId="0" fontId="34" fillId="29" borderId="5" xfId="0" applyFont="1" applyFill="1" applyBorder="1" applyAlignment="1">
      <alignment horizontal="center" vertical="center" wrapText="1"/>
    </xf>
    <xf numFmtId="0" fontId="67" fillId="0" borderId="0" xfId="0" applyFont="1" applyAlignment="1">
      <alignment horizontal="left" wrapText="1"/>
    </xf>
    <xf numFmtId="0" fontId="43" fillId="0" borderId="35" xfId="0" applyFont="1" applyBorder="1" applyAlignment="1">
      <alignment horizontal="right" vertical="center" wrapText="1"/>
    </xf>
    <xf numFmtId="0" fontId="43" fillId="0" borderId="33" xfId="0" applyFont="1" applyBorder="1" applyAlignment="1">
      <alignment horizontal="right" vertical="center" wrapText="1"/>
    </xf>
    <xf numFmtId="0" fontId="43" fillId="0" borderId="46" xfId="0" applyFont="1" applyBorder="1" applyAlignment="1">
      <alignment horizontal="right" vertical="center" wrapText="1"/>
    </xf>
    <xf numFmtId="0" fontId="45" fillId="0" borderId="38" xfId="0" applyFont="1" applyBorder="1" applyAlignment="1">
      <alignment horizontal="right" vertical="center"/>
    </xf>
    <xf numFmtId="0" fontId="45" fillId="0" borderId="37" xfId="0" applyFont="1" applyBorder="1" applyAlignment="1">
      <alignment horizontal="right" vertical="center"/>
    </xf>
    <xf numFmtId="0" fontId="45" fillId="0" borderId="16" xfId="0" applyFont="1" applyBorder="1" applyAlignment="1">
      <alignment horizontal="right" vertical="center"/>
    </xf>
    <xf numFmtId="0" fontId="41" fillId="0" borderId="38" xfId="0" applyFont="1" applyBorder="1" applyAlignment="1">
      <alignment horizontal="right" vertical="center"/>
    </xf>
    <xf numFmtId="0" fontId="41" fillId="0" borderId="37" xfId="0" applyFont="1" applyBorder="1" applyAlignment="1">
      <alignment horizontal="right" vertical="center"/>
    </xf>
    <xf numFmtId="0" fontId="41" fillId="0" borderId="16" xfId="0" applyFont="1" applyBorder="1" applyAlignment="1">
      <alignment horizontal="right" vertical="center"/>
    </xf>
    <xf numFmtId="0" fontId="83" fillId="4" borderId="3" xfId="0" applyFont="1" applyFill="1" applyBorder="1" applyAlignment="1">
      <alignment horizontal="left" vertical="center" wrapText="1"/>
    </xf>
    <xf numFmtId="0" fontId="83" fillId="4" borderId="4" xfId="0" applyFont="1" applyFill="1" applyBorder="1" applyAlignment="1">
      <alignment horizontal="left" vertical="center" wrapText="1"/>
    </xf>
    <xf numFmtId="0" fontId="83" fillId="4" borderId="5" xfId="0" applyFont="1" applyFill="1" applyBorder="1" applyAlignment="1">
      <alignment horizontal="left" vertical="center" wrapText="1"/>
    </xf>
    <xf numFmtId="0" fontId="43" fillId="0" borderId="65" xfId="0" applyFont="1" applyBorder="1" applyAlignment="1">
      <alignment horizontal="center" vertical="center" wrapText="1"/>
    </xf>
    <xf numFmtId="0" fontId="43" fillId="0" borderId="57" xfId="0" applyFont="1" applyBorder="1" applyAlignment="1">
      <alignment horizontal="center" vertical="center" wrapText="1"/>
    </xf>
    <xf numFmtId="0" fontId="43" fillId="0" borderId="7" xfId="0" applyFont="1" applyBorder="1" applyAlignment="1">
      <alignment horizontal="center" vertical="center" wrapText="1"/>
    </xf>
    <xf numFmtId="0" fontId="43" fillId="0" borderId="73" xfId="0" applyFont="1" applyBorder="1" applyAlignment="1">
      <alignment horizontal="center" vertical="center" wrapText="1"/>
    </xf>
    <xf numFmtId="0" fontId="43" fillId="0" borderId="77" xfId="0" applyFont="1" applyBorder="1" applyAlignment="1">
      <alignment horizontal="center" vertical="center" wrapText="1"/>
    </xf>
    <xf numFmtId="0" fontId="43" fillId="0" borderId="120" xfId="0" applyFont="1" applyBorder="1" applyAlignment="1">
      <alignment horizontal="center" vertical="center" wrapText="1"/>
    </xf>
    <xf numFmtId="0" fontId="43" fillId="0" borderId="10" xfId="0" applyFont="1" applyBorder="1" applyAlignment="1">
      <alignment horizontal="center" vertical="center" wrapText="1"/>
    </xf>
    <xf numFmtId="0" fontId="43" fillId="0" borderId="74" xfId="0" applyFont="1" applyBorder="1" applyAlignment="1">
      <alignment horizontal="center" vertical="center" wrapText="1"/>
    </xf>
    <xf numFmtId="0" fontId="43" fillId="0" borderId="8" xfId="0" applyFont="1" applyBorder="1" applyAlignment="1">
      <alignment horizontal="center" vertical="center" wrapText="1"/>
    </xf>
    <xf numFmtId="0" fontId="5" fillId="3" borderId="64" xfId="0" applyFont="1" applyFill="1" applyBorder="1" applyAlignment="1">
      <alignment horizontal="center" vertical="center" wrapText="1"/>
    </xf>
    <xf numFmtId="0" fontId="5" fillId="3" borderId="44"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54" fillId="0" borderId="25" xfId="0" applyFont="1" applyBorder="1" applyAlignment="1">
      <alignment horizontal="left" vertical="center" wrapText="1"/>
    </xf>
    <xf numFmtId="0" fontId="54" fillId="0" borderId="30" xfId="0" applyFont="1" applyBorder="1" applyAlignment="1">
      <alignment horizontal="left" vertical="center" wrapText="1"/>
    </xf>
    <xf numFmtId="0" fontId="54" fillId="0" borderId="20" xfId="0" applyFont="1" applyBorder="1" applyAlignment="1">
      <alignment horizontal="center" vertical="center" wrapText="1"/>
    </xf>
    <xf numFmtId="0" fontId="54" fillId="0" borderId="25" xfId="0" applyFont="1" applyBorder="1" applyAlignment="1">
      <alignment horizontal="center" vertical="center" wrapText="1"/>
    </xf>
    <xf numFmtId="0" fontId="54" fillId="0" borderId="30" xfId="0" applyFont="1" applyBorder="1" applyAlignment="1">
      <alignment horizontal="center" vertical="center" wrapText="1"/>
    </xf>
    <xf numFmtId="0" fontId="54" fillId="8" borderId="20" xfId="0" applyFont="1" applyFill="1" applyBorder="1" applyAlignment="1">
      <alignment horizontal="center" vertical="center"/>
    </xf>
    <xf numFmtId="0" fontId="54" fillId="8" borderId="30" xfId="0" applyFont="1" applyFill="1" applyBorder="1" applyAlignment="1">
      <alignment horizontal="center" vertical="center"/>
    </xf>
    <xf numFmtId="0" fontId="54" fillId="0" borderId="1" xfId="0" applyFont="1" applyBorder="1" applyAlignment="1">
      <alignment horizontal="center" vertical="center" wrapText="1"/>
    </xf>
    <xf numFmtId="0" fontId="54" fillId="0" borderId="6" xfId="0" applyFont="1" applyBorder="1" applyAlignment="1">
      <alignment horizontal="center" vertical="center" wrapText="1"/>
    </xf>
    <xf numFmtId="0" fontId="85" fillId="2" borderId="1" xfId="0" applyFont="1" applyFill="1" applyBorder="1" applyAlignment="1">
      <alignment horizontal="center" vertical="center" wrapText="1"/>
    </xf>
    <xf numFmtId="0" fontId="85" fillId="2" borderId="32" xfId="0" applyFont="1" applyFill="1" applyBorder="1" applyAlignment="1">
      <alignment horizontal="center" vertical="center" wrapText="1"/>
    </xf>
    <xf numFmtId="0" fontId="85" fillId="2" borderId="6" xfId="0" applyFont="1" applyFill="1" applyBorder="1" applyAlignment="1">
      <alignment horizontal="center" vertical="center" wrapText="1"/>
    </xf>
    <xf numFmtId="0" fontId="85" fillId="2" borderId="58" xfId="0" applyFont="1" applyFill="1" applyBorder="1" applyAlignment="1">
      <alignment horizontal="center" vertical="center" wrapText="1"/>
    </xf>
    <xf numFmtId="0" fontId="85" fillId="2" borderId="11" xfId="0" applyFont="1" applyFill="1" applyBorder="1" applyAlignment="1">
      <alignment horizontal="center" vertical="center" wrapText="1"/>
    </xf>
    <xf numFmtId="0" fontId="85" fillId="2" borderId="43"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54" fillId="0" borderId="80" xfId="0" applyFont="1" applyBorder="1" applyAlignment="1">
      <alignment horizontal="center" vertical="center" wrapText="1"/>
    </xf>
    <xf numFmtId="0" fontId="54" fillId="0" borderId="29" xfId="0" applyFont="1" applyBorder="1" applyAlignment="1">
      <alignment horizontal="center" vertical="center" wrapText="1"/>
    </xf>
    <xf numFmtId="164" fontId="0" fillId="5" borderId="31" xfId="1" applyNumberFormat="1" applyFont="1" applyFill="1" applyBorder="1" applyAlignment="1">
      <alignment horizontal="center" vertical="center"/>
    </xf>
    <xf numFmtId="164" fontId="0" fillId="5" borderId="76" xfId="1" applyNumberFormat="1" applyFont="1" applyFill="1" applyBorder="1" applyAlignment="1">
      <alignment horizontal="center" vertical="center"/>
    </xf>
    <xf numFmtId="164" fontId="0" fillId="5" borderId="8" xfId="1" applyNumberFormat="1" applyFont="1" applyFill="1" applyBorder="1" applyAlignment="1">
      <alignment horizontal="center" vertical="center"/>
    </xf>
    <xf numFmtId="164" fontId="0" fillId="0" borderId="31" xfId="1" applyNumberFormat="1" applyFont="1" applyBorder="1" applyAlignment="1">
      <alignment horizontal="center" vertical="center"/>
    </xf>
    <xf numFmtId="164" fontId="0" fillId="0" borderId="8" xfId="1" applyNumberFormat="1" applyFont="1" applyBorder="1" applyAlignment="1">
      <alignment horizontal="center" vertical="center"/>
    </xf>
    <xf numFmtId="164" fontId="0" fillId="5" borderId="42" xfId="1" applyNumberFormat="1" applyFont="1" applyFill="1" applyBorder="1" applyAlignment="1">
      <alignment horizontal="center" vertical="center"/>
    </xf>
    <xf numFmtId="0" fontId="54" fillId="8" borderId="20" xfId="0" applyFont="1" applyFill="1" applyBorder="1" applyAlignment="1">
      <alignment horizontal="center" vertical="center" wrapText="1"/>
    </xf>
    <xf numFmtId="0" fontId="54" fillId="8" borderId="30" xfId="0" applyFont="1" applyFill="1" applyBorder="1" applyAlignment="1">
      <alignment horizontal="center" vertical="center" wrapText="1"/>
    </xf>
    <xf numFmtId="166" fontId="0" fillId="0" borderId="31" xfId="2" applyNumberFormat="1" applyFont="1" applyBorder="1" applyAlignment="1">
      <alignment horizontal="center" vertical="center"/>
    </xf>
    <xf numFmtId="166" fontId="0" fillId="0" borderId="8" xfId="2" applyNumberFormat="1" applyFont="1" applyBorder="1" applyAlignment="1">
      <alignment horizontal="center" vertical="center"/>
    </xf>
    <xf numFmtId="166" fontId="0" fillId="0" borderId="76" xfId="2" applyNumberFormat="1" applyFont="1" applyBorder="1" applyAlignment="1">
      <alignment horizontal="center" vertical="center"/>
    </xf>
    <xf numFmtId="166" fontId="0" fillId="5" borderId="31" xfId="2" applyNumberFormat="1" applyFont="1" applyFill="1" applyBorder="1" applyAlignment="1">
      <alignment horizontal="center" vertical="center"/>
    </xf>
    <xf numFmtId="166" fontId="0" fillId="5" borderId="42" xfId="2"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3" borderId="2" xfId="0" applyFont="1" applyFill="1" applyBorder="1" applyAlignment="1">
      <alignment horizontal="center" vertical="center"/>
    </xf>
    <xf numFmtId="0" fontId="54" fillId="0" borderId="11" xfId="0" applyFont="1" applyBorder="1" applyAlignment="1">
      <alignment horizontal="center" vertical="center" wrapText="1"/>
    </xf>
    <xf numFmtId="164" fontId="0" fillId="0" borderId="74" xfId="1" applyNumberFormat="1" applyFont="1" applyBorder="1" applyAlignment="1">
      <alignment horizontal="center" vertical="center"/>
    </xf>
    <xf numFmtId="164" fontId="0" fillId="0" borderId="76" xfId="1" applyNumberFormat="1" applyFont="1" applyBorder="1" applyAlignment="1">
      <alignment horizontal="center" vertical="center"/>
    </xf>
    <xf numFmtId="0" fontId="12" fillId="3" borderId="3" xfId="0" applyFont="1" applyFill="1" applyBorder="1" applyAlignment="1">
      <alignment horizontal="center" vertical="center"/>
    </xf>
    <xf numFmtId="0" fontId="12" fillId="3" borderId="5" xfId="0" applyFont="1" applyFill="1" applyBorder="1" applyAlignment="1">
      <alignment horizontal="center" vertical="center"/>
    </xf>
    <xf numFmtId="0" fontId="91" fillId="3" borderId="3" xfId="0" applyFont="1" applyFill="1" applyBorder="1" applyAlignment="1">
      <alignment horizontal="center" vertical="center" wrapText="1"/>
    </xf>
    <xf numFmtId="0" fontId="91" fillId="3" borderId="5" xfId="0" applyFont="1" applyFill="1" applyBorder="1" applyAlignment="1">
      <alignment horizontal="center" vertical="center" wrapText="1"/>
    </xf>
    <xf numFmtId="0" fontId="10" fillId="32" borderId="0" xfId="0" applyFont="1" applyFill="1" applyAlignment="1">
      <alignment horizontal="center" vertical="center" wrapText="1"/>
    </xf>
    <xf numFmtId="0" fontId="58" fillId="0" borderId="20" xfId="0" applyFont="1" applyBorder="1" applyAlignment="1">
      <alignment horizontal="left" vertical="center" wrapText="1"/>
    </xf>
    <xf numFmtId="0" fontId="58" fillId="0" borderId="25" xfId="0" applyFont="1" applyBorder="1" applyAlignment="1">
      <alignment horizontal="left" vertical="center" wrapText="1"/>
    </xf>
    <xf numFmtId="0" fontId="58" fillId="0" borderId="30" xfId="0" applyFont="1" applyBorder="1" applyAlignment="1">
      <alignment horizontal="left" vertical="center" wrapText="1"/>
    </xf>
    <xf numFmtId="0" fontId="18" fillId="0" borderId="2" xfId="0" applyFont="1" applyBorder="1" applyAlignment="1">
      <alignment horizontal="left"/>
    </xf>
    <xf numFmtId="0" fontId="58" fillId="0" borderId="20" xfId="0" applyFont="1" applyBorder="1" applyAlignment="1">
      <alignment horizontal="center" vertical="center" wrapText="1"/>
    </xf>
    <xf numFmtId="0" fontId="58" fillId="0" borderId="30" xfId="0" applyFont="1" applyBorder="1" applyAlignment="1">
      <alignment horizontal="center" vertical="center" wrapText="1"/>
    </xf>
    <xf numFmtId="0" fontId="12" fillId="3" borderId="3"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5" xfId="0" applyFont="1" applyFill="1" applyBorder="1" applyAlignment="1">
      <alignment horizontal="center" vertical="center" wrapText="1"/>
    </xf>
    <xf numFmtId="164" fontId="13" fillId="3" borderId="3" xfId="1" applyNumberFormat="1" applyFont="1" applyFill="1" applyBorder="1" applyAlignment="1">
      <alignment horizontal="center" vertical="center" wrapText="1"/>
    </xf>
    <xf numFmtId="164" fontId="13" fillId="3" borderId="5" xfId="1" applyNumberFormat="1"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5" xfId="0" applyFont="1" applyFill="1" applyBorder="1" applyAlignment="1">
      <alignment horizontal="center" vertical="center" wrapText="1"/>
    </xf>
    <xf numFmtId="0" fontId="58" fillId="8" borderId="20" xfId="0" applyFont="1" applyFill="1" applyBorder="1" applyAlignment="1">
      <alignment horizontal="center" vertical="center"/>
    </xf>
    <xf numFmtId="0" fontId="58" fillId="8" borderId="30"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32" xfId="0" applyFont="1" applyFill="1" applyBorder="1" applyAlignment="1">
      <alignment horizontal="center" vertical="center"/>
    </xf>
    <xf numFmtId="0" fontId="10" fillId="8" borderId="20" xfId="0" applyFont="1" applyFill="1" applyBorder="1" applyAlignment="1">
      <alignment horizontal="center" vertical="center"/>
    </xf>
    <xf numFmtId="0" fontId="10" fillId="8" borderId="30" xfId="0" applyFont="1" applyFill="1" applyBorder="1" applyAlignment="1">
      <alignment horizontal="center" vertical="center"/>
    </xf>
    <xf numFmtId="0" fontId="12" fillId="3" borderId="1" xfId="0" applyFont="1" applyFill="1" applyBorder="1" applyAlignment="1">
      <alignment horizontal="center" vertical="center" wrapText="1"/>
    </xf>
    <xf numFmtId="0" fontId="12" fillId="3" borderId="32"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32" xfId="0" applyFont="1" applyFill="1" applyBorder="1" applyAlignment="1">
      <alignment horizontal="center" vertical="center" wrapText="1"/>
    </xf>
    <xf numFmtId="164" fontId="13" fillId="3" borderId="11" xfId="1" applyNumberFormat="1" applyFont="1" applyFill="1" applyBorder="1" applyAlignment="1">
      <alignment horizontal="center" vertical="center" wrapText="1"/>
    </xf>
    <xf numFmtId="164" fontId="13" fillId="3" borderId="43" xfId="1" applyNumberFormat="1" applyFont="1" applyFill="1" applyBorder="1" applyAlignment="1">
      <alignment horizontal="center" vertical="center" wrapText="1"/>
    </xf>
    <xf numFmtId="0" fontId="10" fillId="0" borderId="1"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11" xfId="0" applyFont="1" applyBorder="1" applyAlignment="1">
      <alignment horizontal="center" vertical="center" wrapText="1"/>
    </xf>
    <xf numFmtId="0" fontId="54" fillId="8" borderId="25" xfId="0" applyFont="1" applyFill="1" applyBorder="1" applyAlignment="1">
      <alignment horizontal="center" vertical="center"/>
    </xf>
    <xf numFmtId="0" fontId="54" fillId="0" borderId="64" xfId="0" applyFont="1" applyBorder="1" applyAlignment="1">
      <alignment horizontal="center" vertical="center" wrapText="1"/>
    </xf>
    <xf numFmtId="0" fontId="54" fillId="0" borderId="44" xfId="0" applyFont="1" applyBorder="1" applyAlignment="1">
      <alignment horizontal="center" vertical="center" wrapText="1"/>
    </xf>
    <xf numFmtId="0" fontId="21" fillId="3" borderId="1" xfId="4" applyFont="1" applyFill="1" applyBorder="1" applyAlignment="1">
      <alignment horizontal="center" vertical="center" wrapText="1"/>
    </xf>
    <xf numFmtId="0" fontId="0" fillId="3" borderId="2" xfId="0" applyFill="1" applyBorder="1" applyAlignment="1">
      <alignment wrapText="1"/>
    </xf>
    <xf numFmtId="0" fontId="0" fillId="3" borderId="32" xfId="0" applyFill="1" applyBorder="1" applyAlignment="1">
      <alignment wrapText="1"/>
    </xf>
    <xf numFmtId="0" fontId="0" fillId="3" borderId="11" xfId="0" applyFill="1" applyBorder="1" applyAlignment="1">
      <alignment wrapText="1"/>
    </xf>
    <xf numFmtId="0" fontId="0" fillId="3" borderId="12" xfId="0" applyFill="1" applyBorder="1" applyAlignment="1">
      <alignment wrapText="1"/>
    </xf>
    <xf numFmtId="0" fontId="0" fillId="3" borderId="43" xfId="0" applyFill="1" applyBorder="1" applyAlignment="1">
      <alignment wrapText="1"/>
    </xf>
    <xf numFmtId="0" fontId="12" fillId="35" borderId="3" xfId="0" applyFont="1" applyFill="1" applyBorder="1" applyAlignment="1">
      <alignment horizontal="center" vertical="center" wrapText="1"/>
    </xf>
    <xf numFmtId="0" fontId="12" fillId="35" borderId="4" xfId="0" applyFont="1" applyFill="1" applyBorder="1" applyAlignment="1">
      <alignment horizontal="center" vertical="center" wrapText="1"/>
    </xf>
    <xf numFmtId="0" fontId="12" fillId="35" borderId="5" xfId="0" applyFont="1" applyFill="1" applyBorder="1" applyAlignment="1">
      <alignment horizontal="center" vertical="center" wrapText="1"/>
    </xf>
    <xf numFmtId="0" fontId="64" fillId="4" borderId="110" xfId="0" applyFont="1" applyFill="1" applyBorder="1" applyAlignment="1">
      <alignment horizontal="left"/>
    </xf>
    <xf numFmtId="0" fontId="64" fillId="4" borderId="72" xfId="0" applyFont="1" applyFill="1" applyBorder="1" applyAlignment="1">
      <alignment horizontal="left"/>
    </xf>
    <xf numFmtId="0" fontId="63" fillId="37" borderId="100" xfId="0" applyFont="1" applyFill="1" applyBorder="1" applyAlignment="1">
      <alignment horizontal="left"/>
    </xf>
    <xf numFmtId="0" fontId="63" fillId="37" borderId="107" xfId="0" applyFont="1" applyFill="1" applyBorder="1" applyAlignment="1">
      <alignment horizontal="left"/>
    </xf>
    <xf numFmtId="0" fontId="63" fillId="37" borderId="3" xfId="0" applyFont="1" applyFill="1" applyBorder="1" applyAlignment="1">
      <alignment horizontal="left"/>
    </xf>
    <xf numFmtId="0" fontId="63" fillId="37" borderId="4" xfId="0" applyFont="1" applyFill="1" applyBorder="1" applyAlignment="1">
      <alignment horizontal="left"/>
    </xf>
    <xf numFmtId="0" fontId="58" fillId="0" borderId="0" xfId="0" applyFont="1" applyAlignment="1">
      <alignment horizontal="left" vertical="center" wrapText="1"/>
    </xf>
    <xf numFmtId="0" fontId="72" fillId="50" borderId="65" xfId="0" applyFont="1" applyFill="1" applyBorder="1" applyAlignment="1">
      <alignment horizontal="center" wrapText="1"/>
    </xf>
    <xf numFmtId="0" fontId="72" fillId="50" borderId="119" xfId="0" applyFont="1" applyFill="1" applyBorder="1" applyAlignment="1">
      <alignment horizontal="center" wrapText="1"/>
    </xf>
    <xf numFmtId="0" fontId="72" fillId="50" borderId="20" xfId="0" applyFont="1" applyFill="1" applyBorder="1" applyAlignment="1">
      <alignment horizontal="center" wrapText="1"/>
    </xf>
    <xf numFmtId="0" fontId="72" fillId="50" borderId="30" xfId="0" applyFont="1" applyFill="1" applyBorder="1" applyAlignment="1">
      <alignment horizontal="center" wrapText="1"/>
    </xf>
    <xf numFmtId="0" fontId="72" fillId="50" borderId="118" xfId="0" applyFont="1" applyFill="1" applyBorder="1" applyAlignment="1">
      <alignment horizontal="center" wrapText="1"/>
    </xf>
    <xf numFmtId="0" fontId="72" fillId="50" borderId="20" xfId="0" applyFont="1" applyFill="1" applyBorder="1" applyAlignment="1">
      <alignment wrapText="1"/>
    </xf>
    <xf numFmtId="0" fontId="72" fillId="50" borderId="25" xfId="0" applyFont="1" applyFill="1" applyBorder="1" applyAlignment="1">
      <alignment wrapText="1"/>
    </xf>
    <xf numFmtId="0" fontId="4" fillId="3" borderId="20" xfId="0" applyFont="1" applyFill="1" applyBorder="1" applyAlignment="1">
      <alignment horizontal="center" vertical="center" wrapText="1"/>
    </xf>
    <xf numFmtId="0" fontId="4" fillId="3" borderId="30" xfId="0" applyFont="1" applyFill="1" applyBorder="1" applyAlignment="1">
      <alignment horizontal="center" vertical="center" wrapText="1"/>
    </xf>
    <xf numFmtId="0" fontId="68" fillId="0" borderId="0" xfId="0" applyFont="1"/>
    <xf numFmtId="0" fontId="68" fillId="0" borderId="81" xfId="0" applyFont="1" applyBorder="1"/>
    <xf numFmtId="164" fontId="0" fillId="10" borderId="24" xfId="1" applyNumberFormat="1" applyFont="1" applyFill="1" applyBorder="1"/>
    <xf numFmtId="173" fontId="0" fillId="10" borderId="24" xfId="0" applyNumberFormat="1" applyFill="1" applyBorder="1"/>
    <xf numFmtId="173" fontId="0" fillId="33" borderId="24" xfId="0" applyNumberFormat="1" applyFill="1" applyBorder="1"/>
    <xf numFmtId="173" fontId="0" fillId="33" borderId="61" xfId="0" applyNumberFormat="1" applyFill="1" applyBorder="1"/>
    <xf numFmtId="169" fontId="0" fillId="33" borderId="24" xfId="0" applyNumberFormat="1" applyFill="1" applyBorder="1"/>
    <xf numFmtId="169" fontId="0" fillId="33" borderId="61" xfId="0" applyNumberFormat="1" applyFill="1" applyBorder="1"/>
    <xf numFmtId="167" fontId="0" fillId="10" borderId="24" xfId="2" applyNumberFormat="1" applyFont="1" applyFill="1" applyBorder="1"/>
    <xf numFmtId="167" fontId="0" fillId="33" borderId="24" xfId="2" applyNumberFormat="1" applyFont="1" applyFill="1" applyBorder="1"/>
    <xf numFmtId="1" fontId="0" fillId="10" borderId="24" xfId="0" applyNumberFormat="1" applyFill="1" applyBorder="1"/>
    <xf numFmtId="166" fontId="0" fillId="5" borderId="31" xfId="1" applyNumberFormat="1" applyFont="1" applyFill="1" applyBorder="1" applyAlignment="1">
      <alignment horizontal="center" vertical="center"/>
    </xf>
    <xf numFmtId="166" fontId="0" fillId="5" borderId="76" xfId="1" applyNumberFormat="1" applyFont="1" applyFill="1" applyBorder="1" applyAlignment="1">
      <alignment horizontal="center" vertical="center"/>
    </xf>
    <xf numFmtId="166" fontId="0" fillId="5" borderId="8" xfId="1" applyNumberFormat="1" applyFont="1" applyFill="1" applyBorder="1" applyAlignment="1">
      <alignment horizontal="center" vertical="center"/>
    </xf>
    <xf numFmtId="173" fontId="8" fillId="24" borderId="74" xfId="0" applyNumberFormat="1" applyFont="1" applyFill="1" applyBorder="1"/>
    <xf numFmtId="173" fontId="8" fillId="24" borderId="23" xfId="0" applyNumberFormat="1" applyFont="1" applyFill="1" applyBorder="1"/>
  </cellXfs>
  <cellStyles count="11">
    <cellStyle name="Comma" xfId="1" builtinId="3"/>
    <cellStyle name="Currency" xfId="2" builtinId="4"/>
    <cellStyle name="Hyperlink" xfId="8" builtinId="8"/>
    <cellStyle name="Normal" xfId="0" builtinId="0"/>
    <cellStyle name="Normal 10 2" xfId="9" xr:uid="{4F798797-6CA0-44C9-A3A3-FE8B298FE003}"/>
    <cellStyle name="Normal 2" xfId="5" xr:uid="{CDFF47DC-EB1E-42E7-85EC-1140875BCE69}"/>
    <cellStyle name="Normal 2 2" xfId="6" xr:uid="{0763FE80-26C1-41C9-919D-0EC61522A477}"/>
    <cellStyle name="Normal 8" xfId="10" xr:uid="{372AD789-B055-4B69-915F-652931811C87}"/>
    <cellStyle name="Normal_Lookup Sheet" xfId="7" xr:uid="{672C00A9-C650-4D05-AA47-E8FA2820CDFB}"/>
    <cellStyle name="Normal_Revised Exhibit 1_021810_Eberts" xfId="4" xr:uid="{EA0E08F6-4734-4F92-A9D2-CE7067DE3054}"/>
    <cellStyle name="Percent" xfId="3" builtinId="5"/>
  </cellStyles>
  <dxfs count="106">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ont>
        <strike val="0"/>
        <outline val="0"/>
        <shadow val="0"/>
        <u val="none"/>
        <vertAlign val="baseline"/>
        <sz val="11"/>
        <color auto="1"/>
        <name val="Calibri"/>
        <family val="2"/>
        <scheme val="minor"/>
      </font>
      <numFmt numFmtId="173" formatCode="#,##0.0"/>
      <border diagonalUp="0" diagonalDown="0">
        <left style="thin">
          <color indexed="64"/>
        </left>
        <right style="thin">
          <color indexed="64"/>
        </right>
        <top style="thin">
          <color indexed="64"/>
        </top>
        <bottom style="thin">
          <color indexed="64"/>
        </bottom>
      </border>
    </dxf>
    <dxf>
      <numFmt numFmtId="170" formatCode="&quot;$&quot;#,##0.00"/>
      <border diagonalUp="0" diagonalDown="0">
        <left style="thin">
          <color indexed="64"/>
        </left>
        <right/>
        <top style="thin">
          <color indexed="64"/>
        </top>
        <bottom style="thin">
          <color indexed="64"/>
        </bottom>
        <vertical/>
        <horizontal/>
      </border>
    </dxf>
    <dxf>
      <numFmt numFmtId="170" formatCode="&quot;$&quot;#,##0.00"/>
      <border diagonalUp="0" diagonalDown="0">
        <left style="thin">
          <color indexed="64"/>
        </left>
        <right style="thin">
          <color indexed="64"/>
        </right>
        <top style="thin">
          <color indexed="64"/>
        </top>
        <bottom style="thin">
          <color indexed="64"/>
        </bottom>
        <vertical/>
        <horizontal/>
      </border>
    </dxf>
    <dxf>
      <numFmt numFmtId="170" formatCode="&quot;$&quot;#,##0.00"/>
      <border diagonalUp="0" diagonalDown="0">
        <left style="thin">
          <color indexed="64"/>
        </left>
        <right style="thin">
          <color indexed="64"/>
        </right>
        <top style="thin">
          <color indexed="64"/>
        </top>
        <bottom style="thin">
          <color indexed="64"/>
        </bottom>
        <vertical/>
        <horizontal/>
      </border>
    </dxf>
    <dxf>
      <numFmt numFmtId="170" formatCode="&quot;$&quot;#,##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170" formatCode="&quot;$&quot;#,##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rgb="FF000000"/>
          <bgColor rgb="FFDBDBDB"/>
        </patternFill>
      </fill>
    </dxf>
    <dxf>
      <font>
        <b val="0"/>
        <i val="0"/>
        <strike val="0"/>
        <condense val="0"/>
        <extend val="0"/>
        <outline val="0"/>
        <shadow val="0"/>
        <u val="none"/>
        <vertAlign val="baseline"/>
        <sz val="11"/>
        <color theme="1"/>
        <name val="Calibri"/>
        <family val="2"/>
        <scheme val="minor"/>
      </font>
      <numFmt numFmtId="167" formatCode="_(&quot;$&quot;* #,##0_);_(&quot;$&quot;* \(#,##0\);_(&quot;$&quot;* &quot;-&quot;??_);_(@_)"/>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67" formatCode="_(&quot;$&quot;* #,##0_);_(&quot;$&quot;* \(#,##0\);_(&quot;$&quot;* &quot;-&quot;??_);_(@_)"/>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vertical/>
        <horizontal/>
      </border>
    </dxf>
    <dxf>
      <border outline="0">
        <left style="thin">
          <color indexed="64"/>
        </left>
      </border>
    </dxf>
    <dxf>
      <numFmt numFmtId="164" formatCode="_(* #,##0_);_(* \(#,##0\);_(* &quot;-&quot;??_);_(@_)"/>
    </dxf>
    <dxf>
      <border outline="0">
        <right style="thin">
          <color indexed="64"/>
        </right>
      </border>
    </dxf>
    <dxf>
      <numFmt numFmtId="1" formatCode="0"/>
    </dxf>
    <dxf>
      <font>
        <strike val="0"/>
        <outline val="0"/>
        <shadow val="0"/>
        <u val="none"/>
        <vertAlign val="baseline"/>
        <sz val="11"/>
        <color theme="1" tint="4.9989318521683403E-2"/>
        <name val="Calibri"/>
        <family val="2"/>
        <scheme val="minor"/>
      </font>
    </dxf>
    <dxf>
      <font>
        <strike val="0"/>
        <outline val="0"/>
        <shadow val="0"/>
        <u val="none"/>
        <vertAlign val="baseline"/>
        <sz val="11"/>
        <color theme="1" tint="4.9989318521683403E-2"/>
        <name val="Calibri"/>
        <family val="2"/>
        <scheme val="minor"/>
      </font>
    </dxf>
    <dxf>
      <font>
        <strike val="0"/>
        <outline val="0"/>
        <shadow val="0"/>
        <u val="none"/>
        <vertAlign val="baseline"/>
        <sz val="11"/>
        <color theme="1" tint="4.9989318521683403E-2"/>
        <name val="Calibri"/>
        <family val="2"/>
        <scheme val="minor"/>
      </font>
    </dxf>
    <dxf>
      <font>
        <strike val="0"/>
        <outline val="0"/>
        <shadow val="0"/>
        <u val="none"/>
        <vertAlign val="baseline"/>
        <sz val="11"/>
        <color theme="1" tint="4.9989318521683403E-2"/>
        <name val="Calibri"/>
        <family val="2"/>
        <scheme val="minor"/>
      </font>
    </dxf>
    <dxf>
      <font>
        <strike val="0"/>
        <outline val="0"/>
        <shadow val="0"/>
        <u val="none"/>
        <vertAlign val="baseline"/>
        <sz val="11"/>
        <color theme="1" tint="4.9989318521683403E-2"/>
        <name val="Calibri"/>
        <family val="2"/>
        <scheme val="minor"/>
      </font>
    </dxf>
    <dxf>
      <border outline="0">
        <right style="thin">
          <color indexed="64"/>
        </right>
        <bottom style="thin">
          <color indexed="64"/>
        </bottom>
      </border>
    </dxf>
    <dxf>
      <border outline="0">
        <bottom style="thin">
          <color indexed="64"/>
        </bottom>
      </border>
    </dxf>
    <dxf>
      <font>
        <b val="0"/>
        <i val="0"/>
        <strike val="0"/>
        <condense val="0"/>
        <extend val="0"/>
        <outline val="0"/>
        <shadow val="0"/>
        <u val="none"/>
        <vertAlign val="baseline"/>
        <sz val="11"/>
        <color theme="1" tint="4.9989318521683403E-2"/>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1"/>
    </dxf>
    <dxf>
      <font>
        <strike val="0"/>
        <outline val="0"/>
        <shadow val="0"/>
        <u val="none"/>
        <vertAlign val="baseline"/>
        <sz val="11"/>
        <color rgb="FFFF0000"/>
        <name val="Calibri"/>
        <family val="2"/>
        <scheme val="minor"/>
      </font>
    </dxf>
    <dxf>
      <font>
        <strike val="0"/>
        <outline val="0"/>
        <shadow val="0"/>
        <u val="none"/>
        <vertAlign val="baseline"/>
        <sz val="11"/>
        <color rgb="FFFF0000"/>
        <name val="Calibri"/>
        <family val="2"/>
        <scheme val="minor"/>
      </font>
    </dxf>
    <dxf>
      <font>
        <strike val="0"/>
        <outline val="0"/>
        <shadow val="0"/>
        <u val="none"/>
        <vertAlign val="baseline"/>
        <sz val="11"/>
        <color rgb="FFFF0000"/>
        <name val="Calibri"/>
        <family val="2"/>
        <scheme val="minor"/>
      </font>
    </dxf>
    <dxf>
      <font>
        <strike val="0"/>
        <outline val="0"/>
        <shadow val="0"/>
        <u val="none"/>
        <vertAlign val="baseline"/>
        <sz val="11"/>
        <color rgb="FFFF0000"/>
        <name val="Calibri"/>
        <family val="2"/>
        <scheme val="minor"/>
      </font>
    </dxf>
    <dxf>
      <font>
        <strike val="0"/>
        <outline val="0"/>
        <shadow val="0"/>
        <u val="none"/>
        <vertAlign val="baseline"/>
        <sz val="11"/>
        <color rgb="FFFF0000"/>
        <name val="Calibri"/>
        <family val="2"/>
        <scheme val="minor"/>
      </font>
      <numFmt numFmtId="167" formatCode="_(&quot;$&quot;* #,##0_);_(&quot;$&quot;* \(#,##0\);_(&quot;$&quot;* &quot;-&quot;??_);_(@_)"/>
      <border outline="0">
        <left style="thin">
          <color indexed="64"/>
        </left>
      </border>
    </dxf>
    <dxf>
      <font>
        <strike val="0"/>
        <outline val="0"/>
        <shadow val="0"/>
        <u val="none"/>
        <vertAlign val="baseline"/>
        <sz val="11"/>
        <color rgb="FFFF0000"/>
        <name val="Calibri"/>
        <family val="2"/>
        <scheme val="minor"/>
      </font>
      <numFmt numFmtId="167" formatCode="_(&quot;$&quot;* #,##0_);_(&quot;$&quot;* \(#,##0\);_(&quot;$&quot;* &quot;-&quot;??_);_(@_)"/>
    </dxf>
    <dxf>
      <font>
        <strike val="0"/>
        <outline val="0"/>
        <shadow val="0"/>
        <u val="none"/>
        <vertAlign val="baseline"/>
        <sz val="11"/>
        <color rgb="FFFF0000"/>
        <name val="Calibri"/>
        <family val="2"/>
        <scheme val="minor"/>
      </font>
      <numFmt numFmtId="167" formatCode="_(&quot;$&quot;* #,##0_);_(&quot;$&quot;* \(#,##0\);_(&quot;$&quot;* &quot;-&quot;??_);_(@_)"/>
      <border outline="0">
        <left style="thin">
          <color indexed="64"/>
        </left>
        <right style="thin">
          <color indexed="64"/>
        </right>
      </border>
    </dxf>
    <dxf>
      <font>
        <strike val="0"/>
        <outline val="0"/>
        <shadow val="0"/>
        <u val="none"/>
        <vertAlign val="baseline"/>
        <sz val="11"/>
        <color rgb="FFFF0000"/>
        <name val="Calibri"/>
        <family val="2"/>
        <scheme val="minor"/>
      </font>
      <fill>
        <patternFill>
          <fgColor indexed="64"/>
          <bgColor theme="1" tint="0.499984740745262"/>
        </patternFill>
      </fill>
    </dxf>
    <dxf>
      <font>
        <strike val="0"/>
        <outline val="0"/>
        <shadow val="0"/>
        <u val="none"/>
        <vertAlign val="baseline"/>
        <sz val="11"/>
        <color rgb="FFFF0000"/>
        <name val="Calibri"/>
        <family val="2"/>
        <scheme val="minor"/>
      </font>
      <numFmt numFmtId="167" formatCode="_(&quot;$&quot;* #,##0_);_(&quot;$&quot;* \(#,##0\);_(&quot;$&quot;* &quot;-&quot;??_);_(@_)"/>
      <border outline="0">
        <left style="thin">
          <color indexed="64"/>
        </left>
        <right style="thin">
          <color indexed="64"/>
        </right>
      </border>
    </dxf>
    <dxf>
      <font>
        <strike val="0"/>
        <outline val="0"/>
        <shadow val="0"/>
        <u val="none"/>
        <vertAlign val="baseline"/>
        <sz val="11"/>
        <color rgb="FFFF0000"/>
        <name val="Calibri"/>
        <family val="2"/>
        <scheme val="minor"/>
      </font>
      <fill>
        <patternFill>
          <fgColor indexed="64"/>
          <bgColor theme="1" tint="0.499984740745262"/>
        </patternFill>
      </fill>
    </dxf>
    <dxf>
      <font>
        <strike val="0"/>
        <outline val="0"/>
        <shadow val="0"/>
        <u val="none"/>
        <vertAlign val="baseline"/>
        <sz val="11"/>
        <color rgb="FFFF0000"/>
        <name val="Calibri"/>
        <family val="2"/>
        <scheme val="minor"/>
      </font>
      <numFmt numFmtId="167" formatCode="_(&quot;$&quot;* #,##0_);_(&quot;$&quot;* \(#,##0\);_(&quot;$&quot;* &quot;-&quot;??_);_(@_)"/>
      <border outline="0">
        <left style="thin">
          <color indexed="64"/>
        </left>
        <right style="thin">
          <color indexed="64"/>
        </right>
      </border>
    </dxf>
    <dxf>
      <font>
        <strike val="0"/>
        <outline val="0"/>
        <shadow val="0"/>
        <u val="none"/>
        <vertAlign val="baseline"/>
        <sz val="11"/>
        <color rgb="FFFF0000"/>
        <name val="Calibri"/>
        <family val="2"/>
        <scheme val="minor"/>
      </font>
      <numFmt numFmtId="167" formatCode="_(&quot;$&quot;* #,##0_);_(&quot;$&quot;* \(#,##0\);_(&quot;$&quot;* &quot;-&quot;??_);_(@_)"/>
      <border outline="0">
        <right style="thin">
          <color indexed="64"/>
        </right>
      </border>
    </dxf>
    <dxf>
      <font>
        <strike val="0"/>
        <outline val="0"/>
        <shadow val="0"/>
        <u val="none"/>
        <vertAlign val="baseline"/>
        <sz val="11"/>
        <color rgb="FFFF0000"/>
        <name val="Calibri"/>
        <family val="2"/>
        <scheme val="minor"/>
      </font>
      <numFmt numFmtId="169" formatCode="0.0"/>
      <fill>
        <patternFill patternType="solid">
          <fgColor indexed="64"/>
          <bgColor theme="0" tint="-0.499984740745262"/>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rgb="FFFF0000"/>
        <name val="Calibri"/>
        <family val="2"/>
        <scheme val="minor"/>
      </font>
      <numFmt numFmtId="169" formatCode="0.0"/>
      <fill>
        <patternFill patternType="solid">
          <fgColor indexed="64"/>
          <bgColor theme="1" tint="0.49998474074526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FF0000"/>
        <name val="Calibri"/>
        <family val="2"/>
        <scheme val="minor"/>
      </font>
      <numFmt numFmtId="169" formatCode="0.0"/>
      <fill>
        <patternFill patternType="solid">
          <fgColor indexed="64"/>
          <bgColor theme="1" tint="0.49998474074526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FF0000"/>
        <name val="Calibri"/>
        <family val="2"/>
        <scheme val="minor"/>
      </font>
      <numFmt numFmtId="169" formatCode="0.0"/>
      <fill>
        <patternFill patternType="solid">
          <fgColor indexed="64"/>
          <bgColor theme="1" tint="0.49998474074526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FF0000"/>
        <name val="Calibri"/>
        <family val="2"/>
        <scheme val="minor"/>
      </font>
      <numFmt numFmtId="169" formatCode="0.0"/>
      <fill>
        <patternFill patternType="solid">
          <fgColor indexed="64"/>
          <bgColor theme="1" tint="0.49998474074526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FF0000"/>
        <name val="Calibri"/>
        <family val="2"/>
        <scheme val="minor"/>
      </font>
      <numFmt numFmtId="169" formatCode="0.0"/>
      <fill>
        <patternFill patternType="solid">
          <fgColor indexed="64"/>
          <bgColor theme="1" tint="0.49998474074526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FF0000"/>
        <name val="Calibri"/>
        <family val="2"/>
        <scheme val="minor"/>
      </font>
      <numFmt numFmtId="169" formatCode="0.0"/>
      <fill>
        <patternFill patternType="solid">
          <fgColor indexed="64"/>
          <bgColor theme="1" tint="0.49998474074526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FF0000"/>
        <name val="Calibri"/>
        <family val="2"/>
        <scheme val="minor"/>
      </font>
      <numFmt numFmtId="169" formatCode="0.0"/>
      <fill>
        <patternFill patternType="solid">
          <fgColor indexed="64"/>
          <bgColor theme="1" tint="0.49998474074526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FF0000"/>
        <name val="Calibri"/>
        <family val="2"/>
        <scheme val="minor"/>
      </font>
      <numFmt numFmtId="169" formatCode="0.0"/>
      <fill>
        <patternFill patternType="solid">
          <fgColor indexed="64"/>
          <bgColor theme="1" tint="0.49998474074526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FF0000"/>
        <name val="Calibri"/>
        <family val="2"/>
        <scheme val="minor"/>
      </font>
      <numFmt numFmtId="169" formatCode="0.0"/>
      <fill>
        <patternFill patternType="solid">
          <fgColor indexed="64"/>
          <bgColor theme="1" tint="0.49998474074526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FF0000"/>
        <name val="Calibri"/>
        <family val="2"/>
        <scheme val="minor"/>
      </font>
      <numFmt numFmtId="169" formatCode="0.0"/>
      <fill>
        <patternFill patternType="solid">
          <fgColor indexed="64"/>
          <bgColor theme="1" tint="0.49998474074526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FF0000"/>
        <name val="Calibri"/>
        <family val="2"/>
        <scheme val="minor"/>
      </font>
      <numFmt numFmtId="169" formatCode="0.0"/>
      <fill>
        <patternFill patternType="solid">
          <fgColor indexed="64"/>
          <bgColor theme="1" tint="0.49998474074526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FF0000"/>
        <name val="Calibri"/>
        <family val="2"/>
        <scheme val="minor"/>
      </font>
      <numFmt numFmtId="174" formatCode="0.0000"/>
    </dxf>
    <dxf>
      <font>
        <strike val="0"/>
        <outline val="0"/>
        <shadow val="0"/>
        <u val="none"/>
        <vertAlign val="baseline"/>
        <sz val="11"/>
        <color rgb="FFFF0000"/>
        <name val="Calibri"/>
        <family val="2"/>
        <scheme val="minor"/>
      </font>
      <numFmt numFmtId="169" formatCode="0.0"/>
      <fill>
        <patternFill patternType="solid">
          <fgColor indexed="64"/>
          <bgColor theme="0" tint="-0.49998474074526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FF0000"/>
        <name val="Calibri"/>
        <family val="2"/>
        <scheme val="minor"/>
      </font>
      <numFmt numFmtId="169" formatCode="0.0"/>
    </dxf>
    <dxf>
      <font>
        <strike val="0"/>
        <outline val="0"/>
        <shadow val="0"/>
        <u val="none"/>
        <vertAlign val="baseline"/>
        <sz val="11"/>
        <color rgb="FFFF0000"/>
        <name val="Calibri"/>
        <family val="2"/>
        <scheme val="minor"/>
      </font>
      <numFmt numFmtId="169" formatCode="0.0"/>
    </dxf>
    <dxf>
      <font>
        <strike val="0"/>
        <outline val="0"/>
        <shadow val="0"/>
        <u val="none"/>
        <vertAlign val="baseline"/>
        <sz val="11"/>
        <color rgb="FFFF0000"/>
        <name val="Calibri"/>
        <family val="2"/>
        <scheme val="minor"/>
      </font>
      <numFmt numFmtId="173" formatCode="#,##0.0"/>
    </dxf>
    <dxf>
      <font>
        <strike val="0"/>
        <outline val="0"/>
        <shadow val="0"/>
        <u val="none"/>
        <vertAlign val="baseline"/>
        <sz val="11"/>
        <color rgb="FFFF0000"/>
        <name val="Calibri"/>
        <family val="2"/>
        <scheme val="minor"/>
      </font>
      <numFmt numFmtId="173" formatCode="#,##0.0"/>
      <border outline="0">
        <left style="thin">
          <color indexed="64"/>
        </left>
      </border>
    </dxf>
    <dxf>
      <font>
        <strike val="0"/>
        <outline val="0"/>
        <shadow val="0"/>
        <u val="none"/>
        <vertAlign val="baseline"/>
        <sz val="11"/>
        <color rgb="FFFF0000"/>
        <name val="Calibri"/>
        <family val="2"/>
        <scheme val="minor"/>
      </font>
      <numFmt numFmtId="173" formatCode="#,##0.0"/>
      <border outline="0">
        <right style="thin">
          <color indexed="64"/>
        </right>
      </border>
    </dxf>
    <dxf>
      <font>
        <strike val="0"/>
        <outline val="0"/>
        <shadow val="0"/>
        <u val="none"/>
        <vertAlign val="baseline"/>
        <sz val="11"/>
        <color rgb="FFFF0000"/>
        <name val="Calibri"/>
        <family val="2"/>
        <scheme val="minor"/>
      </font>
      <numFmt numFmtId="173" formatCode="#,##0.0"/>
    </dxf>
    <dxf>
      <font>
        <strike val="0"/>
        <outline val="0"/>
        <shadow val="0"/>
        <u val="none"/>
        <vertAlign val="baseline"/>
        <sz val="11"/>
        <color rgb="FFFF0000"/>
        <name val="Calibri"/>
        <family val="2"/>
        <scheme val="minor"/>
      </font>
      <numFmt numFmtId="173" formatCode="#,##0.0"/>
    </dxf>
    <dxf>
      <font>
        <strike val="0"/>
        <outline val="0"/>
        <shadow val="0"/>
        <u val="none"/>
        <vertAlign val="baseline"/>
        <sz val="11"/>
        <color rgb="FFFF0000"/>
        <name val="Calibri"/>
        <family val="2"/>
        <scheme val="minor"/>
      </font>
      <numFmt numFmtId="173" formatCode="#,##0.0"/>
    </dxf>
    <dxf>
      <font>
        <strike val="0"/>
        <outline val="0"/>
        <shadow val="0"/>
        <u val="none"/>
        <vertAlign val="baseline"/>
        <sz val="11"/>
        <color rgb="FFFF0000"/>
        <name val="Calibri"/>
        <family val="2"/>
        <scheme val="minor"/>
      </font>
      <numFmt numFmtId="173" formatCode="#,##0.0"/>
    </dxf>
    <dxf>
      <font>
        <strike val="0"/>
        <outline val="0"/>
        <shadow val="0"/>
        <u val="none"/>
        <vertAlign val="baseline"/>
        <sz val="11"/>
        <color rgb="FFFF0000"/>
        <name val="Calibri"/>
        <family val="2"/>
        <scheme val="minor"/>
      </font>
      <numFmt numFmtId="173" formatCode="#,##0.0"/>
    </dxf>
    <dxf>
      <font>
        <strike val="0"/>
        <outline val="0"/>
        <shadow val="0"/>
        <u val="none"/>
        <vertAlign val="baseline"/>
        <sz val="11"/>
        <color rgb="FFFF0000"/>
        <name val="Calibri"/>
        <family val="2"/>
        <scheme val="minor"/>
      </font>
      <numFmt numFmtId="3" formatCode="#,##0"/>
      <border>
        <right style="thin">
          <color indexed="64"/>
        </right>
      </border>
    </dxf>
    <dxf>
      <font>
        <strike val="0"/>
        <outline val="0"/>
        <shadow val="0"/>
        <u val="none"/>
        <vertAlign val="baseline"/>
        <sz val="11"/>
        <color rgb="FFFF0000"/>
        <name val="Calibri"/>
        <family val="2"/>
        <scheme val="minor"/>
      </font>
      <numFmt numFmtId="3" formatCode="#,##0"/>
    </dxf>
    <dxf>
      <font>
        <strike val="0"/>
        <outline val="0"/>
        <shadow val="0"/>
        <u val="none"/>
        <vertAlign val="baseline"/>
        <sz val="11"/>
        <color rgb="FFFF0000"/>
        <name val="Calibri"/>
        <family val="2"/>
        <scheme val="minor"/>
      </font>
      <numFmt numFmtId="3" formatCode="#,##0"/>
    </dxf>
    <dxf>
      <font>
        <strike val="0"/>
        <outline val="0"/>
        <shadow val="0"/>
        <u val="none"/>
        <vertAlign val="baseline"/>
        <sz val="11"/>
        <color rgb="FFFF0000"/>
        <name val="Calibri"/>
        <family val="2"/>
        <scheme val="minor"/>
      </font>
      <numFmt numFmtId="3" formatCode="#,##0"/>
    </dxf>
    <dxf>
      <font>
        <strike val="0"/>
        <outline val="0"/>
        <shadow val="0"/>
        <u val="none"/>
        <vertAlign val="baseline"/>
        <sz val="11"/>
        <color rgb="FFFF0000"/>
        <name val="Calibri"/>
        <family val="2"/>
        <scheme val="minor"/>
      </font>
      <numFmt numFmtId="3" formatCode="#,##0"/>
    </dxf>
    <dxf>
      <font>
        <strike val="0"/>
        <outline val="0"/>
        <shadow val="0"/>
        <u val="none"/>
        <vertAlign val="baseline"/>
        <sz val="11"/>
        <color rgb="FFFF0000"/>
        <name val="Calibri"/>
        <family val="2"/>
        <scheme val="minor"/>
      </font>
      <numFmt numFmtId="3" formatCode="#,##0"/>
    </dxf>
    <dxf>
      <font>
        <strike val="0"/>
        <outline val="0"/>
        <shadow val="0"/>
        <u val="none"/>
        <vertAlign val="baseline"/>
        <sz val="11"/>
        <color rgb="FFFF0000"/>
        <name val="Calibri"/>
        <family val="2"/>
        <scheme val="minor"/>
      </font>
      <numFmt numFmtId="3" formatCode="#,##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auto="1"/>
        <name val="Calibri"/>
        <family val="2"/>
        <scheme val="minor"/>
      </font>
      <numFmt numFmtId="169" formatCode="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consolidatededison-my.sharepoint.com/personal/madnickp_oru_com/Documents/PHIL's%20CES%20FILES/Reports/New%20Jersey/Quarterly%20Reports/PY4%20Q1%20Report/RECO%20Tri2%20PY4%20Q1%20Quarterly%20Progress%20Report_FINAL_5%2030%2025.xlsx" TargetMode="External"/><Relationship Id="rId1" Type="http://schemas.openxmlformats.org/officeDocument/2006/relationships/externalLinkPath" Target="/personal/madnickp_oru_com/Documents/PHIL's%20CES%20FILES/Reports/New%20Jersey/Quarterly%20Reports/PY4%20Q1%20Report/RECO%20Tri2%20PY4%20Q1%20Quarterly%20Progress%20Report_FINAL_5%2030%20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consolidatededison-my.sharepoint.com/personal/madnickp_oru_com/Documents/PHIL's%20CES%20FILES/Reports/New%20Jersey/Annual%20Reports/PY4%20Report/RECO%20PY4%20Annual%20CEA%20Performance%20Report_REV0_11%2025%2025.xlsx" TargetMode="External"/><Relationship Id="rId1" Type="http://schemas.openxmlformats.org/officeDocument/2006/relationships/externalLinkPath" Target="/personal/madnickp_oru_com/Documents/PHIL's%20CES%20FILES/Reports/New%20Jersey/Annual%20Reports/PY4%20Report/RECO%20PY4%20Annual%20CEA%20Performance%20Report_REV0_11%2025%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 A - Participant Def"/>
      <sheetName val="Table 1"/>
      <sheetName val="Table 2"/>
      <sheetName val="Tables 3-6"/>
      <sheetName val="Table 7 "/>
      <sheetName val="Table 8"/>
      <sheetName val="Ap B - Participant Spend"/>
      <sheetName val="Ap B - Qtr Electric Master"/>
      <sheetName val="Ap C- Qtr Electric LMI"/>
      <sheetName val="AP D - Qtr Electric Business"/>
      <sheetName val="RECO"/>
      <sheetName val="RECO_BD"/>
      <sheetName val="Ap E - NJ CEA Benchmarks"/>
      <sheetName val="Ap F Net Transfers"/>
      <sheetName val="Ap G Additional"/>
      <sheetName val="AP H -CostTest"/>
      <sheetName val="Ap I Prog Chg"/>
      <sheetName val="Ap J QPI"/>
      <sheetName val="Ap B - Qtr Gas Master"/>
      <sheetName val="QPI Table Work up"/>
      <sheetName val="Metrics"/>
      <sheetName val="Verification"/>
      <sheetName val="JCPL_Formula"/>
      <sheetName val="JCPL_Match"/>
      <sheetName val="Other_Outputs"/>
      <sheetName val="H_Factors"/>
      <sheetName val="Lookup_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24">
          <cell r="AL24">
            <v>84421</v>
          </cell>
          <cell r="AM24">
            <v>8149.74</v>
          </cell>
          <cell r="AO24">
            <v>8149.74</v>
          </cell>
        </row>
        <row r="26">
          <cell r="O26">
            <v>205.601</v>
          </cell>
          <cell r="S26">
            <v>14.1116145</v>
          </cell>
          <cell r="T26">
            <v>205.601</v>
          </cell>
          <cell r="Y26">
            <v>2E-3</v>
          </cell>
          <cell r="AL26">
            <v>139603.91</v>
          </cell>
          <cell r="AM26">
            <v>58985.42</v>
          </cell>
          <cell r="AO26">
            <v>58985.42</v>
          </cell>
        </row>
      </sheetData>
      <sheetData sheetId="11" refreshError="1">
        <row r="7">
          <cell r="X7">
            <v>691832</v>
          </cell>
          <cell r="Y7">
            <v>32832.42</v>
          </cell>
          <cell r="AA7">
            <v>32832.42</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e 1"/>
      <sheetName val="Table 2"/>
      <sheetName val="Tables 3-6"/>
      <sheetName val="Table 7 "/>
      <sheetName val="Table 8"/>
      <sheetName val="Ap A - Participant Def"/>
      <sheetName val="Ap B - Participant Spend"/>
      <sheetName val="Ap B - Qtr Electric Master"/>
      <sheetName val="Ap C- Qtr Electric LMI"/>
      <sheetName val="AP D - Qtr Electric Business"/>
      <sheetName val="Ap E - NJ CEA Benchmarks"/>
      <sheetName val="Ap F Net Transfers"/>
      <sheetName val="Ap B - Qtr Gas Master"/>
      <sheetName val="Ap G Additional"/>
      <sheetName val="AP H -CostTest"/>
      <sheetName val="Ap I Prog Chg"/>
      <sheetName val="QPI Table Work up"/>
      <sheetName val="Ap J QPI"/>
      <sheetName val="Verification"/>
      <sheetName val="JCPL_Formula"/>
      <sheetName val="JCPL_Match"/>
      <sheetName val="Other_Outputs"/>
      <sheetName val="RECO"/>
      <sheetName val="RECO_BD"/>
      <sheetName val="Metrics"/>
      <sheetName val="H_Factors"/>
      <sheetName val="Lookup_Sheet"/>
      <sheetName val="RECO PY4 Annual CEA Performa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refreshError="1"/>
      <sheetData sheetId="26" refreshError="1"/>
      <sheetData sheetId="27"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DD15C49-3509-4FCE-817A-4AA5BE119516}" name="DataEntry" displayName="DataEntry" ref="A4:AW40" totalsRowShown="0" headerRowDxfId="105" headerRowBorderDxfId="104" tableBorderDxfId="103" totalsRowBorderDxfId="102">
  <autoFilter ref="A4:AW40" xr:uid="{0DD15C49-3509-4FCE-817A-4AA5BE119516}"/>
  <tableColumns count="49">
    <tableColumn id="1" xr3:uid="{69D4D5EB-B88C-40EA-A913-F37AD32C9BDE}" name="S-U01"/>
    <tableColumn id="2" xr3:uid="{BCEE2406-FB6F-4A89-8F85-BFFE7C611819}" name="S-U02"/>
    <tableColumn id="51" xr3:uid="{CFB82C5F-E86B-4698-8A07-4D7DE340C284}" name="S-U03"/>
    <tableColumn id="3" xr3:uid="{739F0912-FAB0-4571-A216-3F03DC8D9EC6}" name="S-U04"/>
    <tableColumn id="4" xr3:uid="{90A62436-95C7-405D-9F23-000D76DC89E2}" name="S-U05"/>
    <tableColumn id="5" xr3:uid="{F3B52F3E-56C7-483D-BAAC-068F5CF8552F}" name="S-P01" dataDxfId="101"/>
    <tableColumn id="6" xr3:uid="{93511D52-2D6A-4713-9023-1A38E91D264A}" name="S-P02" dataDxfId="100"/>
    <tableColumn id="7" xr3:uid="{04E1A6A5-45D9-4E8F-87EC-E39D0FFC3933}" name="S-P03" dataDxfId="99"/>
    <tableColumn id="8" xr3:uid="{23524700-1F41-4F72-9330-E9AA6A7E5A85}" name="S-P04" dataDxfId="98"/>
    <tableColumn id="9" xr3:uid="{CC438781-6837-4249-8AD0-B4D1D08FAA74}" name="S-P05" dataDxfId="97"/>
    <tableColumn id="45" xr3:uid="{07ED1785-068E-4A2E-8235-A2928B106268}" name="S-P06" dataDxfId="96"/>
    <tableColumn id="10" xr3:uid="{32092125-8BB0-4580-957C-5985E8AA0A1A}" name="S-P07" dataDxfId="95"/>
    <tableColumn id="64" xr3:uid="{65F5402E-3B8C-43CA-B3BB-0DCE5AB35BDA}" name="E-E01" dataDxfId="94"/>
    <tableColumn id="63" xr3:uid="{4CB8A7B0-0E6E-41DD-B1DE-A002E08C29B7}" name="E-E02" dataDxfId="93"/>
    <tableColumn id="61" xr3:uid="{A3F7A4AA-809A-4456-A84F-A6CDBE5D5E8E}" name="E-E03" dataDxfId="92"/>
    <tableColumn id="60" xr3:uid="{ACF76FF8-CF1B-4CCF-A43F-093AD3185222}" name="E-E04" dataDxfId="91">
      <calculatedColumnFormula>49.392/3.412</calculatedColumnFormula>
    </tableColumn>
    <tableColumn id="59" xr3:uid="{7B180947-1928-4212-97DA-33464175FE35}" name="E-E05" dataDxfId="90">
      <calculatedColumnFormula>740.882/3.412</calculatedColumnFormula>
    </tableColumn>
    <tableColumn id="58" xr3:uid="{DA29243E-E453-4067-8DD1-A6BDA9B9908E}" name="E-E06" dataDxfId="89"/>
    <tableColumn id="16" xr3:uid="{A68F668A-B1DD-410D-ABCD-7D6A10B797B4}" name="E-E07" dataDxfId="20">
      <calculatedColumnFormula>[2]!DataEntry[[#This Row],[E-E06]]*1.5</calculatedColumnFormula>
    </tableColumn>
    <tableColumn id="57" xr3:uid="{F85AB6F8-35E4-4FA2-AE1B-AD354FE99E1C}" name="E-E08" dataDxfId="88"/>
    <tableColumn id="56" xr3:uid="{0409E08B-A74E-432C-BEEE-CCB8B2377DCC}" name="E-E09" dataDxfId="87">
      <calculatedColumnFormula>DataEntry[[#This Row],[E-E04]]</calculatedColumnFormula>
    </tableColumn>
    <tableColumn id="55" xr3:uid="{1D811B07-3CD7-43A5-A51E-5F7574489C65}" name="E-E10" dataDxfId="86">
      <calculatedColumnFormula>DataEntry[[#This Row],[E-E05]]</calculatedColumnFormula>
    </tableColumn>
    <tableColumn id="54" xr3:uid="{AC5A05E7-8A11-4492-92E6-AF14DA7A399D}" name="E-E11" dataDxfId="85">
      <calculatedColumnFormula>DataEntry[[#This Row],[E-E05]]</calculatedColumnFormula>
    </tableColumn>
    <tableColumn id="53" xr3:uid="{41489F9F-D72F-44FC-A2A5-16A5B5C5C701}" name="E-E12" dataDxfId="84">
      <calculatedColumnFormula>DataEntry[[#This Row],[E-E06]]</calculatedColumnFormula>
    </tableColumn>
    <tableColumn id="52" xr3:uid="{AC5C2725-4715-4CD5-8238-855424B0807E}" name="E-E13" dataDxfId="83"/>
    <tableColumn id="21" xr3:uid="{B8B10516-571E-4BEA-AD25-0321BE7C996B}" name="G-G01" dataDxfId="82"/>
    <tableColumn id="74" xr3:uid="{088BAA30-F71E-4303-86D8-AD50167A04A9}" name="G-G02" dataDxfId="81"/>
    <tableColumn id="70" xr3:uid="{A2956805-1C85-4789-87A7-9972D416DE73}" name="G-G03" dataDxfId="80"/>
    <tableColumn id="43" xr3:uid="{514DA354-337D-41BF-82C6-D2A0A87896BE}" name="G-G04" dataDxfId="79"/>
    <tableColumn id="42" xr3:uid="{06011442-4B67-45AF-AE78-5E35560D01C5}" name="G-G05" dataDxfId="78"/>
    <tableColumn id="39" xr3:uid="{1C25BA86-BF94-4866-8B97-FD50A53B78C9}" name="G-G06" dataDxfId="77"/>
    <tableColumn id="38" xr3:uid="{DD28677D-DFD7-409B-B374-E34162083323}" name="G-G07" dataDxfId="76"/>
    <tableColumn id="36" xr3:uid="{FD1AB24B-50A9-4B6F-9727-3C9E78831A78}" name="G-G08" dataDxfId="75"/>
    <tableColumn id="23" xr3:uid="{478E78A2-F2BD-4D44-AC4F-55F1AD81154B}" name="G-G09" dataDxfId="74"/>
    <tableColumn id="22" xr3:uid="{38FE938C-8F64-4FFB-8EAB-AF7CF8AAA48F}" name="G-G10" dataDxfId="73"/>
    <tableColumn id="20" xr3:uid="{0949A115-7462-44A6-B49B-02D78A8BCEA6}" name="G-G11" dataDxfId="72"/>
    <tableColumn id="18" xr3:uid="{378C53AC-1CBE-496E-BF01-631DB92F357F}" name="G-G12" dataDxfId="71"/>
    <tableColumn id="11" xr3:uid="{913708FF-49C9-45F0-94B0-03FC77B086B3}" name="S-B01" dataDxfId="70" dataCellStyle="Currency"/>
    <tableColumn id="12" xr3:uid="{830FC918-78B0-406A-A76E-8133C5888F55}" name="S-B02" dataDxfId="69" dataCellStyle="Currency"/>
    <tableColumn id="47" xr3:uid="{3773AAF6-14A7-4073-BE40-6BC8B5BACE29}" name="S-B03" dataDxfId="68"/>
    <tableColumn id="13" xr3:uid="{F6EF143D-E7A2-4BAA-ABAC-693DCFA5ED8E}" name="S-B04" dataDxfId="67" dataCellStyle="Currency"/>
    <tableColumn id="65" xr3:uid="{3FD51694-EA84-4869-B965-760D7AF000C2}" name="S-B05" dataDxfId="66"/>
    <tableColumn id="14" xr3:uid="{5261DA55-335A-4F08-90EF-3CE2B6178281}" name="S-B06" dataDxfId="65" dataCellStyle="Currency"/>
    <tableColumn id="44" xr3:uid="{2ABB5B9C-8324-4D4A-850B-80679BE831C4}" name="S-B07" dataDxfId="64">
      <calculatedColumnFormula>DataEntry[[#This Row],[S-B06]]</calculatedColumnFormula>
    </tableColumn>
    <tableColumn id="15" xr3:uid="{784D2220-2689-44E0-B769-A8099475E5FB}" name="S-B08" dataDxfId="63" dataCellStyle="Currency"/>
    <tableColumn id="40" xr3:uid="{0EC1AAC3-FE80-4A5B-B629-20C12C0F8BED}" name="S-R01" dataDxfId="62"/>
    <tableColumn id="72" xr3:uid="{7C60E795-5E69-488E-A840-06129C4F5366}" name="S-R02" dataDxfId="61"/>
    <tableColumn id="71" xr3:uid="{D5D94CED-9B5C-4729-A76B-19C9B8481007}" name="S-R03" dataDxfId="60"/>
    <tableColumn id="41" xr3:uid="{57E49998-E010-4BE9-BFC5-C0A1F3757F59}" name="S-R04" dataDxfId="5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1D7DB08-7207-4C75-B637-4DA43272D562}" name="DataEntryBD" displayName="DataEntryBD" ref="A4:AI7" totalsRowShown="0" headerRowDxfId="58" headerRowBorderDxfId="57" tableBorderDxfId="56" headerRowCellStyle="Currency">
  <autoFilter ref="A4:AI7" xr:uid="{81D7DB08-7207-4C75-B637-4DA43272D562}"/>
  <tableColumns count="35">
    <tableColumn id="1" xr3:uid="{1BC4FD87-4ED8-4BCF-B486-C7509082A157}" name="S-U01" dataDxfId="55"/>
    <tableColumn id="2" xr3:uid="{E3C92592-F8E8-42DD-AEC5-F27559922540}" name="S-U02" dataDxfId="54"/>
    <tableColumn id="3" xr3:uid="{47100E09-1FB4-4A18-BEE2-5FCEFFE302CE}" name="S-U03" dataDxfId="53"/>
    <tableColumn id="4" xr3:uid="{BE4C7F77-350A-4632-8EC6-FBC1886D735F}" name="S-U04" dataDxfId="52"/>
    <tableColumn id="5" xr3:uid="{B717FDC3-AD53-4A69-AA3A-7EC809B8A3E9}" name="S-U05" dataDxfId="51"/>
    <tableColumn id="6" xr3:uid="{6AE6A62F-2D1A-4CA8-BF9B-C239C2F22D2E}" name="S-P01"/>
    <tableColumn id="7" xr3:uid="{74914900-4367-4A68-A2B4-C7B30E66F272}" name="S-P02"/>
    <tableColumn id="8" xr3:uid="{4952F799-EEF0-4CE2-A262-EA5944215B4B}" name="S-P03"/>
    <tableColumn id="9" xr3:uid="{062C6757-50F5-47D6-96D5-310618E9757C}" name="S-P04"/>
    <tableColumn id="10" xr3:uid="{CABF51B3-C995-4D71-8BCE-EBE7EDF5B15A}" name="S-P05"/>
    <tableColumn id="11" xr3:uid="{09794926-F596-498C-A73B-462C89047C0B}" name="S-P06"/>
    <tableColumn id="12" xr3:uid="{09F44F9F-0F0F-4CA3-91D6-95BCC927EC64}" name="S-P07" dataDxfId="50">
      <calculatedColumnFormula>DataEntryBD[[#This Row],[S-P05]]</calculatedColumnFormula>
    </tableColumn>
    <tableColumn id="13" xr3:uid="{94783CAE-D1BA-455D-8365-33260B0D6EE2}" name="E-BD01"/>
    <tableColumn id="14" xr3:uid="{723F4200-8371-4BCD-9E87-D9E6AB6FA346}" name="E-BD02"/>
    <tableColumn id="15" xr3:uid="{D7C4E36F-BAC2-4CAE-8A21-15B0CC11E41C}" name="E-BD03"/>
    <tableColumn id="16" xr3:uid="{7D388170-BCC7-477C-8C15-A6429A7E63F6}" name="E-BD04"/>
    <tableColumn id="17" xr3:uid="{4E00DADF-65A3-4A9A-882B-7382467F1B84}" name="E-BD05" dataDxfId="49"/>
    <tableColumn id="18" xr3:uid="{7DCB535F-510D-4DDF-B595-0C8CBEAB1D2F}" name="E-BD06" dataDxfId="48"/>
    <tableColumn id="19" xr3:uid="{D8691F59-FC14-4350-AC10-392607BFBFAF}" name="E-BD07" dataDxfId="47"/>
    <tableColumn id="20" xr3:uid="{3A20FA96-6AD4-4CF5-B7A4-614DA0705791}" name="E-BD08"/>
    <tableColumn id="21" xr3:uid="{7C1266C1-6943-418B-BCCA-AD4599AA3D0B}" name="E-BD09"/>
    <tableColumn id="22" xr3:uid="{0E0D5B99-A165-476B-BAF9-F6A61BF72EBE}" name="E-BD10"/>
    <tableColumn id="23" xr3:uid="{27B716A4-ACA8-4DB0-824D-B18C4BE6B875}" name="E-BD11"/>
    <tableColumn id="24" xr3:uid="{2CB959AF-51DA-4F2B-B7C7-89234342E6B2}" name="S-B01"/>
    <tableColumn id="25" xr3:uid="{A90C4810-15BF-4762-BE36-E807852B116E}" name="S-B02"/>
    <tableColumn id="26" xr3:uid="{D34D711E-4F32-4781-9D2C-E0002E94C260}" name="S-B03" dataDxfId="46" dataCellStyle="Currency"/>
    <tableColumn id="27" xr3:uid="{C9800A7F-E57E-484F-B591-8FEDAA3E40DD}" name="S-B04"/>
    <tableColumn id="28" xr3:uid="{B5D97AC7-A853-4CC9-8C66-839F3FB146E6}" name="S-B05" dataDxfId="45" dataCellStyle="Currency"/>
    <tableColumn id="29" xr3:uid="{20CCBD57-F0CE-419D-855C-2ACF71AE5D8C}" name="S-B06"/>
    <tableColumn id="30" xr3:uid="{772A16EF-8CA2-4FCD-A3BD-34259653B533}" name="S-B07"/>
    <tableColumn id="31" xr3:uid="{C50CC0C5-AE4B-49EE-AA9E-1C66A5476AAE}" name="S-B08"/>
    <tableColumn id="44" xr3:uid="{8BB9AD0E-105F-4F14-81BD-FF88B6B95515}" name="S-R01"/>
    <tableColumn id="45" xr3:uid="{10E5745C-1797-4FC2-B821-DF097613D270}" name="S-R02"/>
    <tableColumn id="46" xr3:uid="{C097682E-9B8E-4C62-8565-2C1ACE5BE9E8}" name="S-R03"/>
    <tableColumn id="47" xr3:uid="{9D19763B-327D-45BB-A975-9593E7D2AB45}" name="S-R0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4340F8F-92FF-475A-AF48-43821216EE4F}" name="TBL_Metrics" displayName="TBL_Metrics" ref="A4:AA41" totalsRowShown="0" headerRowDxfId="44" tableBorderDxfId="43">
  <autoFilter ref="A4:AA41" xr:uid="{44340F8F-92FF-475A-AF48-43821216EE4F}"/>
  <tableColumns count="27">
    <tableColumn id="1" xr3:uid="{655D030B-4B03-44BC-B067-EF8F04817C47}" name="S-U01"/>
    <tableColumn id="2" xr3:uid="{A914031E-BF89-4F5A-BAC2-187CE6851161}" name="S-U02"/>
    <tableColumn id="3" xr3:uid="{C3B7C9CA-5948-418E-93A8-536B3F6EA525}" name="S-U03"/>
    <tableColumn id="4" xr3:uid="{CCC0642B-9A7B-4665-99B7-40CA64E16A71}" name="S-U04"/>
    <tableColumn id="5" xr3:uid="{186C94FD-F6BE-42F6-9841-6DBF89D93EFD}" name="S-U05"/>
    <tableColumn id="6" xr3:uid="{5DC7A298-CC90-43F6-B56B-D911DA7AC1F8}" name="E-C01" dataDxfId="42">
      <calculatedColumnFormula>IFERROR(DataEntry[[#This Row],[E-E03]]*AVERAGE(OFFSET(OFFSET(H_Factors!$B$2,1,MATCH(RECO!$E$1,H_Factors!$C$2:$L$2)), 0, 0, ROUND(DataEntry[[#This Row],[E-E03]]/DataEntry[[#This Row],[E-E02]],0), 1)), "-")</calculatedColumnFormula>
    </tableColumn>
    <tableColumn id="7" xr3:uid="{12C7F5DC-569F-4C73-BC3B-C401B9A71CEA}" name="E-C02" dataDxfId="41">
      <calculatedColumnFormula>IFERROR(DataEntry[[#This Row],[E-E08]]*AVERAGE(OFFSET(OFFSET(H_Factors!$B$2,1,MATCH(RECO!$E$1,H_Factors!$C$2:$L$2)), 0, 0, ROUND(DataEntry[[#This Row],[E-E08]]/DataEntry[[#This Row],[E-E06]],0), 1)), "-")</calculatedColumnFormula>
    </tableColumn>
    <tableColumn id="8" xr3:uid="{FE6A56ED-C924-42A3-BD94-B30871B24949}" name="G-C03" dataDxfId="40">
      <calculatedColumnFormula>IFERROR(DataEntry[[#This Row],[G-G03]]*CO2pergasMMBtu,"-")</calculatedColumnFormula>
    </tableColumn>
    <tableColumn id="9" xr3:uid="{953B53C3-5CA0-483B-82CD-DE6AF736ABFC}" name="G-C04" dataDxfId="39">
      <calculatedColumnFormula>IFERROR(DataEntry[[#This Row],[G-G08]]*CO2pergasMMBtu,"-")</calculatedColumnFormula>
    </tableColumn>
    <tableColumn id="10" xr3:uid="{AB597365-1FC0-47DC-84EA-0AC298BD3BAC}" name="E-M01" dataDxfId="38">
      <calculatedColumnFormula>IFERROR(DataEntry[[#This Row],[E-E06]]*MMBTUperMWH, "-")</calculatedColumnFormula>
    </tableColumn>
    <tableColumn id="11" xr3:uid="{B8F4EFE9-56D4-421F-BF4A-C3FD286685B8}" name="E-M02" dataDxfId="37">
      <calculatedColumnFormula>IFERROR(DataEntry[[#This Row],[E-E08]]*MMBTUperMWH, "-")</calculatedColumnFormula>
    </tableColumn>
    <tableColumn id="12" xr3:uid="{2D3FA689-0453-4B5C-BEA4-70E6F8D8D813}" name="G-M03" dataDxfId="36">
      <calculatedColumnFormula>IFERROR(DataEntry[[#This Row],[G-G06]], "-")</calculatedColumnFormula>
    </tableColumn>
    <tableColumn id="13" xr3:uid="{42407E66-0C4F-486E-BC1C-990207BF4713}" name="G-M04" dataDxfId="35">
      <calculatedColumnFormula>IFERROR(DataEntry[[#This Row],[G-G08]], "-")</calculatedColumnFormula>
    </tableColumn>
    <tableColumn id="14" xr3:uid="{67B22509-D3DB-4C9C-B1AD-1073178C8EDA}" name="S-M05" dataDxfId="34">
      <calculatedColumnFormula>SUM(J5,L5)</calculatedColumnFormula>
    </tableColumn>
    <tableColumn id="15" xr3:uid="{06ABCFF8-EAD8-400B-9086-37857F86CC45}" name="S-M06" dataDxfId="33">
      <calculatedColumnFormula>SUM(K5,M5)</calculatedColumnFormula>
    </tableColumn>
    <tableColumn id="16" xr3:uid="{D6C6D8F9-64D0-4B33-B783-5FC9660E1D9E}" name="S-Me01" dataDxfId="32">
      <calculatedColumnFormula>IFERROR(DataEntry[[#This Row],[S-P04]]/DataEntry[[#This Row],[S-P01]],"-")</calculatedColumnFormula>
    </tableColumn>
    <tableColumn id="17" xr3:uid="{A1D28DD2-2C4E-4C23-BD0E-8ED7D243AA05}" name="E-Me02" dataDxfId="31">
      <calculatedColumnFormula>IFERROR(DataEntry[[#This Row],[E-E06]]/DataEntry[[#This Row],[E-E01]],"-")</calculatedColumnFormula>
    </tableColumn>
    <tableColumn id="18" xr3:uid="{79843A89-7856-48CA-BED7-842F08F7CA70}" name="G-Me03" dataDxfId="30">
      <calculatedColumnFormula>IFERROR(DataEntry[[#This Row],[G-G06]]/DataEntry[[#This Row],[G-G01]], "-")</calculatedColumnFormula>
    </tableColumn>
    <tableColumn id="19" xr3:uid="{122C881F-F085-43EC-B29E-D300A700B728}" name="S-Me04" dataDxfId="29">
      <calculatedColumnFormula>IFERROR((DataEntry[[#This Row],[S-B04]]/DataEntry[[#This Row],[S-P04]]), "-")</calculatedColumnFormula>
    </tableColumn>
    <tableColumn id="20" xr3:uid="{3D17B23D-11CB-422B-8164-01D7639CA2EA}" name="E-Me05" dataDxfId="28">
      <calculatedColumnFormula>IFERROR(DataEntry[[#This Row],[E-E06]]/DataEntry[[#This Row],[S-P04]],"-")</calculatedColumnFormula>
    </tableColumn>
    <tableColumn id="21" xr3:uid="{C904E434-A46D-43C1-BEB1-337B159E701E}" name="E-Me06" dataDxfId="27">
      <calculatedColumnFormula>IFERROR(DataEntry[[#This Row],[E-E08]]/DataEntry[[#This Row],[S-P04]],"-")</calculatedColumnFormula>
    </tableColumn>
    <tableColumn id="22" xr3:uid="{182A445C-5519-47F3-97BE-2186ED99F126}" name="G-Me07" dataDxfId="26">
      <calculatedColumnFormula>IFERROR(DataEntry[[#This Row],[G-G06]]/DataEntry[[#This Row],[S-P04]],"-")</calculatedColumnFormula>
    </tableColumn>
    <tableColumn id="23" xr3:uid="{723A1B68-6F8C-4E8F-9AE4-D37B20F9403A}" name="G-Me08" dataDxfId="25">
      <calculatedColumnFormula>IFERROR(DataEntry[[#This Row],[G-G08]]/DataEntry[[#This Row],[S-P04]],"-")</calculatedColumnFormula>
    </tableColumn>
    <tableColumn id="24" xr3:uid="{2B79DD9A-79A7-41FF-95F3-604E969026D5}" name="S-Me09" dataDxfId="24">
      <calculatedColumnFormula>IFERROR(DataEntry[[#This Row],[S-B04]]/DataEntry[[#This Row],[E-E06]],"-")</calculatedColumnFormula>
    </tableColumn>
    <tableColumn id="25" xr3:uid="{B397F954-9254-4012-9060-7340C61F4EE8}" name="S-Me10" dataDxfId="23">
      <calculatedColumnFormula>IFERROR(DataEntry[[#This Row],[S-B04]]/DataEntry[[#This Row],[E-E08]],"-")</calculatedColumnFormula>
    </tableColumn>
    <tableColumn id="26" xr3:uid="{BA05985F-12D3-4E8A-BF88-4CD785130D7B}" name="S-Me11" dataDxfId="22">
      <calculatedColumnFormula>IFERROR(DataEntry[[#This Row],[S-B04]]/(L5+J5),"-")</calculatedColumnFormula>
    </tableColumn>
    <tableColumn id="27" xr3:uid="{293A3D72-3531-46D1-AA29-3B0ED1559FC6}" name="S-Me12" dataDxfId="21">
      <calculatedColumnFormula>IFERROR(DataEntry[[#This Row],[S-B04]]/(M5+K5),"-")</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2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hyperlink" Target="http://www.nj.gov/dep/ej/communities.html"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5C50A-C74D-4DD5-A13B-0E7C582B3CAE}">
  <sheetPr codeName="Sheet5">
    <pageSetUpPr fitToPage="1"/>
  </sheetPr>
  <dimension ref="A1:C18"/>
  <sheetViews>
    <sheetView zoomScale="60" zoomScaleNormal="60" workbookViewId="0">
      <selection activeCell="C29" sqref="C29"/>
    </sheetView>
  </sheetViews>
  <sheetFormatPr defaultColWidth="81.453125" defaultRowHeight="14.5"/>
  <cols>
    <col min="1" max="1" width="39" style="205" bestFit="1" customWidth="1"/>
    <col min="2" max="2" width="33.54296875" style="205" bestFit="1" customWidth="1"/>
    <col min="3" max="3" width="74.453125" style="206" customWidth="1"/>
    <col min="4" max="16384" width="81.453125" style="200"/>
  </cols>
  <sheetData>
    <row r="1" spans="1:3" ht="23" thickBot="1">
      <c r="A1" s="207" t="s">
        <v>0</v>
      </c>
    </row>
    <row r="2" spans="1:3" ht="15" thickBot="1">
      <c r="A2" s="503" t="s">
        <v>1</v>
      </c>
      <c r="B2" s="504" t="s">
        <v>2</v>
      </c>
      <c r="C2" s="199" t="s">
        <v>3</v>
      </c>
    </row>
    <row r="3" spans="1:3" ht="31.75" customHeight="1">
      <c r="A3" s="1289" t="s">
        <v>4</v>
      </c>
      <c r="B3" s="201" t="s">
        <v>5</v>
      </c>
      <c r="C3" s="202" t="s">
        <v>6</v>
      </c>
    </row>
    <row r="4" spans="1:3" ht="31.75" customHeight="1">
      <c r="A4" s="1290"/>
      <c r="B4" s="203" t="s">
        <v>7</v>
      </c>
      <c r="C4" s="204" t="s">
        <v>8</v>
      </c>
    </row>
    <row r="5" spans="1:3" ht="31.75" customHeight="1">
      <c r="A5" s="1290"/>
      <c r="B5" s="203" t="s">
        <v>9</v>
      </c>
      <c r="C5" s="204" t="s">
        <v>10</v>
      </c>
    </row>
    <row r="6" spans="1:3" ht="31.75" customHeight="1">
      <c r="A6" s="1290"/>
      <c r="B6" s="203" t="s">
        <v>11</v>
      </c>
      <c r="C6" s="204" t="s">
        <v>12</v>
      </c>
    </row>
    <row r="7" spans="1:3" ht="31.75" customHeight="1">
      <c r="A7" s="1290"/>
      <c r="B7" s="481" t="s">
        <v>13</v>
      </c>
      <c r="C7" s="204" t="s">
        <v>10</v>
      </c>
    </row>
    <row r="8" spans="1:3" ht="76.75" customHeight="1">
      <c r="A8" s="1291"/>
      <c r="B8" s="481" t="s">
        <v>14</v>
      </c>
      <c r="C8" s="204" t="s">
        <v>15</v>
      </c>
    </row>
    <row r="9" spans="1:3" ht="31.75" customHeight="1">
      <c r="A9" s="1292" t="s">
        <v>16</v>
      </c>
      <c r="B9" s="481" t="s">
        <v>17</v>
      </c>
      <c r="C9" s="204" t="s">
        <v>18</v>
      </c>
    </row>
    <row r="10" spans="1:3" ht="31.75" customHeight="1">
      <c r="A10" s="1290"/>
      <c r="B10" s="481" t="s">
        <v>19</v>
      </c>
      <c r="C10" s="204" t="s">
        <v>20</v>
      </c>
    </row>
    <row r="11" spans="1:3" ht="31.75" customHeight="1">
      <c r="A11" s="609" t="s">
        <v>21</v>
      </c>
      <c r="B11" s="481" t="s">
        <v>22</v>
      </c>
      <c r="C11" s="204" t="s">
        <v>23</v>
      </c>
    </row>
    <row r="12" spans="1:3" ht="31.75" customHeight="1">
      <c r="A12" s="505" t="s">
        <v>24</v>
      </c>
      <c r="B12" s="481" t="s">
        <v>24</v>
      </c>
      <c r="C12" s="204" t="s">
        <v>25</v>
      </c>
    </row>
    <row r="13" spans="1:3" ht="31.75" customHeight="1">
      <c r="A13" s="506" t="s">
        <v>26</v>
      </c>
      <c r="B13" s="481" t="s">
        <v>27</v>
      </c>
      <c r="C13" s="204" t="s">
        <v>28</v>
      </c>
    </row>
    <row r="14" spans="1:3" ht="31.75" customHeight="1">
      <c r="A14" s="610" t="s">
        <v>29</v>
      </c>
      <c r="B14" s="481" t="s">
        <v>29</v>
      </c>
      <c r="C14" s="204" t="s">
        <v>28</v>
      </c>
    </row>
    <row r="15" spans="1:3" ht="31.75" customHeight="1">
      <c r="A15" s="1293" t="s">
        <v>30</v>
      </c>
      <c r="B15" s="481" t="s">
        <v>31</v>
      </c>
      <c r="C15" s="204" t="s">
        <v>28</v>
      </c>
    </row>
    <row r="16" spans="1:3" ht="31.75" customHeight="1">
      <c r="A16" s="1294"/>
      <c r="B16" s="481" t="s">
        <v>30</v>
      </c>
      <c r="C16" s="204" t="s">
        <v>28</v>
      </c>
    </row>
    <row r="17" spans="1:3" ht="31.75" customHeight="1">
      <c r="A17" s="1287" t="s">
        <v>32</v>
      </c>
      <c r="B17" s="203" t="s">
        <v>27</v>
      </c>
      <c r="C17" s="204" t="s">
        <v>33</v>
      </c>
    </row>
    <row r="18" spans="1:3" ht="31.75" customHeight="1">
      <c r="A18" s="1288"/>
      <c r="B18" s="203" t="s">
        <v>34</v>
      </c>
      <c r="C18" s="204" t="s">
        <v>28</v>
      </c>
    </row>
  </sheetData>
  <mergeCells count="4">
    <mergeCell ref="A17:A18"/>
    <mergeCell ref="A3:A8"/>
    <mergeCell ref="A9:A10"/>
    <mergeCell ref="A15:A16"/>
  </mergeCells>
  <pageMargins left="0.7" right="0.7" top="0.75" bottom="0.75" header="0.3" footer="0.3"/>
  <pageSetup scale="62" fitToHeight="0" orientation="portrait" horizontalDpi="360" verticalDpi="360" r:id="rId1"/>
  <headerFooter>
    <oddFooter>&amp;C_x000D_&amp;1#&amp;"Calibri"&amp;22&amp;K0073CF INTERNAL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34AA4-9CA9-4E28-ACF9-7426BA9D4508}">
  <sheetPr codeName="Sheet3"/>
  <dimension ref="B1:L21"/>
  <sheetViews>
    <sheetView zoomScaleNormal="100" workbookViewId="0">
      <selection activeCell="E23" sqref="E23"/>
    </sheetView>
  </sheetViews>
  <sheetFormatPr defaultRowHeight="14.5"/>
  <cols>
    <col min="1" max="1" width="3.7265625" customWidth="1"/>
    <col min="2" max="2" width="20.453125" customWidth="1"/>
    <col min="3" max="3" width="28.1796875" customWidth="1"/>
    <col min="4" max="4" width="12.81640625" customWidth="1"/>
    <col min="5" max="5" width="14.453125" customWidth="1"/>
    <col min="6" max="6" width="15.26953125" customWidth="1"/>
    <col min="7" max="7" width="15.1796875" customWidth="1"/>
    <col min="8" max="8" width="13.54296875" customWidth="1"/>
    <col min="9" max="9" width="21" customWidth="1"/>
    <col min="10" max="10" width="17.1796875" hidden="1" customWidth="1"/>
    <col min="11" max="11" width="18.453125" hidden="1" customWidth="1"/>
  </cols>
  <sheetData>
    <row r="1" spans="2:11">
      <c r="B1" s="53" t="s">
        <v>255</v>
      </c>
      <c r="C1" s="54"/>
      <c r="D1" s="54"/>
      <c r="E1" s="54"/>
      <c r="F1" s="54"/>
      <c r="G1" s="54"/>
      <c r="H1" s="54"/>
      <c r="I1" s="54"/>
    </row>
    <row r="2" spans="2:11" ht="15" thickBot="1">
      <c r="B2" s="53" t="s">
        <v>976</v>
      </c>
      <c r="C2" s="56"/>
      <c r="D2" s="56"/>
      <c r="E2" s="56"/>
      <c r="F2" s="56"/>
      <c r="G2" s="56"/>
      <c r="H2" s="56"/>
      <c r="I2" s="54"/>
    </row>
    <row r="3" spans="2:11" ht="48.65" customHeight="1" thickBot="1">
      <c r="B3" s="1338" t="s">
        <v>191</v>
      </c>
      <c r="C3" s="1339"/>
      <c r="D3" s="1392" t="s">
        <v>192</v>
      </c>
      <c r="E3" s="1393"/>
      <c r="F3" s="1394" t="s">
        <v>924</v>
      </c>
      <c r="G3" s="1395"/>
      <c r="H3" s="1388" t="s">
        <v>190</v>
      </c>
      <c r="I3" s="1389"/>
      <c r="J3" s="1388" t="s">
        <v>190</v>
      </c>
      <c r="K3" s="1389"/>
    </row>
    <row r="4" spans="2:11" ht="15" thickBot="1">
      <c r="B4" s="1340"/>
      <c r="C4" s="1341"/>
      <c r="D4" s="57" t="s">
        <v>194</v>
      </c>
      <c r="E4" s="58" t="s">
        <v>195</v>
      </c>
      <c r="F4" s="59" t="s">
        <v>196</v>
      </c>
      <c r="G4" s="60" t="s">
        <v>241</v>
      </c>
      <c r="H4" s="119" t="s">
        <v>242</v>
      </c>
      <c r="I4" s="58" t="s">
        <v>198</v>
      </c>
      <c r="J4" s="119" t="s">
        <v>242</v>
      </c>
      <c r="K4" s="58" t="s">
        <v>198</v>
      </c>
    </row>
    <row r="5" spans="2:11" ht="37" customHeight="1" thickBot="1">
      <c r="B5" s="1342"/>
      <c r="C5" s="1343"/>
      <c r="D5" s="1396" t="s">
        <v>256</v>
      </c>
      <c r="E5" s="1397"/>
      <c r="F5" s="1394" t="s">
        <v>257</v>
      </c>
      <c r="G5" s="1395"/>
      <c r="H5" s="1369" t="s">
        <v>258</v>
      </c>
      <c r="I5" s="1370"/>
      <c r="J5" s="1369" t="s">
        <v>937</v>
      </c>
      <c r="K5" s="1370"/>
    </row>
    <row r="6" spans="2:11" ht="26.5" thickBot="1">
      <c r="B6" s="120" t="s">
        <v>224</v>
      </c>
      <c r="C6" s="63" t="s">
        <v>144</v>
      </c>
      <c r="D6" s="121" t="s">
        <v>259</v>
      </c>
      <c r="E6" s="122" t="s">
        <v>260</v>
      </c>
      <c r="F6" s="121" t="s">
        <v>259</v>
      </c>
      <c r="G6" s="122" t="s">
        <v>260</v>
      </c>
      <c r="H6" s="121" t="s">
        <v>259</v>
      </c>
      <c r="I6" s="122" t="s">
        <v>260</v>
      </c>
      <c r="J6" s="121" t="s">
        <v>259</v>
      </c>
      <c r="K6" s="122" t="s">
        <v>260</v>
      </c>
    </row>
    <row r="7" spans="2:11" ht="15" thickBot="1">
      <c r="B7" s="1077" t="s">
        <v>27</v>
      </c>
      <c r="C7" s="1053" t="s">
        <v>629</v>
      </c>
      <c r="D7" s="1052" cm="1">
        <f t="array" ref="D7">INDEX(DataEntry[S-P06],MATCH(1, (DataEntry[S-U03]="Tri 2") * ($B7=DataEntry[S-U04])*($C7=DataEntry[S-U05]),0))</f>
        <v>0</v>
      </c>
      <c r="E7" s="1060" cm="1">
        <f t="array" ref="E7">INDEX(DataEntry[S-P04],MATCH(1, (DataEntry[S-U03]="Tri 2") * ($B7=DataEntry[S-U04])*($C7=DataEntry[S-U05]),0))-INDEX(DataEntry[S-P06],MATCH(1, (DataEntry[S-U03]="Tri 2") * ($B7=DataEntry[S-U04])*($C7=DataEntry[S-U05]),0))</f>
        <v>0</v>
      </c>
      <c r="F7" s="1058" cm="1">
        <f t="array" ref="F7">INDEX(DataEntry[S-B07],MATCH(1, (DataEntry[S-U03]="Tri 2") * ($B7=DataEntry[S-U04])*($C7=DataEntry[S-U05]),0))</f>
        <v>0</v>
      </c>
      <c r="G7" s="1046" cm="1">
        <f t="array" ref="G7">INDEX(DataEntry[S-B06],MATCH(1, (DataEntry[S-U03]="Tri 2") * ($B7=DataEntry[S-U04])*($C7=DataEntry[S-U05]),0))-INDEX(DataEntry[S-B07],MATCH(1, (DataEntry[S-U03]="Tri 2") * ($B7=DataEntry[S-U04])*($C7=DataEntry[S-U05]),0))</f>
        <v>0</v>
      </c>
      <c r="H7" s="68" cm="1">
        <f t="array" ref="H7">INDEX(DataEntry[E-E12],MATCH(1, (DataEntry[S-U03]="Tri 2") * ($B7=DataEntry[S-U04])*($C7=DataEntry[S-U05]),0))</f>
        <v>0</v>
      </c>
      <c r="I7" s="833" cm="1">
        <f t="array" ref="I7">INDEX(DataEntry[E-E06],MATCH(1, (DataEntry[S-U03]="Tri 2") * ($B7=DataEntry[S-U04])*($C7=DataEntry[S-U05]),0))-INDEX(DataEntry[E-E12],MATCH(1, (DataEntry[S-U03]="Tri 2") * ($B7=DataEntry[S-U04])*($C7=DataEntry[S-U05]),0))</f>
        <v>0</v>
      </c>
      <c r="J7" s="68" cm="1">
        <f t="array" ref="J7">INDEX(DataEntry[G-G12],MATCH(1, (DataEntry[S-U03]="Tri 2") * ($B7=DataEntry[S-U04])*($C7=DataEntry[S-U05]),0))</f>
        <v>0</v>
      </c>
      <c r="K7" s="579" cm="1">
        <f t="array" ref="K7">INDEX(DataEntry[G-G06],MATCH(1, (DataEntry[S-U03]="Tri 2") * ($B7=DataEntry[S-U04])*($C7=DataEntry[S-U05]),0))-INDEX(DataEntry[G-G12],MATCH(1, (DataEntry[S-U03]="Tri 2") * ($B7=DataEntry[S-U04])*($C7=DataEntry[S-U05]),0))</f>
        <v>0</v>
      </c>
    </row>
    <row r="8" spans="2:11" ht="15" customHeight="1">
      <c r="B8" s="1398" t="s">
        <v>29</v>
      </c>
      <c r="C8" s="67" t="s">
        <v>29</v>
      </c>
      <c r="D8" s="73" cm="1">
        <f t="array" ref="D8">INDEX(DataEntry[S-P06],MATCH(1, (DataEntry[S-U03]="Tri 2") * ($B$8=DataEntry[S-U04])*($C8=DataEntry[S-U05]),0))</f>
        <v>0</v>
      </c>
      <c r="E8" s="70" cm="1">
        <f t="array" ref="E8">INDEX(DataEntry[S-P04],MATCH(1, (DataEntry[S-U03]="Tri 2") * ($B$8=DataEntry[S-U04])*($C8=DataEntry[S-U05]),0))-INDEX(DataEntry[S-P06],MATCH(1, (DataEntry[S-U03]="Tri 2") * ($B$8=DataEntry[S-U04])*($C8=DataEntry[S-U05]),0))</f>
        <v>0</v>
      </c>
      <c r="F8" s="1055" cm="1">
        <f t="array" ref="F8">INDEX(DataEntry[S-B07],MATCH(1, (DataEntry[S-U03]="Tri 2") * ($B$8=DataEntry[S-U04])*($C8=DataEntry[S-U05]),0))</f>
        <v>0</v>
      </c>
      <c r="G8" s="1047" cm="1">
        <f t="array" ref="G8">INDEX(DataEntry[S-B06],MATCH(1, (DataEntry[S-U03]="Tri 2") * ($B$8=DataEntry[S-U04])*($C8=DataEntry[S-U05]),0))-INDEX(DataEntry[S-B07],MATCH(1, (DataEntry[S-U03]="Tri 2") * ($B$8=DataEntry[S-U04])*($C8=DataEntry[S-U05]),0))</f>
        <v>0</v>
      </c>
      <c r="H8" s="73" cm="1">
        <f t="array" ref="H8">INDEX(DataEntry[E-E12],MATCH(1, (DataEntry[S-U03]="Tri 2") * ($B$8=DataEntry[S-U04])*($C8=DataEntry[S-U05]),0))</f>
        <v>0</v>
      </c>
      <c r="I8" s="1050" cm="1">
        <f t="array" ref="I8">INDEX(DataEntry[E-E06],MATCH(1, (DataEntry[S-U03]="Tri 2") * ($B$8=DataEntry[S-U04])*($C8=DataEntry[S-U05]),0))-INDEX(DataEntry[E-E12],MATCH(1, (DataEntry[S-U03]="Tri 2") * ($B$8=DataEntry[S-U04])*($C8=DataEntry[S-U05]),0))</f>
        <v>0</v>
      </c>
      <c r="J8" s="73" cm="1">
        <f t="array" ref="J8">INDEX(DataEntry[G-G12],MATCH(1, (DataEntry[S-U03]="Tri 2") * ($B$8=DataEntry[S-U04])*($C8=DataEntry[S-U05]),0))</f>
        <v>0</v>
      </c>
      <c r="K8" s="1049" cm="1">
        <f t="array" ref="K8">INDEX(DataEntry[G-G06],MATCH(1, (DataEntry[S-U03]="Tri 2") * ($B$8=DataEntry[S-U04])*($C8=DataEntry[S-U05]),0))-INDEX(DataEntry[G-G12],MATCH(1, (DataEntry[S-U03]="Tri 2") * ($B$8=DataEntry[S-U04])*($C8=DataEntry[S-U05]),0))</f>
        <v>0</v>
      </c>
    </row>
    <row r="9" spans="2:11" ht="15" customHeight="1">
      <c r="B9" s="1399"/>
      <c r="C9" s="1056" t="s">
        <v>963</v>
      </c>
      <c r="D9" s="73" cm="1">
        <f t="array" ref="D9">INDEX(DataEntry[S-P06],MATCH(1, (DataEntry[S-U03]="Tri 2") * ($B$8=DataEntry[S-U04])*($C9=DataEntry[S-U05]),0))</f>
        <v>0</v>
      </c>
      <c r="E9" s="70" cm="1">
        <f t="array" ref="E9">INDEX(DataEntry[S-P04],MATCH(1, (DataEntry[S-U03]="Tri 2") * ($B$8=DataEntry[S-U04])*($C9=DataEntry[S-U05]),0))-INDEX(DataEntry[S-P06],MATCH(1, (DataEntry[S-U03]="Tri 2") * ($B$8=DataEntry[S-U04])*($C9=DataEntry[S-U05]),0))</f>
        <v>0</v>
      </c>
      <c r="F9" s="1055" cm="1">
        <f t="array" ref="F9">INDEX(DataEntry[S-B07],MATCH(1, (DataEntry[S-U03]="Tri 2") * ($B$8=DataEntry[S-U04])*($C9=DataEntry[S-U05]),0))</f>
        <v>0</v>
      </c>
      <c r="G9" s="1047" cm="1">
        <f t="array" ref="G9">INDEX(DataEntry[S-B06],MATCH(1, (DataEntry[S-U03]="Tri 2") * ($B$8=DataEntry[S-U04])*($C9=DataEntry[S-U05]),0))-INDEX(DataEntry[S-B07],MATCH(1, (DataEntry[S-U03]="Tri 2") * ($B$8=DataEntry[S-U04])*($C9=DataEntry[S-U05]),0))</f>
        <v>0</v>
      </c>
      <c r="H9" s="73" cm="1">
        <f t="array" ref="H9">INDEX(DataEntry[E-E12],MATCH(1, (DataEntry[S-U03]="Tri 2") * ($B$8=DataEntry[S-U04])*($C9=DataEntry[S-U05]),0))</f>
        <v>0</v>
      </c>
      <c r="I9" s="1050" cm="1">
        <f t="array" ref="I9">INDEX(DataEntry[E-E06],MATCH(1, (DataEntry[S-U03]="Tri 2") * ($B$8=DataEntry[S-U04])*($C9=DataEntry[S-U05]),0))-INDEX(DataEntry[E-E12],MATCH(1, (DataEntry[S-U03]="Tri 2") * ($B$8=DataEntry[S-U04])*($C9=DataEntry[S-U05]),0))</f>
        <v>0</v>
      </c>
      <c r="J9" s="73" cm="1">
        <f t="array" ref="J9">INDEX(DataEntry[G-G12],MATCH(1, (DataEntry[S-U03]="Tri 2") * ($B$8=DataEntry[S-U04])*($C9=DataEntry[S-U05]),0))</f>
        <v>0</v>
      </c>
      <c r="K9" s="1049" cm="1">
        <f t="array" ref="K9">INDEX(DataEntry[G-G06],MATCH(1, (DataEntry[S-U03]="Tri 2") * ($B$8=DataEntry[S-U04])*($C9=DataEntry[S-U05]),0))-INDEX(DataEntry[G-G12],MATCH(1, (DataEntry[S-U03]="Tri 2") * ($B$8=DataEntry[S-U04])*($C9=DataEntry[S-U05]),0))</f>
        <v>0</v>
      </c>
    </row>
    <row r="10" spans="2:11" ht="15" customHeight="1" thickBot="1">
      <c r="B10" s="1400"/>
      <c r="C10" s="1057" t="s">
        <v>964</v>
      </c>
      <c r="D10" s="73" cm="1">
        <f t="array" ref="D10">INDEX(DataEntry[S-P06],MATCH(1, (DataEntry[S-U03]="Tri 2") * ($B$8=DataEntry[S-U04])*($C10=DataEntry[S-U05]),0))</f>
        <v>0</v>
      </c>
      <c r="E10" s="70" cm="1">
        <f t="array" ref="E10">INDEX(DataEntry[S-P04],MATCH(1, (DataEntry[S-U03]="Tri 2") * ($B$8=DataEntry[S-U04])*($C10=DataEntry[S-U05]),0))-INDEX(DataEntry[S-P06],MATCH(1, (DataEntry[S-U03]="Tri 2") * ($B$8=DataEntry[S-U04])*($C10=DataEntry[S-U05]),0))</f>
        <v>0</v>
      </c>
      <c r="F10" s="1055" cm="1">
        <f t="array" ref="F10">INDEX(DataEntry[S-B07],MATCH(1, (DataEntry[S-U03]="Tri 2") * ($B$8=DataEntry[S-U04])*($C10=DataEntry[S-U05]),0))</f>
        <v>0</v>
      </c>
      <c r="G10" s="1047" cm="1">
        <f t="array" ref="G10">INDEX(DataEntry[S-B06],MATCH(1, (DataEntry[S-U03]="Tri 2") * ($B$8=DataEntry[S-U04])*($C10=DataEntry[S-U05]),0))-INDEX(DataEntry[S-B07],MATCH(1, (DataEntry[S-U03]="Tri 2") * ($B$8=DataEntry[S-U04])*($C10=DataEntry[S-U05]),0))</f>
        <v>0</v>
      </c>
      <c r="H10" s="73" cm="1">
        <f t="array" ref="H10">INDEX(DataEntry[E-E12],MATCH(1, (DataEntry[S-U03]="Tri 2") * ($B$8=DataEntry[S-U04])*($C10=DataEntry[S-U05]),0))</f>
        <v>0</v>
      </c>
      <c r="I10" s="1050" cm="1">
        <f t="array" ref="I10">INDEX(DataEntry[E-E06],MATCH(1, (DataEntry[S-U03]="Tri 2") * ($B$8=DataEntry[S-U04])*($C10=DataEntry[S-U05]),0))-INDEX(DataEntry[E-E12],MATCH(1, (DataEntry[S-U03]="Tri 2") * ($B$8=DataEntry[S-U04])*($C10=DataEntry[S-U05]),0))</f>
        <v>0</v>
      </c>
      <c r="J10" s="73" cm="1">
        <f t="array" ref="J10">INDEX(DataEntry[G-G12],MATCH(1, (DataEntry[S-U03]="Tri 2") * ($B$8=DataEntry[S-U04])*($C10=DataEntry[S-U05]),0))</f>
        <v>0</v>
      </c>
      <c r="K10" s="1049" cm="1">
        <f t="array" ref="K10">INDEX(DataEntry[G-G06],MATCH(1, (DataEntry[S-U03]="Tri 2") * ($B$8=DataEntry[S-U04])*($C10=DataEntry[S-U05]),0))-INDEX(DataEntry[G-G12],MATCH(1, (DataEntry[S-U03]="Tri 2") * ($B$8=DataEntry[S-U04])*($C10=DataEntry[S-U05]),0))</f>
        <v>0</v>
      </c>
    </row>
    <row r="11" spans="2:11" ht="15" thickBot="1">
      <c r="B11" s="1078" t="s">
        <v>30</v>
      </c>
      <c r="C11" s="1054" t="s">
        <v>30</v>
      </c>
      <c r="D11" s="1061" cm="1">
        <f t="array" ref="D11">INDEX(DataEntry[S-P06],MATCH(1, (DataEntry[S-U03]="Tri 2") * ($B11=DataEntry[S-U04])*($C11=DataEntry[S-U05]),0))</f>
        <v>0</v>
      </c>
      <c r="E11" s="1062" cm="1">
        <f t="array" ref="E11">INDEX(DataEntry[S-P04],MATCH(1, (DataEntry[S-U03]="Tri 2") * ($B11=DataEntry[S-U04])*($C11=DataEntry[S-U05]),0))-INDEX(DataEntry[S-P06],MATCH(1, (DataEntry[S-U03]="Tri 2") * ($B11=DataEntry[S-U04])*($C11=DataEntry[S-U05]),0))</f>
        <v>0</v>
      </c>
      <c r="F11" s="1059" cm="1">
        <f t="array" ref="F11">INDEX(DataEntry[S-B07],MATCH(1, (DataEntry[S-U03]="Tri 2") * ($B11=DataEntry[S-U04])*($C11=DataEntry[S-U05]),0))</f>
        <v>0</v>
      </c>
      <c r="G11" s="1048" cm="1">
        <f t="array" ref="G11">INDEX(DataEntry[S-B06],MATCH(1, (DataEntry[S-U03]="Tri 2") * ($B11=DataEntry[S-U04])*($C11=DataEntry[S-U05]),0))-INDEX(DataEntry[S-B07],MATCH(1, (DataEntry[S-U03]="Tri 2") * ($B11=DataEntry[S-U04])*($C11=DataEntry[S-U05]),0))</f>
        <v>0</v>
      </c>
      <c r="H11" s="90" cm="1">
        <f t="array" ref="H11">INDEX(DataEntry[E-E12],MATCH(1, (DataEntry[S-U03]="Tri 2") * ($B11=DataEntry[S-U04])*($C11=DataEntry[S-U05]),0))</f>
        <v>0</v>
      </c>
      <c r="I11" s="1051" cm="1">
        <f t="array" ref="I11">INDEX(DataEntry[E-E06],MATCH(1, (DataEntry[S-U03]="Tri 2") * ($B11=DataEntry[S-U04])*($C11=DataEntry[S-U05]),0))-INDEX(DataEntry[E-E12],MATCH(1, (DataEntry[S-U03]="Tri 2") * ($B11=DataEntry[S-U04])*($C11=DataEntry[S-U05]),0))</f>
        <v>0</v>
      </c>
      <c r="J11" s="90" cm="1">
        <f t="array" ref="J11">INDEX(DataEntry[G-G12],MATCH(1, (DataEntry[S-U03]="Tri 2") * ($B11=DataEntry[S-U04])*($C11=DataEntry[S-U05]),0))</f>
        <v>0</v>
      </c>
      <c r="K11" s="124" cm="1">
        <f t="array" ref="K11">INDEX(DataEntry[G-G06],MATCH(1, (DataEntry[S-U03]="Tri 2") * ($B11=DataEntry[S-U04])*($C11=DataEntry[S-U05]),0))-INDEX(DataEntry[G-G12],MATCH(1, (DataEntry[S-U03]="Tri 2") * ($B11=DataEntry[S-U04])*($C11=DataEntry[S-U05]),0))</f>
        <v>0</v>
      </c>
    </row>
    <row r="12" spans="2:11" ht="15.5" thickBot="1">
      <c r="B12" s="580" t="s">
        <v>262</v>
      </c>
      <c r="C12" s="581"/>
      <c r="D12" s="125">
        <f>SUM(D7:D11)</f>
        <v>0</v>
      </c>
      <c r="E12" s="126">
        <f t="shared" ref="E12:I12" si="0">SUM(E7:E11)</f>
        <v>0</v>
      </c>
      <c r="F12" s="837">
        <f t="shared" si="0"/>
        <v>0</v>
      </c>
      <c r="G12" s="838">
        <f t="shared" si="0"/>
        <v>0</v>
      </c>
      <c r="H12" s="125">
        <f t="shared" si="0"/>
        <v>0</v>
      </c>
      <c r="I12" s="127">
        <f t="shared" si="0"/>
        <v>0</v>
      </c>
      <c r="J12" s="125">
        <f t="shared" ref="J12:K12" si="1">SUM(J7:J11)</f>
        <v>0</v>
      </c>
      <c r="K12" s="127">
        <f t="shared" si="1"/>
        <v>0</v>
      </c>
    </row>
    <row r="13" spans="2:11" ht="15" thickBot="1">
      <c r="B13" s="128"/>
      <c r="C13" s="129"/>
      <c r="D13" s="130"/>
      <c r="E13" s="131"/>
      <c r="F13" s="132"/>
      <c r="G13" s="133"/>
      <c r="H13" s="130"/>
      <c r="I13" s="131"/>
      <c r="J13" s="130"/>
      <c r="K13" s="131"/>
    </row>
    <row r="14" spans="2:11" ht="15" thickBot="1">
      <c r="B14" s="120" t="s">
        <v>227</v>
      </c>
      <c r="C14" s="63" t="s">
        <v>144</v>
      </c>
      <c r="D14" s="121"/>
      <c r="E14" s="122"/>
      <c r="F14" s="121"/>
      <c r="G14" s="122"/>
      <c r="H14" s="121"/>
      <c r="I14" s="122"/>
      <c r="J14" s="121"/>
      <c r="K14" s="122"/>
    </row>
    <row r="15" spans="2:11">
      <c r="B15" s="1390" t="s">
        <v>131</v>
      </c>
      <c r="C15" s="134" t="s">
        <v>629</v>
      </c>
      <c r="D15" s="135" cm="1">
        <f t="array" ref="D15">INDEX(DataEntry[S-P06],MATCH(1, ($B$15=DataEntry[S-U04])*($C15=DataEntry[S-U05])*("Tri 2"=DataEntry[S-U03]),0))</f>
        <v>0</v>
      </c>
      <c r="E15" s="835" cm="1">
        <f t="array" ref="E15">IFERROR(INDEX(DataEntry[S-P04],MATCH(1, ($B$15=DataEntry[S-U04])*($C15=DataEntry[S-U05])*("Tri 2"=DataEntry[S-U03]),0))-INDEX(DataEntry[S-P06],MATCH(1, ($B$15=DataEntry[S-U04])*($C15=DataEntry[S-U05])*("Tri 2"=DataEntry[S-U03]),0)), "N/A")</f>
        <v>0</v>
      </c>
      <c r="F15" s="839" cm="1">
        <f t="array" ref="F15">INDEX(DataEntry[S-B07],MATCH(1, ($B$15=DataEntry[S-U04])*($C15=DataEntry[S-U05])*("Tri 2"=DataEntry[S-U03]),0))</f>
        <v>0</v>
      </c>
      <c r="G15" s="583" cm="1">
        <f t="array" ref="G15">IFERROR(INDEX(DataEntry[S-B06],MATCH(1, ($B$15=DataEntry[S-U04])*($C15=DataEntry[S-U05])*("Tri 2"=DataEntry[S-U03]),0))-INDEX(DataEntry[S-B07],MATCH(1, ($B$15=DataEntry[S-U04])*($C15=DataEntry[S-U05])*("Tri 2"=DataEntry[S-U03]),0)), "N/A")</f>
        <v>0</v>
      </c>
      <c r="H15" s="836" cm="1">
        <f t="array" ref="H15">INDEX(DataEntry[E-E12],MATCH(1, ($B$15=DataEntry[S-U04])*($C15=DataEntry[S-U05])*("Tri 2"=DataEntry[S-U03]),0))</f>
        <v>0</v>
      </c>
      <c r="I15" s="69" cm="1">
        <f t="array" ref="I15">IFERROR(INDEX(DataEntry[E-E06],MATCH(1, ($B$15=DataEntry[S-U04])*($C15=DataEntry[S-U05])*("Tri 2"=DataEntry[S-U03]),0))-INDEX(DataEntry[E-E12],MATCH(1, ($B$15=DataEntry[S-U04])*($C15=DataEntry[S-U05])*("Tri 2"=DataEntry[S-U03]),0)), "N/A")</f>
        <v>0</v>
      </c>
      <c r="J15" s="836" cm="1">
        <f t="array" ref="J15">INDEX(DataEntry[G-G12],MATCH(1, ($B$15=DataEntry[S-U04])*($C15=DataEntry[S-U05])*("Tri 2"=DataEntry[S-U03]),0))</f>
        <v>0</v>
      </c>
      <c r="K15" s="69" cm="1">
        <f t="array" ref="K15">IFERROR(INDEX(DataEntry[G-G06],MATCH(1, ($B$15=DataEntry[S-U04])*($C15=DataEntry[S-U05])*("Tri 2"=DataEntry[S-U03]),0))-INDEX(DataEntry[G-G12],MATCH(1, ($B$15=DataEntry[S-U04])*($C15=DataEntry[S-U05])*("Tri 2"=DataEntry[S-U03]),0)), "N/A")</f>
        <v>0</v>
      </c>
    </row>
    <row r="16" spans="2:11" ht="15" thickBot="1">
      <c r="B16" s="1391"/>
      <c r="C16" s="136" t="s">
        <v>29</v>
      </c>
      <c r="D16" s="90" cm="1">
        <f t="array" ref="D16">INDEX(DataEntry[S-P06],MATCH(1, ($B$15=DataEntry[S-U04])*($C16=DataEntry[S-U05])*("Tri 2"=DataEntry[S-U03]),0))</f>
        <v>0</v>
      </c>
      <c r="E16" s="834" cm="1">
        <f t="array" ref="E16">IFERROR(INDEX(DataEntry[S-P04],MATCH(1, ($B$15=DataEntry[S-U04])*($C16=DataEntry[S-U05])*("Tri 2"=DataEntry[S-U03]),0))-INDEX(DataEntry[S-P06],MATCH(1, ($B$15=DataEntry[S-U04])*($C16=DataEntry[S-U05])*("Tri 2"=DataEntry[S-U03]),0)), "N/A")</f>
        <v>0</v>
      </c>
      <c r="F16" s="840" cm="1">
        <f t="array" ref="F16">INDEX(DataEntry[S-B07],MATCH(1, ($B$15=DataEntry[S-U04])*($C16=DataEntry[S-U05])*("Tri 2"=DataEntry[S-U03]),0))</f>
        <v>0</v>
      </c>
      <c r="G16" s="841" cm="1">
        <f t="array" ref="G16">IFERROR(INDEX(DataEntry[S-B06],MATCH(1, ($B$15=DataEntry[S-U04])*($C16=DataEntry[S-U05])*("Tri 2"=DataEntry[S-U03]),0))-INDEX(DataEntry[S-B07],MATCH(1, ($B$15=DataEntry[S-U04])*($C16=DataEntry[S-U05])*("Tri 2"=DataEntry[S-U03]),0)), "N/A")</f>
        <v>0</v>
      </c>
      <c r="H16" s="123" cm="1">
        <f t="array" ref="H16">INDEX(DataEntry[E-E12],MATCH(1, ($B$15=DataEntry[S-U04])*($C16=DataEntry[S-U05])*("Tri 2"=DataEntry[S-U03]),0))</f>
        <v>0</v>
      </c>
      <c r="I16" s="91" cm="1">
        <f t="array" ref="I16">IFERROR(INDEX(DataEntry[E-E06],MATCH(1, ($B$15=DataEntry[S-U04])*($C16=DataEntry[S-U05])*("Tri 2"=DataEntry[S-U03]),0))-INDEX(DataEntry[E-E12],MATCH(1, ($B$15=DataEntry[S-U04])*($C16=DataEntry[S-U05])*("Tri 2"=DataEntry[S-U03]),0)), "N/A")</f>
        <v>0</v>
      </c>
      <c r="J16" s="123" cm="1">
        <f t="array" ref="J16">INDEX(DataEntry[G-G12],MATCH(1, ($B$15=DataEntry[S-U04])*($C16=DataEntry[S-U05])*("Tri 2"=DataEntry[S-U03]),0))</f>
        <v>0</v>
      </c>
      <c r="K16" s="91" cm="1">
        <f t="array" ref="K16">IFERROR(INDEX(DataEntry[G-G06],MATCH(1, ($B$15=DataEntry[S-U04])*($C16=DataEntry[S-U05])*("Tri 2"=DataEntry[S-U03]),0))-INDEX(DataEntry[G-G12],MATCH(1, ($B$15=DataEntry[S-U04])*($C16=DataEntry[S-U05])*("Tri 2"=DataEntry[S-U03]),0)), "N/A")</f>
        <v>0</v>
      </c>
    </row>
    <row r="17" spans="2:12" ht="15" thickBot="1">
      <c r="B17" s="580" t="s">
        <v>263</v>
      </c>
      <c r="C17" s="581"/>
      <c r="D17" s="125">
        <f t="shared" ref="D17:I17" si="2">SUM(D14:D16)</f>
        <v>0</v>
      </c>
      <c r="E17" s="126">
        <f t="shared" si="2"/>
        <v>0</v>
      </c>
      <c r="F17" s="837">
        <f t="shared" si="2"/>
        <v>0</v>
      </c>
      <c r="G17" s="838">
        <f t="shared" si="2"/>
        <v>0</v>
      </c>
      <c r="H17" s="125">
        <f t="shared" si="2"/>
        <v>0</v>
      </c>
      <c r="I17" s="127">
        <f t="shared" si="2"/>
        <v>0</v>
      </c>
      <c r="J17" s="125">
        <f t="shared" ref="J17:K17" si="3">SUM(J14:J16)</f>
        <v>0</v>
      </c>
      <c r="K17" s="127">
        <f t="shared" si="3"/>
        <v>0</v>
      </c>
    </row>
    <row r="18" spans="2:12" ht="15" thickBot="1">
      <c r="B18" s="100"/>
      <c r="C18" s="101"/>
      <c r="D18" s="137"/>
      <c r="E18" s="104"/>
      <c r="F18" s="138"/>
      <c r="G18" s="139"/>
      <c r="H18" s="137"/>
      <c r="I18" s="104"/>
      <c r="J18" s="137"/>
      <c r="K18" s="104"/>
    </row>
    <row r="19" spans="2:12" ht="15.5" thickBot="1">
      <c r="B19" s="109" t="s">
        <v>264</v>
      </c>
      <c r="C19" s="140"/>
      <c r="D19" s="141">
        <f>SUM(D17,D12)</f>
        <v>0</v>
      </c>
      <c r="E19" s="111">
        <f t="shared" ref="E19:I19" si="4">SUM(E17,E12)</f>
        <v>0</v>
      </c>
      <c r="F19" s="582">
        <f t="shared" si="4"/>
        <v>0</v>
      </c>
      <c r="G19" s="584">
        <f t="shared" si="4"/>
        <v>0</v>
      </c>
      <c r="H19" s="141">
        <f t="shared" si="4"/>
        <v>0</v>
      </c>
      <c r="I19" s="115">
        <f t="shared" si="4"/>
        <v>0</v>
      </c>
      <c r="J19" s="141">
        <f t="shared" ref="J19:K19" si="5">SUM(J17,J12)</f>
        <v>0</v>
      </c>
      <c r="K19" s="115">
        <f t="shared" si="5"/>
        <v>0</v>
      </c>
    </row>
    <row r="20" spans="2:12" ht="15">
      <c r="B20" s="54" t="s">
        <v>265</v>
      </c>
      <c r="C20" s="54"/>
      <c r="D20" s="54"/>
      <c r="E20" s="54"/>
      <c r="F20" s="54"/>
      <c r="G20" s="54"/>
      <c r="H20" s="54"/>
      <c r="I20" s="54"/>
      <c r="J20" s="54"/>
      <c r="K20" s="142"/>
      <c r="L20" s="54"/>
    </row>
    <row r="21" spans="2:12" ht="15">
      <c r="B21" s="117" t="s">
        <v>978</v>
      </c>
      <c r="C21" s="54"/>
      <c r="D21" s="54"/>
      <c r="E21" s="54"/>
      <c r="F21" s="54"/>
      <c r="G21" s="54"/>
      <c r="H21" s="54"/>
      <c r="I21" s="54"/>
      <c r="J21" s="54"/>
      <c r="K21" s="142"/>
      <c r="L21" s="54"/>
    </row>
  </sheetData>
  <mergeCells count="11">
    <mergeCell ref="J3:K3"/>
    <mergeCell ref="J5:K5"/>
    <mergeCell ref="B15:B16"/>
    <mergeCell ref="D3:E3"/>
    <mergeCell ref="F3:G3"/>
    <mergeCell ref="H3:I3"/>
    <mergeCell ref="D5:E5"/>
    <mergeCell ref="F5:G5"/>
    <mergeCell ref="H5:I5"/>
    <mergeCell ref="B3:C5"/>
    <mergeCell ref="B8:B10"/>
  </mergeCells>
  <pageMargins left="0.7" right="0.7" top="0.75" bottom="0.75" header="0.3" footer="0.3"/>
  <headerFooter>
    <oddFooter>&amp;C_x000D_&amp;1#&amp;"Calibri"&amp;22&amp;K0073CF INTERNAL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74FD7-475F-42A8-A27B-02F0C032AB1F}">
  <sheetPr>
    <tabColor rgb="FFFFFF00"/>
  </sheetPr>
  <dimension ref="B2:M46"/>
  <sheetViews>
    <sheetView zoomScale="120" zoomScaleNormal="120" workbookViewId="0">
      <pane xSplit="3" ySplit="5" topLeftCell="D22" activePane="bottomRight" state="frozen"/>
      <selection pane="topRight" activeCell="D1" sqref="D1"/>
      <selection pane="bottomLeft" activeCell="A6" sqref="A6"/>
      <selection pane="bottomRight" activeCell="M14" sqref="M14"/>
    </sheetView>
  </sheetViews>
  <sheetFormatPr defaultRowHeight="14.5"/>
  <cols>
    <col min="1" max="1" width="3.26953125" customWidth="1"/>
    <col min="2" max="2" width="23.81640625" customWidth="1"/>
    <col min="3" max="3" width="42" bestFit="1" customWidth="1"/>
    <col min="4" max="4" width="11.81640625" customWidth="1"/>
    <col min="5" max="5" width="14.1796875" customWidth="1"/>
    <col min="6" max="11" width="11.81640625" customWidth="1"/>
  </cols>
  <sheetData>
    <row r="2" spans="2:11" ht="15" thickBot="1">
      <c r="B2" s="218" t="s">
        <v>189</v>
      </c>
      <c r="C2" s="218"/>
    </row>
    <row r="3" spans="2:11" ht="15" thickBot="1">
      <c r="B3" s="1338" t="s">
        <v>191</v>
      </c>
      <c r="C3" s="1339"/>
      <c r="D3" s="1362" t="s">
        <v>190</v>
      </c>
      <c r="E3" s="1363"/>
      <c r="F3" s="1363"/>
      <c r="G3" s="1363"/>
      <c r="H3" s="1363"/>
      <c r="I3" s="1363"/>
      <c r="J3" s="1363"/>
      <c r="K3" s="1363"/>
    </row>
    <row r="4" spans="2:11">
      <c r="B4" s="1340"/>
      <c r="C4" s="1341"/>
      <c r="D4" s="528" t="s">
        <v>958</v>
      </c>
      <c r="E4" s="529" t="s">
        <v>959</v>
      </c>
      <c r="F4" s="529" t="s">
        <v>960</v>
      </c>
      <c r="G4" s="530" t="s">
        <v>961</v>
      </c>
      <c r="H4" s="529" t="s">
        <v>921</v>
      </c>
      <c r="I4" s="531" t="s">
        <v>204</v>
      </c>
      <c r="J4" s="529" t="s">
        <v>205</v>
      </c>
      <c r="K4" s="529" t="s">
        <v>880</v>
      </c>
    </row>
    <row r="5" spans="2:11" ht="73" customHeight="1" thickBot="1">
      <c r="B5" s="1342"/>
      <c r="C5" s="1343"/>
      <c r="D5" s="2" t="s">
        <v>929</v>
      </c>
      <c r="E5" s="1" t="s">
        <v>930</v>
      </c>
      <c r="F5" s="1" t="s">
        <v>931</v>
      </c>
      <c r="G5" s="532" t="s">
        <v>216</v>
      </c>
      <c r="H5" s="1" t="s">
        <v>932</v>
      </c>
      <c r="I5" s="3" t="s">
        <v>933</v>
      </c>
      <c r="J5" s="3" t="s">
        <v>934</v>
      </c>
      <c r="K5" s="3" t="s">
        <v>935</v>
      </c>
    </row>
    <row r="6" spans="2:11" ht="17" thickBot="1">
      <c r="B6" s="164" t="s">
        <v>220</v>
      </c>
      <c r="C6" s="4" t="s">
        <v>221</v>
      </c>
      <c r="D6" s="863"/>
      <c r="E6" s="545"/>
      <c r="F6" s="545"/>
      <c r="G6" s="545"/>
      <c r="H6" s="545"/>
      <c r="I6" s="545"/>
      <c r="J6" s="545"/>
      <c r="K6" s="862"/>
    </row>
    <row r="7" spans="2:11">
      <c r="B7" s="1329" t="s">
        <v>4</v>
      </c>
      <c r="C7" s="612" t="s">
        <v>5</v>
      </c>
      <c r="D7" s="7" cm="1">
        <f t="array" ref="D7">INDEX(DataEntry[G-G02],MATCH(1, (DataEntry[S-U03]="Tri 2") * ($B$7=DataEntry[S-U04])*($C7=DataEntry[S-U05]),0))</f>
        <v>0</v>
      </c>
      <c r="E7" s="8" cm="1">
        <f t="array" ref="E7">INDEX(DataEntry[G-G01],MATCH(1, ($B$7=DataEntry[S-U04])*($C7=DataEntry[S-U05]),0))</f>
        <v>0</v>
      </c>
      <c r="F7" s="10" cm="1">
        <f t="array" ref="F7">INDEX(DataEntry[G-G06],MATCH(1, (DataEntry[S-U03]="Tri 2") * ($B$7=DataEntry[S-U04])*($C7=DataEntry[S-U05]),0))</f>
        <v>0</v>
      </c>
      <c r="G7" s="11" t="str">
        <f>IFERROR(F7/E7, "N/A")</f>
        <v>N/A</v>
      </c>
      <c r="H7" s="10" cm="1">
        <f t="array" ref="H7">INDEX(DataEntry[G-G07],MATCH(1, (DataEntry[S-U03]="Tri 2") * ($B$7=DataEntry[S-U04])*($C7=DataEntry[S-U05]),0))</f>
        <v>0</v>
      </c>
      <c r="I7" s="13" t="s">
        <v>140</v>
      </c>
      <c r="J7" s="527" cm="1">
        <f t="array" ref="J7">INDEX(DataEntry[G-G03],MATCH(1, (DataEntry[S-U03]="Tri 2") * ($B$7=DataEntry[S-U04])*($C7=DataEntry[S-U05]),0))</f>
        <v>0</v>
      </c>
      <c r="K7" s="527" cm="1">
        <f t="array" ref="K7">INDEX(DataEntry[G-G08],MATCH(1, (DataEntry[S-U03]="Tri 2") * ($B$7=DataEntry[S-U04])*($C7=DataEntry[S-U05]),0))</f>
        <v>0</v>
      </c>
    </row>
    <row r="8" spans="2:11">
      <c r="B8" s="1329"/>
      <c r="C8" s="442" t="s">
        <v>153</v>
      </c>
      <c r="D8" s="15" cm="1">
        <f t="array" ref="D8">INDEX(DataEntry[G-G02],MATCH(1, (DataEntry[S-U03]="Tri 2") * ($B$7=DataEntry[S-U04])*($C8=DataEntry[S-U05]),0))</f>
        <v>0</v>
      </c>
      <c r="E8" s="14" cm="1">
        <f t="array" ref="E8">INDEX(DataEntry[G-G01],MATCH(1, ($B$7=DataEntry[S-U04])*($C8=DataEntry[S-U05]),0))</f>
        <v>0</v>
      </c>
      <c r="F8" s="12" cm="1">
        <f t="array" ref="F8">INDEX(DataEntry[G-G06],MATCH(1, (DataEntry[S-U03]="Tri 2") * ($B$7=DataEntry[S-U04])*($C8=DataEntry[S-U05]),0))</f>
        <v>0</v>
      </c>
      <c r="G8" s="16" t="str">
        <f t="shared" ref="G8:G11" si="0">IFERROR(F8/E8, "N/A")</f>
        <v>N/A</v>
      </c>
      <c r="H8" s="12" cm="1">
        <f t="array" ref="H8">INDEX(DataEntry[G-G07],MATCH(1, (DataEntry[S-U03]="Tri 2") * ($B$7=DataEntry[S-U04])*($C8=DataEntry[S-U05]),0))</f>
        <v>0</v>
      </c>
      <c r="I8" s="13" t="s">
        <v>140</v>
      </c>
      <c r="J8" s="38" cm="1">
        <f t="array" ref="J8">INDEX(DataEntry[G-G03],MATCH(1, (DataEntry[S-U03]="Tri 2") * ($B$7=DataEntry[S-U04])*($C8=DataEntry[S-U05]),0))</f>
        <v>0</v>
      </c>
      <c r="K8" s="38" cm="1">
        <f t="array" ref="K8">INDEX(DataEntry[G-G08],MATCH(1, (DataEntry[S-U03]="Tri 2") * ($B$7=DataEntry[S-U04])*($C8=DataEntry[S-U05]),0))</f>
        <v>0</v>
      </c>
    </row>
    <row r="9" spans="2:11">
      <c r="B9" s="1329"/>
      <c r="C9" s="443" t="s">
        <v>626</v>
      </c>
      <c r="D9" s="15" cm="1">
        <f t="array" ref="D9">INDEX(DataEntry[G-G02],MATCH(1, (DataEntry[S-U03]="Tri 2") * ($B$7=DataEntry[S-U04])*($C9=DataEntry[S-U05]),0))</f>
        <v>0</v>
      </c>
      <c r="E9" s="14" cm="1">
        <f t="array" ref="E9">INDEX(DataEntry[G-G01],MATCH(1, ($B$7=DataEntry[S-U04])*($C9=DataEntry[S-U05]),0))</f>
        <v>0</v>
      </c>
      <c r="F9" s="12" cm="1">
        <f t="array" ref="F9">INDEX(DataEntry[G-G06],MATCH(1, (DataEntry[S-U03]="Tri 2") * ($B$7=DataEntry[S-U04])*($C9=DataEntry[S-U05]),0))</f>
        <v>0</v>
      </c>
      <c r="G9" s="16" t="str">
        <f t="shared" si="0"/>
        <v>N/A</v>
      </c>
      <c r="H9" s="12" cm="1">
        <f t="array" ref="H9">INDEX(DataEntry[G-G07],MATCH(1, (DataEntry[S-U03]="Tri 2") * ($B$7=DataEntry[S-U04])*($C9=DataEntry[S-U05]),0))</f>
        <v>0</v>
      </c>
      <c r="I9" s="13" t="s">
        <v>140</v>
      </c>
      <c r="J9" s="38" cm="1">
        <f t="array" ref="J9">INDEX(DataEntry[G-G03],MATCH(1, (DataEntry[S-U03]="Tri 2") * ($B$7=DataEntry[S-U04])*($C9=DataEntry[S-U05]),0))</f>
        <v>0</v>
      </c>
      <c r="K9" s="38" cm="1">
        <f t="array" ref="K9">INDEX(DataEntry[G-G08],MATCH(1, (DataEntry[S-U03]="Tri 2") * ($B$7=DataEntry[S-U04])*($C9=DataEntry[S-U05]),0))</f>
        <v>0</v>
      </c>
    </row>
    <row r="10" spans="2:11" ht="17.25" customHeight="1">
      <c r="B10" s="1329"/>
      <c r="C10" s="444" t="s">
        <v>154</v>
      </c>
      <c r="D10" s="15" cm="1">
        <f t="array" ref="D10">INDEX(DataEntry[G-G02],MATCH(1, (DataEntry[S-U03]="Tri 2") * ($B$7=DataEntry[S-U04])*($C10=DataEntry[S-U05]),0))</f>
        <v>0</v>
      </c>
      <c r="E10" s="14" cm="1">
        <f t="array" ref="E10">INDEX(DataEntry[G-G01],MATCH(1, ($B$7=DataEntry[S-U04])*($C10=DataEntry[S-U05]),0))</f>
        <v>0</v>
      </c>
      <c r="F10" s="12" cm="1">
        <f t="array" ref="F10">INDEX(DataEntry[G-G06],MATCH(1, (DataEntry[S-U03]="Tri 2") * ($B$7=DataEntry[S-U04])*($C10=DataEntry[S-U05]),0))</f>
        <v>0</v>
      </c>
      <c r="G10" s="16" t="str">
        <f t="shared" si="0"/>
        <v>N/A</v>
      </c>
      <c r="H10" s="12" cm="1">
        <f t="array" ref="H10">INDEX(DataEntry[G-G07],MATCH(1, (DataEntry[S-U03]="Tri 2") * ($B$7=DataEntry[S-U04])*($C10=DataEntry[S-U05]),0))</f>
        <v>0</v>
      </c>
      <c r="I10" s="13" t="s">
        <v>140</v>
      </c>
      <c r="J10" s="38" cm="1">
        <f t="array" ref="J10">INDEX(DataEntry[G-G03],MATCH(1, (DataEntry[S-U03]="Tri 2") * ($B$7=DataEntry[S-U04])*($C10=DataEntry[S-U05]),0))</f>
        <v>0</v>
      </c>
      <c r="K10" s="38" cm="1">
        <f t="array" ref="K10">INDEX(DataEntry[G-G08],MATCH(1, (DataEntry[S-U03]="Tri 2") * ($B$7=DataEntry[S-U04])*($C10=DataEntry[S-U05]),0))</f>
        <v>0</v>
      </c>
    </row>
    <row r="11" spans="2:11">
      <c r="B11" s="1329"/>
      <c r="C11" s="444" t="s">
        <v>962</v>
      </c>
      <c r="D11" s="15" cm="1">
        <f t="array" ref="D11">INDEX(DataEntry[G-G02],MATCH(1, (DataEntry[S-U03]="Tri 2") * ($B$7=DataEntry[S-U04])*($C11=DataEntry[S-U05]),0))</f>
        <v>0</v>
      </c>
      <c r="E11" s="14" cm="1">
        <f t="array" ref="E11">INDEX(DataEntry[G-G01],MATCH(1, ($B$7=DataEntry[S-U04])*($C11=DataEntry[S-U05]),0))</f>
        <v>0</v>
      </c>
      <c r="F11" s="12" cm="1">
        <f t="array" ref="F11">INDEX(DataEntry[G-G06],MATCH(1, (DataEntry[S-U03]="Tri 2") * ($B$7=DataEntry[S-U04])*($C11=DataEntry[S-U05]),0))</f>
        <v>0</v>
      </c>
      <c r="G11" s="16" t="str">
        <f t="shared" si="0"/>
        <v>N/A</v>
      </c>
      <c r="H11" s="12" cm="1">
        <f t="array" ref="H11">INDEX(DataEntry[G-G07],MATCH(1, (DataEntry[S-U03]="Tri 2") * ($B$7=DataEntry[S-U04])*($C11=DataEntry[S-U05]),0))</f>
        <v>0</v>
      </c>
      <c r="I11" s="13" t="s">
        <v>140</v>
      </c>
      <c r="J11" s="38" cm="1">
        <f t="array" ref="J11">INDEX(DataEntry[G-G03],MATCH(1, (DataEntry[S-U03]="Tri 2") * ($B$7=DataEntry[S-U04])*($C11=DataEntry[S-U05]),0))</f>
        <v>0</v>
      </c>
      <c r="K11" s="38" cm="1">
        <f t="array" ref="K11">INDEX(DataEntry[G-G08],MATCH(1, (DataEntry[S-U03]="Tri 2") * ($B$7=DataEntry[S-U04])*($C11=DataEntry[S-U05]),0))</f>
        <v>0</v>
      </c>
    </row>
    <row r="12" spans="2:11" ht="15" thickBot="1">
      <c r="B12" s="1330"/>
      <c r="C12" s="445" t="s">
        <v>222</v>
      </c>
      <c r="D12" s="18">
        <f>SUM(D7:D11)</f>
        <v>0</v>
      </c>
      <c r="E12" s="19" cm="1">
        <f t="array" ref="E12">INDEX(DataEntry[G-G01],MATCH(1, (DataEntry[S-U03]="Tri 2") * ($B$7=DataEntry[S-U04])*(""=DataEntry[S-U05]),0))</f>
        <v>0</v>
      </c>
      <c r="F12" s="20">
        <f>SUM(F7:F11)</f>
        <v>0</v>
      </c>
      <c r="G12" s="21" t="str">
        <f>IFERROR(F12/E12, "N/A")</f>
        <v>N/A</v>
      </c>
      <c r="H12" s="20">
        <f t="shared" ref="H12:I12" si="1">SUM(H7:H11)</f>
        <v>0</v>
      </c>
      <c r="I12" s="22">
        <f t="shared" si="1"/>
        <v>0</v>
      </c>
      <c r="J12" s="534">
        <f>SUM(J7:J11)</f>
        <v>0</v>
      </c>
      <c r="K12" s="534">
        <f>SUM(K7:K11)</f>
        <v>0</v>
      </c>
    </row>
    <row r="13" spans="2:11">
      <c r="B13" s="1331" t="s">
        <v>129</v>
      </c>
      <c r="C13" s="441" t="s">
        <v>155</v>
      </c>
      <c r="D13" s="27" cm="1">
        <f t="array" ref="D13">INDEX(DataEntry[G-G02],MATCH(1, (DataEntry[S-U03]="Tri 2") * ($B$13=DataEntry[S-U04])*($C13=DataEntry[S-U05]),0))</f>
        <v>0</v>
      </c>
      <c r="E13" s="28" cm="1">
        <f t="array" ref="E13">INDEX(DataEntry[G-G01],MATCH(1, (DataEntry[S-U03]="Tri 2") * ($B$13=DataEntry[S-U04])*($C13=DataEntry[S-U05]),0))</f>
        <v>0</v>
      </c>
      <c r="F13" s="29" cm="1">
        <f t="array" ref="F13">INDEX(DataEntry[G-G06],MATCH(1, (DataEntry[S-U03]="Tri 2") * ($B$13=DataEntry[S-U04])*($C13=DataEntry[S-U05]),0))</f>
        <v>0</v>
      </c>
      <c r="G13" s="520" t="str">
        <f t="shared" ref="G13:G20" si="2">IFERROR(F13/E13, "N/A")</f>
        <v>N/A</v>
      </c>
      <c r="H13" s="29" cm="1">
        <f t="array" ref="H13">INDEX(DataEntry[G-G07],MATCH(1, (DataEntry[S-U03]="Tri 2") * ($B$13=DataEntry[S-U04])*($C13=DataEntry[S-U05]),0))</f>
        <v>0</v>
      </c>
      <c r="I13" s="13" t="s">
        <v>140</v>
      </c>
      <c r="J13" s="533" cm="1">
        <f t="array" ref="J13">INDEX(DataEntry[G-G03],MATCH(1, (DataEntry[S-U03]="Tri 2") * ($B$13=DataEntry[S-U04])*($C13=DataEntry[S-U05]),0))</f>
        <v>0</v>
      </c>
      <c r="K13" s="533" cm="1">
        <f t="array" ref="K13">INDEX(DataEntry[G-G08],MATCH(1, (DataEntry[S-U03]="Tri 2") * ($B$13=DataEntry[S-U04])*($C13=DataEntry[S-U05]),0))</f>
        <v>0</v>
      </c>
    </row>
    <row r="14" spans="2:11">
      <c r="B14" s="1332"/>
      <c r="C14" s="612" t="s">
        <v>19</v>
      </c>
      <c r="D14" s="808" cm="1">
        <f t="array" ref="D14">INDEX(DataEntry[G-G02],MATCH(1, (DataEntry[S-U03]="Tri 2") * ($B$13=DataEntry[S-U04])*($C14=DataEntry[S-U05]),0))</f>
        <v>0</v>
      </c>
      <c r="E14" s="23" cm="1">
        <f t="array" ref="E14">INDEX(DataEntry[G-G01],MATCH(1, (DataEntry[S-U03]="Tri 2") * ($B$13=DataEntry[S-U04])*($C14=DataEntry[S-U05]),0))</f>
        <v>0</v>
      </c>
      <c r="F14" s="12" cm="1">
        <f t="array" ref="F14">INDEX(DataEntry[G-G06],MATCH(1, (DataEntry[S-U03]="Tri 2") * ($B$13=DataEntry[S-U04])*($C14=DataEntry[S-U05]),0))</f>
        <v>0</v>
      </c>
      <c r="G14" s="24" t="str">
        <f t="shared" si="2"/>
        <v>N/A</v>
      </c>
      <c r="H14" s="12" cm="1">
        <f t="array" ref="H14">INDEX(DataEntry[G-G07],MATCH(1, (DataEntry[S-U03]="Tri 2") * ($B$13=DataEntry[S-U04])*($C14=DataEntry[S-U05]),0))</f>
        <v>0</v>
      </c>
      <c r="I14" s="13" t="s">
        <v>140</v>
      </c>
      <c r="J14" s="38" cm="1">
        <f t="array" ref="J14">INDEX(DataEntry[G-G03],MATCH(1, (DataEntry[S-U03]="Tri 2") * ($B$13=DataEntry[S-U04])*($C14=DataEntry[S-U05]),0))</f>
        <v>0</v>
      </c>
      <c r="K14" s="38" cm="1">
        <f t="array" ref="K14">INDEX(DataEntry[G-G08],MATCH(1, (DataEntry[S-U03]="Tri 2") * ($B$13=DataEntry[S-U04])*($C14=DataEntry[S-U05]),0))</f>
        <v>0</v>
      </c>
    </row>
    <row r="15" spans="2:11" ht="15" thickBot="1">
      <c r="B15" s="1333"/>
      <c r="C15" s="476" t="s">
        <v>878</v>
      </c>
      <c r="D15" s="18">
        <f>SUM(D13:D14)</f>
        <v>0</v>
      </c>
      <c r="E15" s="19">
        <f>SUM(E13:E14)</f>
        <v>0</v>
      </c>
      <c r="F15" s="20">
        <f>SUM(F13:F14)</f>
        <v>0</v>
      </c>
      <c r="G15" s="21" t="str">
        <f t="shared" si="2"/>
        <v>N/A</v>
      </c>
      <c r="H15" s="20">
        <f t="shared" ref="H15:I15" si="3">SUM(H13:H14)</f>
        <v>0</v>
      </c>
      <c r="I15" s="22">
        <f t="shared" si="3"/>
        <v>0</v>
      </c>
      <c r="J15" s="534">
        <f>SUM(J13:J14)</f>
        <v>0</v>
      </c>
      <c r="K15" s="534">
        <f>SUM(K13:K14)</f>
        <v>0</v>
      </c>
    </row>
    <row r="16" spans="2:11" ht="15" thickBot="1">
      <c r="B16" s="1331" t="s">
        <v>130</v>
      </c>
      <c r="C16" s="804" t="s">
        <v>156</v>
      </c>
      <c r="D16" s="34" cm="1">
        <f t="array" ref="D16">INDEX(DataEntry[G-G02],MATCH(1, (DataEntry[S-U03]="Tri 2") * ($B$16=DataEntry[S-U04])*($C16=DataEntry[S-U05]),0))</f>
        <v>0</v>
      </c>
      <c r="E16" s="25" cm="1">
        <f t="array" ref="E16">INDEX(DataEntry[G-G01],MATCH(1, (DataEntry[S-U03]="Tri 2") * ($B$16=DataEntry[S-U04])*($C16=DataEntry[S-U05]),0))</f>
        <v>0</v>
      </c>
      <c r="F16" s="538" cm="1">
        <f t="array" ref="F16">INDEX(DataEntry[G-G06],MATCH(1, (DataEntry[S-U03]="Tri 2") * ($B$16=DataEntry[S-U04])*($C16=DataEntry[S-U05]),0))</f>
        <v>0</v>
      </c>
      <c r="G16" s="26" t="str">
        <f t="shared" si="2"/>
        <v>N/A</v>
      </c>
      <c r="H16" s="538" cm="1">
        <f t="array" ref="H16">INDEX(DataEntry[G-G07],MATCH(1, (DataEntry[S-U03]="Tri 2") * ($B$16=DataEntry[S-U04])*($C16=DataEntry[S-U05]),0))</f>
        <v>0</v>
      </c>
      <c r="I16" s="13" t="s">
        <v>140</v>
      </c>
      <c r="J16" s="35" cm="1">
        <f t="array" ref="J16">INDEX(DataEntry[G-G03],MATCH(1, (DataEntry[S-U03]="Tri 2") * ($B$16=DataEntry[S-U04])*($C16=DataEntry[S-U05]),0))</f>
        <v>0</v>
      </c>
      <c r="K16" s="35" cm="1">
        <f t="array" ref="K16">INDEX(DataEntry[G-G08],MATCH(1, (DataEntry[S-U03]="Tri 2") * ($B$16=DataEntry[S-U04])*($C16=DataEntry[S-U05]),0))</f>
        <v>0</v>
      </c>
    </row>
    <row r="17" spans="2:13" ht="17.25" customHeight="1">
      <c r="B17" s="1332"/>
      <c r="C17" s="963" t="s">
        <v>154</v>
      </c>
      <c r="D17" s="7" cm="1">
        <f t="array" ref="D17">INDEX(DataEntry[G-G02],MATCH(1, (DataEntry[S-U03]="Tri 2") * ($B$16=DataEntry[S-U04])*($C17=DataEntry[S-U05]),0))</f>
        <v>0</v>
      </c>
      <c r="E17" s="8" cm="1">
        <f t="array" ref="E17">INDEX(DataEntry[G-G01],MATCH(1, (DataEntry[S-U03]="Tri 2") * ($B$16=DataEntry[S-U04])*($C17=DataEntry[S-U05]),0))</f>
        <v>0</v>
      </c>
      <c r="F17" s="10" cm="1">
        <f t="array" ref="F17">INDEX(DataEntry[G-G06],MATCH(1, (DataEntry[S-U03]="Tri 2") * ($B$16=DataEntry[S-U04])*($C17=DataEntry[S-U05]),0))</f>
        <v>0</v>
      </c>
      <c r="G17" s="11" t="str">
        <f t="shared" ref="G17:G18" si="4">IFERROR(F17/E17, "N/A")</f>
        <v>N/A</v>
      </c>
      <c r="H17" s="535" cm="1">
        <f t="array" ref="H17">INDEX(DataEntry[G-G07],MATCH(1, (DataEntry[S-U03]="Tri 2") * ($B$16=DataEntry[S-U04])*($C17=DataEntry[S-U05]),0))</f>
        <v>0</v>
      </c>
      <c r="I17" s="536" t="s">
        <v>140</v>
      </c>
      <c r="J17" s="537" cm="1">
        <f t="array" ref="J17">INDEX(DataEntry[G-G03],MATCH(1, (DataEntry[S-U03]="Tri 2") * ($B$16=DataEntry[S-U04])*($C17=DataEntry[S-U05]),0))</f>
        <v>0</v>
      </c>
      <c r="K17" s="537" cm="1">
        <f t="array" ref="K17">INDEX(DataEntry[G-G08],MATCH(1, (DataEntry[S-U03]="Tri 2") * ($B$16=DataEntry[S-U04])*($C17=DataEntry[S-U05]),0))</f>
        <v>0</v>
      </c>
    </row>
    <row r="18" spans="2:13" ht="15" customHeight="1" thickBot="1">
      <c r="B18" s="1333"/>
      <c r="C18" s="476" t="s">
        <v>970</v>
      </c>
      <c r="D18" s="15">
        <f>SUM(D16:D17)</f>
        <v>0</v>
      </c>
      <c r="E18" s="23">
        <f>SUM(E16:E17)</f>
        <v>0</v>
      </c>
      <c r="F18" s="12">
        <f>SUM(F16:F17)</f>
        <v>0</v>
      </c>
      <c r="G18" s="30" t="str">
        <f t="shared" si="4"/>
        <v>N/A</v>
      </c>
      <c r="H18" s="12">
        <f t="shared" ref="H18:I18" si="5">SUM(H16:H17)</f>
        <v>0</v>
      </c>
      <c r="I18" s="13">
        <f t="shared" si="5"/>
        <v>0</v>
      </c>
      <c r="J18" s="38">
        <f>SUM(J16:J17)</f>
        <v>0</v>
      </c>
      <c r="K18" s="38">
        <f>SUM(K16:K17)</f>
        <v>0</v>
      </c>
    </row>
    <row r="19" spans="2:13" ht="15" thickBot="1">
      <c r="B19" s="964" t="s">
        <v>183</v>
      </c>
      <c r="C19" s="441" t="s">
        <v>183</v>
      </c>
      <c r="D19" s="7" cm="1">
        <f t="array" ref="D19">INDEX(DataEntry[G-G02],MATCH(1, (DataEntry[S-U03]="Tri 2") * ($B$19=DataEntry[S-U04])*($C19=DataEntry[S-U05]),0))</f>
        <v>0</v>
      </c>
      <c r="E19" s="8" cm="1">
        <f t="array" ref="E19">INDEX(DataEntry[G-G01],MATCH(1, (DataEntry[S-U03]="Tri 2") * ($B$19=DataEntry[S-U04])*($C19=DataEntry[S-U05]),0))</f>
        <v>0</v>
      </c>
      <c r="F19" s="10" cm="1">
        <f t="array" ref="F19">INDEX(DataEntry[G-G06],MATCH(1, (DataEntry[S-U03]="Tri 2") * ($B$19=DataEntry[S-U04])*($C19=DataEntry[S-U05]),0))</f>
        <v>0</v>
      </c>
      <c r="G19" s="11" t="str">
        <f t="shared" ref="G19" si="6">IFERROR(F19/E19, "N/A")</f>
        <v>N/A</v>
      </c>
      <c r="H19" s="535" cm="1">
        <f t="array" ref="H19">INDEX(DataEntry[G-G07],MATCH(1, (DataEntry[S-U03]="Tri 2") * ($B$19=DataEntry[S-U04])*($C19=DataEntry[S-U05]),0))</f>
        <v>0</v>
      </c>
      <c r="I19" s="536" cm="1">
        <f t="array" ref="I19">INDEX(DataEntry[E-E13],MATCH(1, (DataEntry[S-U03]="Tri 2") * ($B$19=DataEntry[S-U04])*($C19=DataEntry[S-U05]),0))</f>
        <v>0</v>
      </c>
      <c r="J19" s="537" cm="1">
        <f t="array" ref="J19">INDEX(DataEntry[G-G03],MATCH(1, (DataEntry[S-U03]="Tri 2") * ($B$19=DataEntry[S-U04])*($C19=DataEntry[S-U05]),0))</f>
        <v>0</v>
      </c>
      <c r="K19" s="537" cm="1">
        <f t="array" ref="K19">INDEX(DataEntry[G-G08],MATCH(1, (DataEntry[S-U03]="Tri 2") * ($B$19=DataEntry[S-U04])*($C19=DataEntry[S-U05]),0))</f>
        <v>0</v>
      </c>
    </row>
    <row r="20" spans="2:13" ht="17" thickBot="1">
      <c r="B20" s="477" t="s">
        <v>223</v>
      </c>
      <c r="C20" s="478"/>
      <c r="D20" s="541">
        <f>SUM(D12,D15:D16,D19)</f>
        <v>0</v>
      </c>
      <c r="E20" s="6">
        <f>SUM(E12,E15:E16,E19)</f>
        <v>0</v>
      </c>
      <c r="F20" s="542">
        <f>SUM(F12,F15:F16,F19)</f>
        <v>0</v>
      </c>
      <c r="G20" s="543" t="str">
        <f t="shared" si="2"/>
        <v>N/A</v>
      </c>
      <c r="H20" s="542">
        <f t="shared" ref="H20:I20" si="7">SUM(H12,H15:H16,H19)</f>
        <v>0</v>
      </c>
      <c r="I20" s="544">
        <f t="shared" si="7"/>
        <v>0</v>
      </c>
      <c r="J20" s="545">
        <f>SUM(J12,J15:J16,J19)</f>
        <v>0</v>
      </c>
      <c r="K20" s="545">
        <f>SUM(K12,K15:K16,K19)</f>
        <v>0</v>
      </c>
    </row>
    <row r="21" spans="2:13" ht="15" thickBot="1">
      <c r="B21" s="447"/>
      <c r="C21" s="448"/>
      <c r="D21" s="559"/>
      <c r="E21" s="523"/>
      <c r="F21" s="523"/>
      <c r="G21" s="524"/>
      <c r="H21" s="523"/>
      <c r="I21" s="549"/>
      <c r="J21" s="550"/>
      <c r="K21" s="550"/>
    </row>
    <row r="22" spans="2:13" ht="17" thickBot="1">
      <c r="B22" s="861" t="s">
        <v>224</v>
      </c>
      <c r="C22" s="861" t="s">
        <v>225</v>
      </c>
      <c r="D22" s="541"/>
      <c r="E22" s="6"/>
      <c r="F22" s="542"/>
      <c r="G22" s="543"/>
      <c r="H22" s="542"/>
      <c r="I22" s="553"/>
      <c r="J22" s="545"/>
      <c r="K22" s="862"/>
    </row>
    <row r="23" spans="2:13">
      <c r="B23" s="1007" t="s">
        <v>27</v>
      </c>
      <c r="C23" s="441" t="s">
        <v>629</v>
      </c>
      <c r="D23" s="1079" cm="1">
        <f t="array" ref="D23">INDEX(DataEntry[G-G02],MATCH(1, ($B23=DataEntry[S-U04])*($C23=DataEntry[S-U05])*("Tri 2"=DataEntry[S-U03]),0))</f>
        <v>0</v>
      </c>
      <c r="E23" s="28" cm="1">
        <f t="array" ref="E23">INDEX(DataEntry[G-G01],MATCH(1, ($B23=DataEntry[S-U04])*($C23=DataEntry[S-U05])*("Tri 2"=DataEntry[S-U03]),0))</f>
        <v>0</v>
      </c>
      <c r="F23" s="1080" cm="1">
        <f t="array" ref="F23">INDEX(DataEntry[G-G06],MATCH(1, ($B23=DataEntry[S-U04])*($C23=DataEntry[S-U05])*("Tri 2"=DataEntry[S-U03]),0))</f>
        <v>0</v>
      </c>
      <c r="G23" s="520" t="str">
        <f t="shared" ref="G23:G28" si="8">IFERROR(F23/E23, "N/A")</f>
        <v>N/A</v>
      </c>
      <c r="H23" s="1079" cm="1">
        <f t="array" ref="H23">INDEX(DataEntry[G-G07],MATCH(1, ($B23=DataEntry[S-U04])*($C23=DataEntry[S-U05])*("Tri 2"=DataEntry[S-U03]),0))</f>
        <v>0</v>
      </c>
      <c r="I23" s="521" t="s">
        <v>140</v>
      </c>
      <c r="J23" s="533" cm="1">
        <f t="array" ref="J23">INDEX(DataEntry[G-G03],MATCH(1, ($B23=DataEntry[S-U04])*($C23=DataEntry[S-U05])*("Tri 2"=DataEntry[S-U03]),0))</f>
        <v>0</v>
      </c>
      <c r="K23" s="1042" cm="1">
        <f t="array" ref="K23">INDEX(DataEntry[G-G08],MATCH(1, ($B23=DataEntry[S-U04])*($C23=DataEntry[S-U05])*("Tri 2"=DataEntry[S-U03]),0))</f>
        <v>0</v>
      </c>
    </row>
    <row r="24" spans="2:13" ht="15" customHeight="1">
      <c r="B24" s="1402" t="s">
        <v>29</v>
      </c>
      <c r="C24" s="612" t="s">
        <v>29</v>
      </c>
      <c r="D24" s="7" cm="1">
        <f t="array" ref="D24">INDEX(DataEntry[G-G02],MATCH(1, ($B$24=DataEntry[S-U04])*($C24=DataEntry[S-U05])*("Tri 2"=DataEntry[S-U03]),0))</f>
        <v>0</v>
      </c>
      <c r="E24" s="9" cm="1">
        <f t="array" ref="E24">INDEX(DataEntry[G-G01],MATCH(1, ($B$24=DataEntry[S-U04])*($C24=DataEntry[S-U05])*("Tri 2"=DataEntry[S-U03]),0))</f>
        <v>0</v>
      </c>
      <c r="F24" s="10" cm="1">
        <f t="array" ref="F24">INDEX(DataEntry[G-G06],MATCH(1, ($B$24=DataEntry[S-U04])*($C24=DataEntry[S-U05])*("Tri 2"=DataEntry[S-U03]),0))</f>
        <v>0</v>
      </c>
      <c r="G24" s="33" t="str">
        <f t="shared" si="8"/>
        <v>N/A</v>
      </c>
      <c r="H24" s="32" cm="1">
        <f t="array" ref="H24">INDEX(DataEntry[G-G07],MATCH(1, ($B$24=DataEntry[S-U04])*($C24=DataEntry[S-U05])*("Tri 2"=DataEntry[S-U03]),0))</f>
        <v>0</v>
      </c>
      <c r="I24" s="13" t="s">
        <v>140</v>
      </c>
      <c r="J24" s="12" cm="1">
        <f t="array" ref="J24">INDEX(DataEntry[G-G03],MATCH(1, ($B$24=DataEntry[S-U04])*($C24=DataEntry[S-U05])*("Tri 2"=DataEntry[S-U03]),0))</f>
        <v>0</v>
      </c>
      <c r="K24" s="1081" cm="1">
        <f t="array" ref="K24">INDEX(DataEntry[G-G08],MATCH(1, ($B$24=DataEntry[S-U04])*($C24=DataEntry[S-U05])*("Tri 2"=DataEntry[S-U03]),0))</f>
        <v>0</v>
      </c>
    </row>
    <row r="25" spans="2:13" ht="15" customHeight="1">
      <c r="B25" s="1337"/>
      <c r="C25" s="446" t="s">
        <v>963</v>
      </c>
      <c r="D25" s="15" cm="1">
        <f t="array" ref="D25">INDEX(DataEntry[G-G02],MATCH(1, ($B$24=DataEntry[S-U04])*($C25=DataEntry[S-U05])*("Tri 2"=DataEntry[S-U03]),0))</f>
        <v>0</v>
      </c>
      <c r="E25" s="23" cm="1">
        <f t="array" ref="E25">INDEX(DataEntry[G-G01],MATCH(1, ($B$24=DataEntry[S-U04])*($C25=DataEntry[S-U05])*("Tri 2"=DataEntry[S-U03]),0))</f>
        <v>0</v>
      </c>
      <c r="F25" s="12" cm="1">
        <f t="array" ref="F25">INDEX(DataEntry[G-G06],MATCH(1, ($B$24=DataEntry[S-U04])*($C25=DataEntry[S-U05])*("Tri 2"=DataEntry[S-U03]),0))</f>
        <v>0</v>
      </c>
      <c r="G25" s="24" t="str">
        <f t="shared" ref="G25:G26" si="9">IFERROR(F25/E25, "N/A")</f>
        <v>N/A</v>
      </c>
      <c r="H25" s="23" cm="1">
        <f t="array" ref="H25">INDEX(DataEntry[G-G07],MATCH(1, ($B$24=DataEntry[S-U04])*($C25=DataEntry[S-U05])*("Tri 2"=DataEntry[S-U03]),0))</f>
        <v>0</v>
      </c>
      <c r="I25" s="17" t="s">
        <v>140</v>
      </c>
      <c r="J25" s="12" cm="1">
        <f t="array" ref="J25">INDEX(DataEntry[G-G03],MATCH(1, ($B$24=DataEntry[S-U04])*($C25=DataEntry[S-U05])*("Tri 2"=DataEntry[S-U03]),0))</f>
        <v>0</v>
      </c>
      <c r="K25" s="1081" cm="1">
        <f t="array" ref="K25">INDEX(DataEntry[G-G08],MATCH(1, ($B$24=DataEntry[S-U04])*($C25=DataEntry[S-U05])*("Tri 2"=DataEntry[S-U03]),0))</f>
        <v>0</v>
      </c>
    </row>
    <row r="26" spans="2:13" ht="15" customHeight="1">
      <c r="B26" s="1403"/>
      <c r="C26" s="446" t="s">
        <v>964</v>
      </c>
      <c r="D26" s="15" cm="1">
        <f t="array" ref="D26">INDEX(DataEntry[G-G02],MATCH(1, ($B$24=DataEntry[S-U04])*($C26=DataEntry[S-U05])*("Tri 2"=DataEntry[S-U03]),0))</f>
        <v>0</v>
      </c>
      <c r="E26" s="23" cm="1">
        <f t="array" ref="E26">INDEX(DataEntry[G-G01],MATCH(1, ($B$24=DataEntry[S-U04])*($C26=DataEntry[S-U05])*("Tri 2"=DataEntry[S-U03]),0))</f>
        <v>0</v>
      </c>
      <c r="F26" s="12" cm="1">
        <f t="array" ref="F26">INDEX(DataEntry[G-G06],MATCH(1, ($B$24=DataEntry[S-U04])*($C26=DataEntry[S-U05])*("Tri 2"=DataEntry[S-U03]),0))</f>
        <v>0</v>
      </c>
      <c r="G26" s="24" t="str">
        <f t="shared" si="9"/>
        <v>N/A</v>
      </c>
      <c r="H26" s="23" cm="1">
        <f t="array" ref="H26">INDEX(DataEntry[G-G07],MATCH(1, ($B$24=DataEntry[S-U04])*($C26=DataEntry[S-U05])*("Tri 2"=DataEntry[S-U03]),0))</f>
        <v>0</v>
      </c>
      <c r="I26" s="17" t="s">
        <v>140</v>
      </c>
      <c r="J26" s="12" cm="1">
        <f t="array" ref="J26">INDEX(DataEntry[G-G03],MATCH(1, ($B$24=DataEntry[S-U04])*($C26=DataEntry[S-U05])*("Tri 2"=DataEntry[S-U03]),0))</f>
        <v>0</v>
      </c>
      <c r="K26" s="1081" cm="1">
        <f t="array" ref="K26">INDEX(DataEntry[G-G08],MATCH(1, ($B$24=DataEntry[S-U04])*($C26=DataEntry[S-U05])*("Tri 2"=DataEntry[S-U03]),0))</f>
        <v>0</v>
      </c>
    </row>
    <row r="27" spans="2:13" ht="15" thickBot="1">
      <c r="B27" s="1018" t="s">
        <v>30</v>
      </c>
      <c r="C27" s="825" t="s">
        <v>30</v>
      </c>
      <c r="D27" s="34" cm="1">
        <f t="array" ref="D27">INDEX(DataEntry[G-G02],MATCH(1, ($B27=DataEntry[S-U04])*($C27=DataEntry[S-U05])*("Tri 2"=DataEntry[S-U03]),0))</f>
        <v>0</v>
      </c>
      <c r="E27" s="25" cm="1">
        <f t="array" ref="E27">INDEX(DataEntry[G-G01],MATCH(1, ($B27=DataEntry[S-U04])*($C27=DataEntry[S-U05])*("Tri 2"=DataEntry[S-U03]),0))</f>
        <v>0</v>
      </c>
      <c r="F27" s="35" cm="1">
        <f t="array" ref="F27">INDEX(DataEntry[G-G06],MATCH(1, ($B27=DataEntry[S-U04])*($C27=DataEntry[S-U05])*("Tri 2"=DataEntry[S-U03]),0))</f>
        <v>0</v>
      </c>
      <c r="G27" s="1082" t="str">
        <f t="shared" si="8"/>
        <v>N/A</v>
      </c>
      <c r="H27" s="35" cm="1">
        <f t="array" ref="H27">INDEX(DataEntry[G-G07],MATCH(1, ($B27=DataEntry[S-U04])*($C27=DataEntry[S-U05])*("Tri 2"=DataEntry[S-U03]),0))</f>
        <v>0</v>
      </c>
      <c r="I27" s="1083" t="s">
        <v>140</v>
      </c>
      <c r="J27" s="35" cm="1">
        <f t="array" ref="J27">INDEX(DataEntry[G-G03],MATCH(1, ($B27=DataEntry[S-U04])*($C27=DataEntry[S-U05])*("Tri 2"=DataEntry[S-U03]),0))</f>
        <v>0</v>
      </c>
      <c r="K27" s="1084" cm="1">
        <f t="array" ref="K27">INDEX(DataEntry[G-G08],MATCH(1, ($B27=DataEntry[S-U04])*($C27=DataEntry[S-U05])*("Tri 2"=DataEntry[S-U03]),0))</f>
        <v>0</v>
      </c>
    </row>
    <row r="28" spans="2:13" ht="17" thickBot="1">
      <c r="B28" s="569" t="s">
        <v>226</v>
      </c>
      <c r="C28" s="824"/>
      <c r="D28" s="5">
        <f>SUM(D23:D27)</f>
        <v>0</v>
      </c>
      <c r="E28" s="6">
        <f>SUM(E23:E27)</f>
        <v>0</v>
      </c>
      <c r="F28" s="545">
        <f>SUM(F23:F27)</f>
        <v>0</v>
      </c>
      <c r="G28" s="543" t="str">
        <f t="shared" si="8"/>
        <v>N/A</v>
      </c>
      <c r="H28" s="556">
        <f t="shared" ref="H28:I28" si="10">SUM(H23:H27)</f>
        <v>0</v>
      </c>
      <c r="I28" s="557">
        <f t="shared" si="10"/>
        <v>0</v>
      </c>
      <c r="J28" s="545">
        <f>SUM(J23:J27)</f>
        <v>0</v>
      </c>
      <c r="K28" s="545">
        <f>SUM(K23:K27)</f>
        <v>0</v>
      </c>
    </row>
    <row r="29" spans="2:13" ht="15" thickBot="1">
      <c r="B29" s="447"/>
      <c r="C29" s="448"/>
      <c r="D29" s="559"/>
      <c r="E29" s="523"/>
      <c r="F29" s="523"/>
      <c r="G29" s="524"/>
      <c r="H29" s="523"/>
      <c r="I29" s="525"/>
      <c r="J29" s="550"/>
      <c r="K29" s="550"/>
    </row>
    <row r="30" spans="2:13" ht="17" thickBot="1">
      <c r="B30" s="861" t="s">
        <v>227</v>
      </c>
      <c r="C30" s="861" t="s">
        <v>228</v>
      </c>
      <c r="D30" s="541"/>
      <c r="E30" s="6"/>
      <c r="F30" s="542"/>
      <c r="G30" s="543"/>
      <c r="H30" s="542"/>
      <c r="I30" s="554"/>
      <c r="J30" s="545"/>
      <c r="K30" s="862"/>
      <c r="M30" cm="1">
        <f t="array" ref="M30">MATCH(1, ($B$31=DataEntry[S-U04])*($C31=DataEntry[S-U05])*("Tri 2"=DataEntry[S-U03]),0)</f>
        <v>17</v>
      </c>
    </row>
    <row r="31" spans="2:13" ht="15.65" customHeight="1">
      <c r="B31" s="1334" t="s">
        <v>131</v>
      </c>
      <c r="C31" s="522" t="s">
        <v>629</v>
      </c>
      <c r="D31" s="518" cm="1">
        <f t="array" ref="D31">INDEX(DataEntry[G-G02],MATCH(1, ($B$31=DataEntry[S-U04])*($C31=DataEntry[S-U05])*("Tri 2"=DataEntry[S-U03]),0))</f>
        <v>0</v>
      </c>
      <c r="E31" s="8" cm="1">
        <f t="array" ref="E31">INDEX(DataEntry[G-G01],MATCH(1, ($B$31=DataEntry[S-U04])*($C31=DataEntry[S-U05])*("Tri 2"=DataEntry[S-U03]),0))</f>
        <v>0</v>
      </c>
      <c r="F31" s="10" cm="1">
        <f t="array" ref="F31">INDEX(DataEntry[G-G06],MATCH(1, ($B$31=DataEntry[S-U04])*($C31=DataEntry[S-U05])*("Tri 2"=DataEntry[S-U03]),0))</f>
        <v>0</v>
      </c>
      <c r="G31" s="519" t="str">
        <f t="shared" ref="G31:G34" si="11">IFERROR(F31/E31, "N/A")</f>
        <v>N/A</v>
      </c>
      <c r="H31" s="10" cm="1">
        <f t="array" ref="H31">INDEX(DataEntry[G-G07],MATCH(1, ($B$31=DataEntry[S-U04])*($C31=DataEntry[S-U05])*("Tri 2"=DataEntry[S-U03]),0))</f>
        <v>0</v>
      </c>
      <c r="I31" s="13" t="s">
        <v>140</v>
      </c>
      <c r="J31" s="527" cm="1">
        <f t="array" ref="J31">INDEX(DataEntry[G-G03],MATCH(1, ($B$31=DataEntry[S-U04])*($C31=DataEntry[S-U05])*("Tri 2"=DataEntry[S-U03]),0))</f>
        <v>0</v>
      </c>
      <c r="K31" s="527" cm="1">
        <f t="array" ref="K31">INDEX(DataEntry[G-G08],MATCH(1, ($B$31=DataEntry[S-U04])*($C31=DataEntry[S-U05])*("Tri 2"=DataEntry[S-U03]),0))</f>
        <v>0</v>
      </c>
    </row>
    <row r="32" spans="2:13" ht="15.65" customHeight="1" thickBot="1">
      <c r="B32" s="1401"/>
      <c r="C32" s="560" t="s">
        <v>29</v>
      </c>
      <c r="D32" s="1085" cm="1">
        <f t="array" ref="D32">INDEX(DataEntry[G-G02],MATCH(1, ($B$31=DataEntry[S-U04])*($C32=DataEntry[S-U05])*("Tri 2"=DataEntry[S-U03]),0))</f>
        <v>0</v>
      </c>
      <c r="E32" s="959" cm="1">
        <f t="array" ref="E32">INDEX(DataEntry[G-G01],MATCH(1, ($B$31=DataEntry[S-U04])*($C32=DataEntry[S-U05])*("Tri 2"=DataEntry[S-U03]),0))</f>
        <v>0</v>
      </c>
      <c r="F32" s="1006" cm="1">
        <f t="array" ref="F32">INDEX(DataEntry[G-G06],MATCH(1, ($B$31=DataEntry[S-U04])*($C32=DataEntry[S-U05])*("Tri 2"=DataEntry[S-U03]),0))</f>
        <v>0</v>
      </c>
      <c r="G32" s="1086" t="str">
        <f t="shared" si="11"/>
        <v>N/A</v>
      </c>
      <c r="H32" s="1006" cm="1">
        <f t="array" ref="H32">INDEX(DataEntry[G-G07],MATCH(1, ($B$31=DataEntry[S-U04])*($C32=DataEntry[S-U05])*("Tri 2"=DataEntry[S-U03]),0))</f>
        <v>0</v>
      </c>
      <c r="I32" s="1087" t="s">
        <v>140</v>
      </c>
      <c r="J32" s="359" cm="1">
        <f t="array" ref="J32">INDEX(DataEntry[G-G03],MATCH(1, ($B$31=DataEntry[S-U04])*($C32=DataEntry[S-U05])*("Tri 2"=DataEntry[S-U03]),0))</f>
        <v>0</v>
      </c>
      <c r="K32" s="359" cm="1">
        <f t="array" ref="K32">INDEX(DataEntry[G-G08],MATCH(1, ($B$31=DataEntry[S-U04])*($C32=DataEntry[S-U05])*("Tri 2"=DataEntry[S-U03]),0))</f>
        <v>0</v>
      </c>
    </row>
    <row r="33" spans="2:11" ht="15.65" customHeight="1" thickBot="1">
      <c r="B33" s="861" t="s">
        <v>229</v>
      </c>
      <c r="C33" s="1094"/>
      <c r="D33" s="926">
        <f>SUM(D31:D32)</f>
        <v>0</v>
      </c>
      <c r="E33" s="562" cm="1">
        <f t="array" ref="E33">INDEX(DataEntry[G-G01],MATCH(1, (DataEntry[S-U03]="Tri 2") * ($B$31=DataEntry[S-U04])*(""=DataEntry[S-U05]),0))</f>
        <v>0</v>
      </c>
      <c r="F33" s="564">
        <f>SUM(F31:F32)</f>
        <v>0</v>
      </c>
      <c r="G33" s="565" t="str">
        <f t="shared" si="11"/>
        <v>N/A</v>
      </c>
      <c r="H33" s="564">
        <f>SUM(H31:H32)</f>
        <v>0</v>
      </c>
      <c r="I33" s="566">
        <f>SUM(I31:I32)</f>
        <v>0</v>
      </c>
      <c r="J33" s="567">
        <f>SUM(J31:J32)</f>
        <v>0</v>
      </c>
      <c r="K33" s="1095">
        <f>SUM(K31:K32)</f>
        <v>0</v>
      </c>
    </row>
    <row r="34" spans="2:11" ht="15" thickBot="1">
      <c r="B34" s="1088" t="s">
        <v>230</v>
      </c>
      <c r="C34" s="1045"/>
      <c r="D34" s="898">
        <f>SUM(D20,D28,D33)</f>
        <v>0</v>
      </c>
      <c r="E34" s="1089">
        <f>SUM(E20,E28,E33)</f>
        <v>0</v>
      </c>
      <c r="F34" s="1090">
        <f>SUM(F20,F28,F33)</f>
        <v>0</v>
      </c>
      <c r="G34" s="1091" t="str">
        <f t="shared" si="11"/>
        <v>N/A</v>
      </c>
      <c r="H34" s="1090">
        <f>SUM(H20,H28,H33)</f>
        <v>0</v>
      </c>
      <c r="I34" s="1092">
        <f>SUM(I20,I28,I33)</f>
        <v>0</v>
      </c>
      <c r="J34" s="1093">
        <f>SUM(J20,J28,J33)</f>
        <v>0</v>
      </c>
      <c r="K34" s="1093">
        <f>SUM(K20,K28,K33)</f>
        <v>0</v>
      </c>
    </row>
    <row r="35" spans="2:11" ht="15" thickBot="1">
      <c r="B35" s="571"/>
      <c r="C35" s="40"/>
      <c r="D35" s="559"/>
      <c r="E35" s="523"/>
      <c r="F35" s="523"/>
      <c r="G35" s="524"/>
      <c r="H35" s="523"/>
      <c r="I35" s="525"/>
      <c r="J35" s="550"/>
      <c r="K35" s="550"/>
    </row>
    <row r="36" spans="2:11" ht="17" thickBot="1">
      <c r="B36" s="36" t="s">
        <v>233</v>
      </c>
      <c r="C36" s="39"/>
      <c r="D36" s="5">
        <f>SUM(D33,D28,D20)</f>
        <v>0</v>
      </c>
      <c r="E36" s="6">
        <f>SUM(E33,E28,E20)</f>
        <v>0</v>
      </c>
      <c r="F36" s="545">
        <f>SUM(F33,F28,F20)</f>
        <v>0</v>
      </c>
      <c r="G36" s="543" t="str">
        <f>IFERROR(F36/E36, "N/A")</f>
        <v>N/A</v>
      </c>
      <c r="H36" s="545">
        <f>SUM(H33,H28,H20)</f>
        <v>0</v>
      </c>
      <c r="I36" s="557">
        <f>SUM(I33,I28,I20)</f>
        <v>0</v>
      </c>
      <c r="J36" s="545">
        <f>SUM(J33,J28,J20)</f>
        <v>0</v>
      </c>
      <c r="K36" s="545">
        <f>SUM(K33,K28,K20)</f>
        <v>0</v>
      </c>
    </row>
    <row r="39" spans="2:11">
      <c r="B39" s="50"/>
    </row>
    <row r="40" spans="2:11" ht="16.5">
      <c r="B40" s="41" t="s">
        <v>234</v>
      </c>
      <c r="C40" s="42"/>
      <c r="D40" s="43"/>
      <c r="E40" s="44"/>
      <c r="H40">
        <v>9</v>
      </c>
    </row>
    <row r="41" spans="2:11" ht="16.5">
      <c r="B41" s="45" t="s">
        <v>235</v>
      </c>
      <c r="C41" s="46"/>
      <c r="D41" s="47"/>
      <c r="E41" s="47"/>
    </row>
    <row r="42" spans="2:11" ht="16.5">
      <c r="B42" s="48" t="s">
        <v>236</v>
      </c>
      <c r="C42" s="48"/>
      <c r="D42" s="49"/>
      <c r="E42" s="49"/>
    </row>
    <row r="43" spans="2:11" ht="16.5">
      <c r="B43" s="48" t="s">
        <v>237</v>
      </c>
      <c r="C43" s="48"/>
      <c r="D43" s="49"/>
      <c r="E43" s="49"/>
    </row>
    <row r="44" spans="2:11" ht="16.5">
      <c r="B44" s="50" t="s">
        <v>238</v>
      </c>
      <c r="C44" s="316"/>
      <c r="D44" s="51"/>
      <c r="E44" s="51"/>
    </row>
    <row r="45" spans="2:11" ht="17.5">
      <c r="B45" s="800" t="s">
        <v>239</v>
      </c>
      <c r="D45" s="52"/>
      <c r="E45" s="52"/>
      <c r="G45" s="324"/>
    </row>
    <row r="46" spans="2:11">
      <c r="B46" s="218" t="s">
        <v>240</v>
      </c>
    </row>
  </sheetData>
  <mergeCells count="7">
    <mergeCell ref="B3:C5"/>
    <mergeCell ref="D3:K3"/>
    <mergeCell ref="B7:B12"/>
    <mergeCell ref="B13:B15"/>
    <mergeCell ref="B31:B32"/>
    <mergeCell ref="B16:B18"/>
    <mergeCell ref="B24:B26"/>
  </mergeCells>
  <pageMargins left="0.7" right="0.7" top="0.75" bottom="0.75" header="0.3" footer="0.3"/>
  <headerFooter>
    <oddFooter>&amp;C_x000D_&amp;1#&amp;"Calibri"&amp;22&amp;K0073CF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619B6-A7E1-4380-AE67-449FF85ECFB7}">
  <sheetPr codeName="Sheet4"/>
  <dimension ref="B1:P29"/>
  <sheetViews>
    <sheetView topLeftCell="D1" workbookViewId="0">
      <selection activeCell="M12" sqref="M12"/>
    </sheetView>
  </sheetViews>
  <sheetFormatPr defaultRowHeight="14.5"/>
  <cols>
    <col min="1" max="1" width="2.453125" customWidth="1"/>
    <col min="2" max="2" width="11.1796875" customWidth="1"/>
    <col min="3" max="3" width="15" customWidth="1"/>
    <col min="4" max="4" width="17.453125" customWidth="1"/>
    <col min="5" max="5" width="13.54296875" customWidth="1"/>
    <col min="6" max="6" width="14.54296875" customWidth="1"/>
    <col min="7" max="7" width="14.81640625" customWidth="1"/>
    <col min="8" max="8" width="12.54296875" bestFit="1" customWidth="1"/>
    <col min="9" max="9" width="17.1796875" customWidth="1"/>
    <col min="10" max="10" width="15.453125" customWidth="1"/>
    <col min="11" max="11" width="18.81640625" customWidth="1"/>
    <col min="12" max="12" width="18.453125" customWidth="1"/>
    <col min="13" max="13" width="18.54296875" customWidth="1"/>
    <col min="14" max="14" width="17.54296875" customWidth="1"/>
    <col min="16" max="16" width="15.54296875" customWidth="1"/>
  </cols>
  <sheetData>
    <row r="1" spans="2:16">
      <c r="I1" s="320"/>
      <c r="J1" s="218"/>
    </row>
    <row r="2" spans="2:16">
      <c r="B2" s="53" t="s">
        <v>266</v>
      </c>
      <c r="C2" s="53"/>
      <c r="D2" s="53"/>
      <c r="E2" s="53"/>
      <c r="F2" s="53"/>
    </row>
    <row r="3" spans="2:16" ht="15" thickBot="1">
      <c r="B3" s="53"/>
      <c r="C3" s="53"/>
      <c r="D3" s="53"/>
      <c r="E3" s="53"/>
      <c r="F3" s="53"/>
    </row>
    <row r="4" spans="2:16">
      <c r="B4" s="1404" t="s">
        <v>267</v>
      </c>
      <c r="C4" s="1405"/>
      <c r="D4" s="1405"/>
      <c r="E4" s="1405"/>
      <c r="F4" s="1405"/>
      <c r="G4" s="1405"/>
      <c r="H4" s="1405"/>
      <c r="I4" s="1405"/>
      <c r="J4" s="1405"/>
      <c r="K4" s="1405"/>
      <c r="L4" s="1405"/>
      <c r="M4" s="1405"/>
      <c r="N4" s="1406"/>
    </row>
    <row r="5" spans="2:16" ht="15" thickBot="1">
      <c r="B5" s="1407"/>
      <c r="C5" s="1408"/>
      <c r="D5" s="1408"/>
      <c r="E5" s="1408"/>
      <c r="F5" s="1408"/>
      <c r="G5" s="1408"/>
      <c r="H5" s="1408"/>
      <c r="I5" s="1408"/>
      <c r="J5" s="1408"/>
      <c r="K5" s="1408"/>
      <c r="L5" s="1408"/>
      <c r="M5" s="1408"/>
      <c r="N5" s="1409"/>
    </row>
    <row r="6" spans="2:16" ht="75">
      <c r="B6" s="370" t="s">
        <v>268</v>
      </c>
      <c r="C6" s="371" t="s">
        <v>269</v>
      </c>
      <c r="D6" s="371" t="s">
        <v>270</v>
      </c>
      <c r="E6" s="371" t="s">
        <v>271</v>
      </c>
      <c r="F6" s="372" t="s">
        <v>272</v>
      </c>
      <c r="G6" s="371" t="s">
        <v>273</v>
      </c>
      <c r="H6" s="145" t="s">
        <v>274</v>
      </c>
      <c r="I6" s="373" t="s">
        <v>275</v>
      </c>
      <c r="J6" s="373" t="s">
        <v>276</v>
      </c>
      <c r="K6" s="373" t="s">
        <v>277</v>
      </c>
      <c r="L6" s="373" t="s">
        <v>278</v>
      </c>
      <c r="M6" s="374" t="s">
        <v>279</v>
      </c>
      <c r="N6" s="375" t="s">
        <v>280</v>
      </c>
    </row>
    <row r="7" spans="2:16" ht="30">
      <c r="B7" s="146"/>
      <c r="C7" s="147"/>
      <c r="D7" s="147"/>
      <c r="E7" s="148" t="s">
        <v>45</v>
      </c>
      <c r="F7" s="148" t="s">
        <v>46</v>
      </c>
      <c r="G7" s="148" t="s">
        <v>281</v>
      </c>
      <c r="H7" s="149" t="s">
        <v>282</v>
      </c>
      <c r="I7" s="149" t="s">
        <v>283</v>
      </c>
      <c r="J7" s="149" t="s">
        <v>284</v>
      </c>
      <c r="K7" s="149" t="s">
        <v>51</v>
      </c>
      <c r="L7" s="149" t="s">
        <v>285</v>
      </c>
      <c r="M7" s="149" t="s">
        <v>286</v>
      </c>
      <c r="N7" s="150" t="s">
        <v>287</v>
      </c>
    </row>
    <row r="8" spans="2:16" ht="15.5">
      <c r="B8" s="151"/>
      <c r="C8" s="152"/>
      <c r="D8" s="152"/>
      <c r="E8" s="152"/>
      <c r="F8" s="152"/>
      <c r="G8" s="152"/>
      <c r="H8" s="153"/>
      <c r="I8" s="153"/>
      <c r="J8" s="153"/>
      <c r="K8" s="153"/>
      <c r="L8" s="153"/>
      <c r="M8" s="154"/>
      <c r="N8" s="155"/>
    </row>
    <row r="9" spans="2:16" ht="15.5">
      <c r="B9" s="156" t="s">
        <v>288</v>
      </c>
      <c r="C9" s="157">
        <v>2022</v>
      </c>
      <c r="D9" s="157" t="s">
        <v>289</v>
      </c>
      <c r="E9" s="1194">
        <v>1532334</v>
      </c>
      <c r="F9" s="158">
        <v>0</v>
      </c>
      <c r="G9" s="158">
        <f>E9-F9</f>
        <v>1532334</v>
      </c>
      <c r="H9" s="158"/>
      <c r="I9" s="158"/>
      <c r="J9" s="158"/>
      <c r="K9" s="158"/>
      <c r="L9" s="158"/>
      <c r="M9" s="159"/>
      <c r="N9" s="160"/>
    </row>
    <row r="10" spans="2:16" ht="15.5">
      <c r="B10" s="161"/>
      <c r="C10" s="157">
        <v>2023</v>
      </c>
      <c r="D10" s="157" t="s">
        <v>290</v>
      </c>
      <c r="E10" s="1194">
        <v>1460324</v>
      </c>
      <c r="F10" s="158">
        <v>0</v>
      </c>
      <c r="G10" s="158">
        <f t="shared" ref="G10:G11" si="0">E10-F10</f>
        <v>1460324</v>
      </c>
      <c r="H10" s="158"/>
      <c r="I10" s="158"/>
      <c r="J10" s="158"/>
      <c r="K10" s="158"/>
      <c r="L10" s="158"/>
      <c r="M10" s="159"/>
      <c r="N10" s="160"/>
    </row>
    <row r="11" spans="2:16" ht="15.5">
      <c r="B11" s="156"/>
      <c r="C11" s="157">
        <v>2024</v>
      </c>
      <c r="D11" s="157" t="s">
        <v>291</v>
      </c>
      <c r="E11" s="1195">
        <v>1585115</v>
      </c>
      <c r="F11" s="158">
        <v>0</v>
      </c>
      <c r="G11" s="158">
        <f t="shared" si="0"/>
        <v>1585115</v>
      </c>
      <c r="H11" s="158"/>
      <c r="I11" s="158"/>
      <c r="J11" s="158"/>
      <c r="K11" s="158"/>
      <c r="L11" s="158"/>
      <c r="M11" s="159"/>
      <c r="N11" s="160"/>
    </row>
    <row r="12" spans="2:16" ht="15.5">
      <c r="B12" s="156"/>
      <c r="C12" s="157" t="s">
        <v>292</v>
      </c>
      <c r="D12" s="157"/>
      <c r="E12" s="158"/>
      <c r="F12" s="158"/>
      <c r="G12" s="158"/>
      <c r="H12" s="1200">
        <f>AVERAGE(G9:G11)</f>
        <v>1525924.3333333333</v>
      </c>
      <c r="I12" s="385">
        <f>0.5*0.0166</f>
        <v>8.3000000000000001E-3</v>
      </c>
      <c r="J12" s="386">
        <f>I12*H12</f>
        <v>12665.171966666667</v>
      </c>
      <c r="K12" s="385">
        <f>0.5*0.0038</f>
        <v>1.9E-3</v>
      </c>
      <c r="L12" s="386">
        <f>K12*H12</f>
        <v>2899.2562333333331</v>
      </c>
      <c r="M12" s="387">
        <f>0.5*0.0128</f>
        <v>6.4000000000000003E-3</v>
      </c>
      <c r="N12" s="388">
        <f>M12*H12</f>
        <v>9765.9157333333333</v>
      </c>
    </row>
    <row r="13" spans="2:16" ht="16" thickBot="1">
      <c r="B13" s="378"/>
      <c r="C13" s="379"/>
      <c r="D13" s="379"/>
      <c r="E13" s="380"/>
      <c r="F13" s="380"/>
      <c r="G13" s="380"/>
      <c r="H13" s="380"/>
      <c r="I13" s="381"/>
      <c r="J13" s="382"/>
      <c r="K13" s="381"/>
      <c r="L13" s="382"/>
      <c r="M13" s="383"/>
      <c r="N13" s="384"/>
    </row>
    <row r="14" spans="2:16" ht="15" hidden="1" customHeight="1">
      <c r="B14" s="1404" t="s">
        <v>293</v>
      </c>
      <c r="C14" s="1405"/>
      <c r="D14" s="1405"/>
      <c r="E14" s="1405"/>
      <c r="F14" s="1405"/>
      <c r="G14" s="1405"/>
      <c r="H14" s="1405"/>
      <c r="I14" s="1405"/>
      <c r="J14" s="1405"/>
      <c r="K14" s="1405"/>
      <c r="L14" s="1405"/>
      <c r="M14" s="1405"/>
      <c r="N14" s="1406"/>
    </row>
    <row r="15" spans="2:16" ht="15" hidden="1" thickBot="1">
      <c r="B15" s="1407"/>
      <c r="C15" s="1408"/>
      <c r="D15" s="1408"/>
      <c r="E15" s="1408"/>
      <c r="F15" s="1408"/>
      <c r="G15" s="1408"/>
      <c r="H15" s="1408"/>
      <c r="I15" s="1408"/>
      <c r="J15" s="1408"/>
      <c r="K15" s="1408"/>
      <c r="L15" s="1408"/>
      <c r="M15" s="1408"/>
      <c r="N15" s="1409"/>
      <c r="P15" s="497"/>
    </row>
    <row r="16" spans="2:16" ht="75" hidden="1">
      <c r="B16" s="370" t="s">
        <v>268</v>
      </c>
      <c r="C16" s="371" t="s">
        <v>269</v>
      </c>
      <c r="D16" s="371" t="s">
        <v>270</v>
      </c>
      <c r="E16" s="371" t="s">
        <v>294</v>
      </c>
      <c r="F16" s="372" t="s">
        <v>295</v>
      </c>
      <c r="G16" s="371" t="s">
        <v>296</v>
      </c>
      <c r="H16" s="145" t="s">
        <v>297</v>
      </c>
      <c r="I16" s="373" t="s">
        <v>275</v>
      </c>
      <c r="J16" s="373" t="s">
        <v>298</v>
      </c>
      <c r="K16" s="373" t="s">
        <v>277</v>
      </c>
      <c r="L16" s="373" t="s">
        <v>299</v>
      </c>
      <c r="M16" s="374" t="s">
        <v>279</v>
      </c>
      <c r="N16" s="375" t="s">
        <v>300</v>
      </c>
      <c r="P16" s="497"/>
    </row>
    <row r="17" spans="2:14" ht="30" hidden="1">
      <c r="B17" s="146"/>
      <c r="C17" s="147"/>
      <c r="D17" s="147"/>
      <c r="E17" s="148" t="s">
        <v>45</v>
      </c>
      <c r="F17" s="148" t="s">
        <v>46</v>
      </c>
      <c r="G17" s="148" t="s">
        <v>281</v>
      </c>
      <c r="H17" s="149" t="s">
        <v>282</v>
      </c>
      <c r="I17" s="149" t="s">
        <v>283</v>
      </c>
      <c r="J17" s="149" t="s">
        <v>284</v>
      </c>
      <c r="K17" s="149" t="s">
        <v>51</v>
      </c>
      <c r="L17" s="149" t="s">
        <v>285</v>
      </c>
      <c r="M17" s="149" t="s">
        <v>286</v>
      </c>
      <c r="N17" s="150" t="s">
        <v>287</v>
      </c>
    </row>
    <row r="18" spans="2:14" ht="15.5" hidden="1">
      <c r="B18" s="376"/>
      <c r="C18" s="364"/>
      <c r="D18" s="364"/>
      <c r="E18" s="365"/>
      <c r="F18" s="365"/>
      <c r="G18" s="365"/>
      <c r="H18" s="365"/>
      <c r="I18" s="366"/>
      <c r="J18" s="367"/>
      <c r="K18" s="366"/>
      <c r="L18" s="367"/>
      <c r="M18" s="368"/>
      <c r="N18" s="377"/>
    </row>
    <row r="19" spans="2:14" ht="15.5" hidden="1">
      <c r="B19" s="156"/>
      <c r="C19" s="157"/>
      <c r="D19" s="157"/>
      <c r="E19" s="158"/>
      <c r="F19" s="158"/>
      <c r="G19" s="158"/>
      <c r="H19" s="158"/>
      <c r="I19" s="158"/>
      <c r="J19" s="158"/>
      <c r="K19" s="158"/>
      <c r="L19" s="158"/>
      <c r="M19" s="159"/>
      <c r="N19" s="160"/>
    </row>
    <row r="20" spans="2:14" ht="15.5" hidden="1">
      <c r="B20" s="161"/>
      <c r="C20" s="157"/>
      <c r="D20" s="157"/>
      <c r="E20" s="158"/>
      <c r="F20" s="158"/>
      <c r="G20" s="158"/>
      <c r="H20" s="158"/>
      <c r="I20" s="158"/>
      <c r="J20" s="158"/>
      <c r="K20" s="158"/>
      <c r="L20" s="158"/>
      <c r="M20" s="159"/>
      <c r="N20" s="160"/>
    </row>
    <row r="21" spans="2:14" ht="15.5" hidden="1">
      <c r="B21" s="156"/>
      <c r="C21" s="157"/>
      <c r="D21" s="157"/>
      <c r="E21" s="158"/>
      <c r="F21" s="158"/>
      <c r="G21" s="158"/>
      <c r="H21" s="158"/>
      <c r="I21" s="158"/>
      <c r="J21" s="158"/>
      <c r="K21" s="158"/>
      <c r="L21" s="158"/>
      <c r="M21" s="159"/>
      <c r="N21" s="160"/>
    </row>
    <row r="22" spans="2:14" ht="15.5" hidden="1">
      <c r="B22" s="156"/>
      <c r="C22" s="157" t="s">
        <v>292</v>
      </c>
      <c r="D22" s="157"/>
      <c r="E22" s="158"/>
      <c r="F22" s="158"/>
      <c r="G22" s="158"/>
      <c r="H22" s="158"/>
      <c r="I22" s="385">
        <v>0</v>
      </c>
      <c r="J22" s="386">
        <v>0</v>
      </c>
      <c r="K22" s="385">
        <v>0</v>
      </c>
      <c r="L22" s="386">
        <v>0</v>
      </c>
      <c r="M22" s="387">
        <v>0</v>
      </c>
      <c r="N22" s="388">
        <v>0</v>
      </c>
    </row>
    <row r="23" spans="2:14" ht="16" hidden="1" thickBot="1">
      <c r="B23" s="378"/>
      <c r="C23" s="379"/>
      <c r="D23" s="379"/>
      <c r="E23" s="380"/>
      <c r="F23" s="380"/>
      <c r="G23" s="380"/>
      <c r="H23" s="380"/>
      <c r="I23" s="381"/>
      <c r="J23" s="382"/>
      <c r="K23" s="381"/>
      <c r="L23" s="382"/>
      <c r="M23" s="383"/>
      <c r="N23" s="384"/>
    </row>
    <row r="24" spans="2:14" ht="15.5" hidden="1">
      <c r="B24" s="364"/>
      <c r="C24" s="364"/>
      <c r="D24" s="364"/>
      <c r="E24" s="365"/>
      <c r="F24" s="365"/>
      <c r="G24" s="365"/>
      <c r="H24" s="365"/>
      <c r="I24" s="366"/>
      <c r="J24" s="367"/>
      <c r="K24" s="366"/>
      <c r="L24" s="367"/>
      <c r="M24" s="368"/>
      <c r="N24" s="369"/>
    </row>
    <row r="25" spans="2:14" ht="17">
      <c r="B25" s="162" t="s">
        <v>301</v>
      </c>
      <c r="C25" s="144"/>
      <c r="D25" s="144"/>
      <c r="E25" s="143"/>
      <c r="F25" s="143"/>
      <c r="G25" s="143"/>
    </row>
    <row r="27" spans="2:14" ht="17">
      <c r="B27" s="163" t="s">
        <v>302</v>
      </c>
      <c r="C27" s="144"/>
      <c r="D27" s="144"/>
      <c r="E27" s="143"/>
      <c r="F27" s="143"/>
      <c r="G27" s="143"/>
      <c r="L27" s="1196"/>
    </row>
    <row r="28" spans="2:14" ht="17">
      <c r="B28" s="163" t="s">
        <v>303</v>
      </c>
      <c r="C28" s="144"/>
      <c r="D28" s="144"/>
      <c r="E28" s="143"/>
      <c r="F28" s="143"/>
      <c r="G28" s="143"/>
    </row>
    <row r="29" spans="2:14" ht="17">
      <c r="B29" s="163"/>
      <c r="C29" s="144"/>
      <c r="D29" s="144"/>
      <c r="E29" s="143"/>
      <c r="F29" s="143"/>
      <c r="G29" s="143"/>
    </row>
  </sheetData>
  <mergeCells count="2">
    <mergeCell ref="B4:N5"/>
    <mergeCell ref="B14:N15"/>
  </mergeCells>
  <pageMargins left="0.7" right="0.7" top="0.75" bottom="0.75" header="0.3" footer="0.3"/>
  <headerFooter>
    <oddFooter>&amp;C_x000D_&amp;1#&amp;"Calibri"&amp;22&amp;K0073CF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6945D-0F4B-40E7-ADFA-7AB82E62B830}">
  <sheetPr codeName="Sheet24">
    <tabColor rgb="FFFFFF00"/>
  </sheetPr>
  <dimension ref="B1:I50"/>
  <sheetViews>
    <sheetView workbookViewId="0">
      <selection activeCell="D31" sqref="D31"/>
    </sheetView>
  </sheetViews>
  <sheetFormatPr defaultRowHeight="14.5"/>
  <cols>
    <col min="1" max="1" width="5.26953125" customWidth="1"/>
    <col min="2" max="2" width="10.1796875" customWidth="1"/>
    <col min="3" max="3" width="20.26953125" customWidth="1"/>
    <col min="4" max="4" width="16" customWidth="1"/>
    <col min="5" max="7" width="19.7265625" customWidth="1"/>
    <col min="8" max="8" width="25" customWidth="1"/>
    <col min="9" max="9" width="16.1796875" customWidth="1"/>
    <col min="10" max="10" width="18.81640625" customWidth="1"/>
    <col min="11" max="11" width="19.54296875" customWidth="1"/>
    <col min="12" max="12" width="18.7265625" customWidth="1"/>
  </cols>
  <sheetData>
    <row r="1" spans="2:9" ht="15.5">
      <c r="B1" s="780" t="s">
        <v>500</v>
      </c>
    </row>
    <row r="2" spans="2:9">
      <c r="B2" t="s">
        <v>501</v>
      </c>
      <c r="I2" t="s">
        <v>502</v>
      </c>
    </row>
    <row r="3" spans="2:9" ht="15" thickBot="1">
      <c r="E3" s="763" t="s">
        <v>503</v>
      </c>
      <c r="F3" s="763"/>
      <c r="G3" s="764"/>
      <c r="H3" s="764" t="s">
        <v>504</v>
      </c>
    </row>
    <row r="4" spans="2:9" ht="15" thickBot="1">
      <c r="B4" s="705" t="s">
        <v>505</v>
      </c>
      <c r="C4" s="706"/>
    </row>
    <row r="5" spans="2:9" ht="30.75" customHeight="1">
      <c r="B5" s="711" t="s">
        <v>506</v>
      </c>
      <c r="C5" s="712" t="s">
        <v>507</v>
      </c>
      <c r="D5" s="712" t="s">
        <v>508</v>
      </c>
      <c r="E5" s="712" t="s">
        <v>509</v>
      </c>
      <c r="F5" s="712" t="s">
        <v>510</v>
      </c>
      <c r="G5" s="713" t="s">
        <v>511</v>
      </c>
      <c r="H5" s="713" t="s">
        <v>512</v>
      </c>
    </row>
    <row r="6" spans="2:9">
      <c r="B6" s="682" t="s">
        <v>513</v>
      </c>
      <c r="C6" s="414"/>
      <c r="D6" s="414"/>
      <c r="E6" s="37"/>
      <c r="F6" s="731"/>
      <c r="G6" s="733"/>
      <c r="H6" s="726"/>
    </row>
    <row r="7" spans="2:9">
      <c r="B7" s="682" t="s">
        <v>514</v>
      </c>
      <c r="C7" s="414"/>
      <c r="D7" s="414"/>
      <c r="E7" s="37"/>
      <c r="F7" s="731"/>
      <c r="G7" s="733"/>
      <c r="H7" s="726"/>
    </row>
    <row r="8" spans="2:9" ht="15" thickBot="1">
      <c r="B8" s="683" t="s">
        <v>515</v>
      </c>
      <c r="C8" s="684"/>
      <c r="D8" s="684"/>
      <c r="E8" s="672"/>
      <c r="F8" s="732"/>
      <c r="G8" s="735"/>
      <c r="H8" s="727"/>
    </row>
    <row r="10" spans="2:9" ht="15" thickBot="1"/>
    <row r="11" spans="2:9" ht="15" thickBot="1">
      <c r="B11" s="705" t="s">
        <v>516</v>
      </c>
      <c r="C11" s="706"/>
    </row>
    <row r="12" spans="2:9" ht="29">
      <c r="B12" s="711" t="s">
        <v>506</v>
      </c>
      <c r="C12" s="712" t="s">
        <v>507</v>
      </c>
      <c r="D12" s="712" t="s">
        <v>508</v>
      </c>
      <c r="E12" s="712" t="s">
        <v>509</v>
      </c>
      <c r="F12" s="712" t="s">
        <v>510</v>
      </c>
      <c r="G12" s="713" t="s">
        <v>511</v>
      </c>
      <c r="H12" s="713" t="s">
        <v>512</v>
      </c>
    </row>
    <row r="13" spans="2:9">
      <c r="B13" s="682" t="s">
        <v>513</v>
      </c>
      <c r="C13" s="414"/>
      <c r="D13" s="414"/>
      <c r="E13" s="37"/>
      <c r="F13" s="731"/>
      <c r="G13" s="733"/>
      <c r="H13" s="724"/>
    </row>
    <row r="14" spans="2:9">
      <c r="B14" s="682" t="s">
        <v>514</v>
      </c>
      <c r="C14" s="414"/>
      <c r="D14" s="414"/>
      <c r="E14" s="37"/>
      <c r="F14" s="731"/>
      <c r="G14" s="733"/>
      <c r="H14" s="724"/>
    </row>
    <row r="15" spans="2:9" ht="15" thickBot="1">
      <c r="B15" s="683" t="s">
        <v>517</v>
      </c>
      <c r="C15" s="684"/>
      <c r="D15" s="684"/>
      <c r="E15" s="672"/>
      <c r="F15" s="732"/>
      <c r="G15" s="735"/>
      <c r="H15" s="725"/>
    </row>
    <row r="17" spans="2:8" ht="15" thickBot="1"/>
    <row r="18" spans="2:8" ht="15" thickBot="1">
      <c r="B18" s="705" t="s">
        <v>518</v>
      </c>
      <c r="C18" s="706"/>
    </row>
    <row r="19" spans="2:8" ht="29">
      <c r="B19" s="711" t="s">
        <v>506</v>
      </c>
      <c r="C19" s="712" t="s">
        <v>507</v>
      </c>
      <c r="D19" s="712" t="s">
        <v>508</v>
      </c>
      <c r="E19" s="712" t="s">
        <v>509</v>
      </c>
      <c r="F19" s="712" t="s">
        <v>510</v>
      </c>
      <c r="G19" s="713" t="s">
        <v>511</v>
      </c>
      <c r="H19" s="713" t="s">
        <v>512</v>
      </c>
    </row>
    <row r="20" spans="2:8">
      <c r="B20" s="682" t="s">
        <v>513</v>
      </c>
      <c r="C20" s="414"/>
      <c r="D20" s="414"/>
      <c r="E20" s="37"/>
      <c r="F20" s="731"/>
      <c r="G20" s="733"/>
      <c r="H20" s="724"/>
    </row>
    <row r="21" spans="2:8" ht="15" thickBot="1">
      <c r="B21" s="683" t="s">
        <v>515</v>
      </c>
      <c r="C21" s="684"/>
      <c r="D21" s="684"/>
      <c r="E21" s="672"/>
      <c r="F21" s="732"/>
      <c r="G21" s="735"/>
      <c r="H21" s="725"/>
    </row>
    <row r="22" spans="2:8">
      <c r="B22" s="714"/>
      <c r="C22" s="714"/>
      <c r="D22" s="714"/>
    </row>
    <row r="23" spans="2:8" ht="15" thickBot="1"/>
    <row r="24" spans="2:8" ht="15" thickBot="1">
      <c r="B24" s="705" t="s">
        <v>519</v>
      </c>
      <c r="C24" s="706"/>
    </row>
    <row r="25" spans="2:8" ht="29">
      <c r="B25" s="711" t="s">
        <v>506</v>
      </c>
      <c r="C25" s="712" t="s">
        <v>507</v>
      </c>
      <c r="D25" s="712" t="s">
        <v>508</v>
      </c>
      <c r="E25" s="712" t="s">
        <v>509</v>
      </c>
      <c r="F25" s="712" t="s">
        <v>510</v>
      </c>
      <c r="G25" s="713" t="s">
        <v>511</v>
      </c>
      <c r="H25" s="713" t="s">
        <v>512</v>
      </c>
    </row>
    <row r="26" spans="2:8">
      <c r="B26" s="682" t="s">
        <v>515</v>
      </c>
      <c r="C26" s="414"/>
      <c r="D26" s="414"/>
      <c r="E26" s="37"/>
      <c r="F26" s="731"/>
      <c r="G26" s="731"/>
      <c r="H26" s="670"/>
    </row>
    <row r="27" spans="2:8">
      <c r="B27" s="682" t="s">
        <v>517</v>
      </c>
      <c r="C27" s="414"/>
      <c r="D27" s="414"/>
      <c r="E27" s="37"/>
      <c r="F27" s="731"/>
      <c r="G27" s="731"/>
      <c r="H27" s="670"/>
    </row>
    <row r="28" spans="2:8">
      <c r="B28" s="682" t="s">
        <v>514</v>
      </c>
      <c r="C28" s="414"/>
      <c r="D28" s="414"/>
      <c r="E28" s="37"/>
      <c r="F28" s="731"/>
      <c r="G28" s="731"/>
      <c r="H28" s="670"/>
    </row>
    <row r="29" spans="2:8">
      <c r="B29" s="682" t="s">
        <v>520</v>
      </c>
      <c r="C29" s="414"/>
      <c r="D29" s="414"/>
      <c r="E29" s="37"/>
      <c r="F29" s="731"/>
      <c r="G29" s="731"/>
      <c r="H29" s="670"/>
    </row>
    <row r="30" spans="2:8">
      <c r="B30" s="682" t="s">
        <v>521</v>
      </c>
      <c r="C30" s="414"/>
      <c r="D30" s="414"/>
      <c r="E30" s="37"/>
      <c r="F30" s="731"/>
      <c r="G30" s="731"/>
      <c r="H30" s="670"/>
    </row>
    <row r="31" spans="2:8" ht="15" thickBot="1">
      <c r="B31" s="683" t="s">
        <v>522</v>
      </c>
      <c r="C31" s="684"/>
      <c r="D31" s="684"/>
      <c r="E31" s="672"/>
      <c r="F31" s="732"/>
      <c r="G31" s="732"/>
      <c r="H31" s="600"/>
    </row>
    <row r="33" spans="2:8" ht="15" thickBot="1"/>
    <row r="34" spans="2:8" ht="15" thickBot="1">
      <c r="B34" s="705" t="s">
        <v>523</v>
      </c>
      <c r="C34" s="706"/>
    </row>
    <row r="35" spans="2:8" ht="29">
      <c r="B35" s="711" t="s">
        <v>506</v>
      </c>
      <c r="C35" s="712" t="s">
        <v>507</v>
      </c>
      <c r="D35" s="712" t="s">
        <v>508</v>
      </c>
      <c r="E35" s="712" t="s">
        <v>509</v>
      </c>
      <c r="F35" s="712" t="s">
        <v>510</v>
      </c>
      <c r="G35" s="713" t="s">
        <v>511</v>
      </c>
      <c r="H35" s="713" t="s">
        <v>512</v>
      </c>
    </row>
    <row r="36" spans="2:8">
      <c r="B36" s="682" t="s">
        <v>521</v>
      </c>
      <c r="C36" s="414"/>
      <c r="D36" s="414"/>
      <c r="E36" s="728"/>
      <c r="F36" s="733"/>
      <c r="G36" s="736"/>
      <c r="H36" s="670"/>
    </row>
    <row r="37" spans="2:8">
      <c r="B37" s="721" t="s">
        <v>513</v>
      </c>
      <c r="C37" s="722"/>
      <c r="D37" s="722"/>
      <c r="E37" s="729"/>
      <c r="F37" s="734"/>
      <c r="G37" s="737"/>
      <c r="H37" s="723"/>
    </row>
    <row r="38" spans="2:8" ht="15" thickBot="1">
      <c r="B38" s="683" t="s">
        <v>520</v>
      </c>
      <c r="C38" s="684"/>
      <c r="D38" s="684"/>
      <c r="E38" s="730"/>
      <c r="F38" s="735"/>
      <c r="G38" s="738"/>
      <c r="H38" s="600"/>
    </row>
    <row r="40" spans="2:8" ht="15" thickBot="1"/>
    <row r="41" spans="2:8" ht="15" thickBot="1">
      <c r="B41" s="705" t="s">
        <v>524</v>
      </c>
      <c r="C41" s="706"/>
    </row>
    <row r="42" spans="2:8" ht="29">
      <c r="B42" s="711" t="s">
        <v>506</v>
      </c>
      <c r="C42" s="712" t="s">
        <v>507</v>
      </c>
      <c r="D42" s="712" t="s">
        <v>508</v>
      </c>
      <c r="E42" s="712" t="s">
        <v>509</v>
      </c>
      <c r="F42" s="712" t="s">
        <v>510</v>
      </c>
      <c r="G42" s="713" t="s">
        <v>511</v>
      </c>
      <c r="H42" s="713" t="s">
        <v>512</v>
      </c>
    </row>
    <row r="43" spans="2:8">
      <c r="B43" s="682" t="s">
        <v>513</v>
      </c>
      <c r="C43" s="414"/>
      <c r="D43" s="414"/>
      <c r="E43" s="728"/>
      <c r="F43" s="733"/>
      <c r="G43" s="736"/>
      <c r="H43" s="670"/>
    </row>
    <row r="44" spans="2:8">
      <c r="B44" s="683" t="s">
        <v>521</v>
      </c>
      <c r="C44" s="684"/>
      <c r="D44" s="684"/>
      <c r="E44" s="730"/>
      <c r="F44" s="735"/>
      <c r="G44" s="738"/>
      <c r="H44" s="600"/>
    </row>
    <row r="45" spans="2:8">
      <c r="B45" s="683" t="s">
        <v>522</v>
      </c>
      <c r="C45" s="684"/>
      <c r="D45" s="684"/>
      <c r="E45" s="672"/>
      <c r="F45" s="732"/>
      <c r="G45" s="732"/>
      <c r="H45" s="600"/>
    </row>
    <row r="47" spans="2:8" ht="15" thickBot="1">
      <c r="B47" s="705" t="s">
        <v>525</v>
      </c>
      <c r="C47" s="706"/>
    </row>
    <row r="48" spans="2:8" ht="29">
      <c r="B48" s="711" t="s">
        <v>506</v>
      </c>
      <c r="C48" s="712" t="s">
        <v>507</v>
      </c>
      <c r="D48" s="712" t="s">
        <v>508</v>
      </c>
      <c r="E48" s="712" t="s">
        <v>509</v>
      </c>
      <c r="F48" s="712" t="s">
        <v>510</v>
      </c>
      <c r="G48" s="713" t="s">
        <v>511</v>
      </c>
      <c r="H48" s="713" t="s">
        <v>512</v>
      </c>
    </row>
    <row r="49" spans="2:8">
      <c r="B49" s="682" t="s">
        <v>513</v>
      </c>
      <c r="C49" s="414"/>
      <c r="D49" s="414"/>
      <c r="E49" s="728"/>
      <c r="F49" s="733"/>
      <c r="G49" s="736"/>
      <c r="H49" s="670"/>
    </row>
    <row r="50" spans="2:8">
      <c r="B50" s="682" t="s">
        <v>520</v>
      </c>
      <c r="C50" s="414"/>
      <c r="D50" s="414"/>
      <c r="E50" s="728"/>
      <c r="F50" s="733"/>
      <c r="G50" s="736"/>
      <c r="H50" s="670"/>
    </row>
  </sheetData>
  <pageMargins left="0.7" right="0.7" top="0.75" bottom="0.75" header="0.3" footer="0.3"/>
  <headerFooter>
    <oddFooter>&amp;C_x000D_&amp;1#&amp;"Calibri"&amp;22&amp;K0073CF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D85A9-5812-42CE-AF3C-9B667EE91C62}">
  <sheetPr codeName="Sheet13">
    <tabColor rgb="FFFFFF00"/>
  </sheetPr>
  <dimension ref="A1:O47"/>
  <sheetViews>
    <sheetView zoomScale="90" zoomScaleNormal="90" workbookViewId="0">
      <selection activeCell="M17" sqref="M17"/>
    </sheetView>
  </sheetViews>
  <sheetFormatPr defaultRowHeight="14.5"/>
  <cols>
    <col min="1" max="1" width="4.26953125" customWidth="1"/>
    <col min="2" max="2" width="17.1796875" customWidth="1"/>
    <col min="3" max="3" width="23" customWidth="1"/>
    <col min="4" max="4" width="17.453125" bestFit="1" customWidth="1"/>
    <col min="5" max="6" width="14.81640625" customWidth="1"/>
    <col min="7" max="7" width="21.1796875" customWidth="1"/>
    <col min="8" max="8" width="9.26953125" bestFit="1" customWidth="1"/>
    <col min="9" max="9" width="15.453125" customWidth="1"/>
    <col min="10" max="10" width="5.54296875" customWidth="1"/>
    <col min="11" max="11" width="10.26953125" customWidth="1"/>
    <col min="12" max="25" width="14.54296875" customWidth="1"/>
  </cols>
  <sheetData>
    <row r="1" spans="1:15" ht="15.5">
      <c r="A1" s="780" t="s">
        <v>304</v>
      </c>
      <c r="B1" s="320"/>
      <c r="C1" s="320"/>
    </row>
    <row r="2" spans="1:15" ht="15.5">
      <c r="A2" s="780" t="s">
        <v>305</v>
      </c>
      <c r="B2" s="320"/>
      <c r="C2" s="320"/>
    </row>
    <row r="3" spans="1:15">
      <c r="A3" s="417"/>
      <c r="B3" s="320"/>
      <c r="C3" s="320"/>
    </row>
    <row r="4" spans="1:15" ht="24">
      <c r="A4" s="417"/>
      <c r="B4" s="320"/>
      <c r="C4" s="320"/>
      <c r="D4" s="318" t="s">
        <v>306</v>
      </c>
      <c r="E4" s="318" t="s">
        <v>307</v>
      </c>
      <c r="F4" s="318" t="s">
        <v>308</v>
      </c>
      <c r="G4" s="318" t="s">
        <v>309</v>
      </c>
    </row>
    <row r="5" spans="1:15">
      <c r="A5" s="417"/>
      <c r="B5" s="605" t="s">
        <v>310</v>
      </c>
      <c r="C5" s="606"/>
      <c r="D5" s="607"/>
      <c r="E5" s="607"/>
      <c r="F5" s="607"/>
      <c r="G5" s="608"/>
    </row>
    <row r="6" spans="1:15">
      <c r="A6" s="417"/>
      <c r="B6" s="320"/>
      <c r="C6" s="320"/>
    </row>
    <row r="7" spans="1:15">
      <c r="A7" s="417"/>
      <c r="B7" s="320"/>
      <c r="C7" s="320"/>
    </row>
    <row r="8" spans="1:15" ht="15" thickBot="1">
      <c r="A8" s="417" t="s">
        <v>311</v>
      </c>
      <c r="B8" s="320"/>
      <c r="C8" s="320"/>
      <c r="K8" t="s">
        <v>312</v>
      </c>
    </row>
    <row r="9" spans="1:15" ht="15" thickBot="1">
      <c r="B9" s="434"/>
      <c r="C9" s="435"/>
      <c r="D9" s="435"/>
      <c r="E9" s="1410" t="s">
        <v>313</v>
      </c>
      <c r="F9" s="1411"/>
      <c r="G9" s="1411"/>
      <c r="H9" s="1411"/>
      <c r="I9" s="1412"/>
      <c r="K9" s="664"/>
      <c r="L9" s="1410" t="s">
        <v>313</v>
      </c>
      <c r="M9" s="1411"/>
      <c r="N9" s="1411"/>
      <c r="O9" s="1412"/>
    </row>
    <row r="10" spans="1:15" ht="26.5" thickBot="1">
      <c r="B10" s="418" t="s">
        <v>314</v>
      </c>
      <c r="C10" s="416" t="s">
        <v>1</v>
      </c>
      <c r="D10" s="416" t="s">
        <v>315</v>
      </c>
      <c r="E10" s="646" t="s">
        <v>316</v>
      </c>
      <c r="F10" s="646" t="s">
        <v>317</v>
      </c>
      <c r="G10" s="647" t="s">
        <v>318</v>
      </c>
      <c r="H10" s="648" t="s">
        <v>319</v>
      </c>
      <c r="I10" s="648" t="s">
        <v>320</v>
      </c>
      <c r="K10" s="665" t="s">
        <v>83</v>
      </c>
      <c r="L10" s="646" t="s">
        <v>316</v>
      </c>
      <c r="M10" s="667" t="s">
        <v>317</v>
      </c>
      <c r="N10" s="666" t="s">
        <v>319</v>
      </c>
      <c r="O10" s="668" t="s">
        <v>320</v>
      </c>
    </row>
    <row r="11" spans="1:15" ht="16">
      <c r="B11" s="427" t="s">
        <v>321</v>
      </c>
      <c r="C11" s="428" t="s">
        <v>322</v>
      </c>
      <c r="D11" s="429" t="s">
        <v>323</v>
      </c>
      <c r="E11" s="430"/>
      <c r="F11" s="430"/>
      <c r="G11" s="431"/>
      <c r="H11" s="432"/>
      <c r="I11" s="469"/>
      <c r="K11" s="669" t="s">
        <v>321</v>
      </c>
      <c r="L11" s="37"/>
      <c r="M11" s="37"/>
      <c r="N11" s="37"/>
      <c r="O11" s="670"/>
    </row>
    <row r="12" spans="1:15" ht="16">
      <c r="B12" s="433" t="s">
        <v>321</v>
      </c>
      <c r="C12" s="419" t="s">
        <v>322</v>
      </c>
      <c r="D12" s="426" t="s">
        <v>324</v>
      </c>
      <c r="E12" s="420"/>
      <c r="F12" s="420"/>
      <c r="G12" s="421"/>
      <c r="H12" s="422"/>
      <c r="I12" s="468"/>
      <c r="K12" s="669" t="s">
        <v>325</v>
      </c>
      <c r="L12" s="37"/>
      <c r="M12" s="37"/>
      <c r="N12" s="37"/>
      <c r="O12" s="670"/>
    </row>
    <row r="13" spans="1:15" ht="16.5" thickBot="1">
      <c r="B13" s="433" t="s">
        <v>321</v>
      </c>
      <c r="C13" s="419" t="s">
        <v>322</v>
      </c>
      <c r="D13" s="426" t="s">
        <v>326</v>
      </c>
      <c r="E13" s="420"/>
      <c r="F13" s="420"/>
      <c r="G13" s="421"/>
      <c r="H13" s="422"/>
      <c r="I13" s="468"/>
      <c r="K13" s="671" t="s">
        <v>103</v>
      </c>
      <c r="L13" s="672"/>
      <c r="M13" s="672"/>
      <c r="N13" s="672"/>
      <c r="O13" s="600"/>
    </row>
    <row r="14" spans="1:15" ht="16">
      <c r="B14" s="433" t="s">
        <v>325</v>
      </c>
      <c r="C14" s="419" t="s">
        <v>322</v>
      </c>
      <c r="D14" s="426" t="s">
        <v>323</v>
      </c>
      <c r="E14" s="420"/>
      <c r="F14" s="420"/>
      <c r="G14" s="421"/>
      <c r="H14" s="422"/>
      <c r="I14" s="468"/>
    </row>
    <row r="15" spans="1:15" ht="16">
      <c r="B15" s="433" t="s">
        <v>325</v>
      </c>
      <c r="C15" s="419" t="s">
        <v>322</v>
      </c>
      <c r="D15" s="426" t="s">
        <v>324</v>
      </c>
      <c r="E15" s="420"/>
      <c r="F15" s="420"/>
      <c r="G15" s="421"/>
      <c r="H15" s="422"/>
      <c r="I15" s="468"/>
    </row>
    <row r="16" spans="1:15" ht="16">
      <c r="B16" s="433" t="s">
        <v>325</v>
      </c>
      <c r="C16" s="419" t="s">
        <v>322</v>
      </c>
      <c r="D16" s="426" t="s">
        <v>327</v>
      </c>
      <c r="E16" s="420"/>
      <c r="F16" s="420"/>
      <c r="G16" s="421"/>
      <c r="H16" s="422"/>
      <c r="I16" s="468"/>
    </row>
    <row r="17" spans="2:9" ht="16">
      <c r="B17" s="433" t="s">
        <v>325</v>
      </c>
      <c r="C17" s="419" t="s">
        <v>322</v>
      </c>
      <c r="D17" s="491" t="s">
        <v>326</v>
      </c>
      <c r="E17" s="420"/>
      <c r="F17" s="420"/>
      <c r="G17" s="421"/>
      <c r="H17" s="422"/>
      <c r="I17" s="468"/>
    </row>
    <row r="18" spans="2:9" ht="16">
      <c r="B18" s="433" t="s">
        <v>103</v>
      </c>
      <c r="C18" s="419" t="s">
        <v>322</v>
      </c>
      <c r="D18" s="644" t="s">
        <v>323</v>
      </c>
      <c r="E18" s="420"/>
      <c r="F18" s="420"/>
      <c r="G18" s="421"/>
      <c r="H18" s="422"/>
      <c r="I18" s="468"/>
    </row>
    <row r="19" spans="2:9" ht="16">
      <c r="B19" s="433" t="s">
        <v>103</v>
      </c>
      <c r="C19" s="419" t="s">
        <v>322</v>
      </c>
      <c r="D19" s="644" t="s">
        <v>324</v>
      </c>
      <c r="E19" s="420"/>
      <c r="F19" s="420"/>
      <c r="G19" s="421"/>
      <c r="H19" s="422"/>
      <c r="I19" s="468"/>
    </row>
    <row r="20" spans="2:9" ht="16">
      <c r="B20" s="433" t="s">
        <v>103</v>
      </c>
      <c r="C20" s="419" t="s">
        <v>322</v>
      </c>
      <c r="D20" s="644" t="s">
        <v>327</v>
      </c>
      <c r="E20" s="423"/>
      <c r="F20" s="423"/>
      <c r="G20" s="424"/>
      <c r="H20" s="425"/>
      <c r="I20" s="470"/>
    </row>
    <row r="21" spans="2:9" ht="16.5" thickBot="1">
      <c r="B21" s="655" t="s">
        <v>103</v>
      </c>
      <c r="C21" s="656" t="s">
        <v>322</v>
      </c>
      <c r="D21" s="657" t="s">
        <v>326</v>
      </c>
      <c r="E21" s="423"/>
      <c r="F21" s="423"/>
      <c r="G21" s="424"/>
      <c r="H21" s="425"/>
      <c r="I21" s="470"/>
    </row>
    <row r="22" spans="2:9" ht="16.5" thickBot="1">
      <c r="B22" s="1417" t="s">
        <v>328</v>
      </c>
      <c r="C22" s="1418"/>
      <c r="D22" s="1418"/>
      <c r="E22" s="661"/>
      <c r="F22" s="661"/>
      <c r="G22" s="662"/>
      <c r="H22" s="661"/>
      <c r="I22" s="663"/>
    </row>
    <row r="23" spans="2:9" ht="16">
      <c r="B23" s="658" t="s">
        <v>321</v>
      </c>
      <c r="C23" s="659" t="s">
        <v>329</v>
      </c>
      <c r="D23" s="660" t="s">
        <v>330</v>
      </c>
      <c r="E23" s="486"/>
      <c r="F23" s="486"/>
      <c r="G23" s="715"/>
      <c r="H23" s="716"/>
      <c r="I23" s="483"/>
    </row>
    <row r="24" spans="2:9" ht="16">
      <c r="B24" s="489" t="s">
        <v>321</v>
      </c>
      <c r="C24" s="490" t="s">
        <v>329</v>
      </c>
      <c r="D24" s="491" t="s">
        <v>331</v>
      </c>
      <c r="E24" s="487"/>
      <c r="F24" s="487"/>
      <c r="G24" s="717"/>
      <c r="H24" s="718"/>
      <c r="I24" s="484"/>
    </row>
    <row r="25" spans="2:9" ht="16">
      <c r="B25" s="489" t="s">
        <v>321</v>
      </c>
      <c r="C25" s="490" t="s">
        <v>329</v>
      </c>
      <c r="D25" s="491" t="s">
        <v>324</v>
      </c>
      <c r="E25" s="487"/>
      <c r="F25" s="487"/>
      <c r="G25" s="717"/>
      <c r="H25" s="718"/>
      <c r="I25" s="484"/>
    </row>
    <row r="26" spans="2:9" ht="16">
      <c r="B26" s="489" t="s">
        <v>321</v>
      </c>
      <c r="C26" s="490" t="s">
        <v>329</v>
      </c>
      <c r="D26" s="491" t="s">
        <v>326</v>
      </c>
      <c r="E26" s="487"/>
      <c r="F26" s="487"/>
      <c r="G26" s="717"/>
      <c r="H26" s="718"/>
      <c r="I26" s="484"/>
    </row>
    <row r="27" spans="2:9" ht="16">
      <c r="B27" s="489" t="s">
        <v>325</v>
      </c>
      <c r="C27" s="490" t="s">
        <v>329</v>
      </c>
      <c r="D27" s="491" t="s">
        <v>330</v>
      </c>
      <c r="E27" s="487"/>
      <c r="F27" s="487"/>
      <c r="G27" s="717"/>
      <c r="H27" s="718"/>
      <c r="I27" s="484"/>
    </row>
    <row r="28" spans="2:9" ht="16">
      <c r="B28" s="489" t="s">
        <v>325</v>
      </c>
      <c r="C28" s="490" t="s">
        <v>329</v>
      </c>
      <c r="D28" s="491" t="s">
        <v>331</v>
      </c>
      <c r="E28" s="487"/>
      <c r="F28" s="487"/>
      <c r="G28" s="717"/>
      <c r="H28" s="718"/>
      <c r="I28" s="484"/>
    </row>
    <row r="29" spans="2:9" ht="16">
      <c r="B29" s="489" t="s">
        <v>325</v>
      </c>
      <c r="C29" s="490" t="s">
        <v>329</v>
      </c>
      <c r="D29" s="491" t="s">
        <v>324</v>
      </c>
      <c r="E29" s="487"/>
      <c r="F29" s="487"/>
      <c r="G29" s="717"/>
      <c r="H29" s="718"/>
      <c r="I29" s="484"/>
    </row>
    <row r="30" spans="2:9" ht="16">
      <c r="B30" s="489" t="s">
        <v>325</v>
      </c>
      <c r="C30" s="490" t="s">
        <v>329</v>
      </c>
      <c r="D30" s="491" t="s">
        <v>327</v>
      </c>
      <c r="E30" s="487"/>
      <c r="F30" s="487"/>
      <c r="G30" s="717"/>
      <c r="H30" s="718"/>
      <c r="I30" s="484"/>
    </row>
    <row r="31" spans="2:9" ht="16">
      <c r="B31" s="489" t="s">
        <v>325</v>
      </c>
      <c r="C31" s="490" t="s">
        <v>329</v>
      </c>
      <c r="D31" s="491" t="s">
        <v>326</v>
      </c>
      <c r="E31" s="487"/>
      <c r="F31" s="487"/>
      <c r="G31" s="717"/>
      <c r="H31" s="718"/>
      <c r="I31" s="484"/>
    </row>
    <row r="32" spans="2:9" ht="16">
      <c r="B32" s="489" t="s">
        <v>103</v>
      </c>
      <c r="C32" s="490" t="s">
        <v>329</v>
      </c>
      <c r="D32" s="645" t="s">
        <v>323</v>
      </c>
      <c r="E32" s="487"/>
      <c r="F32" s="487"/>
      <c r="G32" s="717"/>
      <c r="H32" s="718"/>
      <c r="I32" s="484"/>
    </row>
    <row r="33" spans="1:9" ht="16">
      <c r="B33" s="489" t="s">
        <v>103</v>
      </c>
      <c r="C33" s="490" t="s">
        <v>329</v>
      </c>
      <c r="D33" s="645" t="s">
        <v>324</v>
      </c>
      <c r="E33" s="487"/>
      <c r="F33" s="487"/>
      <c r="G33" s="717"/>
      <c r="H33" s="718"/>
      <c r="I33" s="484"/>
    </row>
    <row r="34" spans="1:9" ht="16">
      <c r="B34" s="489" t="s">
        <v>103</v>
      </c>
      <c r="C34" s="490" t="s">
        <v>329</v>
      </c>
      <c r="D34" s="645" t="s">
        <v>327</v>
      </c>
      <c r="E34" s="488"/>
      <c r="F34" s="488"/>
      <c r="G34" s="719"/>
      <c r="H34" s="720"/>
      <c r="I34" s="485"/>
    </row>
    <row r="35" spans="1:9" ht="16.5" thickBot="1">
      <c r="B35" s="492" t="s">
        <v>103</v>
      </c>
      <c r="C35" s="493" t="s">
        <v>329</v>
      </c>
      <c r="D35" s="644" t="s">
        <v>326</v>
      </c>
      <c r="E35" s="488"/>
      <c r="F35" s="488"/>
      <c r="G35" s="719"/>
      <c r="H35" s="720"/>
      <c r="I35" s="485"/>
    </row>
    <row r="36" spans="1:9" ht="16.5" thickBot="1">
      <c r="B36" s="1415" t="s">
        <v>332</v>
      </c>
      <c r="C36" s="1416"/>
      <c r="D36" s="1416"/>
      <c r="E36" s="494"/>
      <c r="F36" s="494"/>
      <c r="G36" s="495"/>
      <c r="H36" s="496"/>
      <c r="I36" s="496"/>
    </row>
    <row r="37" spans="1:9" ht="16" thickBot="1">
      <c r="B37" s="1413" t="s">
        <v>333</v>
      </c>
      <c r="C37" s="1414"/>
      <c r="D37" s="1414"/>
      <c r="E37" s="471"/>
      <c r="F37" s="471"/>
      <c r="G37" s="472"/>
      <c r="H37" s="473"/>
      <c r="I37" s="474"/>
    </row>
    <row r="40" spans="1:9">
      <c r="B40" s="353" t="s">
        <v>334</v>
      </c>
      <c r="C40" s="353"/>
      <c r="D40" s="353"/>
    </row>
    <row r="41" spans="1:9">
      <c r="B41" t="s">
        <v>335</v>
      </c>
    </row>
    <row r="42" spans="1:9">
      <c r="B42" t="s">
        <v>336</v>
      </c>
    </row>
    <row r="43" spans="1:9">
      <c r="B43" s="218" t="s">
        <v>337</v>
      </c>
    </row>
    <row r="45" spans="1:9" ht="15" thickBot="1">
      <c r="A45" s="417" t="s">
        <v>338</v>
      </c>
    </row>
    <row r="46" spans="1:9" ht="43.5" customHeight="1" thickBot="1">
      <c r="B46" s="847"/>
      <c r="C46" s="848"/>
      <c r="D46" s="846" t="s">
        <v>339</v>
      </c>
      <c r="E46" s="849" t="s">
        <v>340</v>
      </c>
      <c r="F46" s="850" t="s">
        <v>341</v>
      </c>
    </row>
    <row r="47" spans="1:9" ht="15" thickBot="1">
      <c r="B47" s="193" t="s">
        <v>342</v>
      </c>
      <c r="C47" s="845"/>
      <c r="D47" s="607"/>
      <c r="E47" s="607"/>
      <c r="F47" s="608"/>
    </row>
  </sheetData>
  <mergeCells count="5">
    <mergeCell ref="E9:I9"/>
    <mergeCell ref="L9:O9"/>
    <mergeCell ref="B37:D37"/>
    <mergeCell ref="B36:D36"/>
    <mergeCell ref="B22:D22"/>
  </mergeCells>
  <pageMargins left="0.7" right="0.7" top="0.75" bottom="0.75" header="0.3" footer="0.3"/>
  <headerFooter>
    <oddFooter>&amp;C_x000D_&amp;1#&amp;"Calibri"&amp;22&amp;K0073CF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D6538-AC85-4768-BE9B-A2061E4C8009}">
  <sheetPr codeName="Sheet7"/>
  <dimension ref="B1:H56"/>
  <sheetViews>
    <sheetView zoomScale="80" zoomScaleNormal="80" workbookViewId="0">
      <selection activeCell="D56" sqref="D56:H56"/>
    </sheetView>
  </sheetViews>
  <sheetFormatPr defaultRowHeight="14.5"/>
  <cols>
    <col min="3" max="3" width="59.1796875" bestFit="1" customWidth="1"/>
    <col min="4" max="4" width="18.54296875" bestFit="1" customWidth="1"/>
    <col min="5" max="5" width="17.453125" bestFit="1" customWidth="1"/>
    <col min="6" max="6" width="14.1796875" bestFit="1" customWidth="1"/>
    <col min="7" max="7" width="9" bestFit="1" customWidth="1"/>
    <col min="8" max="8" width="19.54296875" bestFit="1" customWidth="1"/>
  </cols>
  <sheetData>
    <row r="1" spans="2:8" ht="15.5">
      <c r="B1" s="798" t="s">
        <v>343</v>
      </c>
    </row>
    <row r="2" spans="2:8" ht="15" thickBot="1"/>
    <row r="3" spans="2:8">
      <c r="B3" s="165"/>
      <c r="C3" s="166"/>
      <c r="D3" s="167" t="s">
        <v>86</v>
      </c>
      <c r="E3" s="168" t="s">
        <v>344</v>
      </c>
      <c r="F3" s="168" t="s">
        <v>325</v>
      </c>
      <c r="G3" s="168" t="s">
        <v>345</v>
      </c>
      <c r="H3" s="169" t="s">
        <v>346</v>
      </c>
    </row>
    <row r="4" spans="2:8">
      <c r="B4" s="170" t="s">
        <v>347</v>
      </c>
      <c r="C4" s="171"/>
      <c r="D4" s="172"/>
      <c r="E4" s="171"/>
      <c r="F4" s="171"/>
      <c r="G4" s="171"/>
      <c r="H4" s="173"/>
    </row>
    <row r="5" spans="2:8">
      <c r="B5" s="174">
        <v>1</v>
      </c>
      <c r="C5" t="s">
        <v>348</v>
      </c>
      <c r="D5" s="175"/>
      <c r="E5" s="176"/>
      <c r="F5" s="177"/>
      <c r="G5" s="177"/>
      <c r="H5" s="178"/>
    </row>
    <row r="6" spans="2:8">
      <c r="B6" s="174">
        <v>2</v>
      </c>
      <c r="C6" t="s">
        <v>349</v>
      </c>
      <c r="D6" s="175"/>
      <c r="E6" s="176"/>
      <c r="F6" s="177"/>
      <c r="G6" s="177"/>
      <c r="H6" s="178"/>
    </row>
    <row r="7" spans="2:8">
      <c r="B7" s="174">
        <v>3</v>
      </c>
      <c r="C7" t="s">
        <v>350</v>
      </c>
      <c r="D7" s="175"/>
      <c r="E7" s="176"/>
      <c r="F7" s="177"/>
      <c r="G7" s="177"/>
      <c r="H7" s="178"/>
    </row>
    <row r="8" spans="2:8">
      <c r="B8" s="174">
        <v>4</v>
      </c>
      <c r="C8" t="s">
        <v>351</v>
      </c>
      <c r="D8" s="175"/>
      <c r="E8" s="176"/>
      <c r="F8" s="177"/>
      <c r="G8" s="177"/>
      <c r="H8" s="178"/>
    </row>
    <row r="9" spans="2:8">
      <c r="B9" s="174">
        <v>5</v>
      </c>
      <c r="C9" t="s">
        <v>352</v>
      </c>
      <c r="D9" s="175"/>
      <c r="E9" s="176"/>
      <c r="F9" s="177"/>
      <c r="G9" s="177"/>
      <c r="H9" s="178"/>
    </row>
    <row r="10" spans="2:8">
      <c r="B10" s="174">
        <v>6</v>
      </c>
      <c r="C10" t="s">
        <v>353</v>
      </c>
      <c r="D10" s="175"/>
      <c r="E10" s="176"/>
      <c r="F10" s="177"/>
      <c r="G10" s="177"/>
      <c r="H10" s="178"/>
    </row>
    <row r="11" spans="2:8">
      <c r="B11" s="174">
        <v>7</v>
      </c>
      <c r="C11" t="s">
        <v>354</v>
      </c>
      <c r="D11" s="175"/>
      <c r="E11" s="176"/>
      <c r="F11" s="177"/>
      <c r="G11" s="177"/>
      <c r="H11" s="178"/>
    </row>
    <row r="12" spans="2:8">
      <c r="B12" s="174">
        <v>8</v>
      </c>
      <c r="C12" t="s">
        <v>355</v>
      </c>
      <c r="D12" s="175"/>
      <c r="E12" s="176"/>
      <c r="F12" s="177"/>
      <c r="G12" s="177"/>
      <c r="H12" s="178"/>
    </row>
    <row r="13" spans="2:8">
      <c r="B13" s="174"/>
      <c r="C13" s="179" t="s">
        <v>356</v>
      </c>
      <c r="D13" s="180"/>
      <c r="E13" s="181"/>
      <c r="F13" s="181"/>
      <c r="G13" s="181"/>
      <c r="H13" s="182"/>
    </row>
    <row r="14" spans="2:8">
      <c r="B14" s="174">
        <v>9</v>
      </c>
      <c r="C14" t="s">
        <v>357</v>
      </c>
      <c r="D14" s="175"/>
      <c r="E14" s="177"/>
      <c r="F14" s="177"/>
      <c r="G14" s="177"/>
      <c r="H14" s="178"/>
    </row>
    <row r="15" spans="2:8">
      <c r="B15" s="174">
        <v>10</v>
      </c>
      <c r="C15" t="s">
        <v>358</v>
      </c>
      <c r="D15" s="175"/>
      <c r="E15" s="177"/>
      <c r="F15" s="177"/>
      <c r="G15" s="177"/>
      <c r="H15" s="178"/>
    </row>
    <row r="16" spans="2:8">
      <c r="B16" s="174">
        <v>11</v>
      </c>
      <c r="C16" t="s">
        <v>359</v>
      </c>
      <c r="D16" s="175"/>
      <c r="E16" s="177"/>
      <c r="F16" s="177"/>
      <c r="G16" s="177"/>
      <c r="H16" s="178"/>
    </row>
    <row r="17" spans="2:8">
      <c r="B17" s="174"/>
      <c r="C17" t="s">
        <v>360</v>
      </c>
      <c r="D17" s="183"/>
      <c r="E17" s="184"/>
      <c r="F17" s="184"/>
      <c r="G17" s="184"/>
      <c r="H17" s="185"/>
    </row>
    <row r="18" spans="2:8">
      <c r="B18" s="174"/>
      <c r="C18" s="179" t="s">
        <v>361</v>
      </c>
      <c r="D18" s="186"/>
      <c r="E18" s="187"/>
      <c r="F18" s="187"/>
      <c r="G18" s="187"/>
      <c r="H18" s="188"/>
    </row>
    <row r="19" spans="2:8">
      <c r="B19" s="174"/>
      <c r="D19" s="174"/>
      <c r="H19" s="189"/>
    </row>
    <row r="20" spans="2:8">
      <c r="B20" s="170" t="s">
        <v>362</v>
      </c>
      <c r="C20" s="171"/>
      <c r="D20" s="172"/>
      <c r="E20" s="171"/>
      <c r="F20" s="171"/>
      <c r="G20" s="171"/>
      <c r="H20" s="173"/>
    </row>
    <row r="21" spans="2:8">
      <c r="B21" s="174">
        <v>12</v>
      </c>
      <c r="C21" t="s">
        <v>363</v>
      </c>
      <c r="D21" s="175"/>
      <c r="E21" s="177"/>
      <c r="F21" s="177"/>
      <c r="G21" s="177"/>
      <c r="H21" s="178"/>
    </row>
    <row r="22" spans="2:8">
      <c r="B22" s="174">
        <v>13</v>
      </c>
      <c r="C22" t="s">
        <v>364</v>
      </c>
      <c r="D22" s="175"/>
      <c r="E22" s="177"/>
      <c r="F22" s="177"/>
      <c r="G22" s="177"/>
      <c r="H22" s="178"/>
    </row>
    <row r="23" spans="2:8">
      <c r="B23" s="174"/>
      <c r="C23" s="179" t="s">
        <v>365</v>
      </c>
      <c r="D23" s="186"/>
      <c r="E23" s="187"/>
      <c r="F23" s="187"/>
      <c r="G23" s="187"/>
      <c r="H23" s="188"/>
    </row>
    <row r="24" spans="2:8">
      <c r="B24" s="174"/>
      <c r="D24" s="174"/>
      <c r="H24" s="189"/>
    </row>
    <row r="25" spans="2:8">
      <c r="B25" s="170" t="s">
        <v>366</v>
      </c>
      <c r="C25" s="171"/>
      <c r="D25" s="172"/>
      <c r="E25" s="171"/>
      <c r="F25" s="171"/>
      <c r="G25" s="171"/>
      <c r="H25" s="173"/>
    </row>
    <row r="26" spans="2:8">
      <c r="B26" s="174"/>
      <c r="C26" s="179" t="s">
        <v>367</v>
      </c>
      <c r="D26" s="186"/>
      <c r="E26" s="187"/>
      <c r="F26" s="187"/>
      <c r="G26" s="187"/>
      <c r="H26" s="188"/>
    </row>
    <row r="27" spans="2:8">
      <c r="B27" s="174"/>
      <c r="D27" s="174"/>
      <c r="H27" s="189"/>
    </row>
    <row r="28" spans="2:8">
      <c r="B28" s="170" t="s">
        <v>368</v>
      </c>
      <c r="C28" s="171"/>
      <c r="D28" s="172"/>
      <c r="E28" s="171"/>
      <c r="F28" s="171"/>
      <c r="G28" s="171"/>
      <c r="H28" s="173"/>
    </row>
    <row r="29" spans="2:8">
      <c r="B29" s="174">
        <v>14</v>
      </c>
      <c r="C29" t="s">
        <v>369</v>
      </c>
      <c r="D29" s="175"/>
      <c r="E29" s="177"/>
      <c r="F29" s="177"/>
      <c r="G29" s="177"/>
      <c r="H29" s="178"/>
    </row>
    <row r="30" spans="2:8">
      <c r="B30" s="174">
        <v>15</v>
      </c>
      <c r="C30" t="s">
        <v>370</v>
      </c>
      <c r="D30" s="175"/>
      <c r="E30" s="177"/>
      <c r="F30" s="177"/>
      <c r="G30" s="177"/>
      <c r="H30" s="178"/>
    </row>
    <row r="31" spans="2:8">
      <c r="B31" s="174"/>
      <c r="C31" s="179" t="s">
        <v>371</v>
      </c>
      <c r="D31" s="186"/>
      <c r="E31" s="187"/>
      <c r="F31" s="187"/>
      <c r="G31" s="187"/>
      <c r="H31" s="188"/>
    </row>
    <row r="32" spans="2:8">
      <c r="B32" s="170" t="s">
        <v>372</v>
      </c>
      <c r="C32" s="171"/>
      <c r="D32" s="172"/>
      <c r="E32" s="171"/>
      <c r="F32" s="171"/>
      <c r="G32" s="171"/>
      <c r="H32" s="173"/>
    </row>
    <row r="33" spans="2:8">
      <c r="B33" s="174">
        <v>16</v>
      </c>
      <c r="C33" t="s">
        <v>348</v>
      </c>
      <c r="D33" s="175"/>
      <c r="E33" s="177"/>
      <c r="F33" s="177"/>
      <c r="G33" s="177"/>
      <c r="H33" s="178"/>
    </row>
    <row r="34" spans="2:8">
      <c r="B34" s="174">
        <v>17</v>
      </c>
      <c r="C34" t="s">
        <v>349</v>
      </c>
      <c r="D34" s="175"/>
      <c r="E34" s="177"/>
      <c r="F34" s="177"/>
      <c r="G34" s="177"/>
      <c r="H34" s="178"/>
    </row>
    <row r="35" spans="2:8">
      <c r="B35" s="174">
        <v>18</v>
      </c>
      <c r="C35" t="s">
        <v>350</v>
      </c>
      <c r="D35" s="175"/>
      <c r="E35" s="177"/>
      <c r="F35" s="177"/>
      <c r="G35" s="177"/>
      <c r="H35" s="178"/>
    </row>
    <row r="36" spans="2:8">
      <c r="B36" s="174">
        <v>19</v>
      </c>
      <c r="C36" t="s">
        <v>373</v>
      </c>
      <c r="D36" s="175"/>
      <c r="E36" s="177"/>
      <c r="F36" s="177"/>
      <c r="G36" s="177"/>
      <c r="H36" s="178"/>
    </row>
    <row r="37" spans="2:8">
      <c r="B37" s="174">
        <v>20</v>
      </c>
      <c r="C37" t="s">
        <v>374</v>
      </c>
      <c r="D37" s="175"/>
      <c r="E37" s="177"/>
      <c r="F37" s="177"/>
      <c r="G37" s="177"/>
      <c r="H37" s="178"/>
    </row>
    <row r="38" spans="2:8">
      <c r="B38" s="174">
        <v>21</v>
      </c>
      <c r="C38" t="s">
        <v>375</v>
      </c>
      <c r="D38" s="175"/>
      <c r="E38" s="177"/>
      <c r="F38" s="177"/>
      <c r="G38" s="177"/>
      <c r="H38" s="178"/>
    </row>
    <row r="39" spans="2:8">
      <c r="B39" s="174">
        <v>22</v>
      </c>
      <c r="C39" t="s">
        <v>376</v>
      </c>
      <c r="D39" s="175"/>
      <c r="E39" s="177"/>
      <c r="F39" s="177"/>
      <c r="G39" s="177"/>
      <c r="H39" s="178"/>
    </row>
    <row r="40" spans="2:8">
      <c r="B40" s="174">
        <v>23</v>
      </c>
      <c r="C40" t="s">
        <v>377</v>
      </c>
      <c r="D40" s="175"/>
      <c r="E40" s="177"/>
      <c r="F40" s="177"/>
      <c r="G40" s="177"/>
      <c r="H40" s="178"/>
    </row>
    <row r="41" spans="2:8">
      <c r="B41" s="174">
        <v>24</v>
      </c>
      <c r="C41" t="s">
        <v>378</v>
      </c>
      <c r="D41" s="175"/>
      <c r="E41" s="177"/>
      <c r="F41" s="177"/>
      <c r="G41" s="177"/>
      <c r="H41" s="178"/>
    </row>
    <row r="42" spans="2:8">
      <c r="B42" s="174">
        <v>25</v>
      </c>
      <c r="C42" t="s">
        <v>379</v>
      </c>
      <c r="D42" s="175"/>
      <c r="E42" s="177"/>
      <c r="F42" s="177"/>
      <c r="G42" s="177"/>
      <c r="H42" s="178"/>
    </row>
    <row r="43" spans="2:8">
      <c r="B43" s="174">
        <v>26</v>
      </c>
      <c r="C43" t="s">
        <v>380</v>
      </c>
      <c r="D43" s="175"/>
      <c r="E43" s="177"/>
      <c r="F43" s="177"/>
      <c r="G43" s="177"/>
      <c r="H43" s="178"/>
    </row>
    <row r="44" spans="2:8">
      <c r="B44" s="174"/>
      <c r="C44" s="179" t="s">
        <v>381</v>
      </c>
      <c r="D44" s="190"/>
      <c r="E44" s="191"/>
      <c r="F44" s="191"/>
      <c r="G44" s="191"/>
      <c r="H44" s="192"/>
    </row>
    <row r="45" spans="2:8">
      <c r="B45" s="174">
        <v>27</v>
      </c>
      <c r="C45" t="s">
        <v>357</v>
      </c>
      <c r="D45" s="175"/>
      <c r="E45" s="177"/>
      <c r="F45" s="177"/>
      <c r="G45" s="177"/>
      <c r="H45" s="178"/>
    </row>
    <row r="46" spans="2:8">
      <c r="B46" s="174">
        <v>28</v>
      </c>
      <c r="C46" t="s">
        <v>358</v>
      </c>
      <c r="D46" s="175"/>
      <c r="E46" s="177"/>
      <c r="F46" s="177"/>
      <c r="G46" s="177"/>
      <c r="H46" s="178"/>
    </row>
    <row r="47" spans="2:8">
      <c r="B47" s="174"/>
      <c r="C47" t="s">
        <v>382</v>
      </c>
      <c r="D47" s="175"/>
      <c r="E47" s="177"/>
      <c r="F47" s="177"/>
      <c r="G47" s="177"/>
      <c r="H47" s="178"/>
    </row>
    <row r="48" spans="2:8">
      <c r="B48" s="174"/>
      <c r="C48" s="179" t="s">
        <v>383</v>
      </c>
      <c r="D48" s="186"/>
      <c r="E48" s="187"/>
      <c r="F48" s="187"/>
      <c r="G48" s="187"/>
      <c r="H48" s="188"/>
    </row>
    <row r="49" spans="2:8">
      <c r="B49" s="174"/>
      <c r="D49" s="174"/>
      <c r="H49" s="189"/>
    </row>
    <row r="50" spans="2:8">
      <c r="B50" s="170" t="s">
        <v>384</v>
      </c>
      <c r="C50" s="171"/>
      <c r="D50" s="172"/>
      <c r="E50" s="171"/>
      <c r="F50" s="171"/>
      <c r="G50" s="171"/>
      <c r="H50" s="173"/>
    </row>
    <row r="51" spans="2:8">
      <c r="B51" s="174">
        <v>29</v>
      </c>
      <c r="C51" t="s">
        <v>385</v>
      </c>
      <c r="D51" s="175"/>
      <c r="E51" s="177"/>
      <c r="F51" s="177"/>
      <c r="G51" s="177"/>
      <c r="H51" s="178"/>
    </row>
    <row r="52" spans="2:8">
      <c r="B52" s="174">
        <v>30</v>
      </c>
      <c r="C52" t="s">
        <v>386</v>
      </c>
      <c r="D52" s="175"/>
      <c r="E52" s="177"/>
      <c r="F52" s="177"/>
      <c r="G52" s="177"/>
      <c r="H52" s="178"/>
    </row>
    <row r="53" spans="2:8">
      <c r="B53" s="174">
        <v>31</v>
      </c>
      <c r="C53" t="s">
        <v>354</v>
      </c>
      <c r="D53" s="175"/>
      <c r="E53" s="177"/>
      <c r="F53" s="177"/>
      <c r="G53" s="177"/>
      <c r="H53" s="178"/>
    </row>
    <row r="54" spans="2:8">
      <c r="B54" s="174">
        <v>32</v>
      </c>
      <c r="C54" t="s">
        <v>387</v>
      </c>
      <c r="D54" s="175"/>
      <c r="E54" s="177"/>
      <c r="F54" s="177"/>
      <c r="G54" s="177"/>
      <c r="H54" s="178"/>
    </row>
    <row r="55" spans="2:8">
      <c r="B55" s="174"/>
      <c r="C55" s="179" t="s">
        <v>388</v>
      </c>
      <c r="D55" s="190"/>
      <c r="E55" s="191"/>
      <c r="F55" s="191"/>
      <c r="G55" s="191"/>
      <c r="H55" s="192"/>
    </row>
    <row r="56" spans="2:8" ht="15" thickBot="1">
      <c r="B56" s="193"/>
      <c r="C56" s="194" t="s">
        <v>389</v>
      </c>
      <c r="D56" s="195"/>
      <c r="E56" s="196"/>
      <c r="F56" s="196"/>
      <c r="G56" s="196"/>
      <c r="H56" s="197"/>
    </row>
  </sheetData>
  <pageMargins left="0.7" right="0.7" top="0.75" bottom="0.75" header="0.3" footer="0.3"/>
  <headerFooter>
    <oddFooter>&amp;C_x000D_&amp;1#&amp;"Calibri"&amp;22&amp;K0073CF INTERNAL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4E9FB-EE39-4EE3-9D43-7EF111FE7D2F}">
  <sheetPr codeName="Sheet8"/>
  <dimension ref="B1:F17"/>
  <sheetViews>
    <sheetView zoomScale="90" zoomScaleNormal="90" workbookViewId="0">
      <selection activeCell="F10" sqref="F10"/>
    </sheetView>
  </sheetViews>
  <sheetFormatPr defaultRowHeight="14.5"/>
  <cols>
    <col min="2" max="2" width="31.453125" customWidth="1"/>
    <col min="3" max="3" width="70.453125" customWidth="1"/>
  </cols>
  <sheetData>
    <row r="1" spans="2:6" ht="15.5">
      <c r="B1" s="798" t="s">
        <v>390</v>
      </c>
      <c r="C1" s="798"/>
    </row>
    <row r="2" spans="2:6" ht="16" thickBot="1">
      <c r="B2" s="798" t="s">
        <v>391</v>
      </c>
      <c r="C2" s="798"/>
    </row>
    <row r="3" spans="2:6" ht="15.5" thickBot="1">
      <c r="B3" s="603" t="s">
        <v>1</v>
      </c>
      <c r="C3" s="604" t="s">
        <v>392</v>
      </c>
    </row>
    <row r="4" spans="2:6">
      <c r="B4" s="585" t="s">
        <v>220</v>
      </c>
      <c r="C4" s="586"/>
    </row>
    <row r="5" spans="2:6" ht="44.65" customHeight="1">
      <c r="B5" s="587" t="s">
        <v>4</v>
      </c>
      <c r="C5" s="588"/>
    </row>
    <row r="6" spans="2:6" ht="44.65" customHeight="1">
      <c r="B6" s="587" t="s">
        <v>129</v>
      </c>
      <c r="C6" s="588"/>
      <c r="F6" s="1419"/>
    </row>
    <row r="7" spans="2:6" ht="44.65" customHeight="1">
      <c r="B7" s="587" t="s">
        <v>130</v>
      </c>
      <c r="C7" s="588"/>
      <c r="F7" s="1419"/>
    </row>
    <row r="8" spans="2:6" ht="48" customHeight="1" thickBot="1">
      <c r="B8" s="589" t="s">
        <v>24</v>
      </c>
      <c r="C8" s="590"/>
      <c r="F8" s="1419"/>
    </row>
    <row r="9" spans="2:6" ht="15" thickBot="1">
      <c r="B9" s="4" t="s">
        <v>224</v>
      </c>
      <c r="C9" s="595"/>
      <c r="F9" s="614"/>
    </row>
    <row r="10" spans="2:6" ht="47.5" customHeight="1">
      <c r="B10" s="593" t="s">
        <v>393</v>
      </c>
      <c r="C10" s="594"/>
      <c r="F10" s="614"/>
    </row>
    <row r="11" spans="2:6" ht="47.5" customHeight="1">
      <c r="B11" s="591" t="s">
        <v>394</v>
      </c>
      <c r="C11" s="588"/>
      <c r="F11" s="1419"/>
    </row>
    <row r="12" spans="2:6" ht="47.5" customHeight="1" thickBot="1">
      <c r="B12" s="592" t="s">
        <v>395</v>
      </c>
      <c r="C12" s="590"/>
      <c r="F12" s="1419"/>
    </row>
    <row r="13" spans="2:6" ht="15" thickBot="1">
      <c r="B13" s="31" t="s">
        <v>227</v>
      </c>
      <c r="C13" s="595"/>
    </row>
    <row r="14" spans="2:6" ht="46.75" customHeight="1" thickBot="1">
      <c r="B14" s="596" t="s">
        <v>98</v>
      </c>
      <c r="C14" s="597"/>
    </row>
    <row r="15" spans="2:6" ht="15" thickBot="1">
      <c r="B15" s="31" t="s">
        <v>396</v>
      </c>
      <c r="C15" s="598"/>
    </row>
    <row r="16" spans="2:6" ht="47.5" customHeight="1">
      <c r="B16" s="601" t="s">
        <v>397</v>
      </c>
      <c r="C16" s="599"/>
    </row>
    <row r="17" spans="2:3" ht="47.5" customHeight="1" thickBot="1">
      <c r="B17" s="602" t="s">
        <v>132</v>
      </c>
      <c r="C17" s="600"/>
    </row>
  </sheetData>
  <mergeCells count="2">
    <mergeCell ref="F6:F8"/>
    <mergeCell ref="F11:F12"/>
  </mergeCells>
  <pageMargins left="0.7" right="0.7" top="0.75" bottom="0.75" header="0.3" footer="0.3"/>
  <headerFooter>
    <oddFooter>&amp;C_x000D_&amp;1#&amp;"Calibri"&amp;22&amp;K0073CF INTERNAL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7E8FA-1C67-4A36-BC61-C6E703B395EE}">
  <sheetPr codeName="Sheet14">
    <tabColor rgb="FFFFFF00"/>
  </sheetPr>
  <dimension ref="A1:K87"/>
  <sheetViews>
    <sheetView zoomScaleNormal="100" workbookViewId="0">
      <selection activeCell="B87" sqref="B87"/>
    </sheetView>
  </sheetViews>
  <sheetFormatPr defaultRowHeight="14.5"/>
  <cols>
    <col min="1" max="1" width="39" customWidth="1"/>
    <col min="2" max="2" width="19.81640625" customWidth="1"/>
    <col min="3" max="3" width="21.54296875" customWidth="1"/>
    <col min="4" max="4" width="19" customWidth="1"/>
    <col min="5" max="5" width="17.1796875" customWidth="1"/>
    <col min="6" max="6" width="18.7265625" customWidth="1"/>
    <col min="7" max="7" width="19.1796875" customWidth="1"/>
    <col min="8" max="8" width="15.26953125" customWidth="1"/>
    <col min="9" max="9" width="18" customWidth="1"/>
    <col min="10" max="10" width="16.1796875" customWidth="1"/>
    <col min="11" max="11" width="15.26953125" customWidth="1"/>
    <col min="13" max="13" width="20.7265625" customWidth="1"/>
  </cols>
  <sheetData>
    <row r="1" spans="1:11" ht="43.5">
      <c r="A1" s="780" t="s">
        <v>398</v>
      </c>
      <c r="C1" s="320" t="s">
        <v>399</v>
      </c>
    </row>
    <row r="3" spans="1:11" ht="16.5" thickBot="1">
      <c r="A3" s="781" t="s">
        <v>400</v>
      </c>
      <c r="B3" s="642"/>
      <c r="C3" s="642"/>
      <c r="D3" s="642"/>
      <c r="E3" s="642"/>
      <c r="F3" s="642"/>
      <c r="G3" s="642"/>
      <c r="H3" s="642"/>
      <c r="I3" s="650"/>
      <c r="J3" s="642"/>
      <c r="K3" s="642"/>
    </row>
    <row r="4" spans="1:11" ht="24.65" customHeight="1">
      <c r="A4" s="1425" t="s">
        <v>401</v>
      </c>
      <c r="B4" s="784" t="s">
        <v>402</v>
      </c>
      <c r="C4" s="785" t="s">
        <v>403</v>
      </c>
      <c r="D4" s="1422" t="s">
        <v>404</v>
      </c>
      <c r="E4" s="1422" t="s">
        <v>405</v>
      </c>
      <c r="F4" s="1422" t="s">
        <v>406</v>
      </c>
      <c r="G4" s="1422" t="s">
        <v>407</v>
      </c>
      <c r="H4" s="1422" t="s">
        <v>408</v>
      </c>
      <c r="I4" s="784" t="s">
        <v>409</v>
      </c>
      <c r="J4" s="1422" t="s">
        <v>410</v>
      </c>
      <c r="K4" s="1420" t="s">
        <v>411</v>
      </c>
    </row>
    <row r="5" spans="1:11" ht="13.75" customHeight="1" thickBot="1">
      <c r="A5" s="1426"/>
      <c r="B5" s="786" t="s">
        <v>412</v>
      </c>
      <c r="C5" s="787" t="s">
        <v>413</v>
      </c>
      <c r="D5" s="1424"/>
      <c r="E5" s="1424"/>
      <c r="F5" s="1424"/>
      <c r="G5" s="1424"/>
      <c r="H5" s="1424"/>
      <c r="I5" s="786" t="s">
        <v>412</v>
      </c>
      <c r="J5" s="1424"/>
      <c r="K5" s="1421"/>
    </row>
    <row r="6" spans="1:11" ht="15" thickBot="1">
      <c r="A6" s="686" t="s">
        <v>401</v>
      </c>
      <c r="B6" s="788" t="s">
        <v>194</v>
      </c>
      <c r="C6" s="789" t="s">
        <v>195</v>
      </c>
      <c r="D6" s="790" t="s">
        <v>196</v>
      </c>
      <c r="E6" s="790" t="s">
        <v>241</v>
      </c>
      <c r="F6" s="790" t="s">
        <v>242</v>
      </c>
      <c r="G6" s="790" t="s">
        <v>198</v>
      </c>
      <c r="H6" s="790" t="s">
        <v>199</v>
      </c>
      <c r="I6" s="789" t="s">
        <v>200</v>
      </c>
      <c r="J6" s="790" t="s">
        <v>414</v>
      </c>
      <c r="K6" s="790" t="s">
        <v>201</v>
      </c>
    </row>
    <row r="7" spans="1:11" ht="24">
      <c r="A7" s="739" t="s">
        <v>401</v>
      </c>
      <c r="B7" s="740" t="s">
        <v>415</v>
      </c>
      <c r="C7" s="740" t="s">
        <v>416</v>
      </c>
      <c r="D7" s="740" t="s">
        <v>417</v>
      </c>
      <c r="E7" s="740" t="s">
        <v>416</v>
      </c>
      <c r="F7" s="740" t="s">
        <v>418</v>
      </c>
      <c r="G7" s="740" t="s">
        <v>419</v>
      </c>
      <c r="H7" s="740" t="s">
        <v>420</v>
      </c>
      <c r="I7" s="740" t="s">
        <v>416</v>
      </c>
      <c r="J7" s="740" t="s">
        <v>421</v>
      </c>
      <c r="K7" s="740" t="s">
        <v>422</v>
      </c>
    </row>
    <row r="8" spans="1:11">
      <c r="A8" s="741" t="s">
        <v>423</v>
      </c>
      <c r="B8" s="742" t="s">
        <v>401</v>
      </c>
      <c r="C8" s="743"/>
      <c r="D8" s="742" t="s">
        <v>401</v>
      </c>
      <c r="E8" s="744"/>
      <c r="F8" s="413"/>
      <c r="G8" s="413"/>
      <c r="H8" s="742" t="s">
        <v>401</v>
      </c>
      <c r="I8" s="742" t="s">
        <v>401</v>
      </c>
      <c r="J8" s="742" t="s">
        <v>401</v>
      </c>
      <c r="K8" s="742" t="s">
        <v>401</v>
      </c>
    </row>
    <row r="9" spans="1:11">
      <c r="A9" s="741" t="s">
        <v>91</v>
      </c>
      <c r="B9" s="745" t="s">
        <v>401</v>
      </c>
      <c r="C9" s="746"/>
      <c r="D9" s="745" t="s">
        <v>401</v>
      </c>
      <c r="E9" s="744"/>
      <c r="F9" s="413"/>
      <c r="G9" s="413"/>
      <c r="H9" s="745" t="s">
        <v>401</v>
      </c>
      <c r="I9" s="745" t="s">
        <v>401</v>
      </c>
      <c r="J9" s="745" t="s">
        <v>401</v>
      </c>
      <c r="K9" s="745" t="s">
        <v>401</v>
      </c>
    </row>
    <row r="10" spans="1:11">
      <c r="A10" s="741" t="s">
        <v>424</v>
      </c>
      <c r="B10" s="745" t="s">
        <v>401</v>
      </c>
      <c r="C10" s="746"/>
      <c r="D10" s="745" t="s">
        <v>401</v>
      </c>
      <c r="E10" s="744"/>
      <c r="F10" s="413"/>
      <c r="G10" s="413"/>
      <c r="H10" s="745" t="s">
        <v>401</v>
      </c>
      <c r="I10" s="745" t="s">
        <v>401</v>
      </c>
      <c r="J10" s="745" t="s">
        <v>401</v>
      </c>
      <c r="K10" s="745" t="s">
        <v>401</v>
      </c>
    </row>
    <row r="11" spans="1:11">
      <c r="A11" s="741" t="s">
        <v>425</v>
      </c>
      <c r="B11" s="745" t="s">
        <v>401</v>
      </c>
      <c r="C11" s="746"/>
      <c r="D11" s="745" t="s">
        <v>401</v>
      </c>
      <c r="E11" s="744"/>
      <c r="F11" s="413"/>
      <c r="G11" s="413"/>
      <c r="H11" s="745" t="s">
        <v>401</v>
      </c>
      <c r="I11" s="745" t="s">
        <v>401</v>
      </c>
      <c r="J11" s="745" t="s">
        <v>401</v>
      </c>
      <c r="K11" s="745" t="s">
        <v>401</v>
      </c>
    </row>
    <row r="12" spans="1:11">
      <c r="A12" s="747" t="s">
        <v>426</v>
      </c>
      <c r="B12" s="748" t="s">
        <v>401</v>
      </c>
      <c r="C12" s="749">
        <f>SUM(C8:C11)</f>
        <v>0</v>
      </c>
      <c r="D12" s="748" t="s">
        <v>401</v>
      </c>
      <c r="E12" s="750">
        <f>SUM(E8:E11)</f>
        <v>0</v>
      </c>
      <c r="F12" s="751"/>
      <c r="G12" s="751"/>
      <c r="H12" s="748" t="s">
        <v>401</v>
      </c>
      <c r="I12" s="748" t="s">
        <v>401</v>
      </c>
      <c r="J12" s="748" t="s">
        <v>401</v>
      </c>
      <c r="K12" s="748" t="s">
        <v>401</v>
      </c>
    </row>
    <row r="13" spans="1:11">
      <c r="A13" s="741" t="s">
        <v>427</v>
      </c>
      <c r="B13" s="745" t="s">
        <v>401</v>
      </c>
      <c r="C13" s="746"/>
      <c r="D13" s="745" t="s">
        <v>401</v>
      </c>
      <c r="E13" s="744"/>
      <c r="F13" s="413"/>
      <c r="G13" s="413"/>
      <c r="H13" s="745" t="s">
        <v>401</v>
      </c>
      <c r="I13" s="745" t="s">
        <v>401</v>
      </c>
      <c r="J13" s="745" t="s">
        <v>401</v>
      </c>
      <c r="K13" s="745" t="s">
        <v>401</v>
      </c>
    </row>
    <row r="14" spans="1:11">
      <c r="A14" s="747" t="s">
        <v>428</v>
      </c>
      <c r="B14" s="745"/>
      <c r="C14" s="752">
        <f>C12+C13</f>
        <v>0</v>
      </c>
      <c r="D14" s="745"/>
      <c r="E14" s="526">
        <f>E12+E13</f>
        <v>0</v>
      </c>
      <c r="F14" s="413"/>
      <c r="G14" s="413"/>
      <c r="H14" s="745"/>
      <c r="I14" s="745"/>
      <c r="J14" s="745"/>
      <c r="K14" s="745"/>
    </row>
    <row r="15" spans="1:11">
      <c r="A15" s="741" t="s">
        <v>429</v>
      </c>
      <c r="B15" s="745" t="s">
        <v>401</v>
      </c>
      <c r="C15" s="746"/>
      <c r="D15" s="745" t="s">
        <v>401</v>
      </c>
      <c r="E15" s="744"/>
      <c r="F15" s="413"/>
      <c r="G15" s="413"/>
      <c r="H15" s="745" t="s">
        <v>401</v>
      </c>
      <c r="I15" s="745" t="s">
        <v>401</v>
      </c>
      <c r="J15" s="745" t="s">
        <v>401</v>
      </c>
      <c r="K15" s="745" t="s">
        <v>401</v>
      </c>
    </row>
    <row r="16" spans="1:11">
      <c r="A16" s="747" t="s">
        <v>430</v>
      </c>
      <c r="B16" s="749"/>
      <c r="C16" s="749">
        <f>C14-C15</f>
        <v>0</v>
      </c>
      <c r="D16" s="749">
        <f>C16*3.41*2.471449518</f>
        <v>0</v>
      </c>
      <c r="E16" s="750">
        <f>E14-E15</f>
        <v>0</v>
      </c>
      <c r="F16" s="753">
        <f>(E16/10)/(1-0.05)</f>
        <v>0</v>
      </c>
      <c r="G16" s="753">
        <f>D16+F16</f>
        <v>0</v>
      </c>
      <c r="H16" s="754" t="e">
        <f>D16/B16</f>
        <v>#DIV/0!</v>
      </c>
      <c r="I16" s="755"/>
      <c r="J16" s="749" t="e">
        <f>H16+I16</f>
        <v>#DIV/0!</v>
      </c>
      <c r="K16" s="754" t="e">
        <f>J16/B16</f>
        <v>#DIV/0!</v>
      </c>
    </row>
    <row r="17" spans="1:8">
      <c r="A17" s="643"/>
      <c r="B17" s="642"/>
      <c r="C17" s="642"/>
      <c r="D17" s="642"/>
      <c r="E17" s="642"/>
      <c r="F17" s="642"/>
      <c r="G17" s="642"/>
      <c r="H17" s="642"/>
    </row>
    <row r="18" spans="1:8">
      <c r="A18" s="643"/>
      <c r="B18" s="642"/>
      <c r="C18" s="642"/>
      <c r="D18" s="642"/>
      <c r="E18" s="642"/>
      <c r="F18" s="650"/>
      <c r="G18" s="642"/>
      <c r="H18" s="642"/>
    </row>
    <row r="19" spans="1:8" ht="16.5" thickBot="1">
      <c r="A19" s="781" t="s">
        <v>431</v>
      </c>
      <c r="B19" s="642"/>
      <c r="C19" s="642"/>
      <c r="D19" s="642"/>
      <c r="E19" s="642"/>
    </row>
    <row r="20" spans="1:8" ht="43.5" customHeight="1">
      <c r="A20" s="1425" t="s">
        <v>401</v>
      </c>
      <c r="B20" s="784" t="s">
        <v>432</v>
      </c>
      <c r="C20" s="785" t="s">
        <v>433</v>
      </c>
      <c r="D20" s="1420" t="s">
        <v>434</v>
      </c>
      <c r="E20" s="1430" t="s">
        <v>401</v>
      </c>
      <c r="F20" s="1429"/>
      <c r="G20" s="1429"/>
      <c r="H20" s="1429"/>
    </row>
    <row r="21" spans="1:8" ht="15" thickBot="1">
      <c r="A21" s="1426"/>
      <c r="B21" s="786" t="s">
        <v>435</v>
      </c>
      <c r="C21" s="787" t="s">
        <v>435</v>
      </c>
      <c r="D21" s="1421"/>
      <c r="E21" s="1430"/>
      <c r="F21" s="1429"/>
      <c r="G21" s="1429"/>
      <c r="H21" s="1429"/>
    </row>
    <row r="22" spans="1:8" ht="15" thickBot="1">
      <c r="A22" s="686" t="s">
        <v>401</v>
      </c>
      <c r="B22" s="784" t="s">
        <v>194</v>
      </c>
      <c r="C22" s="785" t="s">
        <v>195</v>
      </c>
      <c r="D22" s="787" t="s">
        <v>196</v>
      </c>
      <c r="E22" s="642"/>
      <c r="F22" s="642"/>
      <c r="G22" s="642"/>
      <c r="H22" s="642"/>
    </row>
    <row r="23" spans="1:8">
      <c r="A23" s="739" t="s">
        <v>401</v>
      </c>
      <c r="B23" s="784" t="s">
        <v>415</v>
      </c>
      <c r="C23" s="785" t="s">
        <v>416</v>
      </c>
      <c r="D23" s="785" t="s">
        <v>436</v>
      </c>
      <c r="E23" s="642"/>
      <c r="F23" s="642"/>
      <c r="G23" s="642"/>
      <c r="H23" s="642"/>
    </row>
    <row r="24" spans="1:8">
      <c r="A24" s="741" t="s">
        <v>91</v>
      </c>
      <c r="B24" s="742" t="s">
        <v>401</v>
      </c>
      <c r="C24" s="743" t="s">
        <v>401</v>
      </c>
      <c r="D24" s="742" t="s">
        <v>401</v>
      </c>
      <c r="E24" s="642"/>
      <c r="F24" s="642"/>
      <c r="G24" s="642"/>
      <c r="H24" s="642"/>
    </row>
    <row r="25" spans="1:8">
      <c r="A25" s="741" t="s">
        <v>427</v>
      </c>
      <c r="B25" s="745" t="s">
        <v>401</v>
      </c>
      <c r="C25" s="756" t="s">
        <v>401</v>
      </c>
      <c r="D25" s="745" t="s">
        <v>401</v>
      </c>
      <c r="E25" s="642"/>
      <c r="F25" s="642"/>
      <c r="G25" s="642"/>
      <c r="H25" s="642"/>
    </row>
    <row r="26" spans="1:8">
      <c r="A26" s="741" t="s">
        <v>424</v>
      </c>
      <c r="B26" s="745" t="s">
        <v>401</v>
      </c>
      <c r="C26" s="756"/>
      <c r="D26" s="745" t="s">
        <v>401</v>
      </c>
      <c r="E26" s="642"/>
      <c r="F26" s="642"/>
      <c r="G26" s="642"/>
      <c r="H26" s="642"/>
    </row>
    <row r="27" spans="1:8">
      <c r="A27" s="741" t="s">
        <v>437</v>
      </c>
      <c r="B27" s="745" t="s">
        <v>401</v>
      </c>
      <c r="C27" s="756"/>
      <c r="D27" s="745" t="s">
        <v>401</v>
      </c>
      <c r="E27" s="642"/>
      <c r="F27" s="642"/>
      <c r="G27" s="642"/>
      <c r="H27" s="642"/>
    </row>
    <row r="28" spans="1:8">
      <c r="A28" s="747" t="s">
        <v>438</v>
      </c>
      <c r="B28" s="748" t="s">
        <v>401</v>
      </c>
      <c r="C28" s="757">
        <f>SUM(C24:C27)</f>
        <v>0</v>
      </c>
      <c r="D28" s="748" t="s">
        <v>401</v>
      </c>
      <c r="E28" s="642"/>
      <c r="F28" s="642"/>
      <c r="G28" s="642"/>
      <c r="H28" s="642"/>
    </row>
    <row r="29" spans="1:8">
      <c r="A29" s="741" t="s">
        <v>429</v>
      </c>
      <c r="B29" s="745" t="s">
        <v>401</v>
      </c>
      <c r="C29" s="756"/>
      <c r="D29" s="745" t="s">
        <v>401</v>
      </c>
      <c r="E29" s="642"/>
      <c r="F29" s="642"/>
      <c r="G29" s="642"/>
      <c r="H29" s="642"/>
    </row>
    <row r="30" spans="1:8">
      <c r="A30" s="747" t="s">
        <v>430</v>
      </c>
      <c r="B30" s="757"/>
      <c r="C30" s="757">
        <f>C28-C29</f>
        <v>0</v>
      </c>
      <c r="D30" s="757" t="e">
        <f>C30/B30</f>
        <v>#DIV/0!</v>
      </c>
      <c r="E30" s="642"/>
      <c r="F30" s="642"/>
      <c r="G30" s="642"/>
      <c r="H30" s="642"/>
    </row>
    <row r="31" spans="1:8">
      <c r="A31" s="643"/>
      <c r="B31" s="642"/>
      <c r="C31" s="642"/>
      <c r="D31" s="642"/>
      <c r="E31" s="642"/>
      <c r="F31" s="642"/>
      <c r="G31" s="642"/>
      <c r="H31" s="642"/>
    </row>
    <row r="32" spans="1:8">
      <c r="A32" s="643"/>
      <c r="B32" s="642"/>
      <c r="C32" s="642"/>
      <c r="D32" s="642"/>
      <c r="E32" s="642"/>
      <c r="F32" s="642"/>
      <c r="G32" s="642"/>
      <c r="H32" s="642"/>
    </row>
    <row r="33" spans="1:11">
      <c r="A33" s="643"/>
      <c r="B33" s="642"/>
      <c r="C33" s="642"/>
      <c r="D33" s="642"/>
      <c r="E33" s="642"/>
      <c r="F33" s="642"/>
      <c r="G33" s="642"/>
      <c r="H33" s="642"/>
    </row>
    <row r="34" spans="1:11" ht="16.5" thickBot="1">
      <c r="A34" s="781" t="s">
        <v>439</v>
      </c>
      <c r="B34" s="642"/>
      <c r="C34" s="642"/>
      <c r="D34" s="642"/>
      <c r="E34" s="642"/>
      <c r="F34" s="642"/>
      <c r="G34" s="642"/>
      <c r="H34" s="642"/>
      <c r="I34" s="642"/>
      <c r="J34" s="642"/>
      <c r="K34" s="642"/>
    </row>
    <row r="35" spans="1:11" ht="39" customHeight="1">
      <c r="A35" s="1425" t="s">
        <v>401</v>
      </c>
      <c r="B35" s="784" t="s">
        <v>440</v>
      </c>
      <c r="C35" s="1422" t="s">
        <v>441</v>
      </c>
      <c r="D35" s="1422" t="s">
        <v>442</v>
      </c>
      <c r="E35" s="1422" t="s">
        <v>443</v>
      </c>
      <c r="F35" s="1422" t="s">
        <v>444</v>
      </c>
      <c r="G35" s="1422" t="s">
        <v>445</v>
      </c>
      <c r="H35" s="1422" t="s">
        <v>446</v>
      </c>
      <c r="I35" s="784" t="s">
        <v>447</v>
      </c>
      <c r="J35" s="785" t="s">
        <v>448</v>
      </c>
      <c r="K35" s="1420" t="s">
        <v>449</v>
      </c>
    </row>
    <row r="36" spans="1:11" ht="14.5" customHeight="1" thickBot="1">
      <c r="A36" s="1426"/>
      <c r="B36" s="786" t="s">
        <v>412</v>
      </c>
      <c r="C36" s="1424"/>
      <c r="D36" s="1424"/>
      <c r="E36" s="1424"/>
      <c r="F36" s="1424"/>
      <c r="G36" s="1424"/>
      <c r="H36" s="1424"/>
      <c r="I36" s="786" t="s">
        <v>412</v>
      </c>
      <c r="J36" s="787" t="s">
        <v>412</v>
      </c>
      <c r="K36" s="1421"/>
    </row>
    <row r="37" spans="1:11" ht="15" thickBot="1">
      <c r="A37" s="686" t="s">
        <v>401</v>
      </c>
      <c r="B37" s="784" t="s">
        <v>194</v>
      </c>
      <c r="C37" s="787" t="s">
        <v>195</v>
      </c>
      <c r="D37" s="787" t="s">
        <v>196</v>
      </c>
      <c r="E37" s="787" t="s">
        <v>241</v>
      </c>
      <c r="F37" s="787" t="s">
        <v>242</v>
      </c>
      <c r="G37" s="787" t="s">
        <v>198</v>
      </c>
      <c r="H37" s="787" t="s">
        <v>199</v>
      </c>
      <c r="I37" s="785" t="s">
        <v>200</v>
      </c>
      <c r="J37" s="785" t="s">
        <v>414</v>
      </c>
      <c r="K37" s="790" t="s">
        <v>201</v>
      </c>
    </row>
    <row r="38" spans="1:11" ht="24.5">
      <c r="A38" s="739" t="s">
        <v>401</v>
      </c>
      <c r="B38" s="784" t="s">
        <v>415</v>
      </c>
      <c r="C38" s="785" t="s">
        <v>416</v>
      </c>
      <c r="D38" s="784" t="s">
        <v>417</v>
      </c>
      <c r="E38" s="740" t="s">
        <v>416</v>
      </c>
      <c r="F38" s="740" t="s">
        <v>418</v>
      </c>
      <c r="G38" s="740" t="s">
        <v>419</v>
      </c>
      <c r="H38" s="740" t="s">
        <v>420</v>
      </c>
      <c r="I38" s="740" t="s">
        <v>416</v>
      </c>
      <c r="J38" s="740" t="s">
        <v>421</v>
      </c>
      <c r="K38" s="740" t="s">
        <v>422</v>
      </c>
    </row>
    <row r="39" spans="1:11">
      <c r="A39" s="741" t="s">
        <v>91</v>
      </c>
      <c r="B39" s="742" t="s">
        <v>401</v>
      </c>
      <c r="C39" s="758"/>
      <c r="D39" s="742" t="s">
        <v>401</v>
      </c>
      <c r="E39" s="744"/>
      <c r="F39" s="413"/>
      <c r="G39" s="413"/>
      <c r="H39" s="742" t="s">
        <v>401</v>
      </c>
      <c r="I39" s="742" t="s">
        <v>401</v>
      </c>
      <c r="J39" s="742" t="s">
        <v>401</v>
      </c>
      <c r="K39" s="742" t="s">
        <v>401</v>
      </c>
    </row>
    <row r="40" spans="1:11">
      <c r="A40" s="741" t="s">
        <v>424</v>
      </c>
      <c r="B40" s="745" t="s">
        <v>401</v>
      </c>
      <c r="C40" s="746"/>
      <c r="D40" s="745" t="s">
        <v>401</v>
      </c>
      <c r="E40" s="744"/>
      <c r="F40" s="413"/>
      <c r="G40" s="413"/>
      <c r="H40" s="745" t="s">
        <v>401</v>
      </c>
      <c r="I40" s="745" t="s">
        <v>401</v>
      </c>
      <c r="J40" s="745" t="s">
        <v>401</v>
      </c>
      <c r="K40" s="745" t="s">
        <v>401</v>
      </c>
    </row>
    <row r="41" spans="1:11">
      <c r="A41" s="741" t="s">
        <v>437</v>
      </c>
      <c r="B41" s="745" t="s">
        <v>401</v>
      </c>
      <c r="C41" s="746"/>
      <c r="D41" s="745" t="s">
        <v>401</v>
      </c>
      <c r="E41" s="744"/>
      <c r="F41" s="413"/>
      <c r="G41" s="413"/>
      <c r="H41" s="745" t="s">
        <v>401</v>
      </c>
      <c r="I41" s="745" t="s">
        <v>401</v>
      </c>
      <c r="J41" s="745" t="s">
        <v>401</v>
      </c>
      <c r="K41" s="745" t="s">
        <v>401</v>
      </c>
    </row>
    <row r="42" spans="1:11">
      <c r="A42" s="747" t="s">
        <v>426</v>
      </c>
      <c r="B42" s="748" t="s">
        <v>401</v>
      </c>
      <c r="C42" s="749">
        <f>SUM(C39:C41)</f>
        <v>0</v>
      </c>
      <c r="D42" s="748" t="s">
        <v>401</v>
      </c>
      <c r="E42" s="750">
        <f>SUM(E39:E41)</f>
        <v>0</v>
      </c>
      <c r="F42" s="751"/>
      <c r="G42" s="751"/>
      <c r="H42" s="748" t="s">
        <v>401</v>
      </c>
      <c r="I42" s="748" t="s">
        <v>401</v>
      </c>
      <c r="J42" s="748" t="s">
        <v>401</v>
      </c>
      <c r="K42" s="748" t="s">
        <v>401</v>
      </c>
    </row>
    <row r="43" spans="1:11">
      <c r="A43" s="741" t="s">
        <v>427</v>
      </c>
      <c r="B43" s="745" t="s">
        <v>401</v>
      </c>
      <c r="C43" s="746"/>
      <c r="D43" s="745" t="s">
        <v>401</v>
      </c>
      <c r="E43" s="744"/>
      <c r="F43" s="413"/>
      <c r="G43" s="413"/>
      <c r="H43" s="745" t="s">
        <v>401</v>
      </c>
      <c r="I43" s="745" t="s">
        <v>401</v>
      </c>
      <c r="J43" s="745" t="s">
        <v>401</v>
      </c>
      <c r="K43" s="745" t="s">
        <v>401</v>
      </c>
    </row>
    <row r="44" spans="1:11">
      <c r="A44" s="747" t="s">
        <v>428</v>
      </c>
      <c r="B44" s="748"/>
      <c r="C44" s="749">
        <f>C42+C43</f>
        <v>0</v>
      </c>
      <c r="D44" s="748"/>
      <c r="E44" s="526">
        <f>E43+E42</f>
        <v>0</v>
      </c>
      <c r="F44" s="413"/>
      <c r="G44" s="413"/>
      <c r="H44" s="748"/>
      <c r="I44" s="748"/>
      <c r="J44" s="748"/>
      <c r="K44" s="748"/>
    </row>
    <row r="45" spans="1:11">
      <c r="A45" s="741" t="s">
        <v>429</v>
      </c>
      <c r="B45" s="745" t="s">
        <v>401</v>
      </c>
      <c r="C45" s="746"/>
      <c r="D45" s="745" t="s">
        <v>401</v>
      </c>
      <c r="E45" s="744"/>
      <c r="F45" s="413"/>
      <c r="G45" s="413"/>
      <c r="H45" s="745" t="s">
        <v>401</v>
      </c>
      <c r="I45" s="745" t="s">
        <v>401</v>
      </c>
      <c r="J45" s="745" t="s">
        <v>401</v>
      </c>
      <c r="K45" s="745" t="s">
        <v>401</v>
      </c>
    </row>
    <row r="46" spans="1:11">
      <c r="A46" s="747" t="s">
        <v>430</v>
      </c>
      <c r="B46" s="749"/>
      <c r="C46" s="749">
        <f>C44-C45</f>
        <v>0</v>
      </c>
      <c r="D46" s="749">
        <f>C46*3.41*2.37402092509726</f>
        <v>0</v>
      </c>
      <c r="E46" s="750">
        <f>E44-E45</f>
        <v>0</v>
      </c>
      <c r="F46" s="753">
        <f>(E46/10)/(1-0.05)</f>
        <v>0</v>
      </c>
      <c r="G46" s="753">
        <f>D46+F46</f>
        <v>0</v>
      </c>
      <c r="H46" s="754" t="e">
        <f>D46/B46</f>
        <v>#DIV/0!</v>
      </c>
      <c r="I46" s="755"/>
      <c r="J46" s="749" t="e">
        <f>H46+I46</f>
        <v>#DIV/0!</v>
      </c>
      <c r="K46" s="754" t="e">
        <f>J46/B46</f>
        <v>#DIV/0!</v>
      </c>
    </row>
    <row r="47" spans="1:11">
      <c r="A47" s="643"/>
      <c r="B47" s="642"/>
      <c r="C47" s="642"/>
      <c r="D47" s="642"/>
      <c r="E47" s="642"/>
      <c r="F47" s="642"/>
      <c r="G47" s="642"/>
      <c r="H47" s="642"/>
    </row>
    <row r="48" spans="1:11">
      <c r="A48" s="643"/>
      <c r="B48" s="642"/>
      <c r="C48" s="642"/>
      <c r="D48" s="642"/>
      <c r="E48" s="642"/>
      <c r="F48" s="642"/>
      <c r="G48" s="642"/>
      <c r="H48" s="642"/>
    </row>
    <row r="49" spans="1:11" ht="16">
      <c r="A49" s="799" t="s">
        <v>450</v>
      </c>
      <c r="B49" s="642"/>
      <c r="C49" s="642"/>
      <c r="D49" s="642"/>
      <c r="E49" s="642"/>
      <c r="F49" s="642"/>
      <c r="G49" s="642"/>
      <c r="H49" s="642"/>
      <c r="I49" s="642"/>
      <c r="J49" s="642"/>
      <c r="K49" s="642"/>
    </row>
    <row r="50" spans="1:11" ht="41.25" customHeight="1">
      <c r="A50" s="1425" t="s">
        <v>401</v>
      </c>
      <c r="B50" s="784" t="s">
        <v>451</v>
      </c>
      <c r="C50" s="1422" t="s">
        <v>452</v>
      </c>
      <c r="D50" s="1422" t="s">
        <v>453</v>
      </c>
      <c r="E50" s="1422" t="s">
        <v>443</v>
      </c>
      <c r="F50" s="1422" t="s">
        <v>444</v>
      </c>
      <c r="G50" s="1422" t="s">
        <v>454</v>
      </c>
      <c r="H50" s="1422" t="s">
        <v>455</v>
      </c>
      <c r="I50" s="784" t="s">
        <v>456</v>
      </c>
      <c r="J50" s="785" t="s">
        <v>457</v>
      </c>
      <c r="K50" s="1420" t="s">
        <v>458</v>
      </c>
    </row>
    <row r="51" spans="1:11" ht="39" customHeight="1" thickBot="1">
      <c r="A51" s="1426"/>
      <c r="B51" s="786" t="s">
        <v>412</v>
      </c>
      <c r="C51" s="1424"/>
      <c r="D51" s="1424"/>
      <c r="E51" s="1424"/>
      <c r="F51" s="1424"/>
      <c r="G51" s="1424"/>
      <c r="H51" s="1424"/>
      <c r="I51" s="786" t="s">
        <v>412</v>
      </c>
      <c r="J51" s="787" t="s">
        <v>412</v>
      </c>
      <c r="K51" s="1421"/>
    </row>
    <row r="52" spans="1:11" ht="15" thickBot="1">
      <c r="A52" s="686" t="s">
        <v>401</v>
      </c>
      <c r="B52" s="784" t="s">
        <v>194</v>
      </c>
      <c r="C52" s="787" t="s">
        <v>195</v>
      </c>
      <c r="D52" s="787" t="s">
        <v>196</v>
      </c>
      <c r="E52" s="787" t="s">
        <v>241</v>
      </c>
      <c r="F52" s="787" t="s">
        <v>242</v>
      </c>
      <c r="G52" s="787" t="s">
        <v>198</v>
      </c>
      <c r="H52" s="787" t="s">
        <v>199</v>
      </c>
      <c r="I52" s="785" t="s">
        <v>200</v>
      </c>
      <c r="J52" s="785" t="s">
        <v>414</v>
      </c>
      <c r="K52" s="790" t="s">
        <v>201</v>
      </c>
    </row>
    <row r="53" spans="1:11" ht="24.5">
      <c r="A53" s="739" t="s">
        <v>401</v>
      </c>
      <c r="B53" s="784" t="s">
        <v>415</v>
      </c>
      <c r="C53" s="785" t="s">
        <v>416</v>
      </c>
      <c r="D53" s="784" t="s">
        <v>417</v>
      </c>
      <c r="E53" s="740" t="s">
        <v>416</v>
      </c>
      <c r="F53" s="740" t="s">
        <v>418</v>
      </c>
      <c r="G53" s="740" t="s">
        <v>419</v>
      </c>
      <c r="H53" s="740" t="s">
        <v>420</v>
      </c>
      <c r="I53" s="740" t="s">
        <v>416</v>
      </c>
      <c r="J53" s="740" t="s">
        <v>421</v>
      </c>
      <c r="K53" s="740" t="s">
        <v>422</v>
      </c>
    </row>
    <row r="54" spans="1:11">
      <c r="A54" s="741" t="s">
        <v>91</v>
      </c>
      <c r="B54" s="742" t="s">
        <v>401</v>
      </c>
      <c r="C54" s="758"/>
      <c r="D54" s="742" t="s">
        <v>401</v>
      </c>
      <c r="E54" s="744"/>
      <c r="F54" s="413"/>
      <c r="G54" s="413"/>
      <c r="H54" s="742" t="s">
        <v>401</v>
      </c>
      <c r="I54" s="742" t="s">
        <v>401</v>
      </c>
      <c r="J54" s="742" t="s">
        <v>401</v>
      </c>
      <c r="K54" s="742" t="s">
        <v>401</v>
      </c>
    </row>
    <row r="55" spans="1:11">
      <c r="A55" s="741" t="s">
        <v>424</v>
      </c>
      <c r="B55" s="745" t="s">
        <v>401</v>
      </c>
      <c r="C55" s="746"/>
      <c r="D55" s="745" t="s">
        <v>401</v>
      </c>
      <c r="E55" s="744"/>
      <c r="F55" s="413"/>
      <c r="G55" s="413"/>
      <c r="H55" s="745" t="s">
        <v>401</v>
      </c>
      <c r="I55" s="745" t="s">
        <v>401</v>
      </c>
      <c r="J55" s="745" t="s">
        <v>401</v>
      </c>
      <c r="K55" s="745" t="s">
        <v>401</v>
      </c>
    </row>
    <row r="56" spans="1:11">
      <c r="A56" s="741" t="s">
        <v>437</v>
      </c>
      <c r="B56" s="745" t="s">
        <v>401</v>
      </c>
      <c r="C56" s="746"/>
      <c r="D56" s="745" t="s">
        <v>401</v>
      </c>
      <c r="E56" s="744"/>
      <c r="F56" s="413"/>
      <c r="G56" s="413"/>
      <c r="H56" s="745" t="s">
        <v>401</v>
      </c>
      <c r="I56" s="745" t="s">
        <v>401</v>
      </c>
      <c r="J56" s="745" t="s">
        <v>401</v>
      </c>
      <c r="K56" s="745" t="s">
        <v>401</v>
      </c>
    </row>
    <row r="57" spans="1:11">
      <c r="A57" s="747" t="s">
        <v>426</v>
      </c>
      <c r="B57" s="748" t="s">
        <v>401</v>
      </c>
      <c r="C57" s="749"/>
      <c r="D57" s="748" t="s">
        <v>401</v>
      </c>
      <c r="E57" s="750">
        <f>SUM(E54:E56)</f>
        <v>0</v>
      </c>
      <c r="F57" s="751"/>
      <c r="G57" s="751"/>
      <c r="H57" s="748" t="s">
        <v>401</v>
      </c>
      <c r="I57" s="748" t="s">
        <v>401</v>
      </c>
      <c r="J57" s="748" t="s">
        <v>401</v>
      </c>
      <c r="K57" s="748" t="s">
        <v>401</v>
      </c>
    </row>
    <row r="58" spans="1:11">
      <c r="A58" s="741" t="s">
        <v>427</v>
      </c>
      <c r="B58" s="745" t="s">
        <v>401</v>
      </c>
      <c r="C58" s="746"/>
      <c r="D58" s="745" t="s">
        <v>401</v>
      </c>
      <c r="E58" s="744"/>
      <c r="F58" s="413"/>
      <c r="G58" s="413"/>
      <c r="H58" s="745" t="s">
        <v>401</v>
      </c>
      <c r="I58" s="745" t="s">
        <v>401</v>
      </c>
      <c r="J58" s="745" t="s">
        <v>401</v>
      </c>
      <c r="K58" s="745" t="s">
        <v>401</v>
      </c>
    </row>
    <row r="59" spans="1:11">
      <c r="A59" s="747" t="s">
        <v>428</v>
      </c>
      <c r="B59" s="748"/>
      <c r="C59" s="749">
        <f>C57+C58</f>
        <v>0</v>
      </c>
      <c r="D59" s="748"/>
      <c r="E59" s="526">
        <f>E57+E58</f>
        <v>0</v>
      </c>
      <c r="F59" s="413"/>
      <c r="G59" s="413"/>
      <c r="H59" s="748"/>
      <c r="I59" s="748"/>
      <c r="J59" s="748"/>
      <c r="K59" s="748"/>
    </row>
    <row r="60" spans="1:11">
      <c r="A60" s="741" t="s">
        <v>429</v>
      </c>
      <c r="B60" s="745" t="s">
        <v>401</v>
      </c>
      <c r="C60" s="746"/>
      <c r="D60" s="745" t="s">
        <v>401</v>
      </c>
      <c r="E60" s="744"/>
      <c r="F60" s="413"/>
      <c r="G60" s="413"/>
      <c r="H60" s="745" t="s">
        <v>401</v>
      </c>
      <c r="I60" s="745" t="s">
        <v>401</v>
      </c>
      <c r="J60" s="745" t="s">
        <v>401</v>
      </c>
      <c r="K60" s="745" t="s">
        <v>401</v>
      </c>
    </row>
    <row r="61" spans="1:11">
      <c r="A61" s="747" t="s">
        <v>430</v>
      </c>
      <c r="B61" s="749"/>
      <c r="C61" s="749">
        <f>C59-C60</f>
        <v>0</v>
      </c>
      <c r="D61" s="749">
        <f>C61*3.41*2.359317</f>
        <v>0</v>
      </c>
      <c r="E61" s="750">
        <f>E59-E60</f>
        <v>0</v>
      </c>
      <c r="F61" s="753">
        <f>(E61/10)/(1-0.05)</f>
        <v>0</v>
      </c>
      <c r="G61" s="753">
        <f>D61+F61</f>
        <v>0</v>
      </c>
      <c r="H61" s="754" t="e">
        <f>D61/B61</f>
        <v>#DIV/0!</v>
      </c>
      <c r="I61" s="755"/>
      <c r="J61" s="749">
        <f>G61+I61</f>
        <v>0</v>
      </c>
      <c r="K61" s="754" t="e">
        <f>J61/B61</f>
        <v>#DIV/0!</v>
      </c>
    </row>
    <row r="62" spans="1:11">
      <c r="A62" s="643"/>
      <c r="B62" s="642"/>
      <c r="C62" s="642"/>
      <c r="D62" s="642"/>
      <c r="E62" s="642"/>
      <c r="F62" s="642"/>
      <c r="G62" s="642"/>
      <c r="H62" s="642"/>
    </row>
    <row r="63" spans="1:11">
      <c r="A63" s="643"/>
      <c r="B63" s="642"/>
      <c r="C63" s="642"/>
      <c r="D63" s="642"/>
      <c r="E63" s="642"/>
      <c r="F63" s="642"/>
      <c r="G63" s="642"/>
      <c r="H63" s="642"/>
    </row>
    <row r="64" spans="1:11" ht="16.5" thickBot="1">
      <c r="A64" s="781" t="s">
        <v>459</v>
      </c>
      <c r="B64" s="642"/>
      <c r="C64" s="642"/>
      <c r="D64" s="642"/>
      <c r="E64" s="642"/>
      <c r="F64" s="642"/>
      <c r="G64" s="642"/>
      <c r="H64" s="642"/>
      <c r="I64" s="642"/>
      <c r="J64" s="642"/>
      <c r="K64" s="642"/>
    </row>
    <row r="65" spans="1:11" ht="51.75" customHeight="1">
      <c r="A65" s="1425" t="s">
        <v>401</v>
      </c>
      <c r="B65" s="784" t="s">
        <v>460</v>
      </c>
      <c r="C65" s="1422" t="s">
        <v>461</v>
      </c>
      <c r="D65" s="1422" t="s">
        <v>462</v>
      </c>
      <c r="E65" s="1422" t="s">
        <v>443</v>
      </c>
      <c r="F65" s="1422" t="s">
        <v>444</v>
      </c>
      <c r="G65" s="1422" t="s">
        <v>463</v>
      </c>
      <c r="H65" s="1422" t="s">
        <v>464</v>
      </c>
      <c r="I65" s="784" t="s">
        <v>465</v>
      </c>
      <c r="J65" s="785" t="s">
        <v>466</v>
      </c>
      <c r="K65" s="1420" t="s">
        <v>467</v>
      </c>
    </row>
    <row r="66" spans="1:11" ht="15" customHeight="1" thickBot="1">
      <c r="A66" s="1426"/>
      <c r="B66" s="786" t="s">
        <v>412</v>
      </c>
      <c r="C66" s="1424"/>
      <c r="D66" s="1424"/>
      <c r="E66" s="1423"/>
      <c r="F66" s="1423"/>
      <c r="G66" s="1423"/>
      <c r="H66" s="1424"/>
      <c r="I66" s="786" t="s">
        <v>412</v>
      </c>
      <c r="J66" s="787" t="s">
        <v>412</v>
      </c>
      <c r="K66" s="1421"/>
    </row>
    <row r="67" spans="1:11" ht="15" thickBot="1">
      <c r="A67" s="686" t="s">
        <v>401</v>
      </c>
      <c r="B67" s="784" t="s">
        <v>194</v>
      </c>
      <c r="C67" s="787" t="s">
        <v>195</v>
      </c>
      <c r="D67" s="787" t="s">
        <v>196</v>
      </c>
      <c r="E67" s="759" t="s">
        <v>241</v>
      </c>
      <c r="F67" s="759" t="s">
        <v>242</v>
      </c>
      <c r="G67" s="759" t="s">
        <v>198</v>
      </c>
      <c r="H67" s="759" t="s">
        <v>199</v>
      </c>
      <c r="I67" s="759" t="s">
        <v>200</v>
      </c>
      <c r="J67" s="759" t="s">
        <v>414</v>
      </c>
      <c r="K67" s="759" t="s">
        <v>201</v>
      </c>
    </row>
    <row r="68" spans="1:11" ht="24.5">
      <c r="A68" s="739" t="s">
        <v>401</v>
      </c>
      <c r="B68" s="784" t="s">
        <v>415</v>
      </c>
      <c r="C68" s="785" t="s">
        <v>416</v>
      </c>
      <c r="D68" s="784" t="s">
        <v>417</v>
      </c>
      <c r="E68" s="740" t="s">
        <v>416</v>
      </c>
      <c r="F68" s="740" t="s">
        <v>418</v>
      </c>
      <c r="G68" s="740" t="s">
        <v>419</v>
      </c>
      <c r="H68" s="740" t="s">
        <v>420</v>
      </c>
      <c r="I68" s="740" t="s">
        <v>416</v>
      </c>
      <c r="J68" s="740" t="s">
        <v>421</v>
      </c>
      <c r="K68" s="740" t="s">
        <v>422</v>
      </c>
    </row>
    <row r="69" spans="1:11">
      <c r="A69" s="741" t="s">
        <v>424</v>
      </c>
      <c r="B69" s="745" t="s">
        <v>401</v>
      </c>
      <c r="C69" s="746"/>
      <c r="D69" s="745" t="s">
        <v>401</v>
      </c>
      <c r="E69" s="744"/>
      <c r="F69" s="413"/>
      <c r="G69" s="413"/>
      <c r="H69" s="745" t="s">
        <v>401</v>
      </c>
      <c r="I69" s="745" t="s">
        <v>401</v>
      </c>
      <c r="J69" s="745" t="s">
        <v>401</v>
      </c>
      <c r="K69" s="745" t="s">
        <v>401</v>
      </c>
    </row>
    <row r="70" spans="1:11">
      <c r="A70" s="741" t="s">
        <v>437</v>
      </c>
      <c r="B70" s="745" t="s">
        <v>401</v>
      </c>
      <c r="C70" s="746"/>
      <c r="D70" s="745" t="s">
        <v>401</v>
      </c>
      <c r="E70" s="744"/>
      <c r="F70" s="413"/>
      <c r="G70" s="413"/>
      <c r="H70" s="745" t="s">
        <v>401</v>
      </c>
      <c r="I70" s="745" t="s">
        <v>401</v>
      </c>
      <c r="J70" s="745" t="s">
        <v>401</v>
      </c>
      <c r="K70" s="745" t="s">
        <v>401</v>
      </c>
    </row>
    <row r="71" spans="1:11">
      <c r="A71" s="747" t="s">
        <v>426</v>
      </c>
      <c r="B71" s="748" t="s">
        <v>401</v>
      </c>
      <c r="C71" s="749"/>
      <c r="D71" s="748" t="s">
        <v>401</v>
      </c>
      <c r="E71" s="750">
        <f>SUM(E69:E70)</f>
        <v>0</v>
      </c>
      <c r="F71" s="751"/>
      <c r="G71" s="751"/>
      <c r="H71" s="748" t="s">
        <v>401</v>
      </c>
      <c r="I71" s="748" t="s">
        <v>401</v>
      </c>
      <c r="J71" s="748" t="s">
        <v>401</v>
      </c>
      <c r="K71" s="748" t="s">
        <v>401</v>
      </c>
    </row>
    <row r="72" spans="1:11">
      <c r="A72" s="741" t="s">
        <v>427</v>
      </c>
      <c r="B72" s="742" t="s">
        <v>401</v>
      </c>
      <c r="C72" s="758"/>
      <c r="D72" s="742" t="s">
        <v>401</v>
      </c>
      <c r="E72" s="744"/>
      <c r="F72" s="413"/>
      <c r="G72" s="413"/>
      <c r="H72" s="742" t="s">
        <v>401</v>
      </c>
      <c r="I72" s="742" t="s">
        <v>401</v>
      </c>
      <c r="J72" s="742" t="s">
        <v>401</v>
      </c>
      <c r="K72" s="742" t="s">
        <v>401</v>
      </c>
    </row>
    <row r="73" spans="1:11">
      <c r="A73" s="747" t="s">
        <v>428</v>
      </c>
      <c r="B73" s="748"/>
      <c r="C73" s="749">
        <f>C71+C72</f>
        <v>0</v>
      </c>
      <c r="D73" s="748"/>
      <c r="E73" s="526">
        <f>E71+E72</f>
        <v>0</v>
      </c>
      <c r="F73" s="413"/>
      <c r="G73" s="413"/>
      <c r="H73" s="748"/>
      <c r="I73" s="748"/>
      <c r="J73" s="748"/>
      <c r="K73" s="748"/>
    </row>
    <row r="74" spans="1:11">
      <c r="A74" s="741" t="s">
        <v>429</v>
      </c>
      <c r="B74" s="745" t="s">
        <v>401</v>
      </c>
      <c r="C74" s="756">
        <v>0</v>
      </c>
      <c r="D74" s="745" t="s">
        <v>401</v>
      </c>
      <c r="E74" s="744"/>
      <c r="F74" s="413"/>
      <c r="G74" s="413"/>
      <c r="H74" s="745" t="s">
        <v>401</v>
      </c>
      <c r="I74" s="745" t="s">
        <v>401</v>
      </c>
      <c r="J74" s="745" t="s">
        <v>401</v>
      </c>
      <c r="K74" s="745" t="s">
        <v>401</v>
      </c>
    </row>
    <row r="75" spans="1:11">
      <c r="A75" s="747" t="s">
        <v>430</v>
      </c>
      <c r="B75" s="749"/>
      <c r="C75" s="749">
        <f>C73-C74</f>
        <v>0</v>
      </c>
      <c r="D75" s="749">
        <f>C75*3.41*2.336541</f>
        <v>0</v>
      </c>
      <c r="E75" s="750">
        <f>E73-E74</f>
        <v>0</v>
      </c>
      <c r="F75" s="753">
        <f>(E75/10)/(1-0.05)</f>
        <v>0</v>
      </c>
      <c r="G75" s="753">
        <f>D75+F75</f>
        <v>0</v>
      </c>
      <c r="H75" s="754" t="e">
        <f>D75/B75</f>
        <v>#DIV/0!</v>
      </c>
      <c r="I75" s="755"/>
      <c r="J75" s="749">
        <f>G75+I75</f>
        <v>0</v>
      </c>
      <c r="K75" s="754" t="e">
        <f>J75/B75</f>
        <v>#DIV/0!</v>
      </c>
    </row>
    <row r="76" spans="1:11">
      <c r="A76" s="643"/>
      <c r="B76" s="642"/>
      <c r="C76" s="642"/>
      <c r="D76" s="642"/>
      <c r="E76" s="642"/>
      <c r="F76" s="642"/>
      <c r="G76" s="642"/>
      <c r="H76" s="642"/>
    </row>
    <row r="77" spans="1:11">
      <c r="A77" s="643"/>
      <c r="B77" s="642"/>
      <c r="C77" s="642"/>
      <c r="D77" s="642"/>
      <c r="E77" s="642"/>
      <c r="F77" s="642"/>
      <c r="G77" s="642"/>
      <c r="H77" s="642"/>
    </row>
    <row r="78" spans="1:11" ht="16.5" thickBot="1">
      <c r="A78" s="781" t="s">
        <v>468</v>
      </c>
      <c r="B78" s="642"/>
      <c r="C78" s="642"/>
      <c r="D78" s="642"/>
      <c r="E78" s="642"/>
      <c r="F78" s="642"/>
      <c r="G78" s="642"/>
      <c r="H78" s="642"/>
      <c r="I78" s="642"/>
      <c r="J78" s="642"/>
    </row>
    <row r="79" spans="1:11" ht="30" customHeight="1">
      <c r="A79" s="1425" t="s">
        <v>401</v>
      </c>
      <c r="B79" s="1422" t="s">
        <v>469</v>
      </c>
      <c r="C79" s="1422" t="s">
        <v>470</v>
      </c>
      <c r="D79" s="1422" t="s">
        <v>441</v>
      </c>
      <c r="E79" s="1422" t="s">
        <v>442</v>
      </c>
      <c r="F79" s="1427" t="s">
        <v>443</v>
      </c>
      <c r="G79" s="1427" t="s">
        <v>471</v>
      </c>
      <c r="H79" s="1422" t="s">
        <v>463</v>
      </c>
      <c r="I79" s="1422" t="s">
        <v>472</v>
      </c>
      <c r="J79" s="1420" t="s">
        <v>473</v>
      </c>
    </row>
    <row r="80" spans="1:11" ht="68.5" customHeight="1" thickBot="1">
      <c r="A80" s="1426"/>
      <c r="B80" s="1423"/>
      <c r="C80" s="1423"/>
      <c r="D80" s="1424"/>
      <c r="E80" s="1424"/>
      <c r="F80" s="1428"/>
      <c r="G80" s="1428"/>
      <c r="H80" s="1423"/>
      <c r="I80" s="1423"/>
      <c r="J80" s="1421"/>
    </row>
    <row r="81" spans="1:10" ht="15" thickBot="1">
      <c r="A81" s="686" t="s">
        <v>401</v>
      </c>
      <c r="B81" s="784" t="s">
        <v>194</v>
      </c>
      <c r="C81" s="785" t="s">
        <v>195</v>
      </c>
      <c r="D81" s="787" t="s">
        <v>196</v>
      </c>
      <c r="E81" s="759" t="s">
        <v>241</v>
      </c>
      <c r="F81" s="759" t="s">
        <v>242</v>
      </c>
      <c r="G81" s="759" t="s">
        <v>198</v>
      </c>
      <c r="H81" s="759" t="s">
        <v>199</v>
      </c>
      <c r="I81" s="791" t="s">
        <v>200</v>
      </c>
      <c r="J81" s="791" t="s">
        <v>414</v>
      </c>
    </row>
    <row r="82" spans="1:10" ht="24.5">
      <c r="A82" s="739" t="s">
        <v>401</v>
      </c>
      <c r="B82" s="784" t="s">
        <v>415</v>
      </c>
      <c r="C82" s="785" t="s">
        <v>416</v>
      </c>
      <c r="D82" s="785" t="s">
        <v>416</v>
      </c>
      <c r="E82" s="784" t="s">
        <v>474</v>
      </c>
      <c r="F82" s="740" t="s">
        <v>416</v>
      </c>
      <c r="G82" s="740" t="s">
        <v>475</v>
      </c>
      <c r="H82" s="740" t="s">
        <v>476</v>
      </c>
      <c r="I82" s="791" t="s">
        <v>477</v>
      </c>
      <c r="J82" s="791" t="s">
        <v>478</v>
      </c>
    </row>
    <row r="83" spans="1:10">
      <c r="A83" s="741" t="s">
        <v>424</v>
      </c>
      <c r="B83" s="742" t="s">
        <v>401</v>
      </c>
      <c r="C83" s="743"/>
      <c r="D83" s="746"/>
      <c r="E83" s="742" t="s">
        <v>401</v>
      </c>
      <c r="F83" s="746"/>
      <c r="G83" s="742"/>
      <c r="H83" s="742" t="s">
        <v>401</v>
      </c>
      <c r="I83" s="742" t="s">
        <v>401</v>
      </c>
      <c r="J83" s="742" t="s">
        <v>401</v>
      </c>
    </row>
    <row r="84" spans="1:10">
      <c r="A84" s="741" t="s">
        <v>437</v>
      </c>
      <c r="B84" s="745" t="s">
        <v>401</v>
      </c>
      <c r="C84" s="760"/>
      <c r="D84" s="746"/>
      <c r="E84" s="745" t="s">
        <v>401</v>
      </c>
      <c r="F84" s="746"/>
      <c r="G84" s="745"/>
      <c r="H84" s="745" t="s">
        <v>401</v>
      </c>
      <c r="I84" s="745" t="s">
        <v>401</v>
      </c>
      <c r="J84" s="745" t="s">
        <v>401</v>
      </c>
    </row>
    <row r="85" spans="1:10">
      <c r="A85" s="747" t="s">
        <v>438</v>
      </c>
      <c r="B85" s="748" t="s">
        <v>401</v>
      </c>
      <c r="C85" s="761"/>
      <c r="D85" s="749"/>
      <c r="E85" s="748" t="s">
        <v>401</v>
      </c>
      <c r="F85" s="749">
        <f>F83+F84</f>
        <v>0</v>
      </c>
      <c r="G85" s="748"/>
      <c r="H85" s="748" t="s">
        <v>401</v>
      </c>
      <c r="I85" s="748" t="s">
        <v>401</v>
      </c>
      <c r="J85" s="748" t="s">
        <v>401</v>
      </c>
    </row>
    <row r="86" spans="1:10">
      <c r="A86" s="741" t="s">
        <v>429</v>
      </c>
      <c r="B86" s="745" t="s">
        <v>401</v>
      </c>
      <c r="C86" s="756"/>
      <c r="D86" s="746"/>
      <c r="E86" s="745" t="s">
        <v>401</v>
      </c>
      <c r="F86" s="746"/>
      <c r="G86" s="745"/>
      <c r="H86" s="745" t="s">
        <v>401</v>
      </c>
      <c r="I86" s="745" t="s">
        <v>401</v>
      </c>
      <c r="J86" s="745" t="s">
        <v>401</v>
      </c>
    </row>
    <row r="87" spans="1:10">
      <c r="A87" s="747" t="s">
        <v>430</v>
      </c>
      <c r="B87" s="761"/>
      <c r="C87" s="749">
        <f>C85-C86</f>
        <v>0</v>
      </c>
      <c r="D87" s="749">
        <f>D85-D86</f>
        <v>0</v>
      </c>
      <c r="E87" s="762">
        <f>D87*3.41*2.3943591580833</f>
        <v>0</v>
      </c>
      <c r="F87" s="749">
        <f>F85-F86</f>
        <v>0</v>
      </c>
      <c r="G87" s="749">
        <f>(F87/10)/(1-0.05)</f>
        <v>0</v>
      </c>
      <c r="H87" s="762">
        <f>E87-G87</f>
        <v>0</v>
      </c>
      <c r="I87" s="761" t="e">
        <f>C87/H87</f>
        <v>#DIV/0!</v>
      </c>
      <c r="J87" s="754" t="e">
        <f>B87/I87</f>
        <v>#DIV/0!</v>
      </c>
    </row>
  </sheetData>
  <mergeCells count="48">
    <mergeCell ref="H20:H21"/>
    <mergeCell ref="A35:A36"/>
    <mergeCell ref="C35:C36"/>
    <mergeCell ref="D35:D36"/>
    <mergeCell ref="E35:E36"/>
    <mergeCell ref="H35:H36"/>
    <mergeCell ref="A20:A21"/>
    <mergeCell ref="D20:D21"/>
    <mergeCell ref="E20:E21"/>
    <mergeCell ref="F20:F21"/>
    <mergeCell ref="G20:G21"/>
    <mergeCell ref="F35:F36"/>
    <mergeCell ref="G35:G36"/>
    <mergeCell ref="A65:A66"/>
    <mergeCell ref="C65:C66"/>
    <mergeCell ref="D65:D66"/>
    <mergeCell ref="E65:E66"/>
    <mergeCell ref="H65:H66"/>
    <mergeCell ref="A50:A51"/>
    <mergeCell ref="C50:C51"/>
    <mergeCell ref="D50:D51"/>
    <mergeCell ref="E50:E51"/>
    <mergeCell ref="H50:H51"/>
    <mergeCell ref="A79:A80"/>
    <mergeCell ref="D79:D80"/>
    <mergeCell ref="E79:E80"/>
    <mergeCell ref="G79:G80"/>
    <mergeCell ref="H79:H80"/>
    <mergeCell ref="F79:F80"/>
    <mergeCell ref="J4:J5"/>
    <mergeCell ref="K4:K5"/>
    <mergeCell ref="A4:A5"/>
    <mergeCell ref="D4:D5"/>
    <mergeCell ref="E4:E5"/>
    <mergeCell ref="F4:F5"/>
    <mergeCell ref="G4:G5"/>
    <mergeCell ref="H4:H5"/>
    <mergeCell ref="J79:J80"/>
    <mergeCell ref="B79:B80"/>
    <mergeCell ref="C79:C80"/>
    <mergeCell ref="I79:I80"/>
    <mergeCell ref="K35:K36"/>
    <mergeCell ref="F50:F51"/>
    <mergeCell ref="G50:G51"/>
    <mergeCell ref="K50:K51"/>
    <mergeCell ref="F65:F66"/>
    <mergeCell ref="G65:G66"/>
    <mergeCell ref="K65:K66"/>
  </mergeCells>
  <pageMargins left="0.7" right="0.7" top="0.75" bottom="0.75" header="0.3" footer="0.3"/>
  <headerFooter>
    <oddFooter>&amp;C_x000D_&amp;1#&amp;"Calibri"&amp;22&amp;K0073CF INTERNAL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786A7-6BA7-4E17-93A8-2EC8A132FE7E}">
  <sheetPr codeName="Sheet15"/>
  <dimension ref="A2:K5"/>
  <sheetViews>
    <sheetView workbookViewId="0">
      <selection activeCell="B1" sqref="B1"/>
    </sheetView>
  </sheetViews>
  <sheetFormatPr defaultRowHeight="14.5"/>
  <cols>
    <col min="1" max="1" width="11.1796875" customWidth="1"/>
    <col min="2" max="2" width="11" customWidth="1"/>
    <col min="3" max="3" width="23.54296875" customWidth="1"/>
    <col min="4" max="4" width="29.453125" customWidth="1"/>
    <col min="5" max="5" width="28.54296875" customWidth="1"/>
    <col min="6" max="6" width="29.453125" customWidth="1"/>
    <col min="7" max="7" width="30.1796875" customWidth="1"/>
    <col min="8" max="8" width="21.453125" customWidth="1"/>
    <col min="9" max="9" width="20.453125" customWidth="1"/>
    <col min="10" max="10" width="23.1796875" customWidth="1"/>
    <col min="11" max="11" width="26.453125" customWidth="1"/>
  </cols>
  <sheetData>
    <row r="2" spans="1:11">
      <c r="B2" s="401"/>
      <c r="C2" s="402" t="s">
        <v>194</v>
      </c>
      <c r="D2" s="402" t="s">
        <v>195</v>
      </c>
      <c r="E2" s="402" t="s">
        <v>196</v>
      </c>
      <c r="F2" s="402" t="s">
        <v>241</v>
      </c>
      <c r="G2" s="402" t="s">
        <v>242</v>
      </c>
      <c r="H2" s="402" t="s">
        <v>198</v>
      </c>
      <c r="I2" s="402" t="s">
        <v>199</v>
      </c>
      <c r="J2" s="402" t="s">
        <v>200</v>
      </c>
      <c r="K2" s="403" t="s">
        <v>414</v>
      </c>
    </row>
    <row r="3" spans="1:11" ht="29">
      <c r="A3" t="s">
        <v>479</v>
      </c>
      <c r="B3" s="404" t="s">
        <v>480</v>
      </c>
      <c r="C3" s="405" t="s">
        <v>481</v>
      </c>
      <c r="D3" s="405" t="s">
        <v>482</v>
      </c>
      <c r="E3" s="405" t="s">
        <v>483</v>
      </c>
      <c r="F3" s="405" t="s">
        <v>484</v>
      </c>
      <c r="G3" s="405" t="s">
        <v>485</v>
      </c>
      <c r="H3" s="405" t="s">
        <v>486</v>
      </c>
      <c r="I3" s="405" t="s">
        <v>487</v>
      </c>
      <c r="J3" s="405" t="s">
        <v>488</v>
      </c>
      <c r="K3" s="406" t="s">
        <v>489</v>
      </c>
    </row>
    <row r="4" spans="1:11" ht="43.5">
      <c r="B4" s="396" t="s">
        <v>490</v>
      </c>
      <c r="C4" s="395" t="s">
        <v>491</v>
      </c>
      <c r="D4" s="395" t="s">
        <v>492</v>
      </c>
      <c r="E4" s="407" t="s">
        <v>493</v>
      </c>
      <c r="F4" s="395" t="s">
        <v>494</v>
      </c>
      <c r="G4" s="407" t="s">
        <v>495</v>
      </c>
      <c r="H4" s="395" t="s">
        <v>496</v>
      </c>
      <c r="I4" s="395" t="s">
        <v>494</v>
      </c>
      <c r="J4" s="395" t="s">
        <v>497</v>
      </c>
      <c r="K4" s="397" t="s">
        <v>498</v>
      </c>
    </row>
    <row r="5" spans="1:11">
      <c r="B5" s="398" t="s">
        <v>499</v>
      </c>
      <c r="C5" s="399"/>
      <c r="D5" s="399"/>
      <c r="E5" s="399"/>
      <c r="F5" s="399"/>
      <c r="G5" s="399"/>
      <c r="H5" s="399"/>
      <c r="I5" s="399"/>
      <c r="J5" s="399"/>
      <c r="K5" s="400"/>
    </row>
  </sheetData>
  <pageMargins left="0.7" right="0.7" top="0.75" bottom="0.75" header="0.3" footer="0.3"/>
  <headerFooter>
    <oddFooter>&amp;C_x000D_&amp;1#&amp;"Calibri"&amp;22&amp;K0073CF INTERNAL</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31977-5A28-4B83-B926-BCD68CB0862F}">
  <dimension ref="B2"/>
  <sheetViews>
    <sheetView workbookViewId="0">
      <selection activeCell="B3" sqref="B3"/>
    </sheetView>
  </sheetViews>
  <sheetFormatPr defaultRowHeight="14.5"/>
  <sheetData>
    <row r="2" spans="2:2">
      <c r="B2" t="s">
        <v>912</v>
      </c>
    </row>
  </sheetData>
  <pageMargins left="0.7" right="0.7" top="0.75" bottom="0.75" header="0.3" footer="0.3"/>
  <headerFooter>
    <oddFooter>&amp;C_x000D_&amp;1#&amp;"Calibri"&amp;22&amp;K0073CF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C651E-3F02-4C1E-A263-75F231E5E941}">
  <sheetPr codeName="Sheet6">
    <tabColor theme="4" tint="0.39997558519241921"/>
  </sheetPr>
  <dimension ref="B1:K29"/>
  <sheetViews>
    <sheetView zoomScale="90" zoomScaleNormal="90" workbookViewId="0">
      <selection activeCell="C39" sqref="C39"/>
    </sheetView>
  </sheetViews>
  <sheetFormatPr defaultRowHeight="14.5"/>
  <cols>
    <col min="1" max="1" width="2.54296875" customWidth="1"/>
    <col min="2" max="2" width="7" bestFit="1" customWidth="1"/>
    <col min="3" max="4" width="18" customWidth="1"/>
    <col min="5" max="5" width="16.26953125" bestFit="1" customWidth="1"/>
    <col min="6" max="7" width="18" customWidth="1"/>
    <col min="8" max="8" width="18.7265625" customWidth="1"/>
    <col min="9" max="9" width="15.26953125" customWidth="1"/>
    <col min="10" max="10" width="16.26953125" customWidth="1"/>
    <col min="11" max="11" width="13.1796875" customWidth="1"/>
  </cols>
  <sheetData>
    <row r="1" spans="2:11" ht="15.5">
      <c r="C1" s="780" t="s">
        <v>35</v>
      </c>
    </row>
    <row r="3" spans="2:11" ht="58">
      <c r="C3" s="792" t="s">
        <v>36</v>
      </c>
      <c r="D3" s="792" t="s">
        <v>37</v>
      </c>
      <c r="E3" s="793" t="s">
        <v>38</v>
      </c>
      <c r="F3" s="793" t="s">
        <v>39</v>
      </c>
      <c r="G3" s="793" t="s">
        <v>40</v>
      </c>
      <c r="H3" s="793" t="s">
        <v>41</v>
      </c>
      <c r="I3" s="793" t="s">
        <v>42</v>
      </c>
      <c r="J3" s="793" t="s">
        <v>43</v>
      </c>
      <c r="K3" s="794" t="s">
        <v>44</v>
      </c>
    </row>
    <row r="4" spans="2:11">
      <c r="C4" s="312" t="s">
        <v>45</v>
      </c>
      <c r="D4" s="313" t="s">
        <v>46</v>
      </c>
      <c r="E4" s="313" t="s">
        <v>47</v>
      </c>
      <c r="F4" s="313" t="s">
        <v>48</v>
      </c>
      <c r="G4" s="313" t="s">
        <v>49</v>
      </c>
      <c r="H4" s="313" t="s">
        <v>50</v>
      </c>
      <c r="I4" s="313" t="s">
        <v>51</v>
      </c>
      <c r="J4" s="313" t="s">
        <v>52</v>
      </c>
      <c r="K4" s="314" t="s">
        <v>53</v>
      </c>
    </row>
    <row r="5" spans="2:11" ht="24.65" customHeight="1">
      <c r="B5" s="280" t="s">
        <v>54</v>
      </c>
      <c r="C5" s="283" cm="1">
        <f t="array" ref="C5">SUMPRODUCT(DataEntry[E-E02], (DataEntry[S-U03]="Tri 1") * (DataEntry[S-U02]="Residential"))+SUMPRODUCT(DataEntry[E-E02], (DataEntry[S-U03]="Tri 1") * (DataEntry[S-U02]="Commercial"))+SUMPRODUCT(DataEntry[E-E02], (DataEntry[S-U03]="Tri 1") * (DataEntry[S-U02]="Multi-Family"))-SUMPRODUCT(DataEntry[E-E02], (DataEntry[S-U03]="Tri 1") * (DataEntry[S-U02]="Residential") * (DataEntry[S-U04]="Comfort Partners"))</f>
        <v>887.60900000000004</v>
      </c>
      <c r="D5" s="283" cm="1">
        <f t="array" ref="D5">SUMPRODUCT(DataEntry[E-E02], (DataEntry[S-U03]="Tri 2") * (DataEntry[S-U02]="Residential"))+SUMPRODUCT(DataEntry[E-E02], (DataEntry[S-U03]="Tri 2") * (DataEntry[S-U02]="Commercial"))+SUMPRODUCT(DataEntry[E-E02], (DataEntry[S-U03]="Tri 2") * (DataEntry[S-U02]="Multi-Family"))-SUMPRODUCT(DataEntry[E-E02], (DataEntry[S-U03]="Tri 2") * (DataEntry[S-U02]="Residential") * (DataEntry[S-U04]="Comfort Partners"))</f>
        <v>519.15300000000002</v>
      </c>
      <c r="E5" s="281" cm="1">
        <f t="array" ref="E5">SUMPRODUCT(DataEntry[E-E06], (DataEntry[S-U03]="Tri 2") * (DataEntry[S-U02]="Residential") * (DataEntry[S-U04]="Comfort Partners"))+SUMPRODUCT(DataEntry[E-E06], (DataEntry[S-U03]="Tri 1") * (DataEntry[S-U02]="Residential") * (DataEntry[S-U04]="Comfort Partners"))</f>
        <v>0</v>
      </c>
      <c r="F5" s="282" cm="1">
        <f t="array" ref="F5">SUMPRODUCT(DataEntry[E-E02], (DataEntry[S-U03]="Tri 2") * (DataEntry[S-U02]="Additional"))+SUMPRODUCT(DataEntry[E-E02], (DataEntry[S-U03]="Tri 1") * (DataEntry[S-U02]="Pilot Program"))</f>
        <v>0</v>
      </c>
      <c r="G5" s="283">
        <f>SUM(C5:F5)</f>
        <v>1406.7620000000002</v>
      </c>
      <c r="H5" s="284"/>
      <c r="I5" s="795"/>
      <c r="J5" s="284"/>
      <c r="K5" s="796"/>
    </row>
    <row r="6" spans="2:11">
      <c r="B6" s="499" t="s">
        <v>55</v>
      </c>
      <c r="C6" s="283" cm="1">
        <f t="array" ref="C6">SUMPRODUCT(DataEntry[E-E06], (DataEntry[S-U03]="Tri 1") * (DataEntry[S-U02]="Residential"))+SUMPRODUCT(DataEntry[E-E06], (DataEntry[S-U03]="Tri 1") * (DataEntry[S-U02]="Commercial"))+SUMPRODUCT(DataEntry[E-E06], (DataEntry[S-U03]="Tri 1") * (DataEntry[S-U02]="Multi-Family"))-SUMPRODUCT(DataEntry[E-E06], (DataEntry[S-U03]="Tri 1") * (DataEntry[S-U02]="Residential") * (DataEntry[S-U04]="Comfort Partners"))</f>
        <v>887.60900000000004</v>
      </c>
      <c r="D6" s="283" cm="1">
        <f t="array" ref="D6">SUMPRODUCT(DataEntry[E-E06], (DataEntry[S-U03]="Tri 2") * (DataEntry[S-U02]="Residential"))+SUMPRODUCT(DataEntry[E-E06], (DataEntry[S-U03]="Tri 2") * (DataEntry[S-U02]="Commercial"))+SUMPRODUCT(DataEntry[E-E06], (DataEntry[S-U03]="Tri 2") * (DataEntry[S-U02]="Multi-Family"))-SUMPRODUCT(DataEntry[E-E06], (DataEntry[S-U03]="Tri 2") * (DataEntry[S-U02]="Residential") * (DataEntry[S-U04]="Comfort Partners"))</f>
        <v>519.15300000000002</v>
      </c>
      <c r="E6" s="281" cm="1">
        <f t="array" ref="E6">SUMPRODUCT(DataEntry[E-E06], (DataEntry[S-U03]="Tri 2") * (DataEntry[S-U02]="Residential") * (DataEntry[S-U04]="Comfort Partners"))+SUMPRODUCT(DataEntry[E-E06], (DataEntry[S-U03]="Tri 1") * (DataEntry[S-U02]="Residential") * (DataEntry[S-U04]="Comfort Partners"))</f>
        <v>0</v>
      </c>
      <c r="F6" s="282" cm="1">
        <f t="array" ref="F6">SUMPRODUCT(DataEntry[E-E06], (DataEntry[S-U03]="Tri 2") * (DataEntry[S-U02]="Additional"))+SUMPRODUCT(DataEntry[E-E06], (DataEntry[S-U03]="Tri 1") * (DataEntry[S-U02]="Pilot Program"))</f>
        <v>0</v>
      </c>
      <c r="G6" s="283">
        <f>SUM(C6:F6)</f>
        <v>1406.7620000000002</v>
      </c>
      <c r="H6" s="283">
        <f>'Ap E - NJ CEA Benchmarks'!H12</f>
        <v>1525924.3333333333</v>
      </c>
      <c r="I6" s="1221">
        <f>'Ap E - NJ CEA Benchmarks'!M12</f>
        <v>6.4000000000000003E-3</v>
      </c>
      <c r="J6" s="283">
        <f>H6*I6</f>
        <v>9765.9157333333333</v>
      </c>
      <c r="K6" s="1241">
        <f>IFERROR(G6/J6,"-")</f>
        <v>0.14404814032936977</v>
      </c>
    </row>
    <row r="7" spans="2:11">
      <c r="C7" s="361"/>
      <c r="D7" s="361"/>
      <c r="E7" s="361"/>
      <c r="F7" s="500"/>
      <c r="G7" s="361"/>
      <c r="H7" s="361"/>
      <c r="I7" s="362"/>
      <c r="J7" s="360"/>
      <c r="K7" s="363"/>
    </row>
    <row r="9" spans="2:11">
      <c r="C9" s="1295" t="s">
        <v>56</v>
      </c>
      <c r="D9" s="1295"/>
      <c r="E9" s="1295"/>
      <c r="F9" s="1295"/>
      <c r="G9" s="1295"/>
      <c r="H9" s="1295"/>
      <c r="I9" s="1295"/>
    </row>
    <row r="10" spans="2:11">
      <c r="C10" s="1295" t="s">
        <v>981</v>
      </c>
      <c r="D10" s="1295"/>
      <c r="E10" s="1295"/>
      <c r="F10" s="1295"/>
      <c r="G10" s="1295"/>
    </row>
    <row r="11" spans="2:11">
      <c r="C11" s="1296" t="s">
        <v>58</v>
      </c>
      <c r="D11" s="1296"/>
      <c r="E11" s="1296"/>
      <c r="F11" s="1296"/>
      <c r="G11" s="1296"/>
      <c r="H11" s="1296"/>
      <c r="I11" s="1296"/>
    </row>
    <row r="12" spans="2:11">
      <c r="C12" s="1297" t="s">
        <v>59</v>
      </c>
      <c r="D12" s="1297"/>
      <c r="E12" s="1297"/>
      <c r="F12" s="1297"/>
      <c r="G12" s="1297"/>
      <c r="H12" s="1297"/>
      <c r="I12" s="1297"/>
    </row>
    <row r="13" spans="2:11">
      <c r="C13" s="1298" t="s">
        <v>60</v>
      </c>
      <c r="D13" s="1298"/>
      <c r="E13" s="1298"/>
      <c r="F13" s="1298"/>
      <c r="G13" s="1298"/>
    </row>
    <row r="15" spans="2:11" hidden="1">
      <c r="D15" s="797" t="s">
        <v>61</v>
      </c>
      <c r="E15" s="353"/>
    </row>
    <row r="16" spans="2:11" ht="15.5" hidden="1">
      <c r="C16" s="780" t="s">
        <v>948</v>
      </c>
    </row>
    <row r="17" spans="2:11" ht="15" hidden="1" thickBot="1"/>
    <row r="18" spans="2:11" ht="58" hidden="1">
      <c r="C18" s="792" t="s">
        <v>949</v>
      </c>
      <c r="D18" s="792" t="s">
        <v>950</v>
      </c>
      <c r="E18" s="793" t="s">
        <v>951</v>
      </c>
      <c r="F18" s="793" t="s">
        <v>952</v>
      </c>
      <c r="G18" s="793" t="s">
        <v>953</v>
      </c>
      <c r="H18" s="793" t="s">
        <v>954</v>
      </c>
      <c r="I18" s="793" t="s">
        <v>42</v>
      </c>
      <c r="J18" s="793" t="s">
        <v>955</v>
      </c>
      <c r="K18" s="794" t="s">
        <v>44</v>
      </c>
    </row>
    <row r="19" spans="2:11" hidden="1">
      <c r="C19" s="312" t="s">
        <v>45</v>
      </c>
      <c r="D19" s="313" t="s">
        <v>46</v>
      </c>
      <c r="E19" s="313" t="s">
        <v>47</v>
      </c>
      <c r="F19" s="313" t="s">
        <v>48</v>
      </c>
      <c r="G19" s="313" t="s">
        <v>49</v>
      </c>
      <c r="H19" s="313" t="s">
        <v>50</v>
      </c>
      <c r="I19" s="313" t="s">
        <v>51</v>
      </c>
      <c r="J19" s="313" t="s">
        <v>52</v>
      </c>
      <c r="K19" s="314" t="s">
        <v>53</v>
      </c>
    </row>
    <row r="20" spans="2:11" hidden="1">
      <c r="B20" s="280" t="s">
        <v>54</v>
      </c>
      <c r="C20" s="283" cm="1">
        <f t="array" ref="C20">SUMPRODUCT(DataEntry[G-G02], (DataEntry[S-U03]="Tri 1") * (DataEntry[S-U02]="Residential"))+SUMPRODUCT(DataEntry[G-G02], (DataEntry[S-U03]="Tri 1") * (DataEntry[S-U02]="Commercial"))+SUMPRODUCT(DataEntry[G-G02], (DataEntry[S-U03]="Tri 1") * (DataEntry[S-U02]="Multi-Family"))-SUMPRODUCT(DataEntry[G-G02], (DataEntry[S-U03]="Tri 1") * (DataEntry[S-U02]="Residential") * (DataEntry[S-U04]="Comfort Partners"))</f>
        <v>0</v>
      </c>
      <c r="D20" s="283" cm="1">
        <f t="array" ref="D20">SUMPRODUCT(DataEntry[G-G02], (DataEntry[S-U03]="Tri 2") * (DataEntry[S-U02]="Residential"))+SUMPRODUCT(DataEntry[G-G02], (DataEntry[S-U03]="Tri 2") * (DataEntry[S-U02]="Commercial"))+SUMPRODUCT(DataEntry[G-G02], (DataEntry[S-U03]="Tri 2") * (DataEntry[S-U02]="Multi-Family"))-SUMPRODUCT(DataEntry[G-G02], (DataEntry[S-U03]="Tri 2") * (DataEntry[S-U02]="Residential") * (DataEntry[S-U04]="Comfort Partners"))</f>
        <v>0</v>
      </c>
      <c r="E20" s="281" cm="1">
        <f t="array" ref="E20">SUMPRODUCT(DataEntry[G-G06], (DataEntry[S-U03]="Tri 2") * (DataEntry[S-U02]="Residential") * (DataEntry[S-U04]="Comfort Partners"))+SUMPRODUCT(DataEntry[G-G06], (DataEntry[S-U03]="Tri 1") * (DataEntry[S-U02]="Residential") * (DataEntry[S-U04]="Comfort Partners"))</f>
        <v>0</v>
      </c>
      <c r="F20" s="282" cm="1">
        <f t="array" ref="F20">SUMPRODUCT(DataEntry[G-G02], (DataEntry[S-U03]="Tri 2") * (DataEntry[S-U02]="Additional"))+SUMPRODUCT(DataEntry[G-G02], (DataEntry[S-U03]="Tri 1") * (DataEntry[S-U02]="Pilot Program"))</f>
        <v>0</v>
      </c>
      <c r="G20" s="283">
        <f>SUM(C20:F20)</f>
        <v>0</v>
      </c>
      <c r="H20" s="284"/>
      <c r="I20" s="795"/>
      <c r="J20" s="284"/>
      <c r="K20" s="796"/>
    </row>
    <row r="21" spans="2:11" hidden="1">
      <c r="B21" s="499" t="s">
        <v>55</v>
      </c>
      <c r="C21" s="283" cm="1">
        <f t="array" ref="C21">SUMPRODUCT(DataEntry[G-G06], (DataEntry[S-U03]="Tri 1") * (DataEntry[S-U02]="Residential"))+SUMPRODUCT(DataEntry[G-G06], (DataEntry[S-U03]="Tri 1") * (DataEntry[S-U02]="Commercial"))+SUMPRODUCT(DataEntry[G-G06], (DataEntry[S-U03]="Tri 1") * (DataEntry[S-U02]="Multi-Family"))-SUMPRODUCT(DataEntry[G-G06], (DataEntry[S-U03]="Tri 1") * (DataEntry[S-U02]="Residential") * (DataEntry[S-U04]="Comfort Partners"))</f>
        <v>0</v>
      </c>
      <c r="D21" s="283" cm="1">
        <f t="array" ref="D21">SUMPRODUCT(DataEntry[G-G06], (DataEntry[S-U03]="Tri 2") * (DataEntry[S-U02]="Residential"))+SUMPRODUCT(DataEntry[G-G06], (DataEntry[S-U03]="Tri 2") * (DataEntry[S-U02]="Commercial"))+SUMPRODUCT(DataEntry[G-G06], (DataEntry[S-U03]="Tri 2") * (DataEntry[S-U02]="Multi-Family"))-SUMPRODUCT(DataEntry[G-G06], (DataEntry[S-U03]="Tri 2") * (DataEntry[S-U02]="Residential") * (DataEntry[S-U04]="Comfort Partners"))</f>
        <v>0</v>
      </c>
      <c r="E21" s="281" cm="1">
        <f t="array" ref="E21">SUMPRODUCT(DataEntry[G-G06], (DataEntry[S-U03]="Tri 2") * (DataEntry[S-U02]="Residential") * (DataEntry[S-U04]="Comfort Partners"))+SUMPRODUCT(DataEntry[G-G06], (DataEntry[S-U03]="Tri 1") * (DataEntry[S-U02]="Residential") * (DataEntry[S-U04]="Comfort Partners"))</f>
        <v>0</v>
      </c>
      <c r="F21" s="282" cm="1">
        <f t="array" ref="F21">SUMPRODUCT(DataEntry[G-G06], (DataEntry[S-U03]="Tri 2") * (DataEntry[S-U02]="Additional"))+SUMPRODUCT(DataEntry[G-G06], (DataEntry[S-U03]="Tri 1") * (DataEntry[S-U02]="Pilot Program"))</f>
        <v>0</v>
      </c>
      <c r="G21" s="283">
        <f>SUM(C21:F21)</f>
        <v>0</v>
      </c>
      <c r="H21" s="283">
        <f>'Ap E - NJ CEA Benchmarks'!H27</f>
        <v>0</v>
      </c>
      <c r="I21" s="283">
        <f>'Ap E - NJ CEA Benchmarks'!M27</f>
        <v>0</v>
      </c>
      <c r="J21" s="283">
        <f>H21*I21</f>
        <v>0</v>
      </c>
      <c r="K21" s="285" t="str">
        <f>IFERROR(G21/J21,"-")</f>
        <v>-</v>
      </c>
    </row>
    <row r="22" spans="2:11" hidden="1">
      <c r="C22" s="361"/>
      <c r="D22" s="361"/>
      <c r="E22" s="361"/>
      <c r="F22" s="500"/>
      <c r="G22" s="361"/>
      <c r="H22" s="361"/>
      <c r="I22" s="362"/>
      <c r="J22" s="360"/>
      <c r="K22" s="363"/>
    </row>
    <row r="23" spans="2:11" hidden="1"/>
    <row r="24" spans="2:11" hidden="1">
      <c r="C24" s="1295" t="s">
        <v>56</v>
      </c>
      <c r="D24" s="1295"/>
      <c r="E24" s="1295"/>
      <c r="F24" s="1295"/>
      <c r="G24" s="1295"/>
      <c r="H24" s="1295"/>
      <c r="I24" s="1295"/>
    </row>
    <row r="25" spans="2:11" hidden="1">
      <c r="C25" s="1295" t="s">
        <v>57</v>
      </c>
      <c r="D25" s="1295"/>
      <c r="E25" s="1295"/>
      <c r="F25" s="1295"/>
      <c r="G25" s="1295"/>
    </row>
    <row r="26" spans="2:11" hidden="1">
      <c r="C26" s="1296" t="s">
        <v>58</v>
      </c>
      <c r="D26" s="1296"/>
      <c r="E26" s="1296"/>
      <c r="F26" s="1296"/>
      <c r="G26" s="1296"/>
      <c r="H26" s="1296"/>
      <c r="I26" s="1296"/>
    </row>
    <row r="27" spans="2:11" hidden="1">
      <c r="C27" s="1297" t="s">
        <v>59</v>
      </c>
      <c r="D27" s="1297"/>
      <c r="E27" s="1297"/>
      <c r="F27" s="1297"/>
      <c r="G27" s="1297"/>
      <c r="H27" s="1297"/>
      <c r="I27" s="1297"/>
    </row>
    <row r="28" spans="2:11" hidden="1">
      <c r="C28" s="1298" t="s">
        <v>60</v>
      </c>
      <c r="D28" s="1298"/>
      <c r="E28" s="1298"/>
      <c r="F28" s="1298"/>
      <c r="G28" s="1298"/>
    </row>
    <row r="29" spans="2:11" hidden="1"/>
  </sheetData>
  <mergeCells count="10">
    <mergeCell ref="C9:I9"/>
    <mergeCell ref="C10:G10"/>
    <mergeCell ref="C11:I11"/>
    <mergeCell ref="C12:I12"/>
    <mergeCell ref="C13:G13"/>
    <mergeCell ref="C24:I24"/>
    <mergeCell ref="C25:G25"/>
    <mergeCell ref="C26:I26"/>
    <mergeCell ref="C27:I27"/>
    <mergeCell ref="C28:G28"/>
  </mergeCells>
  <pageMargins left="0.7" right="0.7" top="0.75" bottom="0.75" header="0.3" footer="0.3"/>
  <headerFooter>
    <oddFooter>&amp;C_x000D_&amp;1#&amp;"Calibri"&amp;22&amp;K0073CF INTERNAL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190E1-830E-4DCB-B867-96EDB3B993D0}">
  <sheetPr codeName="Sheet19"/>
  <dimension ref="A1:AR44"/>
  <sheetViews>
    <sheetView workbookViewId="0">
      <selection activeCell="D7" sqref="D7"/>
    </sheetView>
  </sheetViews>
  <sheetFormatPr defaultRowHeight="14.5"/>
  <cols>
    <col min="1" max="1" width="16.54296875" customWidth="1"/>
    <col min="2" max="2" width="16.1796875" customWidth="1"/>
    <col min="3" max="3" width="20.81640625" customWidth="1"/>
    <col min="4" max="4" width="34.453125" customWidth="1"/>
    <col min="5" max="5" width="22.1796875" bestFit="1" customWidth="1"/>
    <col min="6" max="9" width="20" customWidth="1"/>
    <col min="10" max="10" width="22.54296875" customWidth="1"/>
    <col min="11" max="11" width="34.54296875" style="247" customWidth="1"/>
    <col min="12" max="12" width="30.453125" style="247" customWidth="1"/>
    <col min="13" max="13" width="26.54296875" style="247" customWidth="1"/>
    <col min="14" max="14" width="16.54296875" style="247" customWidth="1"/>
    <col min="15" max="30" width="15.1796875" style="247" customWidth="1"/>
    <col min="31" max="31" width="29.54296875" style="219" bestFit="1" customWidth="1"/>
    <col min="32" max="32" width="11.81640625" style="219" customWidth="1"/>
    <col min="33" max="34" width="14.1796875" style="219" customWidth="1"/>
    <col min="35" max="36" width="16.54296875" style="219" customWidth="1"/>
    <col min="37" max="37" width="16.81640625" style="219" customWidth="1"/>
    <col min="38" max="38" width="15.1796875" style="219" customWidth="1"/>
    <col min="39" max="42" width="14" style="219" customWidth="1"/>
    <col min="43" max="43" width="17.453125" customWidth="1"/>
    <col min="44" max="44" width="29.1796875" customWidth="1"/>
  </cols>
  <sheetData>
    <row r="1" spans="1:44" ht="23.15" customHeight="1">
      <c r="A1" t="s">
        <v>713</v>
      </c>
      <c r="B1" s="218" t="s">
        <v>714</v>
      </c>
      <c r="C1" t="s">
        <v>526</v>
      </c>
      <c r="D1" s="218">
        <v>2022</v>
      </c>
      <c r="F1" s="246" t="s">
        <v>527</v>
      </c>
    </row>
    <row r="2" spans="1:44" ht="14.5" customHeight="1">
      <c r="A2" s="220" t="s">
        <v>528</v>
      </c>
      <c r="B2" s="221"/>
      <c r="C2" s="221"/>
      <c r="D2" s="222"/>
      <c r="E2" s="248" t="s">
        <v>529</v>
      </c>
      <c r="F2" s="248" t="s">
        <v>530</v>
      </c>
      <c r="G2" s="249"/>
      <c r="H2" s="248" t="s">
        <v>531</v>
      </c>
      <c r="I2" s="250"/>
      <c r="J2" s="250"/>
      <c r="K2" s="251" t="s">
        <v>715</v>
      </c>
      <c r="L2" s="252" t="s">
        <v>716</v>
      </c>
      <c r="M2" s="252" t="s">
        <v>717</v>
      </c>
      <c r="N2" s="253"/>
      <c r="O2" s="254"/>
      <c r="P2" s="255" t="s">
        <v>718</v>
      </c>
      <c r="Q2" s="255" t="s">
        <v>718</v>
      </c>
      <c r="R2" s="256"/>
      <c r="S2" s="307"/>
      <c r="T2" s="307"/>
      <c r="U2" s="307"/>
      <c r="V2" s="255" t="s">
        <v>719</v>
      </c>
      <c r="W2" s="256"/>
      <c r="X2" s="257" t="s">
        <v>535</v>
      </c>
      <c r="Y2" s="258"/>
      <c r="Z2" s="258"/>
      <c r="AA2" s="259"/>
      <c r="AB2" s="258"/>
      <c r="AC2" s="258"/>
      <c r="AD2" s="258"/>
      <c r="AE2" s="258"/>
      <c r="AF2" s="261" t="s">
        <v>720</v>
      </c>
      <c r="AG2" s="262"/>
      <c r="AH2" s="262"/>
      <c r="AI2" s="262"/>
      <c r="AJ2" s="263"/>
      <c r="AK2" s="261" t="s">
        <v>721</v>
      </c>
      <c r="AL2" s="262"/>
      <c r="AM2" s="262"/>
      <c r="AN2" s="262"/>
      <c r="AO2" s="262"/>
      <c r="AP2" s="263"/>
    </row>
    <row r="3" spans="1:44" ht="87">
      <c r="A3" s="228" t="s">
        <v>536</v>
      </c>
      <c r="B3" s="229" t="s">
        <v>83</v>
      </c>
      <c r="C3" s="230" t="s">
        <v>1</v>
      </c>
      <c r="D3" s="230" t="s">
        <v>2</v>
      </c>
      <c r="E3" s="264" t="s">
        <v>722</v>
      </c>
      <c r="F3" s="264" t="s">
        <v>539</v>
      </c>
      <c r="G3" s="264" t="s">
        <v>723</v>
      </c>
      <c r="H3" s="264" t="s">
        <v>541</v>
      </c>
      <c r="I3" s="264" t="s">
        <v>724</v>
      </c>
      <c r="J3" s="264" t="s">
        <v>544</v>
      </c>
      <c r="K3" s="265" t="s">
        <v>725</v>
      </c>
      <c r="L3" s="265" t="s">
        <v>726</v>
      </c>
      <c r="M3" s="265" t="s">
        <v>727</v>
      </c>
      <c r="N3" s="265" t="s">
        <v>572</v>
      </c>
      <c r="O3" s="265" t="s">
        <v>728</v>
      </c>
      <c r="P3" s="266" t="s">
        <v>729</v>
      </c>
      <c r="Q3" s="266" t="s">
        <v>730</v>
      </c>
      <c r="R3" s="266" t="s">
        <v>731</v>
      </c>
      <c r="S3" s="266" t="s">
        <v>732</v>
      </c>
      <c r="T3" s="266" t="s">
        <v>733</v>
      </c>
      <c r="U3" s="266" t="s">
        <v>734</v>
      </c>
      <c r="V3" s="266" t="s">
        <v>735</v>
      </c>
      <c r="W3" s="267" t="s">
        <v>736</v>
      </c>
      <c r="X3" s="267" t="s">
        <v>737</v>
      </c>
      <c r="Y3" s="267" t="s">
        <v>738</v>
      </c>
      <c r="Z3" s="267" t="s">
        <v>739</v>
      </c>
      <c r="AA3" s="267" t="s">
        <v>740</v>
      </c>
      <c r="AB3" s="267" t="s">
        <v>741</v>
      </c>
      <c r="AC3" s="267" t="s">
        <v>742</v>
      </c>
      <c r="AD3" s="267" t="s">
        <v>743</v>
      </c>
      <c r="AE3" s="268" t="s">
        <v>744</v>
      </c>
      <c r="AF3" s="268" t="s">
        <v>745</v>
      </c>
      <c r="AG3" s="269" t="s">
        <v>746</v>
      </c>
      <c r="AH3" s="268" t="s">
        <v>747</v>
      </c>
      <c r="AI3" s="268" t="s">
        <v>748</v>
      </c>
      <c r="AJ3" s="268" t="s">
        <v>749</v>
      </c>
      <c r="AK3" s="268" t="s">
        <v>750</v>
      </c>
      <c r="AL3" s="268" t="s">
        <v>751</v>
      </c>
      <c r="AM3" s="268" t="s">
        <v>752</v>
      </c>
      <c r="AN3" s="268" t="s">
        <v>753</v>
      </c>
      <c r="AO3" s="268" t="s">
        <v>754</v>
      </c>
      <c r="AP3" s="269" t="s">
        <v>755</v>
      </c>
      <c r="AQ3" s="270" t="s">
        <v>756</v>
      </c>
      <c r="AR3" s="270" t="s">
        <v>757</v>
      </c>
    </row>
    <row r="4" spans="1:44">
      <c r="A4" s="229" t="s">
        <v>577</v>
      </c>
      <c r="B4" s="229" t="s">
        <v>578</v>
      </c>
      <c r="C4" s="229" t="s">
        <v>579</v>
      </c>
      <c r="D4" s="229" t="s">
        <v>580</v>
      </c>
      <c r="E4" s="264" t="s">
        <v>582</v>
      </c>
      <c r="F4" s="264" t="s">
        <v>583</v>
      </c>
      <c r="G4" s="264" t="s">
        <v>584</v>
      </c>
      <c r="H4" s="264" t="s">
        <v>585</v>
      </c>
      <c r="I4" s="264" t="s">
        <v>586</v>
      </c>
      <c r="J4" s="264" t="s">
        <v>587</v>
      </c>
      <c r="K4" s="271" t="s">
        <v>613</v>
      </c>
      <c r="L4" s="271" t="s">
        <v>614</v>
      </c>
      <c r="M4" s="271" t="s">
        <v>615</v>
      </c>
      <c r="N4" s="271" t="s">
        <v>616</v>
      </c>
      <c r="O4" s="271" t="s">
        <v>617</v>
      </c>
      <c r="P4" s="302" t="s">
        <v>758</v>
      </c>
      <c r="Q4" s="302" t="s">
        <v>759</v>
      </c>
      <c r="R4" s="302" t="s">
        <v>760</v>
      </c>
      <c r="S4" s="302" t="s">
        <v>761</v>
      </c>
      <c r="T4" s="302" t="s">
        <v>762</v>
      </c>
      <c r="U4" s="302" t="s">
        <v>763</v>
      </c>
      <c r="V4" s="302" t="s">
        <v>764</v>
      </c>
      <c r="W4" s="303" t="s">
        <v>621</v>
      </c>
      <c r="X4" s="303" t="s">
        <v>622</v>
      </c>
      <c r="Y4" s="303" t="s">
        <v>623</v>
      </c>
      <c r="Z4" s="303" t="s">
        <v>624</v>
      </c>
      <c r="AA4" s="303" t="s">
        <v>765</v>
      </c>
      <c r="AB4" s="303" t="s">
        <v>766</v>
      </c>
      <c r="AC4" s="303" t="s">
        <v>767</v>
      </c>
      <c r="AD4" s="303" t="s">
        <v>768</v>
      </c>
      <c r="AE4" s="268" t="s">
        <v>769</v>
      </c>
      <c r="AF4" s="268" t="s">
        <v>770</v>
      </c>
      <c r="AG4" s="268" t="s">
        <v>771</v>
      </c>
      <c r="AH4" s="268" t="s">
        <v>772</v>
      </c>
      <c r="AI4" s="268" t="s">
        <v>773</v>
      </c>
      <c r="AJ4" s="268" t="s">
        <v>774</v>
      </c>
      <c r="AK4" s="268" t="s">
        <v>775</v>
      </c>
      <c r="AL4" s="268" t="s">
        <v>776</v>
      </c>
      <c r="AM4" s="268" t="s">
        <v>777</v>
      </c>
      <c r="AN4" s="268" t="s">
        <v>778</v>
      </c>
      <c r="AO4" s="268" t="s">
        <v>779</v>
      </c>
      <c r="AP4" s="268" t="s">
        <v>780</v>
      </c>
    </row>
    <row r="5" spans="1:44">
      <c r="A5" s="286" t="s">
        <v>521</v>
      </c>
      <c r="B5" s="286" t="s">
        <v>86</v>
      </c>
      <c r="C5" s="286" t="s">
        <v>631</v>
      </c>
      <c r="D5" s="286" t="s">
        <v>781</v>
      </c>
      <c r="E5" s="286" t="s">
        <v>261</v>
      </c>
      <c r="F5" s="286" t="e">
        <f>'Ap B - Qtr Electric Master'!#REF!</f>
        <v>#REF!</v>
      </c>
      <c r="G5" s="286">
        <f>'Table 7 '!D11</f>
        <v>0</v>
      </c>
      <c r="H5" s="286" t="e">
        <f>'Ap B - Qtr Electric Master'!#REF!</f>
        <v>#REF!</v>
      </c>
      <c r="I5" s="286">
        <f>'Table 7 '!G11</f>
        <v>0</v>
      </c>
      <c r="J5" s="286">
        <f>'Ap C- Qtr Electric LMI'!D7</f>
        <v>0</v>
      </c>
      <c r="K5" s="286" t="s">
        <v>261</v>
      </c>
      <c r="L5" s="286" t="e">
        <f>'Ap B - Qtr Electric Master'!#REF!</f>
        <v>#REF!</v>
      </c>
      <c r="M5" s="286" t="e">
        <f>'Ap B - Qtr Electric Master'!#REF!</f>
        <v>#REF!</v>
      </c>
      <c r="N5" s="286">
        <f>SUM('Ap C- Qtr Electric LMI'!$F$7:$G$7)</f>
        <v>1210</v>
      </c>
      <c r="O5" s="286">
        <f>SUM('Ap C- Qtr Electric LMI'!$F$7)</f>
        <v>0</v>
      </c>
      <c r="P5" s="286" t="s">
        <v>782</v>
      </c>
      <c r="Q5" s="286"/>
      <c r="R5" s="286"/>
      <c r="S5" s="286"/>
      <c r="T5" s="286"/>
      <c r="U5" s="286"/>
      <c r="V5" s="286"/>
      <c r="W5" s="286"/>
      <c r="X5" s="286"/>
      <c r="Y5" s="286"/>
      <c r="Z5" s="286"/>
      <c r="AA5" s="286"/>
      <c r="AB5" s="286"/>
      <c r="AC5" s="286"/>
      <c r="AD5" s="286"/>
      <c r="AE5" s="286" t="s">
        <v>261</v>
      </c>
      <c r="AF5" s="286">
        <f>'Ap B - Qtr Electric Master'!$D$7</f>
        <v>1.2589999999999999</v>
      </c>
      <c r="AG5" s="286">
        <f>'Ap B - Qtr Electric Master'!H7</f>
        <v>1.3024354999999999</v>
      </c>
      <c r="AH5" s="286">
        <f>'Ap B - Qtr Electric Master'!$J$7</f>
        <v>17.777000000000001</v>
      </c>
      <c r="AI5" s="286">
        <f>'Table 7 '!D31</f>
        <v>0</v>
      </c>
      <c r="AJ5" s="286">
        <f>'Table 7 '!D51</f>
        <v>0</v>
      </c>
      <c r="AK5" s="286">
        <f>'Ap B - Qtr Electric Master'!$F$7</f>
        <v>1.2589999999999999</v>
      </c>
      <c r="AL5" s="286">
        <f>'Ap B - Qtr Electric Master'!$K$7</f>
        <v>17.777000000000001</v>
      </c>
      <c r="AM5" s="286">
        <f>'Table 7 '!G31</f>
        <v>0</v>
      </c>
      <c r="AN5" s="286">
        <f>'Table 7 '!G51</f>
        <v>0</v>
      </c>
      <c r="AO5" s="286">
        <f>'Ap C- Qtr Electric LMI'!H7</f>
        <v>0</v>
      </c>
      <c r="AP5" s="286">
        <f>'Ap B - Qtr Electric Master'!$I$7</f>
        <v>1E-3</v>
      </c>
      <c r="AQ5">
        <f ca="1">OFFSET(H_Factors!$B$2,0,MATCH(JCPL_Formula!$D$1,H_Factors!$C$2:$J$2))</f>
        <v>2022</v>
      </c>
    </row>
    <row r="6" spans="1:44">
      <c r="A6" s="286" t="s">
        <v>521</v>
      </c>
      <c r="B6" s="286" t="s">
        <v>86</v>
      </c>
      <c r="C6" s="286" t="s">
        <v>631</v>
      </c>
      <c r="D6" s="286" t="s">
        <v>783</v>
      </c>
      <c r="E6" s="286" t="s">
        <v>261</v>
      </c>
      <c r="F6" s="286" t="e">
        <f>'Ap B - Qtr Electric Master'!#REF!</f>
        <v>#REF!</v>
      </c>
      <c r="G6" s="286">
        <f>'Table 7 '!D12</f>
        <v>1</v>
      </c>
      <c r="H6" s="286" t="e">
        <f>'Ap B - Qtr Electric Master'!#REF!</f>
        <v>#REF!</v>
      </c>
      <c r="I6" s="286">
        <f>'Table 7 '!G12</f>
        <v>1</v>
      </c>
      <c r="J6" s="286">
        <f>'Ap C- Qtr Electric LMI'!D8</f>
        <v>1</v>
      </c>
      <c r="K6" s="286" t="s">
        <v>261</v>
      </c>
      <c r="L6" s="286" t="e">
        <f>'Ap B - Qtr Electric Master'!#REF!</f>
        <v>#REF!</v>
      </c>
      <c r="M6" s="286" t="e">
        <f>'Ap B - Qtr Electric Master'!#REF!</f>
        <v>#REF!</v>
      </c>
      <c r="N6" s="286">
        <f>SUM('Ap C- Qtr Electric LMI'!$F$8:$G$8)</f>
        <v>500</v>
      </c>
      <c r="O6" s="286">
        <f>SUM('Ap C- Qtr Electric LMI'!$F$8)</f>
        <v>200</v>
      </c>
      <c r="P6" s="286"/>
      <c r="Q6" s="286"/>
      <c r="R6" s="286"/>
      <c r="S6" s="286"/>
      <c r="T6" s="286"/>
      <c r="U6" s="286"/>
      <c r="V6" s="286"/>
      <c r="W6" s="286"/>
      <c r="X6" s="286"/>
      <c r="Y6" s="286"/>
      <c r="Z6" s="286"/>
      <c r="AA6" s="286"/>
      <c r="AB6" s="286"/>
      <c r="AC6" s="286"/>
      <c r="AD6" s="286"/>
      <c r="AE6" s="286" t="s">
        <v>261</v>
      </c>
      <c r="AF6" s="286">
        <f>'Ap B - Qtr Electric Master'!$D$8</f>
        <v>0.69399999999999995</v>
      </c>
      <c r="AG6" s="286">
        <f>'Ap B - Qtr Electric Master'!H8</f>
        <v>0.71794299999999989</v>
      </c>
      <c r="AH6" s="286">
        <f>'Ap B - Qtr Electric Master'!$J$8</f>
        <v>5.1909999999999998</v>
      </c>
      <c r="AI6" s="286">
        <f>'Table 7 '!D32</f>
        <v>0.217</v>
      </c>
      <c r="AJ6" s="286">
        <f>'Table 7 '!D52</f>
        <v>2.6040000000000001</v>
      </c>
      <c r="AK6" s="286">
        <f>'Ap B - Qtr Electric Master'!$F$8</f>
        <v>0.69399999999999995</v>
      </c>
      <c r="AL6" s="286">
        <f>'Ap B - Qtr Electric Master'!$K$8</f>
        <v>5.1909999999999998</v>
      </c>
      <c r="AM6" s="286">
        <f>'Table 7 '!G32</f>
        <v>0.217</v>
      </c>
      <c r="AN6" s="286">
        <f>'Table 7 '!G52</f>
        <v>2.6040000000000001</v>
      </c>
      <c r="AO6" s="286">
        <f>'Ap C- Qtr Electric LMI'!H8</f>
        <v>0.217</v>
      </c>
      <c r="AP6" s="286">
        <f>'Ap B - Qtr Electric Master'!$I$8</f>
        <v>1.0000000000000001E-5</v>
      </c>
      <c r="AQ6">
        <f ca="1">OFFSET(H_Factors!$B$2,0,MATCH(JCPL_Formula!$D$1+1,H_Factors!$C$2:$J$2))</f>
        <v>2023</v>
      </c>
    </row>
    <row r="7" spans="1:44">
      <c r="A7" s="286" t="s">
        <v>521</v>
      </c>
      <c r="B7" s="286" t="s">
        <v>86</v>
      </c>
      <c r="C7" s="286" t="s">
        <v>631</v>
      </c>
      <c r="D7" s="286" t="s">
        <v>784</v>
      </c>
      <c r="E7" s="286" t="s">
        <v>261</v>
      </c>
      <c r="F7" s="286" t="e">
        <f>'Ap B - Qtr Electric Master'!#REF!</f>
        <v>#REF!</v>
      </c>
      <c r="G7" s="286">
        <f>'Table 7 '!D13</f>
        <v>0</v>
      </c>
      <c r="H7" s="286" t="e">
        <f>'Ap B - Qtr Electric Master'!#REF!</f>
        <v>#REF!</v>
      </c>
      <c r="I7" s="286">
        <f>'Table 7 '!G13</f>
        <v>0</v>
      </c>
      <c r="J7" s="286">
        <f>'Ap C- Qtr Electric LMI'!D9</f>
        <v>0</v>
      </c>
      <c r="K7" s="286" t="s">
        <v>261</v>
      </c>
      <c r="L7" s="286" t="e">
        <f>'Ap B - Qtr Electric Master'!#REF!</f>
        <v>#REF!</v>
      </c>
      <c r="M7" s="286" t="e">
        <f>'Ap B - Qtr Electric Master'!#REF!</f>
        <v>#REF!</v>
      </c>
      <c r="N7" s="286">
        <f>SUM('Ap C- Qtr Electric LMI'!$F$9:$G$9)</f>
        <v>0</v>
      </c>
      <c r="O7" s="286">
        <f>SUM('Ap C- Qtr Electric LMI'!$F$9)</f>
        <v>0</v>
      </c>
      <c r="P7" s="286"/>
      <c r="Q7" s="286"/>
      <c r="R7" s="286"/>
      <c r="S7" s="286"/>
      <c r="T7" s="286"/>
      <c r="U7" s="286"/>
      <c r="V7" s="286"/>
      <c r="W7" s="286"/>
      <c r="X7" s="286"/>
      <c r="Y7" s="286"/>
      <c r="Z7" s="286"/>
      <c r="AA7" s="286"/>
      <c r="AB7" s="286"/>
      <c r="AC7" s="286"/>
      <c r="AD7" s="286"/>
      <c r="AE7" s="286" t="s">
        <v>261</v>
      </c>
      <c r="AF7" s="286">
        <f>'Ap B - Qtr Electric Master'!$D$9</f>
        <v>0</v>
      </c>
      <c r="AG7" s="286">
        <f>'Ap B - Qtr Electric Master'!H9</f>
        <v>0</v>
      </c>
      <c r="AH7" s="286">
        <f>'Ap B - Qtr Electric Master'!$J$9</f>
        <v>0</v>
      </c>
      <c r="AI7" s="286">
        <f>'Table 7 '!D33</f>
        <v>0</v>
      </c>
      <c r="AJ7" s="286">
        <f>'Table 7 '!D53</f>
        <v>0</v>
      </c>
      <c r="AK7" s="286">
        <f>'Ap B - Qtr Electric Master'!$F$9</f>
        <v>0</v>
      </c>
      <c r="AL7" s="286">
        <f>'Ap B - Qtr Electric Master'!$K$9</f>
        <v>0</v>
      </c>
      <c r="AM7" s="286">
        <f>'Table 7 '!G33</f>
        <v>0</v>
      </c>
      <c r="AN7" s="286">
        <f>'Table 7 '!G53</f>
        <v>0</v>
      </c>
      <c r="AO7" s="286">
        <f>'Ap C- Qtr Electric LMI'!H9</f>
        <v>0</v>
      </c>
      <c r="AP7" s="286">
        <f>'Ap B - Qtr Electric Master'!$I$9</f>
        <v>0</v>
      </c>
    </row>
    <row r="8" spans="1:44">
      <c r="A8" s="286" t="s">
        <v>521</v>
      </c>
      <c r="B8" s="286" t="s">
        <v>86</v>
      </c>
      <c r="C8" s="286" t="s">
        <v>631</v>
      </c>
      <c r="D8" s="286" t="s">
        <v>785</v>
      </c>
      <c r="E8" s="286" t="s">
        <v>261</v>
      </c>
      <c r="F8" s="286" t="e">
        <f>'Ap B - Qtr Electric Master'!#REF!</f>
        <v>#REF!</v>
      </c>
      <c r="G8" s="286" t="e">
        <f>'Table 7 '!#REF!</f>
        <v>#REF!</v>
      </c>
      <c r="H8" s="286" t="e">
        <f>'Ap B - Qtr Electric Master'!#REF!</f>
        <v>#REF!</v>
      </c>
      <c r="I8" s="286" t="e">
        <f>'Table 7 '!#REF!</f>
        <v>#REF!</v>
      </c>
      <c r="J8" s="286" t="e">
        <f>'Ap C- Qtr Electric LMI'!#REF!</f>
        <v>#REF!</v>
      </c>
      <c r="K8" s="286" t="s">
        <v>261</v>
      </c>
      <c r="L8" s="286" t="e">
        <f>'Ap B - Qtr Electric Master'!#REF!</f>
        <v>#REF!</v>
      </c>
      <c r="M8" s="286" t="e">
        <f>'Ap B - Qtr Electric Master'!#REF!</f>
        <v>#REF!</v>
      </c>
      <c r="N8" s="286" t="e">
        <f>SUM('Ap C- Qtr Electric LMI'!#REF!)</f>
        <v>#REF!</v>
      </c>
      <c r="O8" s="286" t="e">
        <f>SUM('Ap C- Qtr Electric LMI'!#REF!)</f>
        <v>#REF!</v>
      </c>
      <c r="P8" s="286"/>
      <c r="Q8" s="286"/>
      <c r="R8" s="286"/>
      <c r="S8" s="286"/>
      <c r="T8" s="286"/>
      <c r="U8" s="286"/>
      <c r="V8" s="286"/>
      <c r="W8" s="286"/>
      <c r="X8" s="286"/>
      <c r="Y8" s="286"/>
      <c r="Z8" s="286"/>
      <c r="AA8" s="286"/>
      <c r="AB8" s="286"/>
      <c r="AC8" s="286"/>
      <c r="AD8" s="286"/>
      <c r="AE8" s="286" t="s">
        <v>261</v>
      </c>
      <c r="AF8" s="286">
        <f>'Ap B - Qtr Electric Master'!$D$10</f>
        <v>7.3</v>
      </c>
      <c r="AG8" s="286">
        <f>'Ap B - Qtr Electric Master'!H10</f>
        <v>7.55185</v>
      </c>
      <c r="AH8" s="286">
        <f>'Ap B - Qtr Electric Master'!$J$10</f>
        <v>38.435000000000002</v>
      </c>
      <c r="AI8" s="286">
        <f>'Table 7 '!D35</f>
        <v>0</v>
      </c>
      <c r="AJ8" s="286">
        <f>'Table 7 '!D55</f>
        <v>0</v>
      </c>
      <c r="AK8" s="286">
        <f>'Ap B - Qtr Electric Master'!$F$10</f>
        <v>7.3</v>
      </c>
      <c r="AL8" s="286">
        <f>'Ap B - Qtr Electric Master'!$K$10</f>
        <v>38.435000000000002</v>
      </c>
      <c r="AM8" s="286">
        <f>'Table 7 '!G35</f>
        <v>0</v>
      </c>
      <c r="AN8" s="286">
        <f>'Table 7 '!G55</f>
        <v>0</v>
      </c>
      <c r="AO8" s="286" t="e">
        <f>'Ap C- Qtr Electric LMI'!#REF!</f>
        <v>#REF!</v>
      </c>
      <c r="AP8" s="286">
        <f>'Ap B - Qtr Electric Master'!$I$10</f>
        <v>0</v>
      </c>
    </row>
    <row r="9" spans="1:44">
      <c r="A9" s="286" t="s">
        <v>521</v>
      </c>
      <c r="B9" s="286" t="s">
        <v>86</v>
      </c>
      <c r="C9" s="286" t="s">
        <v>631</v>
      </c>
      <c r="D9" s="286" t="s">
        <v>632</v>
      </c>
      <c r="E9" s="286" t="s">
        <v>261</v>
      </c>
      <c r="F9" s="286" t="e">
        <f>'Ap B - Qtr Electric Master'!#REF!</f>
        <v>#REF!</v>
      </c>
      <c r="G9" s="286" t="e">
        <f>'Table 7 '!#REF!</f>
        <v>#REF!</v>
      </c>
      <c r="H9" s="286" t="e">
        <f>'Ap B - Qtr Electric Master'!#REF!</f>
        <v>#REF!</v>
      </c>
      <c r="I9" s="286" t="e">
        <f>'Table 7 '!#REF!</f>
        <v>#REF!</v>
      </c>
      <c r="J9" s="286" t="e">
        <f>'Ap C- Qtr Electric LMI'!#REF!</f>
        <v>#REF!</v>
      </c>
      <c r="K9" s="286" t="s">
        <v>261</v>
      </c>
      <c r="L9" s="286" t="e">
        <f>'Ap B - Qtr Electric Master'!#REF!</f>
        <v>#REF!</v>
      </c>
      <c r="M9" s="286" t="e">
        <f>'Ap B - Qtr Electric Master'!#REF!</f>
        <v>#REF!</v>
      </c>
      <c r="N9" s="286" t="e">
        <f>SUM('Ap C- Qtr Electric LMI'!#REF!)</f>
        <v>#REF!</v>
      </c>
      <c r="O9" s="286" t="e">
        <f>SUM('Ap C- Qtr Electric LMI'!#REF!)</f>
        <v>#REF!</v>
      </c>
      <c r="P9" s="286"/>
      <c r="Q9" s="286"/>
      <c r="R9" s="286"/>
      <c r="S9" s="286"/>
      <c r="T9" s="286"/>
      <c r="U9" s="286"/>
      <c r="V9" s="286"/>
      <c r="W9" s="286"/>
      <c r="X9" s="286"/>
      <c r="Y9" s="286"/>
      <c r="Z9" s="286"/>
      <c r="AA9" s="286"/>
      <c r="AB9" s="286"/>
      <c r="AC9" s="286"/>
      <c r="AD9" s="286"/>
      <c r="AE9" s="286" t="s">
        <v>261</v>
      </c>
      <c r="AF9" s="286" t="e">
        <f>'Ap B - Qtr Electric Master'!#REF!</f>
        <v>#REF!</v>
      </c>
      <c r="AG9" s="286" t="e">
        <f>'Ap B - Qtr Electric Master'!#REF!</f>
        <v>#REF!</v>
      </c>
      <c r="AH9" s="286" t="e">
        <f>'Ap B - Qtr Electric Master'!#REF!</f>
        <v>#REF!</v>
      </c>
      <c r="AI9" s="286">
        <f>'Table 7 '!D36</f>
        <v>0</v>
      </c>
      <c r="AJ9" s="286">
        <f>'Table 7 '!D56</f>
        <v>0</v>
      </c>
      <c r="AK9" s="286" t="e">
        <f>'Ap B - Qtr Electric Master'!#REF!</f>
        <v>#REF!</v>
      </c>
      <c r="AL9" s="286" t="e">
        <f>'Ap B - Qtr Electric Master'!#REF!</f>
        <v>#REF!</v>
      </c>
      <c r="AM9" s="286">
        <f>'Table 7 '!G36</f>
        <v>0</v>
      </c>
      <c r="AN9" s="286">
        <f>'Table 7 '!G56</f>
        <v>0</v>
      </c>
      <c r="AO9" s="286" t="e">
        <f>'Ap C- Qtr Electric LMI'!#REF!</f>
        <v>#REF!</v>
      </c>
      <c r="AP9" s="286" t="e">
        <f>'Ap B - Qtr Electric Master'!#REF!</f>
        <v>#REF!</v>
      </c>
    </row>
    <row r="10" spans="1:44" ht="13.75" customHeight="1">
      <c r="A10" s="286" t="s">
        <v>521</v>
      </c>
      <c r="B10" s="286" t="s">
        <v>86</v>
      </c>
      <c r="C10" s="286" t="s">
        <v>631</v>
      </c>
      <c r="D10" s="286" t="s">
        <v>786</v>
      </c>
      <c r="E10" s="286" t="s">
        <v>261</v>
      </c>
      <c r="F10" s="286" t="e">
        <f>'Ap B - Qtr Electric Master'!#REF!</f>
        <v>#REF!</v>
      </c>
      <c r="G10" s="286">
        <f>'Table 7 '!D15</f>
        <v>0</v>
      </c>
      <c r="H10" s="286" t="e">
        <f>'Ap B - Qtr Electric Master'!#REF!</f>
        <v>#REF!</v>
      </c>
      <c r="I10" s="286">
        <f>'Table 7 '!G15</f>
        <v>0</v>
      </c>
      <c r="J10" s="286">
        <f>'Ap C- Qtr Electric LMI'!D11</f>
        <v>0</v>
      </c>
      <c r="K10" s="286" t="s">
        <v>261</v>
      </c>
      <c r="L10" s="286" t="e">
        <f>'Ap B - Qtr Electric Master'!#REF!</f>
        <v>#REF!</v>
      </c>
      <c r="M10" s="286" t="e">
        <f>'Ap B - Qtr Electric Master'!#REF!</f>
        <v>#REF!</v>
      </c>
      <c r="N10" s="286">
        <f>SUM('Ap C- Qtr Electric LMI'!$F$11:$G$11)</f>
        <v>0</v>
      </c>
      <c r="O10" s="286">
        <f>SUM('Ap C- Qtr Electric LMI'!$F$11)</f>
        <v>0</v>
      </c>
      <c r="P10" s="286"/>
      <c r="Q10" s="286"/>
      <c r="R10" s="286"/>
      <c r="S10" s="286"/>
      <c r="T10" s="286"/>
      <c r="U10" s="286"/>
      <c r="V10" s="286"/>
      <c r="W10" s="286"/>
      <c r="X10" s="286"/>
      <c r="Y10" s="286"/>
      <c r="Z10" s="286"/>
      <c r="AA10" s="286"/>
      <c r="AB10" s="286"/>
      <c r="AC10" s="286"/>
      <c r="AD10" s="286"/>
      <c r="AE10" s="286" t="s">
        <v>261</v>
      </c>
      <c r="AF10" s="286">
        <f>'Ap B - Qtr Electric Master'!$D$11</f>
        <v>0</v>
      </c>
      <c r="AG10" s="286">
        <f>'Ap B - Qtr Electric Master'!H11</f>
        <v>0</v>
      </c>
      <c r="AH10" s="286">
        <f>'Ap B - Qtr Electric Master'!$J$11</f>
        <v>0</v>
      </c>
      <c r="AI10" s="286">
        <f>'Table 7 '!D37</f>
        <v>0</v>
      </c>
      <c r="AJ10" s="286">
        <f>'Table 7 '!D57</f>
        <v>0</v>
      </c>
      <c r="AK10" s="286">
        <f>'Ap B - Qtr Electric Master'!$F$11</f>
        <v>0</v>
      </c>
      <c r="AL10" s="286">
        <f>'Ap B - Qtr Electric Master'!$K$11</f>
        <v>0</v>
      </c>
      <c r="AM10" s="286">
        <f>'Table 7 '!G37</f>
        <v>0</v>
      </c>
      <c r="AN10" s="286">
        <f>'Table 7 '!G57</f>
        <v>0</v>
      </c>
      <c r="AO10" s="286">
        <f>'Ap C- Qtr Electric LMI'!H11</f>
        <v>0</v>
      </c>
      <c r="AP10" s="286">
        <f>'Ap B - Qtr Electric Master'!$I$11</f>
        <v>0</v>
      </c>
    </row>
    <row r="11" spans="1:44">
      <c r="A11" s="272" t="s">
        <v>521</v>
      </c>
      <c r="B11" s="272" t="s">
        <v>86</v>
      </c>
      <c r="C11" s="272" t="s">
        <v>631</v>
      </c>
      <c r="D11" s="272"/>
      <c r="E11" s="272" t="e">
        <f>'Ap B - Qtr Electric Master'!#REF!</f>
        <v>#REF!</v>
      </c>
      <c r="F11" s="272" t="s">
        <v>261</v>
      </c>
      <c r="G11" s="272" t="s">
        <v>261</v>
      </c>
      <c r="H11" s="272" t="s">
        <v>261</v>
      </c>
      <c r="I11" s="272" t="s">
        <v>261</v>
      </c>
      <c r="J11" s="272" t="s">
        <v>261</v>
      </c>
      <c r="K11" s="272" t="e">
        <f>'Ap B - Qtr Electric Master'!#REF!</f>
        <v>#REF!</v>
      </c>
      <c r="L11" s="272" t="s">
        <v>261</v>
      </c>
      <c r="M11" s="272" t="s">
        <v>261</v>
      </c>
      <c r="N11" s="272" t="s">
        <v>261</v>
      </c>
      <c r="O11" s="272" t="s">
        <v>261</v>
      </c>
      <c r="P11" s="272" t="s">
        <v>261</v>
      </c>
      <c r="Q11" s="272" t="s">
        <v>261</v>
      </c>
      <c r="R11" s="272" t="s">
        <v>261</v>
      </c>
      <c r="S11" s="272" t="s">
        <v>261</v>
      </c>
      <c r="T11" s="272"/>
      <c r="U11" s="272"/>
      <c r="V11" s="272"/>
      <c r="W11" s="272" t="s">
        <v>261</v>
      </c>
      <c r="X11" s="272" t="s">
        <v>261</v>
      </c>
      <c r="Y11" s="272" t="s">
        <v>261</v>
      </c>
      <c r="Z11" s="272" t="s">
        <v>261</v>
      </c>
      <c r="AA11" s="272"/>
      <c r="AB11" s="272"/>
      <c r="AC11" s="272"/>
      <c r="AD11" s="272"/>
      <c r="AE11" s="272">
        <f>'Ap B - Qtr Electric Master'!E12</f>
        <v>542.82600000000002</v>
      </c>
      <c r="AF11" s="272" t="s">
        <v>261</v>
      </c>
      <c r="AG11" s="272" t="s">
        <v>261</v>
      </c>
      <c r="AH11" s="272" t="s">
        <v>261</v>
      </c>
      <c r="AI11" s="272" t="s">
        <v>261</v>
      </c>
      <c r="AJ11" s="272" t="s">
        <v>261</v>
      </c>
      <c r="AK11" s="272" t="s">
        <v>261</v>
      </c>
      <c r="AL11" s="272" t="s">
        <v>261</v>
      </c>
      <c r="AM11" s="272" t="s">
        <v>261</v>
      </c>
      <c r="AN11" s="272" t="s">
        <v>261</v>
      </c>
      <c r="AO11" s="272" t="s">
        <v>261</v>
      </c>
      <c r="AP11" s="272" t="s">
        <v>261</v>
      </c>
    </row>
    <row r="12" spans="1:44">
      <c r="A12" s="236" t="s">
        <v>521</v>
      </c>
      <c r="B12" s="236" t="s">
        <v>86</v>
      </c>
      <c r="C12" s="236" t="s">
        <v>633</v>
      </c>
      <c r="D12" s="236" t="s">
        <v>634</v>
      </c>
      <c r="E12" s="236" t="e">
        <f>'Ap B - Qtr Electric Master'!#REF!</f>
        <v>#REF!</v>
      </c>
      <c r="F12" s="236" t="e">
        <f>'Ap B - Qtr Electric Master'!#REF!</f>
        <v>#REF!</v>
      </c>
      <c r="G12" s="236">
        <f>'Table 7 '!D16</f>
        <v>0</v>
      </c>
      <c r="H12" s="236" t="e">
        <f>'Ap B - Qtr Electric Master'!#REF!</f>
        <v>#REF!</v>
      </c>
      <c r="I12" s="236">
        <f>'Table 7 '!G16</f>
        <v>0</v>
      </c>
      <c r="J12" s="236">
        <f>'Ap C- Qtr Electric LMI'!D13</f>
        <v>0</v>
      </c>
      <c r="K12" s="236" t="e">
        <f>'Ap B - Qtr Electric Master'!#REF!</f>
        <v>#REF!</v>
      </c>
      <c r="L12" s="236" t="e">
        <f>'Ap B - Qtr Electric Master'!#REF!</f>
        <v>#REF!</v>
      </c>
      <c r="M12" s="236" t="e">
        <f>'Ap B - Qtr Electric Master'!#REF!</f>
        <v>#REF!</v>
      </c>
      <c r="N12" s="236">
        <f>SUM('Ap C- Qtr Electric LMI'!$F$13:$G$13)</f>
        <v>0</v>
      </c>
      <c r="O12" s="236">
        <f>SUM('Ap C- Qtr Electric LMI'!$F$13)</f>
        <v>0</v>
      </c>
      <c r="P12" s="236"/>
      <c r="Q12" s="236"/>
      <c r="R12" s="236"/>
      <c r="S12" s="236"/>
      <c r="T12" s="236"/>
      <c r="U12" s="236"/>
      <c r="V12" s="236"/>
      <c r="W12" s="236"/>
      <c r="X12" s="236"/>
      <c r="Y12" s="236"/>
      <c r="Z12" s="236"/>
      <c r="AA12" s="236"/>
      <c r="AB12" s="236"/>
      <c r="AC12" s="236"/>
      <c r="AD12" s="236"/>
      <c r="AE12" s="236">
        <f>'Ap B - Qtr Electric Master'!E13</f>
        <v>105.432</v>
      </c>
      <c r="AF12" s="236">
        <f>'Ap B - Qtr Electric Master'!$D$13</f>
        <v>0</v>
      </c>
      <c r="AG12" s="236">
        <f>'Ap B - Qtr Electric Master'!H13</f>
        <v>0</v>
      </c>
      <c r="AH12" s="236">
        <f>'Ap B - Qtr Electric Master'!$J$13</f>
        <v>0</v>
      </c>
      <c r="AI12" s="236">
        <f>'Table 7 '!D38</f>
        <v>0</v>
      </c>
      <c r="AJ12" s="236">
        <f>'Table 7 '!D58</f>
        <v>0</v>
      </c>
      <c r="AK12" s="236">
        <f>'Ap B - Qtr Electric Master'!$F$13</f>
        <v>0</v>
      </c>
      <c r="AL12" s="236">
        <f>'Ap B - Qtr Electric Master'!$K$13</f>
        <v>0</v>
      </c>
      <c r="AM12" s="236">
        <f>'Table 7 '!G38</f>
        <v>0</v>
      </c>
      <c r="AN12" s="236">
        <f>'Table 7 '!G58</f>
        <v>0</v>
      </c>
      <c r="AO12" s="236">
        <f>'Ap C- Qtr Electric LMI'!H13</f>
        <v>0</v>
      </c>
      <c r="AP12" s="236">
        <f>'Ap B - Qtr Electric Master'!$I$13</f>
        <v>0</v>
      </c>
    </row>
    <row r="13" spans="1:44">
      <c r="A13" s="236" t="s">
        <v>521</v>
      </c>
      <c r="B13" s="236" t="s">
        <v>86</v>
      </c>
      <c r="C13" s="236" t="s">
        <v>633</v>
      </c>
      <c r="D13" s="236" t="s">
        <v>249</v>
      </c>
      <c r="E13" s="236" t="e">
        <f>'Ap B - Qtr Electric Master'!#REF!</f>
        <v>#REF!</v>
      </c>
      <c r="F13" s="236" t="e">
        <f>'Ap B - Qtr Electric Master'!#REF!</f>
        <v>#REF!</v>
      </c>
      <c r="G13" s="236">
        <f>'Table 7 '!D17</f>
        <v>0</v>
      </c>
      <c r="H13" s="236" t="e">
        <f>'Ap B - Qtr Electric Master'!#REF!</f>
        <v>#REF!</v>
      </c>
      <c r="I13" s="236">
        <f>'Table 7 '!G17</f>
        <v>0</v>
      </c>
      <c r="J13" s="236">
        <f>'Ap C- Qtr Electric LMI'!D14</f>
        <v>0</v>
      </c>
      <c r="K13" s="236" t="e">
        <f>'Ap B - Qtr Electric Master'!#REF!</f>
        <v>#REF!</v>
      </c>
      <c r="L13" s="236" t="e">
        <f>'Ap B - Qtr Electric Master'!#REF!</f>
        <v>#REF!</v>
      </c>
      <c r="M13" s="236" t="e">
        <f>'Ap B - Qtr Electric Master'!#REF!</f>
        <v>#REF!</v>
      </c>
      <c r="N13" s="236">
        <f>SUM('Ap C- Qtr Electric LMI'!$F$14:$G$14)</f>
        <v>5180.4399999999996</v>
      </c>
      <c r="O13" s="236">
        <f>SUM('Ap C- Qtr Electric LMI'!$F$14)</f>
        <v>0</v>
      </c>
      <c r="P13" s="236"/>
      <c r="Q13" s="236"/>
      <c r="R13" s="236"/>
      <c r="S13" s="236"/>
      <c r="T13" s="236"/>
      <c r="U13" s="236"/>
      <c r="V13" s="236"/>
      <c r="W13" s="236"/>
      <c r="X13" s="236"/>
      <c r="Y13" s="236"/>
      <c r="Z13" s="236"/>
      <c r="AA13" s="236"/>
      <c r="AB13" s="236"/>
      <c r="AC13" s="236"/>
      <c r="AD13" s="236"/>
      <c r="AE13" s="236">
        <f>'Ap B - Qtr Electric Master'!E14</f>
        <v>0</v>
      </c>
      <c r="AF13" s="236">
        <f>'Ap B - Qtr Electric Master'!$D$14</f>
        <v>6.9</v>
      </c>
      <c r="AG13" s="236">
        <f>'Ap B - Qtr Electric Master'!H14</f>
        <v>7.1380499999999998</v>
      </c>
      <c r="AH13" s="236">
        <f>'Ap B - Qtr Electric Master'!$J$14</f>
        <v>46.591999999999999</v>
      </c>
      <c r="AI13" s="236">
        <f>'Table 7 '!D40</f>
        <v>10.875</v>
      </c>
      <c r="AJ13" s="236">
        <f>'Table 7 '!D60</f>
        <v>10.875</v>
      </c>
      <c r="AK13" s="236">
        <f>'Ap B - Qtr Electric Master'!$F$14</f>
        <v>6.9</v>
      </c>
      <c r="AL13" s="236">
        <f>'Ap B - Qtr Electric Master'!$K$14</f>
        <v>46.591999999999999</v>
      </c>
      <c r="AM13" s="236">
        <f>'Table 7 '!G40</f>
        <v>10.875</v>
      </c>
      <c r="AN13" s="236">
        <f>'Table 7 '!G60</f>
        <v>10.875</v>
      </c>
      <c r="AO13" s="236">
        <f>'Ap C- Qtr Electric LMI'!H14</f>
        <v>0</v>
      </c>
      <c r="AP13" s="236">
        <f>'Ap B - Qtr Electric Master'!$I$14</f>
        <v>5.9999999999999995E-4</v>
      </c>
    </row>
    <row r="14" spans="1:44">
      <c r="A14" s="236" t="s">
        <v>521</v>
      </c>
      <c r="B14" s="236" t="s">
        <v>86</v>
      </c>
      <c r="C14" s="236" t="s">
        <v>633</v>
      </c>
      <c r="D14" s="236" t="s">
        <v>156</v>
      </c>
      <c r="E14" s="236" t="e">
        <f>'Ap B - Qtr Electric Master'!#REF!</f>
        <v>#REF!</v>
      </c>
      <c r="F14" s="236" t="e">
        <f>'Ap B - Qtr Electric Master'!#REF!</f>
        <v>#REF!</v>
      </c>
      <c r="G14" s="236">
        <f>'Table 7 '!D18</f>
        <v>0</v>
      </c>
      <c r="H14" s="236" t="e">
        <f>'Ap B - Qtr Electric Master'!#REF!</f>
        <v>#REF!</v>
      </c>
      <c r="I14" s="236">
        <f>'Table 7 '!G18</f>
        <v>0</v>
      </c>
      <c r="J14" s="236">
        <f>'Ap C- Qtr Electric LMI'!D15</f>
        <v>0</v>
      </c>
      <c r="K14" s="236" t="e">
        <f>'Ap B - Qtr Electric Master'!#REF!</f>
        <v>#REF!</v>
      </c>
      <c r="L14" s="236" t="e">
        <f>'Ap B - Qtr Electric Master'!#REF!</f>
        <v>#REF!</v>
      </c>
      <c r="M14" s="236" t="e">
        <f>'Ap B - Qtr Electric Master'!#REF!</f>
        <v>#REF!</v>
      </c>
      <c r="N14" s="236">
        <f>SUM('Ap C- Qtr Electric LMI'!$F$15:$G$15)</f>
        <v>0</v>
      </c>
      <c r="O14" s="236">
        <f>SUM('Ap C- Qtr Electric LMI'!$F$15)</f>
        <v>0</v>
      </c>
      <c r="P14" s="236"/>
      <c r="Q14" s="236"/>
      <c r="R14" s="236"/>
      <c r="S14" s="236"/>
      <c r="T14" s="236"/>
      <c r="U14" s="236"/>
      <c r="V14" s="236"/>
      <c r="W14" s="236"/>
      <c r="X14" s="236"/>
      <c r="Y14" s="236"/>
      <c r="Z14" s="236"/>
      <c r="AA14" s="236"/>
      <c r="AB14" s="236"/>
      <c r="AC14" s="236"/>
      <c r="AD14" s="236"/>
      <c r="AE14" s="236">
        <f>'Ap B - Qtr Electric Master'!E16</f>
        <v>77.209999999999994</v>
      </c>
      <c r="AF14" s="236">
        <f>'Ap B - Qtr Electric Master'!$D$16</f>
        <v>0</v>
      </c>
      <c r="AG14" s="236">
        <f>'Ap B - Qtr Electric Master'!H16</f>
        <v>0</v>
      </c>
      <c r="AH14" s="236">
        <f>'Ap B - Qtr Electric Master'!$J$16</f>
        <v>0</v>
      </c>
      <c r="AI14" s="236">
        <f>'Table 7 '!D41</f>
        <v>0</v>
      </c>
      <c r="AJ14" s="236">
        <f>'Table 7 '!D61</f>
        <v>0</v>
      </c>
      <c r="AK14" s="236">
        <f>'Ap B - Qtr Electric Master'!$F$16</f>
        <v>0</v>
      </c>
      <c r="AL14" s="236">
        <f>'Ap B - Qtr Electric Master'!$K$16</f>
        <v>0</v>
      </c>
      <c r="AM14" s="236">
        <f>'Table 7 '!G41</f>
        <v>0</v>
      </c>
      <c r="AN14" s="236">
        <f>'Table 7 '!G61</f>
        <v>0</v>
      </c>
      <c r="AO14" s="236">
        <f>'Ap C- Qtr Electric LMI'!H15</f>
        <v>0</v>
      </c>
      <c r="AP14" s="236">
        <f>'Ap B - Qtr Electric Master'!$I$16</f>
        <v>0</v>
      </c>
    </row>
    <row r="15" spans="1:44" ht="16.5">
      <c r="A15" s="236" t="s">
        <v>521</v>
      </c>
      <c r="B15" s="236" t="s">
        <v>86</v>
      </c>
      <c r="C15" s="236" t="s">
        <v>635</v>
      </c>
      <c r="D15" s="236" t="s">
        <v>787</v>
      </c>
      <c r="E15" s="236" t="s">
        <v>261</v>
      </c>
      <c r="F15" s="236" t="e">
        <f>'Ap B - Qtr Electric Master'!#REF!</f>
        <v>#REF!</v>
      </c>
      <c r="G15" s="236">
        <f>'Table 7 '!D20</f>
        <v>691</v>
      </c>
      <c r="H15" s="236" t="e">
        <f>'Ap B - Qtr Electric Master'!#REF!</f>
        <v>#REF!</v>
      </c>
      <c r="I15" s="236">
        <f>'Table 7 '!G20</f>
        <v>691</v>
      </c>
      <c r="J15" s="236">
        <f>'Ap C- Qtr Electric LMI'!D17</f>
        <v>691</v>
      </c>
      <c r="K15" s="236" t="s">
        <v>261</v>
      </c>
      <c r="L15" s="236" t="e">
        <f>'Ap B - Qtr Electric Master'!#REF!</f>
        <v>#REF!</v>
      </c>
      <c r="M15" s="236" t="e">
        <f>'Ap B - Qtr Electric Master'!#REF!</f>
        <v>#REF!</v>
      </c>
      <c r="N15" s="236" t="str">
        <f>IFERROR('Ap C- Qtr Electric LMI'!$F$17:$G$17, "-")</f>
        <v>-</v>
      </c>
      <c r="O15" s="236">
        <f>_xlfn.SINGLE('Ap C- Qtr Electric LMI'!$F$17)</f>
        <v>0</v>
      </c>
      <c r="P15" s="236"/>
      <c r="Q15" s="236"/>
      <c r="R15" s="236"/>
      <c r="S15" s="236"/>
      <c r="T15" s="236"/>
      <c r="U15" s="236"/>
      <c r="V15" s="236"/>
      <c r="W15" s="236"/>
      <c r="X15" s="236"/>
      <c r="Y15" s="236"/>
      <c r="Z15" s="236"/>
      <c r="AA15" s="236"/>
      <c r="AB15" s="236"/>
      <c r="AC15" s="236"/>
      <c r="AD15" s="236"/>
      <c r="AE15" s="236" t="s">
        <v>261</v>
      </c>
      <c r="AF15" s="236">
        <f>'Ap B - Qtr Electric Master'!$D$17</f>
        <v>0</v>
      </c>
      <c r="AG15" s="236">
        <f>'Ap B - Qtr Electric Master'!H17</f>
        <v>0</v>
      </c>
      <c r="AH15" s="236">
        <f>'Ap B - Qtr Electric Master'!$J$17</f>
        <v>0</v>
      </c>
      <c r="AI15" s="236" t="e">
        <f>'Table 7 '!#REF!</f>
        <v>#REF!</v>
      </c>
      <c r="AJ15" s="236" t="e">
        <f>'Table 7 '!#REF!</f>
        <v>#REF!</v>
      </c>
      <c r="AK15" s="236">
        <f>'Ap B - Qtr Electric Master'!$F$17</f>
        <v>0</v>
      </c>
      <c r="AL15" s="236">
        <f>'Ap B - Qtr Electric Master'!$K$17</f>
        <v>0</v>
      </c>
      <c r="AM15" s="236" t="e">
        <f>'Table 7 '!#REF!</f>
        <v>#REF!</v>
      </c>
      <c r="AN15" s="236" t="e">
        <f>'Table 7 '!#REF!</f>
        <v>#REF!</v>
      </c>
      <c r="AO15" s="236">
        <f>'Ap C- Qtr Electric LMI'!H17</f>
        <v>10.875</v>
      </c>
      <c r="AP15" s="236">
        <f>'Ap B - Qtr Electric Master'!$I$17</f>
        <v>0</v>
      </c>
    </row>
    <row r="16" spans="1:44">
      <c r="A16" s="236" t="s">
        <v>521</v>
      </c>
      <c r="B16" s="236" t="s">
        <v>86</v>
      </c>
      <c r="C16" s="236" t="s">
        <v>635</v>
      </c>
      <c r="D16" s="236" t="s">
        <v>627</v>
      </c>
      <c r="E16" s="236" t="e">
        <f>'Ap B - Qtr Electric Master'!#REF!</f>
        <v>#REF!</v>
      </c>
      <c r="F16" s="236" t="e">
        <f>'Ap B - Qtr Electric Master'!#REF!</f>
        <v>#REF!</v>
      </c>
      <c r="G16" s="236" t="e">
        <f>'Table 7 '!#REF!</f>
        <v>#REF!</v>
      </c>
      <c r="H16" s="236" t="e">
        <f>'Ap B - Qtr Electric Master'!#REF!</f>
        <v>#REF!</v>
      </c>
      <c r="I16" s="236" t="e">
        <f>'Table 7 '!#REF!</f>
        <v>#REF!</v>
      </c>
      <c r="J16" s="236" t="e">
        <f>'Ap C- Qtr Electric LMI'!#REF!</f>
        <v>#REF!</v>
      </c>
      <c r="K16" s="236" t="s">
        <v>261</v>
      </c>
      <c r="L16" s="236" t="e">
        <f>'Ap B - Qtr Electric Master'!#REF!</f>
        <v>#REF!</v>
      </c>
      <c r="M16" s="236" t="e">
        <f>'Ap B - Qtr Electric Master'!#REF!</f>
        <v>#REF!</v>
      </c>
      <c r="N16" s="236" t="str">
        <f>IFERROR(_xlfn.SINGLE('Ap C- Qtr Electric LMI'!#REF!), "-")</f>
        <v>-</v>
      </c>
      <c r="O16" s="236" t="e">
        <f>'Ap C- Qtr Electric LMI'!#REF!</f>
        <v>#REF!</v>
      </c>
      <c r="P16" s="236"/>
      <c r="Q16" s="236"/>
      <c r="R16" s="236"/>
      <c r="S16" s="236"/>
      <c r="T16" s="236"/>
      <c r="U16" s="236"/>
      <c r="V16" s="236"/>
      <c r="W16" s="236"/>
      <c r="X16" s="236"/>
      <c r="Y16" s="236"/>
      <c r="Z16" s="236"/>
      <c r="AA16" s="236"/>
      <c r="AB16" s="236"/>
      <c r="AC16" s="236"/>
      <c r="AD16" s="236"/>
      <c r="AE16" s="236" t="s">
        <v>261</v>
      </c>
      <c r="AF16" s="236">
        <f>'Ap B - Qtr Electric Master'!$D$18</f>
        <v>0</v>
      </c>
      <c r="AG16" s="236">
        <f>'Ap B - Qtr Electric Master'!H18</f>
        <v>0</v>
      </c>
      <c r="AH16" s="236">
        <f>'Ap B - Qtr Electric Master'!$J$18</f>
        <v>0</v>
      </c>
      <c r="AI16" s="236">
        <f>'Table 7 '!D42</f>
        <v>0</v>
      </c>
      <c r="AJ16" s="236">
        <f>'Table 7 '!D62</f>
        <v>0</v>
      </c>
      <c r="AK16" s="236">
        <f>'Ap B - Qtr Electric Master'!$F$18</f>
        <v>0</v>
      </c>
      <c r="AL16" s="236">
        <f>'Ap B - Qtr Electric Master'!$K$18</f>
        <v>0</v>
      </c>
      <c r="AM16" s="236">
        <f>'Table 7 '!G42</f>
        <v>0</v>
      </c>
      <c r="AN16" s="236">
        <f>'Table 7 '!G62</f>
        <v>0</v>
      </c>
      <c r="AO16" s="236" t="e">
        <f>'Ap C- Qtr Electric LMI'!#REF!</f>
        <v>#REF!</v>
      </c>
      <c r="AP16" s="236">
        <f>'Ap B - Qtr Electric Master'!$I$18</f>
        <v>0</v>
      </c>
    </row>
    <row r="17" spans="1:42">
      <c r="A17" s="272" t="s">
        <v>521</v>
      </c>
      <c r="B17" s="272" t="s">
        <v>86</v>
      </c>
      <c r="C17" s="272" t="s">
        <v>635</v>
      </c>
      <c r="D17" s="272"/>
      <c r="E17" s="272" t="e">
        <f>'Ap B - Qtr Electric Master'!#REF!</f>
        <v>#REF!</v>
      </c>
      <c r="F17" s="272" t="s">
        <v>261</v>
      </c>
      <c r="G17" s="272" t="s">
        <v>261</v>
      </c>
      <c r="H17" s="272" t="s">
        <v>261</v>
      </c>
      <c r="I17" s="272" t="s">
        <v>261</v>
      </c>
      <c r="J17" s="272" t="s">
        <v>261</v>
      </c>
      <c r="K17" s="272" t="e">
        <f>'Ap B - Qtr Electric Master'!#REF!</f>
        <v>#REF!</v>
      </c>
      <c r="L17" s="272" t="s">
        <v>261</v>
      </c>
      <c r="M17" s="272" t="s">
        <v>261</v>
      </c>
      <c r="N17" s="272" t="s">
        <v>261</v>
      </c>
      <c r="O17" s="272" t="s">
        <v>261</v>
      </c>
      <c r="P17" s="272" t="s">
        <v>261</v>
      </c>
      <c r="Q17" s="272" t="s">
        <v>261</v>
      </c>
      <c r="R17" s="272" t="s">
        <v>261</v>
      </c>
      <c r="S17" s="272" t="s">
        <v>261</v>
      </c>
      <c r="T17" s="272"/>
      <c r="U17" s="272"/>
      <c r="V17" s="272"/>
      <c r="W17" s="272" t="s">
        <v>261</v>
      </c>
      <c r="X17" s="272" t="s">
        <v>261</v>
      </c>
      <c r="Y17" s="272" t="s">
        <v>261</v>
      </c>
      <c r="Z17" s="272" t="s">
        <v>261</v>
      </c>
      <c r="AA17" s="272"/>
      <c r="AB17" s="272"/>
      <c r="AC17" s="272"/>
      <c r="AD17" s="272"/>
      <c r="AE17" s="272">
        <f>'Ap B - Qtr Electric Master'!E19</f>
        <v>1932</v>
      </c>
      <c r="AF17" s="272" t="s">
        <v>261</v>
      </c>
      <c r="AG17" s="272" t="s">
        <v>261</v>
      </c>
      <c r="AH17" s="272" t="s">
        <v>261</v>
      </c>
      <c r="AI17" s="272" t="s">
        <v>261</v>
      </c>
      <c r="AJ17" s="272" t="s">
        <v>261</v>
      </c>
      <c r="AK17" s="272" t="s">
        <v>261</v>
      </c>
      <c r="AL17" s="272" t="s">
        <v>261</v>
      </c>
      <c r="AM17" s="272" t="s">
        <v>261</v>
      </c>
      <c r="AN17" s="272" t="s">
        <v>261</v>
      </c>
      <c r="AO17" s="272" t="s">
        <v>261</v>
      </c>
      <c r="AP17" s="272" t="s">
        <v>261</v>
      </c>
    </row>
    <row r="18" spans="1:42">
      <c r="A18" s="286" t="s">
        <v>521</v>
      </c>
      <c r="B18" s="286" t="s">
        <v>628</v>
      </c>
      <c r="C18" s="286" t="s">
        <v>27</v>
      </c>
      <c r="D18" s="286" t="s">
        <v>27</v>
      </c>
      <c r="E18" s="286" t="e">
        <f>'Ap B - Qtr Electric Master'!#REF!</f>
        <v>#REF!</v>
      </c>
      <c r="F18" s="286" t="e">
        <f>'Ap B - Qtr Electric Master'!#REF!</f>
        <v>#REF!</v>
      </c>
      <c r="G18" s="286">
        <f>'Table 7 '!D21</f>
        <v>0</v>
      </c>
      <c r="H18" s="286" t="e">
        <f>'Ap B - Qtr Electric Master'!#REF!</f>
        <v>#REF!</v>
      </c>
      <c r="I18" s="286">
        <f>'Table 7 '!G21</f>
        <v>0</v>
      </c>
      <c r="J18" s="286" t="s">
        <v>261</v>
      </c>
      <c r="K18" s="286" t="e">
        <f>'Ap B - Qtr Electric Master'!#REF!</f>
        <v>#REF!</v>
      </c>
      <c r="L18" s="286" t="e">
        <f>'Ap B - Qtr Electric Master'!#REF!</f>
        <v>#REF!</v>
      </c>
      <c r="M18" s="286" t="e">
        <f>'Ap B - Qtr Electric Master'!#REF!</f>
        <v>#REF!</v>
      </c>
      <c r="N18" s="286">
        <f>'AP D - Qtr Electric Business'!$G$7</f>
        <v>0</v>
      </c>
      <c r="O18" s="286" t="s">
        <v>261</v>
      </c>
      <c r="P18" s="286"/>
      <c r="Q18" s="286"/>
      <c r="R18" s="286"/>
      <c r="S18" s="286"/>
      <c r="T18" s="286"/>
      <c r="U18" s="286"/>
      <c r="V18" s="286"/>
      <c r="W18" s="286"/>
      <c r="X18" s="286"/>
      <c r="Y18" s="286"/>
      <c r="Z18" s="286"/>
      <c r="AA18" s="286"/>
      <c r="AB18" s="286"/>
      <c r="AC18" s="286"/>
      <c r="AD18" s="286"/>
      <c r="AE18" s="286">
        <f>'Ap B - Qtr Electric Master'!E23</f>
        <v>3295.2890000000002</v>
      </c>
      <c r="AF18" s="286">
        <f>'Ap B - Qtr Electric Master'!$D$23</f>
        <v>0</v>
      </c>
      <c r="AG18" s="286">
        <f>'Ap B - Qtr Electric Master'!H23</f>
        <v>0</v>
      </c>
      <c r="AH18" s="286">
        <f>'Ap B - Qtr Electric Master'!$J$23</f>
        <v>0</v>
      </c>
      <c r="AI18" s="286">
        <f>'Table 7 '!D43</f>
        <v>0</v>
      </c>
      <c r="AJ18" s="286">
        <f>'Table 7 '!D63</f>
        <v>0</v>
      </c>
      <c r="AK18" s="286">
        <f>'Ap B - Qtr Electric Master'!$F$23</f>
        <v>0</v>
      </c>
      <c r="AL18" s="286">
        <f>'Ap B - Qtr Electric Master'!$K$23</f>
        <v>0</v>
      </c>
      <c r="AM18" s="286">
        <f>'Table 7 '!G43</f>
        <v>0</v>
      </c>
      <c r="AN18" s="286">
        <f>'Table 7 '!G63</f>
        <v>0</v>
      </c>
      <c r="AO18" s="286" t="s">
        <v>261</v>
      </c>
      <c r="AP18" s="286">
        <f>'Ap B - Qtr Electric Master'!$I$23</f>
        <v>0</v>
      </c>
    </row>
    <row r="19" spans="1:42">
      <c r="A19" s="286" t="s">
        <v>521</v>
      </c>
      <c r="B19" s="286" t="s">
        <v>628</v>
      </c>
      <c r="C19" s="286" t="s">
        <v>636</v>
      </c>
      <c r="D19" s="286" t="s">
        <v>29</v>
      </c>
      <c r="E19" s="286" t="e">
        <f>'Ap B - Qtr Electric Master'!#REF!</f>
        <v>#REF!</v>
      </c>
      <c r="F19" s="286" t="e">
        <f>'Ap B - Qtr Electric Master'!#REF!</f>
        <v>#REF!</v>
      </c>
      <c r="G19" s="286">
        <f>'Table 7 '!D23</f>
        <v>0</v>
      </c>
      <c r="H19" s="286" t="e">
        <f>'Ap B - Qtr Electric Master'!#REF!</f>
        <v>#REF!</v>
      </c>
      <c r="I19" s="286">
        <f>'Table 7 '!G23</f>
        <v>0</v>
      </c>
      <c r="J19" s="286" t="s">
        <v>261</v>
      </c>
      <c r="K19" s="286" t="e">
        <f>'Ap B - Qtr Electric Master'!#REF!</f>
        <v>#REF!</v>
      </c>
      <c r="L19" s="286" t="e">
        <f>'Ap B - Qtr Electric Master'!#REF!</f>
        <v>#REF!</v>
      </c>
      <c r="M19" s="286" t="e">
        <f>'Ap B - Qtr Electric Master'!#REF!</f>
        <v>#REF!</v>
      </c>
      <c r="N19" s="286">
        <f>SUM('AP D - Qtr Electric Business'!$G$8:$H$8)</f>
        <v>0</v>
      </c>
      <c r="O19" s="286" t="s">
        <v>261</v>
      </c>
      <c r="P19" s="286"/>
      <c r="Q19" s="286"/>
      <c r="R19" s="286"/>
      <c r="S19" s="286"/>
      <c r="T19" s="286"/>
      <c r="U19" s="286"/>
      <c r="V19" s="286"/>
      <c r="W19" s="286"/>
      <c r="X19" s="286"/>
      <c r="Y19" s="286"/>
      <c r="Z19" s="286"/>
      <c r="AA19" s="286"/>
      <c r="AB19" s="286"/>
      <c r="AC19" s="286"/>
      <c r="AD19" s="286"/>
      <c r="AE19" s="286">
        <f>'Ap B - Qtr Electric Master'!E24</f>
        <v>3202.6819999999998</v>
      </c>
      <c r="AF19" s="286">
        <f>'Ap B - Qtr Electric Master'!$D$24</f>
        <v>0</v>
      </c>
      <c r="AG19" s="286">
        <f>'Ap B - Qtr Electric Master'!H24</f>
        <v>0</v>
      </c>
      <c r="AH19" s="286">
        <f>'Ap B - Qtr Electric Master'!$J$24</f>
        <v>0</v>
      </c>
      <c r="AI19" s="286">
        <f>'Table 7 '!D47</f>
        <v>0</v>
      </c>
      <c r="AJ19" s="286">
        <f>'Table 7 '!D67</f>
        <v>0</v>
      </c>
      <c r="AK19" s="286">
        <f>'Ap B - Qtr Electric Master'!$F$24</f>
        <v>0</v>
      </c>
      <c r="AL19" s="286">
        <f>'Ap B - Qtr Electric Master'!$K$24</f>
        <v>0</v>
      </c>
      <c r="AM19" s="286">
        <f>'Table 7 '!G47</f>
        <v>0</v>
      </c>
      <c r="AN19" s="286">
        <f>'Table 7 '!G67</f>
        <v>0</v>
      </c>
      <c r="AO19" s="286" t="s">
        <v>261</v>
      </c>
      <c r="AP19" s="286">
        <f>'Ap B - Qtr Electric Master'!$I$24</f>
        <v>0</v>
      </c>
    </row>
    <row r="20" spans="1:42">
      <c r="A20" s="286" t="s">
        <v>521</v>
      </c>
      <c r="B20" s="286" t="s">
        <v>628</v>
      </c>
      <c r="C20" s="286" t="s">
        <v>636</v>
      </c>
      <c r="D20" s="286" t="s">
        <v>637</v>
      </c>
      <c r="E20" s="286" t="e">
        <f>'Ap B - Qtr Electric Master'!#REF!</f>
        <v>#REF!</v>
      </c>
      <c r="F20" s="286" t="e">
        <f>'Ap B - Qtr Electric Master'!#REF!</f>
        <v>#REF!</v>
      </c>
      <c r="G20" s="286">
        <f>'Table 7 '!D22</f>
        <v>0</v>
      </c>
      <c r="H20" s="286" t="e">
        <f>'Ap B - Qtr Electric Master'!#REF!</f>
        <v>#REF!</v>
      </c>
      <c r="I20" s="286">
        <f>'Table 7 '!G22</f>
        <v>0</v>
      </c>
      <c r="J20" s="286" t="s">
        <v>261</v>
      </c>
      <c r="K20" s="286" t="e">
        <f>'Ap B - Qtr Electric Master'!#REF!</f>
        <v>#REF!</v>
      </c>
      <c r="L20" s="286" t="e">
        <f>'Ap B - Qtr Electric Master'!#REF!</f>
        <v>#REF!</v>
      </c>
      <c r="M20" s="286" t="e">
        <f>'Ap B - Qtr Electric Master'!#REF!</f>
        <v>#REF!</v>
      </c>
      <c r="N20" s="286" t="e">
        <f>SUM('AP D - Qtr Electric Business'!#REF!)</f>
        <v>#REF!</v>
      </c>
      <c r="O20" s="286" t="s">
        <v>261</v>
      </c>
      <c r="P20" s="286"/>
      <c r="Q20" s="286"/>
      <c r="R20" s="286"/>
      <c r="S20" s="286"/>
      <c r="T20" s="286"/>
      <c r="U20" s="286"/>
      <c r="V20" s="286"/>
      <c r="W20" s="286"/>
      <c r="X20" s="286"/>
      <c r="Y20" s="286"/>
      <c r="Z20" s="286"/>
      <c r="AA20" s="286"/>
      <c r="AB20" s="286"/>
      <c r="AC20" s="286"/>
      <c r="AD20" s="286"/>
      <c r="AE20" s="286" t="e">
        <f>'Ap B - Qtr Electric Master'!#REF!</f>
        <v>#REF!</v>
      </c>
      <c r="AF20" s="286" t="e">
        <f>'Ap B - Qtr Electric Master'!#REF!</f>
        <v>#REF!</v>
      </c>
      <c r="AG20" s="286" t="e">
        <f>'Ap B - Qtr Electric Master'!#REF!</f>
        <v>#REF!</v>
      </c>
      <c r="AH20" s="286" t="e">
        <f>'Ap B - Qtr Electric Master'!#REF!</f>
        <v>#REF!</v>
      </c>
      <c r="AI20" s="286">
        <f>'Table 7 '!D46</f>
        <v>0</v>
      </c>
      <c r="AJ20" s="286">
        <f>'Table 7 '!D66</f>
        <v>0</v>
      </c>
      <c r="AK20" s="286" t="e">
        <f>'Ap B - Qtr Electric Master'!#REF!</f>
        <v>#REF!</v>
      </c>
      <c r="AL20" s="286" t="e">
        <f>'Ap B - Qtr Electric Master'!#REF!</f>
        <v>#REF!</v>
      </c>
      <c r="AM20" s="286">
        <f>'Table 7 '!G46</f>
        <v>0</v>
      </c>
      <c r="AN20" s="286">
        <f>'Table 7 '!G66</f>
        <v>0</v>
      </c>
      <c r="AO20" s="286" t="s">
        <v>261</v>
      </c>
      <c r="AP20" s="286" t="e">
        <f>'Ap B - Qtr Electric Master'!#REF!</f>
        <v>#REF!</v>
      </c>
    </row>
    <row r="21" spans="1:42">
      <c r="A21" s="286" t="s">
        <v>521</v>
      </c>
      <c r="B21" s="286" t="s">
        <v>628</v>
      </c>
      <c r="C21" s="286" t="s">
        <v>636</v>
      </c>
      <c r="D21" s="286" t="s">
        <v>34</v>
      </c>
      <c r="E21" s="286" t="e">
        <f>'Ap B - Qtr Electric Master'!#REF!</f>
        <v>#REF!</v>
      </c>
      <c r="F21" s="286" t="e">
        <f>'Ap B - Qtr Electric Master'!#REF!</f>
        <v>#REF!</v>
      </c>
      <c r="G21" s="286" t="s">
        <v>261</v>
      </c>
      <c r="H21" s="286" t="e">
        <f>'Ap B - Qtr Electric Master'!#REF!</f>
        <v>#REF!</v>
      </c>
      <c r="I21" s="286" t="s">
        <v>261</v>
      </c>
      <c r="J21" s="286" t="s">
        <v>261</v>
      </c>
      <c r="K21" s="286" t="e">
        <f>'Ap B - Qtr Electric Master'!#REF!</f>
        <v>#REF!</v>
      </c>
      <c r="L21" s="286" t="e">
        <f>'Ap B - Qtr Electric Master'!#REF!</f>
        <v>#REF!</v>
      </c>
      <c r="M21" s="286" t="e">
        <f>'Ap B - Qtr Electric Master'!#REF!</f>
        <v>#REF!</v>
      </c>
      <c r="N21" s="286">
        <f>SUM('AP D - Qtr Electric Business'!$G$11:$H$11)</f>
        <v>0</v>
      </c>
      <c r="O21" s="286" t="s">
        <v>261</v>
      </c>
      <c r="P21" s="286"/>
      <c r="Q21" s="286"/>
      <c r="R21" s="286"/>
      <c r="S21" s="286"/>
      <c r="T21" s="286"/>
      <c r="U21" s="286"/>
      <c r="V21" s="286"/>
      <c r="W21" s="286"/>
      <c r="X21" s="286"/>
      <c r="Y21" s="286"/>
      <c r="Z21" s="286"/>
      <c r="AA21" s="286"/>
      <c r="AB21" s="286"/>
      <c r="AC21" s="286"/>
      <c r="AD21" s="286"/>
      <c r="AE21" s="286">
        <f>'Ap B - Qtr Electric Master'!E28</f>
        <v>2.585</v>
      </c>
      <c r="AF21" s="286">
        <f>'Ap B - Qtr Electric Master'!$D$28</f>
        <v>0</v>
      </c>
      <c r="AG21" s="286">
        <f>'Ap B - Qtr Electric Master'!H28</f>
        <v>0</v>
      </c>
      <c r="AH21" s="286">
        <f>'Ap B - Qtr Electric Master'!$J$28</f>
        <v>0</v>
      </c>
      <c r="AI21" s="286" t="s">
        <v>261</v>
      </c>
      <c r="AJ21" s="286" t="s">
        <v>261</v>
      </c>
      <c r="AK21" s="286">
        <f>'Ap B - Qtr Electric Master'!$F$28</f>
        <v>0</v>
      </c>
      <c r="AL21" s="286">
        <f>'Ap B - Qtr Electric Master'!$K$28</f>
        <v>0</v>
      </c>
      <c r="AM21" s="286" t="s">
        <v>261</v>
      </c>
      <c r="AN21" s="286" t="s">
        <v>261</v>
      </c>
      <c r="AO21" s="286" t="s">
        <v>261</v>
      </c>
      <c r="AP21" s="286">
        <f>'Ap B - Qtr Electric Master'!$I$28</f>
        <v>0</v>
      </c>
    </row>
    <row r="22" spans="1:42">
      <c r="A22" s="236" t="s">
        <v>521</v>
      </c>
      <c r="B22" s="236" t="s">
        <v>131</v>
      </c>
      <c r="C22" s="236" t="s">
        <v>131</v>
      </c>
      <c r="D22" s="236" t="s">
        <v>634</v>
      </c>
      <c r="E22" s="236" t="s">
        <v>261</v>
      </c>
      <c r="F22" s="236" t="e">
        <f>'Ap B - Qtr Electric Master'!#REF!</f>
        <v>#REF!</v>
      </c>
      <c r="G22" s="236" t="s">
        <v>261</v>
      </c>
      <c r="H22" s="236" t="e">
        <f>'Ap B - Qtr Electric Master'!#REF!</f>
        <v>#REF!</v>
      </c>
      <c r="I22" s="236" t="s">
        <v>261</v>
      </c>
      <c r="J22" s="236">
        <f>'Ap C- Qtr Electric LMI'!D21</f>
        <v>0</v>
      </c>
      <c r="K22" s="236" t="s">
        <v>261</v>
      </c>
      <c r="L22" s="236" t="e">
        <f>'Ap B - Qtr Electric Master'!#REF!</f>
        <v>#REF!</v>
      </c>
      <c r="M22" s="236" t="e">
        <f>'Ap B - Qtr Electric Master'!#REF!</f>
        <v>#REF!</v>
      </c>
      <c r="N22" s="236">
        <f>SUM('Ap C- Qtr Electric LMI'!$F$21:$G$21)</f>
        <v>0</v>
      </c>
      <c r="O22" s="236">
        <f>SUM('Ap C- Qtr Electric LMI'!$F$21)</f>
        <v>0</v>
      </c>
      <c r="P22" s="236"/>
      <c r="Q22" s="236"/>
      <c r="R22" s="236"/>
      <c r="S22" s="236"/>
      <c r="T22" s="236"/>
      <c r="U22" s="236"/>
      <c r="V22" s="236"/>
      <c r="W22" s="236"/>
      <c r="X22" s="236"/>
      <c r="Y22" s="236"/>
      <c r="Z22" s="236"/>
      <c r="AA22" s="236"/>
      <c r="AB22" s="236"/>
      <c r="AC22" s="236"/>
      <c r="AD22" s="236"/>
      <c r="AE22" s="236" t="s">
        <v>261</v>
      </c>
      <c r="AF22" s="236">
        <f>'Ap B - Qtr Electric Master'!$D$32</f>
        <v>0</v>
      </c>
      <c r="AG22" s="236">
        <f>'Ap B - Qtr Electric Master'!H32</f>
        <v>0</v>
      </c>
      <c r="AH22" s="236">
        <f>'Ap B - Qtr Electric Master'!$J$32</f>
        <v>0</v>
      </c>
      <c r="AI22" s="236" t="s">
        <v>261</v>
      </c>
      <c r="AJ22" s="236" t="s">
        <v>261</v>
      </c>
      <c r="AK22" s="236">
        <f>'Ap B - Qtr Electric Master'!$F$32</f>
        <v>0</v>
      </c>
      <c r="AL22" s="236">
        <f>'Ap B - Qtr Electric Master'!$K$32</f>
        <v>0</v>
      </c>
      <c r="AM22" s="236" t="s">
        <v>261</v>
      </c>
      <c r="AN22" s="236" t="s">
        <v>261</v>
      </c>
      <c r="AO22" s="236">
        <f>'Ap C- Qtr Electric LMI'!H21</f>
        <v>0</v>
      </c>
      <c r="AP22" s="236">
        <f>'Ap B - Qtr Electric Master'!$I$32</f>
        <v>0</v>
      </c>
    </row>
    <row r="23" spans="1:42">
      <c r="A23" s="236" t="s">
        <v>521</v>
      </c>
      <c r="B23" s="236" t="s">
        <v>131</v>
      </c>
      <c r="C23" s="236" t="s">
        <v>131</v>
      </c>
      <c r="D23" s="236" t="s">
        <v>27</v>
      </c>
      <c r="E23" s="236" t="s">
        <v>261</v>
      </c>
      <c r="F23" s="236" t="e">
        <f>'Ap B - Qtr Electric Master'!#REF!</f>
        <v>#REF!</v>
      </c>
      <c r="G23" s="236">
        <f>'Table 7 '!D26</f>
        <v>0</v>
      </c>
      <c r="H23" s="236" t="e">
        <f>'Ap B - Qtr Electric Master'!#REF!</f>
        <v>#REF!</v>
      </c>
      <c r="I23" s="236">
        <f>'Table 7 '!G26</f>
        <v>0</v>
      </c>
      <c r="J23" s="236">
        <f>'Ap C- Qtr Electric LMI'!D22</f>
        <v>0</v>
      </c>
      <c r="K23" s="236" t="s">
        <v>261</v>
      </c>
      <c r="L23" s="236" t="e">
        <f>'Ap B - Qtr Electric Master'!#REF!</f>
        <v>#REF!</v>
      </c>
      <c r="M23" s="236" t="e">
        <f>'Ap B - Qtr Electric Master'!#REF!</f>
        <v>#REF!</v>
      </c>
      <c r="N23" s="236">
        <f>SUM('Ap C- Qtr Electric LMI'!$F$22:$G$22)</f>
        <v>0</v>
      </c>
      <c r="O23" s="236">
        <f>SUM('Ap C- Qtr Electric LMI'!$F$22)</f>
        <v>0</v>
      </c>
      <c r="P23" s="236"/>
      <c r="Q23" s="236"/>
      <c r="R23" s="236"/>
      <c r="S23" s="236"/>
      <c r="T23" s="236"/>
      <c r="U23" s="236"/>
      <c r="V23" s="236"/>
      <c r="W23" s="236"/>
      <c r="X23" s="236"/>
      <c r="Y23" s="236"/>
      <c r="Z23" s="236"/>
      <c r="AA23" s="236"/>
      <c r="AB23" s="236"/>
      <c r="AC23" s="236"/>
      <c r="AD23" s="236"/>
      <c r="AE23" s="236" t="s">
        <v>261</v>
      </c>
      <c r="AF23" s="236">
        <f>'Ap B - Qtr Electric Master'!$D$33</f>
        <v>0</v>
      </c>
      <c r="AG23" s="236">
        <f>'Ap B - Qtr Electric Master'!H33</f>
        <v>0</v>
      </c>
      <c r="AH23" s="236">
        <f>'Ap B - Qtr Electric Master'!$J$33</f>
        <v>0</v>
      </c>
      <c r="AI23" s="236" t="e">
        <f>'Table 7 '!#REF!</f>
        <v>#REF!</v>
      </c>
      <c r="AJ23" s="236" t="e">
        <f>'Table 7 '!#REF!</f>
        <v>#REF!</v>
      </c>
      <c r="AK23" s="236">
        <f>'Ap B - Qtr Electric Master'!$F$33</f>
        <v>0</v>
      </c>
      <c r="AL23" s="236">
        <f>'Ap B - Qtr Electric Master'!$K$33</f>
        <v>0</v>
      </c>
      <c r="AM23" s="236" t="e">
        <f>'Table 7 '!#REF!</f>
        <v>#REF!</v>
      </c>
      <c r="AN23" s="236" t="e">
        <f>'Table 7 '!#REF!</f>
        <v>#REF!</v>
      </c>
      <c r="AO23" s="236">
        <f>'Ap C- Qtr Electric LMI'!H22</f>
        <v>0</v>
      </c>
      <c r="AP23" s="236">
        <f>'Ap B - Qtr Electric Master'!$I$33</f>
        <v>0</v>
      </c>
    </row>
    <row r="24" spans="1:42">
      <c r="A24" s="236" t="s">
        <v>521</v>
      </c>
      <c r="B24" s="236" t="s">
        <v>131</v>
      </c>
      <c r="C24" s="236" t="s">
        <v>131</v>
      </c>
      <c r="D24" s="236" t="s">
        <v>29</v>
      </c>
      <c r="E24" s="236" t="s">
        <v>261</v>
      </c>
      <c r="F24" s="236" t="e">
        <f>'Ap B - Qtr Electric Master'!#REF!</f>
        <v>#REF!</v>
      </c>
      <c r="G24" s="236">
        <f>'Table 7 '!D27</f>
        <v>0</v>
      </c>
      <c r="H24" s="236" t="e">
        <f>'Ap B - Qtr Electric Master'!#REF!</f>
        <v>#REF!</v>
      </c>
      <c r="I24" s="236">
        <f>'Table 7 '!G27</f>
        <v>0</v>
      </c>
      <c r="J24" s="236" t="e">
        <f>'Ap C- Qtr Electric LMI'!#REF!</f>
        <v>#REF!</v>
      </c>
      <c r="K24" s="236" t="s">
        <v>261</v>
      </c>
      <c r="L24" s="236" t="e">
        <f>'Ap B - Qtr Electric Master'!#REF!</f>
        <v>#REF!</v>
      </c>
      <c r="M24" s="236" t="e">
        <f>'Ap B - Qtr Electric Master'!#REF!</f>
        <v>#REF!</v>
      </c>
      <c r="N24" s="236">
        <v>0</v>
      </c>
      <c r="O24" s="236">
        <v>0</v>
      </c>
      <c r="P24" s="236"/>
      <c r="Q24" s="236"/>
      <c r="R24" s="236"/>
      <c r="S24" s="236"/>
      <c r="T24" s="236"/>
      <c r="U24" s="236"/>
      <c r="V24" s="236"/>
      <c r="W24" s="236"/>
      <c r="X24" s="236"/>
      <c r="Y24" s="236"/>
      <c r="Z24" s="236"/>
      <c r="AA24" s="236"/>
      <c r="AB24" s="236"/>
      <c r="AC24" s="236"/>
      <c r="AD24" s="236"/>
      <c r="AE24" s="236" t="s">
        <v>261</v>
      </c>
      <c r="AF24" s="236" t="e">
        <f>'Ap B - Qtr Electric Master'!#REF!</f>
        <v>#REF!</v>
      </c>
      <c r="AG24" s="236" t="e">
        <f>'Ap B - Qtr Electric Master'!#REF!</f>
        <v>#REF!</v>
      </c>
      <c r="AH24" s="236" t="e">
        <f>'Ap B - Qtr Electric Master'!#REF!</f>
        <v>#REF!</v>
      </c>
      <c r="AI24" s="236" t="e">
        <f>'Table 7 '!#REF!</f>
        <v>#REF!</v>
      </c>
      <c r="AJ24" s="236" t="e">
        <f>'Table 7 '!#REF!</f>
        <v>#REF!</v>
      </c>
      <c r="AK24" s="236" t="e">
        <f>'Ap B - Qtr Electric Master'!#REF!</f>
        <v>#REF!</v>
      </c>
      <c r="AL24" s="236" t="e">
        <f>'Ap B - Qtr Electric Master'!#REF!</f>
        <v>#REF!</v>
      </c>
      <c r="AM24" s="236" t="e">
        <f>'Table 7 '!#REF!</f>
        <v>#REF!</v>
      </c>
      <c r="AN24" s="236" t="e">
        <f>'Table 7 '!#REF!</f>
        <v>#REF!</v>
      </c>
      <c r="AO24" s="236" t="e">
        <f>'Ap C- Qtr Electric LMI'!#REF!</f>
        <v>#REF!</v>
      </c>
      <c r="AP24" s="236" t="e">
        <f>'Ap B - Qtr Electric Master'!#REF!</f>
        <v>#REF!</v>
      </c>
    </row>
    <row r="25" spans="1:42">
      <c r="A25" s="236" t="s">
        <v>521</v>
      </c>
      <c r="B25" s="236" t="s">
        <v>131</v>
      </c>
      <c r="C25" s="236" t="s">
        <v>131</v>
      </c>
      <c r="D25" s="236" t="s">
        <v>34</v>
      </c>
      <c r="E25" s="236" t="s">
        <v>261</v>
      </c>
      <c r="F25" s="236" t="e">
        <f>'Ap B - Qtr Electric Master'!#REF!</f>
        <v>#REF!</v>
      </c>
      <c r="G25" s="236" t="s">
        <v>261</v>
      </c>
      <c r="H25" s="236" t="e">
        <f>'Ap B - Qtr Electric Master'!#REF!</f>
        <v>#REF!</v>
      </c>
      <c r="I25" s="236" t="s">
        <v>261</v>
      </c>
      <c r="J25" s="236" t="s">
        <v>261</v>
      </c>
      <c r="K25" s="236" t="s">
        <v>261</v>
      </c>
      <c r="L25" s="236" t="e">
        <f>'Ap B - Qtr Electric Master'!#REF!</f>
        <v>#REF!</v>
      </c>
      <c r="M25" s="236" t="e">
        <f>'Ap B - Qtr Electric Master'!#REF!</f>
        <v>#REF!</v>
      </c>
      <c r="N25" s="236">
        <v>0</v>
      </c>
      <c r="O25" s="236">
        <v>0</v>
      </c>
      <c r="P25" s="236"/>
      <c r="Q25" s="236"/>
      <c r="R25" s="236"/>
      <c r="S25" s="236"/>
      <c r="T25" s="236"/>
      <c r="U25" s="236"/>
      <c r="V25" s="236"/>
      <c r="W25" s="236"/>
      <c r="X25" s="236"/>
      <c r="Y25" s="236"/>
      <c r="Z25" s="236"/>
      <c r="AA25" s="236"/>
      <c r="AB25" s="236"/>
      <c r="AC25" s="236"/>
      <c r="AD25" s="236"/>
      <c r="AE25" s="236" t="s">
        <v>261</v>
      </c>
      <c r="AF25" s="236" t="e">
        <f>'Ap B - Qtr Electric Master'!#REF!</f>
        <v>#REF!</v>
      </c>
      <c r="AG25" s="236" t="e">
        <f>'Ap B - Qtr Electric Master'!#REF!</f>
        <v>#REF!</v>
      </c>
      <c r="AH25" s="236" t="e">
        <f>'Ap B - Qtr Electric Master'!#REF!</f>
        <v>#REF!</v>
      </c>
      <c r="AI25" s="236" t="s">
        <v>261</v>
      </c>
      <c r="AJ25" s="236" t="s">
        <v>261</v>
      </c>
      <c r="AK25" s="236" t="e">
        <f>'Ap B - Qtr Electric Master'!#REF!</f>
        <v>#REF!</v>
      </c>
      <c r="AL25" s="236" t="e">
        <f>'Ap B - Qtr Electric Master'!#REF!</f>
        <v>#REF!</v>
      </c>
      <c r="AM25" s="236" t="s">
        <v>261</v>
      </c>
      <c r="AN25" s="236" t="s">
        <v>261</v>
      </c>
      <c r="AO25" s="236" t="s">
        <v>261</v>
      </c>
      <c r="AP25" s="236" t="e">
        <f>'Ap B - Qtr Electric Master'!#REF!</f>
        <v>#REF!</v>
      </c>
    </row>
    <row r="26" spans="1:42">
      <c r="A26" s="272" t="s">
        <v>521</v>
      </c>
      <c r="B26" s="272" t="s">
        <v>131</v>
      </c>
      <c r="C26" s="272" t="s">
        <v>131</v>
      </c>
      <c r="D26" s="272"/>
      <c r="E26" s="272" t="e">
        <f>'Ap B - Qtr Electric Master'!#REF!</f>
        <v>#REF!</v>
      </c>
      <c r="F26" s="272" t="s">
        <v>261</v>
      </c>
      <c r="G26" s="272" t="s">
        <v>261</v>
      </c>
      <c r="H26" s="272" t="s">
        <v>261</v>
      </c>
      <c r="I26" s="272" t="s">
        <v>261</v>
      </c>
      <c r="J26" s="272" t="s">
        <v>261</v>
      </c>
      <c r="K26" s="272" t="e">
        <f>'Ap B - Qtr Electric Master'!#REF!</f>
        <v>#REF!</v>
      </c>
      <c r="L26" s="272" t="s">
        <v>261</v>
      </c>
      <c r="M26" s="272" t="s">
        <v>261</v>
      </c>
      <c r="N26" s="272" t="s">
        <v>261</v>
      </c>
      <c r="O26" s="272" t="s">
        <v>261</v>
      </c>
      <c r="P26" s="272" t="s">
        <v>261</v>
      </c>
      <c r="Q26" s="272" t="s">
        <v>261</v>
      </c>
      <c r="R26" s="272" t="s">
        <v>261</v>
      </c>
      <c r="S26" s="272" t="s">
        <v>261</v>
      </c>
      <c r="T26" s="272"/>
      <c r="U26" s="272"/>
      <c r="V26" s="272"/>
      <c r="W26" s="272" t="s">
        <v>261</v>
      </c>
      <c r="X26" s="272" t="s">
        <v>261</v>
      </c>
      <c r="Y26" s="272" t="s">
        <v>261</v>
      </c>
      <c r="Z26" s="272" t="s">
        <v>261</v>
      </c>
      <c r="AA26" s="272"/>
      <c r="AB26" s="272"/>
      <c r="AC26" s="272"/>
      <c r="AD26" s="272"/>
      <c r="AE26" s="272">
        <f>'Ap B - Qtr Electric Master'!E34</f>
        <v>52.098999999999997</v>
      </c>
      <c r="AF26" s="272" t="s">
        <v>261</v>
      </c>
      <c r="AG26" s="272" t="s">
        <v>261</v>
      </c>
      <c r="AH26" s="272" t="s">
        <v>261</v>
      </c>
      <c r="AI26" s="272" t="s">
        <v>261</v>
      </c>
      <c r="AJ26" s="272" t="s">
        <v>261</v>
      </c>
      <c r="AK26" s="272" t="s">
        <v>261</v>
      </c>
      <c r="AL26" s="272" t="s">
        <v>261</v>
      </c>
      <c r="AM26" s="272" t="s">
        <v>261</v>
      </c>
      <c r="AN26" s="272" t="s">
        <v>261</v>
      </c>
      <c r="AO26" s="272" t="s">
        <v>261</v>
      </c>
      <c r="AP26" s="272" t="s">
        <v>261</v>
      </c>
    </row>
    <row r="27" spans="1:42">
      <c r="A27" s="286" t="s">
        <v>521</v>
      </c>
      <c r="B27" s="286" t="s">
        <v>638</v>
      </c>
      <c r="C27" s="286" t="s">
        <v>639</v>
      </c>
      <c r="D27" s="286" t="s">
        <v>639</v>
      </c>
      <c r="E27" s="286" t="e">
        <f>'Ap B - Qtr Electric Master'!#REF!</f>
        <v>#REF!</v>
      </c>
      <c r="F27" s="286" t="e">
        <f>'Ap B - Qtr Electric Master'!#REF!</f>
        <v>#REF!</v>
      </c>
      <c r="G27" s="286" t="e">
        <f>'Table 7 '!#REF!</f>
        <v>#REF!</v>
      </c>
      <c r="H27" s="286" t="e">
        <f>'Ap B - Qtr Electric Master'!#REF!</f>
        <v>#REF!</v>
      </c>
      <c r="I27" s="286" t="e">
        <f>'Table 7 '!#REF!</f>
        <v>#REF!</v>
      </c>
      <c r="J27" s="286" t="e">
        <f>'Ap C- Qtr Electric LMI'!#REF!</f>
        <v>#REF!</v>
      </c>
      <c r="K27" s="286" t="e">
        <f>'Ap B - Qtr Electric Master'!#REF!</f>
        <v>#REF!</v>
      </c>
      <c r="L27" s="286" t="e">
        <f>'Ap B - Qtr Electric Master'!#REF!</f>
        <v>#REF!</v>
      </c>
      <c r="M27" s="286" t="e">
        <f>'Ap B - Qtr Electric Master'!#REF!</f>
        <v>#REF!</v>
      </c>
      <c r="N27" s="286" t="e">
        <f>SUM('Ap C- Qtr Electric LMI'!#REF!)</f>
        <v>#REF!</v>
      </c>
      <c r="O27" s="286" t="e">
        <f>SUM('Ap C- Qtr Electric LMI'!#REF!)</f>
        <v>#REF!</v>
      </c>
      <c r="P27" s="286"/>
      <c r="Q27" s="286"/>
      <c r="R27" s="286"/>
      <c r="S27" s="286"/>
      <c r="T27" s="286"/>
      <c r="U27" s="286"/>
      <c r="V27" s="286"/>
      <c r="W27" s="286"/>
      <c r="X27" s="286"/>
      <c r="Y27" s="286"/>
      <c r="Z27" s="286"/>
      <c r="AA27" s="286"/>
      <c r="AB27" s="286"/>
      <c r="AC27" s="286"/>
      <c r="AD27" s="286"/>
      <c r="AE27" s="286" t="e">
        <f>'Ap B - Qtr Electric Master'!#REF!</f>
        <v>#REF!</v>
      </c>
      <c r="AF27" s="286" t="e">
        <f>'Ap B - Qtr Electric Master'!#REF!</f>
        <v>#REF!</v>
      </c>
      <c r="AG27" s="286" t="e">
        <f>'Ap B - Qtr Electric Master'!#REF!</f>
        <v>#REF!</v>
      </c>
      <c r="AH27" s="286" t="e">
        <f>'Ap B - Qtr Electric Master'!#REF!</f>
        <v>#REF!</v>
      </c>
      <c r="AI27" s="286" t="e">
        <f>'Table 7 '!#REF!</f>
        <v>#REF!</v>
      </c>
      <c r="AJ27" s="286" t="e">
        <f>'Table 7 '!#REF!</f>
        <v>#REF!</v>
      </c>
      <c r="AK27" s="286" t="e">
        <f>'Ap B - Qtr Electric Master'!#REF!</f>
        <v>#REF!</v>
      </c>
      <c r="AL27" s="286" t="e">
        <f>'Ap B - Qtr Electric Master'!#REF!</f>
        <v>#REF!</v>
      </c>
      <c r="AM27" s="286" t="e">
        <f>'Table 7 '!#REF!</f>
        <v>#REF!</v>
      </c>
      <c r="AN27" s="286" t="e">
        <f>'Table 7 '!#REF!</f>
        <v>#REF!</v>
      </c>
      <c r="AO27" s="286" t="e">
        <f>'Ap C- Qtr Electric LMI'!#REF!</f>
        <v>#REF!</v>
      </c>
      <c r="AP27" s="286" t="e">
        <f>'Ap B - Qtr Electric Master'!#REF!</f>
        <v>#REF!</v>
      </c>
    </row>
    <row r="28" spans="1:42">
      <c r="A28" s="287" t="s">
        <v>521</v>
      </c>
      <c r="B28" s="288" t="s">
        <v>86</v>
      </c>
      <c r="C28" s="287" t="s">
        <v>91</v>
      </c>
      <c r="D28" s="289" t="s">
        <v>91</v>
      </c>
      <c r="E28" s="290">
        <v>4781</v>
      </c>
      <c r="F28" s="291">
        <v>244</v>
      </c>
      <c r="G28" s="290" t="s">
        <v>261</v>
      </c>
      <c r="H28" s="290">
        <v>507</v>
      </c>
      <c r="I28" s="290" t="s">
        <v>261</v>
      </c>
      <c r="J28" s="290" t="s">
        <v>261</v>
      </c>
      <c r="K28" s="292">
        <v>6170.2120000000004</v>
      </c>
      <c r="L28" s="292">
        <v>1294.66283</v>
      </c>
      <c r="M28" s="293">
        <v>2493.77124</v>
      </c>
      <c r="N28" s="293"/>
      <c r="O28" s="293"/>
      <c r="P28" s="293"/>
      <c r="Q28" s="293"/>
      <c r="R28" s="293"/>
      <c r="S28" s="293"/>
      <c r="T28" s="293"/>
      <c r="U28" s="293"/>
      <c r="V28" s="293"/>
      <c r="W28" s="293"/>
      <c r="X28" s="293"/>
      <c r="Y28" s="293"/>
      <c r="Z28" s="293"/>
      <c r="AA28" s="293"/>
      <c r="AB28" s="293"/>
      <c r="AC28" s="293"/>
      <c r="AD28" s="293"/>
      <c r="AE28" s="294">
        <v>4781</v>
      </c>
      <c r="AF28" s="294">
        <v>214.91566950000001</v>
      </c>
      <c r="AG28" s="286"/>
      <c r="AH28" s="286">
        <v>3264.3151363000002</v>
      </c>
      <c r="AI28" s="295" t="s">
        <v>261</v>
      </c>
      <c r="AJ28" s="295" t="s">
        <v>261</v>
      </c>
      <c r="AK28" s="294" t="e">
        <v>#REF!</v>
      </c>
      <c r="AL28" s="286">
        <v>6444.7812969000006</v>
      </c>
      <c r="AM28" s="295" t="s">
        <v>261</v>
      </c>
      <c r="AN28" s="295" t="s">
        <v>261</v>
      </c>
      <c r="AO28" s="295" t="s">
        <v>261</v>
      </c>
      <c r="AP28" s="286">
        <v>8.3583600000000008E-2</v>
      </c>
    </row>
    <row r="29" spans="1:42">
      <c r="K29"/>
      <c r="L29"/>
      <c r="M29"/>
      <c r="N29"/>
      <c r="O29"/>
      <c r="P29"/>
      <c r="Q29"/>
      <c r="R29"/>
      <c r="S29"/>
      <c r="T29"/>
      <c r="U29"/>
      <c r="V29"/>
      <c r="W29"/>
      <c r="X29"/>
      <c r="Y29"/>
      <c r="Z29"/>
      <c r="AA29"/>
      <c r="AB29"/>
      <c r="AC29"/>
      <c r="AD29"/>
      <c r="AE29"/>
      <c r="AF29"/>
      <c r="AG29"/>
      <c r="AH29"/>
      <c r="AI29"/>
      <c r="AJ29"/>
      <c r="AK29"/>
      <c r="AL29"/>
      <c r="AM29"/>
      <c r="AN29"/>
      <c r="AO29"/>
      <c r="AP29"/>
    </row>
    <row r="30" spans="1:42">
      <c r="K30"/>
      <c r="L30"/>
      <c r="M30"/>
      <c r="N30"/>
      <c r="O30"/>
      <c r="P30"/>
      <c r="Q30"/>
      <c r="R30"/>
      <c r="S30"/>
      <c r="T30"/>
      <c r="U30"/>
      <c r="V30"/>
      <c r="W30"/>
      <c r="X30"/>
      <c r="Y30"/>
      <c r="Z30"/>
      <c r="AA30"/>
      <c r="AB30"/>
      <c r="AC30"/>
      <c r="AD30"/>
      <c r="AE30"/>
      <c r="AF30"/>
      <c r="AG30"/>
      <c r="AH30"/>
      <c r="AI30"/>
      <c r="AJ30"/>
      <c r="AK30"/>
      <c r="AL30"/>
      <c r="AM30"/>
      <c r="AN30"/>
      <c r="AO30"/>
      <c r="AP30"/>
    </row>
    <row r="31" spans="1:42">
      <c r="K31"/>
      <c r="L31"/>
      <c r="M31"/>
      <c r="N31"/>
      <c r="O31"/>
      <c r="P31"/>
      <c r="Q31"/>
      <c r="R31"/>
      <c r="S31"/>
      <c r="T31"/>
      <c r="U31"/>
      <c r="V31"/>
      <c r="W31"/>
      <c r="X31"/>
      <c r="Y31"/>
      <c r="Z31"/>
      <c r="AA31"/>
      <c r="AB31"/>
      <c r="AC31"/>
      <c r="AD31"/>
      <c r="AE31"/>
      <c r="AF31"/>
      <c r="AG31"/>
      <c r="AH31"/>
      <c r="AI31"/>
      <c r="AJ31"/>
      <c r="AK31"/>
      <c r="AL31"/>
      <c r="AM31"/>
      <c r="AN31"/>
      <c r="AO31"/>
      <c r="AP31"/>
    </row>
    <row r="32" spans="1:42">
      <c r="K32"/>
      <c r="L32"/>
      <c r="M32"/>
      <c r="N32"/>
      <c r="O32"/>
      <c r="P32"/>
      <c r="Q32"/>
      <c r="R32"/>
      <c r="S32"/>
      <c r="T32"/>
      <c r="U32"/>
      <c r="V32"/>
      <c r="W32"/>
      <c r="X32"/>
      <c r="Y32"/>
      <c r="Z32"/>
      <c r="AA32"/>
      <c r="AB32"/>
      <c r="AC32"/>
      <c r="AD32"/>
      <c r="AE32"/>
      <c r="AF32"/>
      <c r="AG32"/>
      <c r="AH32"/>
      <c r="AI32"/>
      <c r="AJ32"/>
      <c r="AK32"/>
      <c r="AL32"/>
      <c r="AM32"/>
      <c r="AN32"/>
      <c r="AO32"/>
      <c r="AP32"/>
    </row>
    <row r="33" spans="11:42">
      <c r="K33"/>
      <c r="L33"/>
      <c r="M33"/>
      <c r="N33"/>
      <c r="O33"/>
      <c r="P33"/>
      <c r="Q33"/>
      <c r="R33"/>
      <c r="S33"/>
      <c r="T33"/>
      <c r="U33"/>
      <c r="V33"/>
      <c r="W33"/>
      <c r="X33"/>
      <c r="Y33"/>
      <c r="Z33"/>
      <c r="AA33"/>
      <c r="AB33"/>
      <c r="AC33"/>
      <c r="AD33"/>
      <c r="AE33"/>
      <c r="AF33"/>
      <c r="AG33"/>
      <c r="AH33"/>
      <c r="AI33"/>
      <c r="AJ33"/>
      <c r="AK33"/>
      <c r="AL33"/>
      <c r="AM33"/>
      <c r="AN33"/>
      <c r="AO33"/>
      <c r="AP33"/>
    </row>
    <row r="34" spans="11:42">
      <c r="K34"/>
      <c r="L34"/>
      <c r="M34"/>
      <c r="N34"/>
      <c r="O34"/>
      <c r="P34"/>
      <c r="Q34"/>
      <c r="R34"/>
      <c r="S34"/>
      <c r="T34"/>
      <c r="U34"/>
      <c r="V34"/>
      <c r="W34"/>
      <c r="X34"/>
      <c r="Y34"/>
      <c r="Z34"/>
      <c r="AA34"/>
      <c r="AB34"/>
      <c r="AC34"/>
      <c r="AD34"/>
      <c r="AE34"/>
      <c r="AF34"/>
      <c r="AG34"/>
      <c r="AH34"/>
      <c r="AI34"/>
      <c r="AJ34"/>
      <c r="AK34"/>
      <c r="AL34"/>
      <c r="AM34"/>
      <c r="AN34"/>
      <c r="AO34"/>
      <c r="AP34"/>
    </row>
    <row r="35" spans="11:42">
      <c r="K35"/>
      <c r="L35"/>
      <c r="M35"/>
      <c r="N35"/>
      <c r="O35"/>
      <c r="P35"/>
      <c r="Q35"/>
      <c r="R35"/>
      <c r="S35"/>
      <c r="T35"/>
      <c r="U35"/>
      <c r="V35"/>
      <c r="W35"/>
      <c r="X35"/>
      <c r="Y35"/>
      <c r="Z35"/>
      <c r="AA35"/>
      <c r="AB35"/>
      <c r="AC35"/>
      <c r="AD35"/>
      <c r="AE35"/>
      <c r="AF35"/>
      <c r="AG35"/>
      <c r="AH35"/>
      <c r="AI35"/>
      <c r="AJ35"/>
      <c r="AK35"/>
      <c r="AL35"/>
      <c r="AM35"/>
      <c r="AN35"/>
      <c r="AO35"/>
      <c r="AP35"/>
    </row>
    <row r="44" spans="11:42" ht="15" customHeight="1"/>
  </sheetData>
  <conditionalFormatting sqref="M5:O10 M12:AD16">
    <cfRule type="expression" dxfId="19" priority="1">
      <formula>IF(#REF!&gt;1,TRUE,FALSE)</formula>
    </cfRule>
  </conditionalFormatting>
  <conditionalFormatting sqref="M18:AD25 M27:AD28">
    <cfRule type="expression" dxfId="18" priority="2">
      <formula>IF(#REF!&gt;1,TRUE,FALSE)</formula>
    </cfRule>
  </conditionalFormatting>
  <conditionalFormatting sqref="N8:O8">
    <cfRule type="expression" dxfId="17" priority="11">
      <formula>IF(#REF!&gt;1,TRUE,FALSE)</formula>
    </cfRule>
  </conditionalFormatting>
  <conditionalFormatting sqref="P5 P6:AD10">
    <cfRule type="expression" dxfId="16" priority="9">
      <formula>IF(#REF!&gt;1,TRUE,FALSE)</formula>
    </cfRule>
  </conditionalFormatting>
  <conditionalFormatting sqref="AE5:AE10">
    <cfRule type="expression" dxfId="15" priority="3">
      <formula>IF(#REF!&gt;1,TRUE,FALSE)</formula>
    </cfRule>
  </conditionalFormatting>
  <pageMargins left="0.7" right="0.7" top="0.75" bottom="0.75" header="0.3" footer="0.3"/>
  <headerFooter>
    <oddFooter>&amp;C_x000D_&amp;1#&amp;"Calibri"&amp;22&amp;K0073CF INTERNAL</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54DF1-DAFA-4A3D-8705-45DC2625AC89}">
  <sheetPr codeName="Sheet20"/>
  <dimension ref="A1:AK44"/>
  <sheetViews>
    <sheetView workbookViewId="0">
      <selection activeCell="E6" sqref="E6"/>
    </sheetView>
  </sheetViews>
  <sheetFormatPr defaultRowHeight="14.5"/>
  <cols>
    <col min="1" max="1" width="16.54296875" customWidth="1"/>
    <col min="2" max="2" width="16.1796875" customWidth="1"/>
    <col min="3" max="3" width="20.81640625" customWidth="1"/>
    <col min="4" max="4" width="34.453125" customWidth="1"/>
    <col min="5" max="5" width="22.1796875" bestFit="1" customWidth="1"/>
    <col min="6" max="9" width="20" customWidth="1"/>
    <col min="10" max="10" width="22.54296875" customWidth="1"/>
    <col min="11" max="11" width="34.54296875" style="247" customWidth="1"/>
    <col min="12" max="12" width="30.453125" style="247" customWidth="1"/>
    <col min="13" max="13" width="26.54296875" style="247" customWidth="1"/>
    <col min="14" max="14" width="16.54296875" style="247" customWidth="1"/>
    <col min="15" max="23" width="15.1796875" style="247" customWidth="1"/>
    <col min="24" max="24" width="29.54296875" style="219" bestFit="1" customWidth="1"/>
    <col min="25" max="25" width="11.81640625" style="219" customWidth="1"/>
    <col min="26" max="27" width="14.1796875" style="219" customWidth="1"/>
    <col min="28" max="29" width="16.54296875" style="219" customWidth="1"/>
    <col min="30" max="30" width="16.81640625" style="219" customWidth="1"/>
    <col min="31" max="31" width="15.1796875" style="219" customWidth="1"/>
    <col min="32" max="35" width="14" style="219" customWidth="1"/>
    <col min="36" max="36" width="17.453125" customWidth="1"/>
    <col min="37" max="37" width="29.1796875" customWidth="1"/>
  </cols>
  <sheetData>
    <row r="1" spans="1:37" ht="23.15" customHeight="1">
      <c r="A1" t="s">
        <v>713</v>
      </c>
      <c r="B1" s="218" t="s">
        <v>714</v>
      </c>
      <c r="C1" t="s">
        <v>526</v>
      </c>
      <c r="D1" s="218">
        <v>2022</v>
      </c>
      <c r="F1" s="246" t="s">
        <v>527</v>
      </c>
    </row>
    <row r="2" spans="1:37" ht="14.5" customHeight="1">
      <c r="A2" s="220" t="s">
        <v>528</v>
      </c>
      <c r="B2" s="221"/>
      <c r="C2" s="221"/>
      <c r="D2" s="222"/>
      <c r="E2" s="248" t="s">
        <v>529</v>
      </c>
      <c r="F2" s="248" t="s">
        <v>530</v>
      </c>
      <c r="G2" s="249"/>
      <c r="H2" s="248" t="s">
        <v>531</v>
      </c>
      <c r="I2" s="250"/>
      <c r="J2" s="250"/>
      <c r="K2" s="251" t="s">
        <v>788</v>
      </c>
      <c r="L2" s="252" t="s">
        <v>789</v>
      </c>
      <c r="M2" s="252" t="s">
        <v>790</v>
      </c>
      <c r="N2" s="253"/>
      <c r="O2" s="254"/>
      <c r="P2" s="255" t="s">
        <v>718</v>
      </c>
      <c r="Q2" s="256"/>
      <c r="R2" s="255" t="s">
        <v>719</v>
      </c>
      <c r="S2" s="256"/>
      <c r="T2" s="257" t="s">
        <v>535</v>
      </c>
      <c r="U2" s="258"/>
      <c r="V2" s="258"/>
      <c r="W2" s="259"/>
      <c r="X2" s="260" t="s">
        <v>791</v>
      </c>
      <c r="Y2" s="261" t="s">
        <v>720</v>
      </c>
      <c r="Z2" s="262"/>
      <c r="AA2" s="262"/>
      <c r="AB2" s="262"/>
      <c r="AC2" s="263"/>
      <c r="AD2" s="261" t="s">
        <v>721</v>
      </c>
      <c r="AE2" s="262"/>
      <c r="AF2" s="262"/>
      <c r="AG2" s="262"/>
      <c r="AH2" s="262"/>
      <c r="AI2" s="263"/>
    </row>
    <row r="3" spans="1:37" ht="87">
      <c r="A3" s="228" t="s">
        <v>536</v>
      </c>
      <c r="B3" s="229" t="s">
        <v>83</v>
      </c>
      <c r="C3" s="230" t="s">
        <v>1</v>
      </c>
      <c r="D3" s="230" t="s">
        <v>2</v>
      </c>
      <c r="E3" s="264" t="s">
        <v>722</v>
      </c>
      <c r="F3" s="264" t="s">
        <v>539</v>
      </c>
      <c r="G3" s="264" t="s">
        <v>723</v>
      </c>
      <c r="H3" s="264" t="s">
        <v>541</v>
      </c>
      <c r="I3" s="264" t="s">
        <v>724</v>
      </c>
      <c r="J3" s="264" t="s">
        <v>544</v>
      </c>
      <c r="K3" s="265" t="s">
        <v>725</v>
      </c>
      <c r="L3" s="265" t="s">
        <v>726</v>
      </c>
      <c r="M3" s="265" t="s">
        <v>727</v>
      </c>
      <c r="N3" s="265" t="s">
        <v>572</v>
      </c>
      <c r="O3" s="265" t="s">
        <v>728</v>
      </c>
      <c r="P3" s="266" t="s">
        <v>507</v>
      </c>
      <c r="Q3" s="266" t="s">
        <v>508</v>
      </c>
      <c r="R3" s="266" t="s">
        <v>734</v>
      </c>
      <c r="S3" s="266" t="s">
        <v>735</v>
      </c>
      <c r="T3" s="267" t="s">
        <v>792</v>
      </c>
      <c r="U3" s="267" t="s">
        <v>737</v>
      </c>
      <c r="V3" s="267" t="s">
        <v>793</v>
      </c>
      <c r="W3" s="267" t="s">
        <v>794</v>
      </c>
      <c r="X3" s="268" t="s">
        <v>744</v>
      </c>
      <c r="Y3" s="268" t="s">
        <v>745</v>
      </c>
      <c r="Z3" s="269" t="s">
        <v>746</v>
      </c>
      <c r="AA3" s="268" t="s">
        <v>747</v>
      </c>
      <c r="AB3" s="268" t="s">
        <v>748</v>
      </c>
      <c r="AC3" s="268" t="s">
        <v>749</v>
      </c>
      <c r="AD3" s="268" t="s">
        <v>750</v>
      </c>
      <c r="AE3" s="268" t="s">
        <v>751</v>
      </c>
      <c r="AF3" s="268" t="s">
        <v>752</v>
      </c>
      <c r="AG3" s="268" t="s">
        <v>753</v>
      </c>
      <c r="AH3" s="268" t="s">
        <v>754</v>
      </c>
      <c r="AI3" s="269" t="s">
        <v>755</v>
      </c>
      <c r="AJ3" s="270" t="s">
        <v>756</v>
      </c>
      <c r="AK3" s="270" t="s">
        <v>757</v>
      </c>
    </row>
    <row r="4" spans="1:37">
      <c r="A4" s="229" t="s">
        <v>577</v>
      </c>
      <c r="B4" s="229" t="s">
        <v>578</v>
      </c>
      <c r="C4" s="229" t="s">
        <v>579</v>
      </c>
      <c r="D4" s="229" t="s">
        <v>580</v>
      </c>
      <c r="E4" s="264" t="s">
        <v>582</v>
      </c>
      <c r="F4" s="264" t="s">
        <v>583</v>
      </c>
      <c r="G4" s="264" t="s">
        <v>584</v>
      </c>
      <c r="H4" s="264" t="s">
        <v>585</v>
      </c>
      <c r="I4" s="264" t="s">
        <v>586</v>
      </c>
      <c r="J4" s="264" t="s">
        <v>587</v>
      </c>
      <c r="K4" s="271" t="s">
        <v>613</v>
      </c>
      <c r="L4" s="271" t="s">
        <v>614</v>
      </c>
      <c r="M4" s="271" t="s">
        <v>615</v>
      </c>
      <c r="N4" s="271" t="s">
        <v>616</v>
      </c>
      <c r="O4" s="271" t="s">
        <v>617</v>
      </c>
      <c r="P4" s="266"/>
      <c r="Q4" s="266"/>
      <c r="R4" s="266"/>
      <c r="S4" s="266"/>
      <c r="T4" s="267"/>
      <c r="U4" s="267"/>
      <c r="V4" s="267"/>
      <c r="W4" s="267"/>
      <c r="X4" s="268" t="s">
        <v>769</v>
      </c>
      <c r="Y4" s="268" t="s">
        <v>770</v>
      </c>
      <c r="Z4" s="268" t="s">
        <v>771</v>
      </c>
      <c r="AA4" s="268" t="s">
        <v>772</v>
      </c>
      <c r="AB4" s="268" t="s">
        <v>773</v>
      </c>
      <c r="AC4" s="268" t="s">
        <v>774</v>
      </c>
      <c r="AD4" s="268" t="s">
        <v>775</v>
      </c>
      <c r="AE4" s="268" t="s">
        <v>776</v>
      </c>
      <c r="AF4" s="268" t="s">
        <v>777</v>
      </c>
      <c r="AG4" s="268" t="s">
        <v>778</v>
      </c>
      <c r="AH4" s="268" t="s">
        <v>779</v>
      </c>
      <c r="AI4" s="268" t="s">
        <v>780</v>
      </c>
    </row>
    <row r="5" spans="1:37">
      <c r="A5" s="286" t="s">
        <v>521</v>
      </c>
      <c r="B5" s="286" t="s">
        <v>86</v>
      </c>
      <c r="C5" s="286" t="s">
        <v>631</v>
      </c>
      <c r="D5" s="286" t="s">
        <v>781</v>
      </c>
      <c r="E5" s="286" t="b">
        <f>EXACT(RECO!F5,JCPL_Formula!E5)</f>
        <v>0</v>
      </c>
      <c r="F5" s="286" t="e">
        <f>EXACT(RECO!G5,JCPL_Formula!F5)</f>
        <v>#REF!</v>
      </c>
      <c r="G5" s="286" t="b">
        <f>EXACT(RECO!H5,JCPL_Formula!G5)</f>
        <v>0</v>
      </c>
      <c r="H5" s="286" t="e">
        <f>EXACT(RECO!I5,JCPL_Formula!H5)</f>
        <v>#REF!</v>
      </c>
      <c r="I5" s="286" t="b">
        <f>EXACT(RECO!J5,JCPL_Formula!I5)</f>
        <v>0</v>
      </c>
      <c r="J5" s="286" t="b">
        <f>EXACT(RECO!L5,JCPL_Formula!J5)</f>
        <v>0</v>
      </c>
      <c r="K5" s="286" t="b">
        <f>EXACT(RECO!AL5,JCPL_Formula!K5)</f>
        <v>0</v>
      </c>
      <c r="L5" s="286" t="e">
        <f>EXACT(RECO!AM5,JCPL_Formula!L5)</f>
        <v>#REF!</v>
      </c>
      <c r="M5" s="286" t="e">
        <f>EXACT(RECO!AO5,JCPL_Formula!M5)</f>
        <v>#REF!</v>
      </c>
      <c r="N5" s="286" t="b">
        <f>EXACT(RECO!AQ5,JCPL_Formula!N5)</f>
        <v>1</v>
      </c>
      <c r="O5" s="286" t="b">
        <f>EXACT(RECO!AS5,JCPL_Formula!O5)</f>
        <v>0</v>
      </c>
      <c r="P5" s="286" t="e">
        <f>EXACT(RECO!#REF!,JCPL_Formula!P5)</f>
        <v>#REF!</v>
      </c>
      <c r="Q5" s="286" t="e">
        <f>EXACT(RECO!#REF!,JCPL_Formula!Q5)</f>
        <v>#REF!</v>
      </c>
      <c r="R5" s="286" t="e">
        <f>EXACT(RECO!#REF!,JCPL_Formula!R5)</f>
        <v>#REF!</v>
      </c>
      <c r="S5" s="286" t="e">
        <f>EXACT(RECO!#REF!,JCPL_Formula!S5)</f>
        <v>#REF!</v>
      </c>
      <c r="T5" s="286" t="e">
        <f>EXACT(RECO!#REF!,JCPL_Formula!W5)</f>
        <v>#REF!</v>
      </c>
      <c r="U5" s="286" t="e">
        <f>EXACT(RECO!#REF!,JCPL_Formula!X5)</f>
        <v>#REF!</v>
      </c>
      <c r="V5" s="286" t="e">
        <f>EXACT(RECO!#REF!,JCPL_Formula!Y5)</f>
        <v>#REF!</v>
      </c>
      <c r="W5" s="286" t="e">
        <f>EXACT(RECO!#REF!,JCPL_Formula!Z5)</f>
        <v>#REF!</v>
      </c>
      <c r="X5" s="286" t="e">
        <f>EXACT(RECO!#REF!,JCPL_Formula!AE5)</f>
        <v>#REF!</v>
      </c>
      <c r="Y5" s="286" t="e">
        <f>EXACT(RECO!#REF!,JCPL_Formula!AF5)</f>
        <v>#REF!</v>
      </c>
      <c r="Z5" s="286" t="e">
        <f>EXACT(RECO!#REF!,JCPL_Formula!AG5)</f>
        <v>#REF!</v>
      </c>
      <c r="AA5" s="286" t="e">
        <f>EXACT(RECO!#REF!,JCPL_Formula!AH5)</f>
        <v>#REF!</v>
      </c>
      <c r="AB5" s="286" t="e">
        <f>EXACT(RECO!#REF!,JCPL_Formula!AI5)</f>
        <v>#REF!</v>
      </c>
      <c r="AC5" s="286" t="e">
        <f>EXACT(RECO!#REF!,JCPL_Formula!AJ5)</f>
        <v>#REF!</v>
      </c>
      <c r="AD5" s="286" t="e">
        <f>EXACT(RECO!#REF!,JCPL_Formula!AK5)</f>
        <v>#REF!</v>
      </c>
      <c r="AE5" s="286" t="e">
        <f>EXACT(RECO!#REF!,JCPL_Formula!AL5)</f>
        <v>#REF!</v>
      </c>
      <c r="AF5" s="286" t="e">
        <f>EXACT(RECO!#REF!,JCPL_Formula!AM5)</f>
        <v>#REF!</v>
      </c>
      <c r="AG5" s="286" t="e">
        <f>EXACT(RECO!#REF!,JCPL_Formula!AN5)</f>
        <v>#REF!</v>
      </c>
      <c r="AH5" s="286" t="e">
        <f>EXACT(RECO!#REF!,JCPL_Formula!AO5)</f>
        <v>#REF!</v>
      </c>
      <c r="AI5" s="286" t="e">
        <f>EXACT(RECO!#REF!,JCPL_Formula!AP5)</f>
        <v>#REF!</v>
      </c>
      <c r="AJ5">
        <v>2022</v>
      </c>
    </row>
    <row r="6" spans="1:37">
      <c r="A6" s="286" t="s">
        <v>521</v>
      </c>
      <c r="B6" s="286" t="s">
        <v>86</v>
      </c>
      <c r="C6" s="286" t="s">
        <v>631</v>
      </c>
      <c r="D6" s="286" t="s">
        <v>783</v>
      </c>
      <c r="E6" s="286" t="b">
        <f>EXACT(RECO!F6,JCPL_Formula!E6)</f>
        <v>0</v>
      </c>
      <c r="F6" s="286" t="e">
        <f>EXACT(RECO!G6,JCPL_Formula!F6)</f>
        <v>#REF!</v>
      </c>
      <c r="G6" s="286" t="b">
        <f>EXACT(RECO!H6,JCPL_Formula!G6)</f>
        <v>1</v>
      </c>
      <c r="H6" s="286" t="e">
        <f>EXACT(RECO!I6,JCPL_Formula!H6)</f>
        <v>#REF!</v>
      </c>
      <c r="I6" s="286" t="b">
        <f>EXACT(RECO!J6,JCPL_Formula!I6)</f>
        <v>1</v>
      </c>
      <c r="J6" s="286" t="b">
        <f>EXACT(RECO!L6,JCPL_Formula!J6)</f>
        <v>1</v>
      </c>
      <c r="K6" s="286" t="b">
        <f>EXACT(RECO!AL6,JCPL_Formula!K6)</f>
        <v>0</v>
      </c>
      <c r="L6" s="286" t="e">
        <f>EXACT(RECO!AM6,JCPL_Formula!L6)</f>
        <v>#REF!</v>
      </c>
      <c r="M6" s="286" t="e">
        <f>EXACT(RECO!AO6,JCPL_Formula!M6)</f>
        <v>#REF!</v>
      </c>
      <c r="N6" s="286" t="b">
        <f>EXACT(RECO!AQ6,JCPL_Formula!N6)</f>
        <v>1</v>
      </c>
      <c r="O6" s="286" t="b">
        <f>EXACT(RECO!AS6,JCPL_Formula!O6)</f>
        <v>1</v>
      </c>
      <c r="P6" s="286" t="e">
        <f>EXACT(RECO!#REF!,JCPL_Formula!P6)</f>
        <v>#REF!</v>
      </c>
      <c r="Q6" s="286" t="e">
        <f>EXACT(RECO!#REF!,JCPL_Formula!Q6)</f>
        <v>#REF!</v>
      </c>
      <c r="R6" s="286" t="e">
        <f>EXACT(RECO!#REF!,JCPL_Formula!R6)</f>
        <v>#REF!</v>
      </c>
      <c r="S6" s="286" t="e">
        <f>EXACT(RECO!#REF!,JCPL_Formula!S6)</f>
        <v>#REF!</v>
      </c>
      <c r="T6" s="286" t="e">
        <f>EXACT(RECO!#REF!,JCPL_Formula!W6)</f>
        <v>#REF!</v>
      </c>
      <c r="U6" s="286" t="e">
        <f>EXACT(RECO!#REF!,JCPL_Formula!X6)</f>
        <v>#REF!</v>
      </c>
      <c r="V6" s="286" t="e">
        <f>EXACT(RECO!#REF!,JCPL_Formula!Y6)</f>
        <v>#REF!</v>
      </c>
      <c r="W6" s="286" t="e">
        <f>EXACT(RECO!#REF!,JCPL_Formula!Z6)</f>
        <v>#REF!</v>
      </c>
      <c r="X6" s="286" t="e">
        <f>EXACT(RECO!#REF!,JCPL_Formula!AE6)</f>
        <v>#REF!</v>
      </c>
      <c r="Y6" s="286" t="e">
        <f>EXACT(RECO!#REF!,JCPL_Formula!AF6)</f>
        <v>#REF!</v>
      </c>
      <c r="Z6" s="286" t="e">
        <f>EXACT(RECO!#REF!,JCPL_Formula!AG6)</f>
        <v>#REF!</v>
      </c>
      <c r="AA6" s="286" t="e">
        <f>EXACT(RECO!#REF!,JCPL_Formula!AH6)</f>
        <v>#REF!</v>
      </c>
      <c r="AB6" s="286" t="e">
        <f>EXACT(RECO!#REF!,JCPL_Formula!AI6)</f>
        <v>#REF!</v>
      </c>
      <c r="AC6" s="286" t="e">
        <f>EXACT(RECO!#REF!,JCPL_Formula!AJ6)</f>
        <v>#REF!</v>
      </c>
      <c r="AD6" s="286" t="e">
        <f>EXACT(RECO!#REF!,JCPL_Formula!AK6)</f>
        <v>#REF!</v>
      </c>
      <c r="AE6" s="286" t="e">
        <f>EXACT(RECO!#REF!,JCPL_Formula!AL6)</f>
        <v>#REF!</v>
      </c>
      <c r="AF6" s="286" t="e">
        <f>EXACT(RECO!#REF!,JCPL_Formula!AM6)</f>
        <v>#REF!</v>
      </c>
      <c r="AG6" s="286" t="e">
        <f>EXACT(RECO!#REF!,JCPL_Formula!AN6)</f>
        <v>#REF!</v>
      </c>
      <c r="AH6" s="286" t="e">
        <f>EXACT(RECO!#REF!,JCPL_Formula!AO6)</f>
        <v>#REF!</v>
      </c>
      <c r="AI6" s="286" t="e">
        <f>EXACT(RECO!#REF!,JCPL_Formula!AP6)</f>
        <v>#REF!</v>
      </c>
      <c r="AJ6">
        <v>2023</v>
      </c>
    </row>
    <row r="7" spans="1:37">
      <c r="A7" s="286" t="s">
        <v>521</v>
      </c>
      <c r="B7" s="286" t="s">
        <v>86</v>
      </c>
      <c r="C7" s="286" t="s">
        <v>631</v>
      </c>
      <c r="D7" s="286" t="s">
        <v>784</v>
      </c>
      <c r="E7" s="286" t="b">
        <f>EXACT(RECO!F7,JCPL_Formula!E7)</f>
        <v>0</v>
      </c>
      <c r="F7" s="286" t="e">
        <f>EXACT(RECO!G7,JCPL_Formula!F7)</f>
        <v>#REF!</v>
      </c>
      <c r="G7" s="286" t="b">
        <f>EXACT(RECO!H7,JCPL_Formula!G7)</f>
        <v>0</v>
      </c>
      <c r="H7" s="286" t="e">
        <f>EXACT(RECO!I7,JCPL_Formula!H7)</f>
        <v>#REF!</v>
      </c>
      <c r="I7" s="286" t="b">
        <f>EXACT(RECO!J7,JCPL_Formula!I7)</f>
        <v>0</v>
      </c>
      <c r="J7" s="286" t="b">
        <f>EXACT(RECO!L7,JCPL_Formula!J7)</f>
        <v>0</v>
      </c>
      <c r="K7" s="286" t="b">
        <f>EXACT(RECO!AL7,JCPL_Formula!K7)</f>
        <v>0</v>
      </c>
      <c r="L7" s="286" t="e">
        <f>EXACT(RECO!AM7,JCPL_Formula!L7)</f>
        <v>#REF!</v>
      </c>
      <c r="M7" s="286" t="e">
        <f>EXACT(RECO!AO7,JCPL_Formula!M7)</f>
        <v>#REF!</v>
      </c>
      <c r="N7" s="286" t="b">
        <f>EXACT(RECO!AQ7,JCPL_Formula!N7)</f>
        <v>0</v>
      </c>
      <c r="O7" s="286" t="b">
        <f>EXACT(RECO!AS7,JCPL_Formula!O7)</f>
        <v>0</v>
      </c>
      <c r="P7" s="286" t="e">
        <f>EXACT(RECO!#REF!,JCPL_Formula!P7)</f>
        <v>#REF!</v>
      </c>
      <c r="Q7" s="286" t="e">
        <f>EXACT(RECO!#REF!,JCPL_Formula!Q7)</f>
        <v>#REF!</v>
      </c>
      <c r="R7" s="286" t="e">
        <f>EXACT(RECO!#REF!,JCPL_Formula!R7)</f>
        <v>#REF!</v>
      </c>
      <c r="S7" s="286" t="e">
        <f>EXACT(RECO!#REF!,JCPL_Formula!S7)</f>
        <v>#REF!</v>
      </c>
      <c r="T7" s="286" t="e">
        <f>EXACT(RECO!#REF!,JCPL_Formula!W7)</f>
        <v>#REF!</v>
      </c>
      <c r="U7" s="286" t="e">
        <f>EXACT(RECO!#REF!,JCPL_Formula!X7)</f>
        <v>#REF!</v>
      </c>
      <c r="V7" s="286" t="e">
        <f>EXACT(RECO!#REF!,JCPL_Formula!Y7)</f>
        <v>#REF!</v>
      </c>
      <c r="W7" s="286" t="e">
        <f>EXACT(RECO!#REF!,JCPL_Formula!Z7)</f>
        <v>#REF!</v>
      </c>
      <c r="X7" s="286" t="e">
        <f>EXACT(RECO!#REF!,JCPL_Formula!AE7)</f>
        <v>#REF!</v>
      </c>
      <c r="Y7" s="286" t="e">
        <f>EXACT(RECO!#REF!,JCPL_Formula!AF7)</f>
        <v>#REF!</v>
      </c>
      <c r="Z7" s="286" t="e">
        <f>EXACT(RECO!#REF!,JCPL_Formula!AG7)</f>
        <v>#REF!</v>
      </c>
      <c r="AA7" s="286" t="e">
        <f>EXACT(RECO!#REF!,JCPL_Formula!AH7)</f>
        <v>#REF!</v>
      </c>
      <c r="AB7" s="286" t="e">
        <f>EXACT(RECO!#REF!,JCPL_Formula!AI7)</f>
        <v>#REF!</v>
      </c>
      <c r="AC7" s="286" t="e">
        <f>EXACT(RECO!#REF!,JCPL_Formula!AJ7)</f>
        <v>#REF!</v>
      </c>
      <c r="AD7" s="286" t="e">
        <f>EXACT(RECO!#REF!,JCPL_Formula!AK7)</f>
        <v>#REF!</v>
      </c>
      <c r="AE7" s="286" t="e">
        <f>EXACT(RECO!#REF!,JCPL_Formula!AL7)</f>
        <v>#REF!</v>
      </c>
      <c r="AF7" s="286" t="e">
        <f>EXACT(RECO!#REF!,JCPL_Formula!AM7)</f>
        <v>#REF!</v>
      </c>
      <c r="AG7" s="286" t="e">
        <f>EXACT(RECO!#REF!,JCPL_Formula!AN7)</f>
        <v>#REF!</v>
      </c>
      <c r="AH7" s="286" t="e">
        <f>EXACT(RECO!#REF!,JCPL_Formula!AO7)</f>
        <v>#REF!</v>
      </c>
      <c r="AI7" s="286" t="e">
        <f>EXACT(RECO!#REF!,JCPL_Formula!AP7)</f>
        <v>#REF!</v>
      </c>
    </row>
    <row r="8" spans="1:37">
      <c r="A8" s="286" t="s">
        <v>521</v>
      </c>
      <c r="B8" s="286" t="s">
        <v>86</v>
      </c>
      <c r="C8" s="286" t="s">
        <v>631</v>
      </c>
      <c r="D8" s="286" t="s">
        <v>785</v>
      </c>
      <c r="E8" s="286" t="e">
        <f>EXACT(RECO!#REF!,JCPL_Formula!E8)</f>
        <v>#REF!</v>
      </c>
      <c r="F8" s="286" t="e">
        <f>EXACT(RECO!#REF!,JCPL_Formula!F8)</f>
        <v>#REF!</v>
      </c>
      <c r="G8" s="286" t="e">
        <f>EXACT(RECO!#REF!,JCPL_Formula!G8)</f>
        <v>#REF!</v>
      </c>
      <c r="H8" s="286" t="e">
        <f>EXACT(RECO!#REF!,JCPL_Formula!H8)</f>
        <v>#REF!</v>
      </c>
      <c r="I8" s="286" t="e">
        <f>EXACT(RECO!#REF!,JCPL_Formula!I8)</f>
        <v>#REF!</v>
      </c>
      <c r="J8" s="286" t="e">
        <f>EXACT(RECO!#REF!,JCPL_Formula!J8)</f>
        <v>#REF!</v>
      </c>
      <c r="K8" s="286" t="e">
        <f>EXACT(RECO!#REF!,JCPL_Formula!K8)</f>
        <v>#REF!</v>
      </c>
      <c r="L8" s="286" t="e">
        <f>EXACT(RECO!#REF!,JCPL_Formula!L8)</f>
        <v>#REF!</v>
      </c>
      <c r="M8" s="286" t="e">
        <f>EXACT(RECO!#REF!,JCPL_Formula!M8)</f>
        <v>#REF!</v>
      </c>
      <c r="N8" s="286" t="e">
        <f>EXACT(RECO!#REF!,JCPL_Formula!N8)</f>
        <v>#REF!</v>
      </c>
      <c r="O8" s="286" t="e">
        <f>EXACT(RECO!#REF!,JCPL_Formula!O8)</f>
        <v>#REF!</v>
      </c>
      <c r="P8" s="286" t="e">
        <f>EXACT(RECO!#REF!,JCPL_Formula!P8)</f>
        <v>#REF!</v>
      </c>
      <c r="Q8" s="286" t="e">
        <f>EXACT(RECO!#REF!,JCPL_Formula!Q8)</f>
        <v>#REF!</v>
      </c>
      <c r="R8" s="286" t="e">
        <f>EXACT(RECO!#REF!,JCPL_Formula!R8)</f>
        <v>#REF!</v>
      </c>
      <c r="S8" s="286" t="e">
        <f>EXACT(RECO!#REF!,JCPL_Formula!S8)</f>
        <v>#REF!</v>
      </c>
      <c r="T8" s="286" t="e">
        <f>EXACT(RECO!#REF!,JCPL_Formula!W8)</f>
        <v>#REF!</v>
      </c>
      <c r="U8" s="286" t="e">
        <f>EXACT(RECO!#REF!,JCPL_Formula!X8)</f>
        <v>#REF!</v>
      </c>
      <c r="V8" s="286" t="e">
        <f>EXACT(RECO!#REF!,JCPL_Formula!Y8)</f>
        <v>#REF!</v>
      </c>
      <c r="W8" s="286" t="e">
        <f>EXACT(RECO!#REF!,JCPL_Formula!Z8)</f>
        <v>#REF!</v>
      </c>
      <c r="X8" s="286" t="e">
        <f>EXACT(RECO!#REF!,JCPL_Formula!AE8)</f>
        <v>#REF!</v>
      </c>
      <c r="Y8" s="286" t="e">
        <f>EXACT(RECO!#REF!,JCPL_Formula!AF8)</f>
        <v>#REF!</v>
      </c>
      <c r="Z8" s="286" t="e">
        <f>EXACT(RECO!#REF!,JCPL_Formula!AG8)</f>
        <v>#REF!</v>
      </c>
      <c r="AA8" s="286" t="e">
        <f>EXACT(RECO!#REF!,JCPL_Formula!AH8)</f>
        <v>#REF!</v>
      </c>
      <c r="AB8" s="286" t="e">
        <f>EXACT(RECO!#REF!,JCPL_Formula!AI8)</f>
        <v>#REF!</v>
      </c>
      <c r="AC8" s="286" t="e">
        <f>EXACT(RECO!#REF!,JCPL_Formula!AJ8)</f>
        <v>#REF!</v>
      </c>
      <c r="AD8" s="286" t="e">
        <f>EXACT(RECO!#REF!,JCPL_Formula!AK8)</f>
        <v>#REF!</v>
      </c>
      <c r="AE8" s="286" t="e">
        <f>EXACT(RECO!#REF!,JCPL_Formula!AL8)</f>
        <v>#REF!</v>
      </c>
      <c r="AF8" s="286" t="e">
        <f>EXACT(RECO!#REF!,JCPL_Formula!AM8)</f>
        <v>#REF!</v>
      </c>
      <c r="AG8" s="286" t="e">
        <f>EXACT(RECO!#REF!,JCPL_Formula!AN8)</f>
        <v>#REF!</v>
      </c>
      <c r="AH8" s="286" t="e">
        <f>EXACT(RECO!#REF!,JCPL_Formula!AO8)</f>
        <v>#REF!</v>
      </c>
      <c r="AI8" s="286" t="e">
        <f>EXACT(RECO!#REF!,JCPL_Formula!AP8)</f>
        <v>#REF!</v>
      </c>
    </row>
    <row r="9" spans="1:37">
      <c r="A9" s="286" t="s">
        <v>521</v>
      </c>
      <c r="B9" s="286" t="s">
        <v>86</v>
      </c>
      <c r="C9" s="286" t="s">
        <v>631</v>
      </c>
      <c r="D9" s="286" t="s">
        <v>632</v>
      </c>
      <c r="E9" s="286" t="e">
        <f>EXACT(RECO!#REF!,JCPL_Formula!E9)</f>
        <v>#REF!</v>
      </c>
      <c r="F9" s="286" t="e">
        <f>EXACT(RECO!#REF!,JCPL_Formula!F9)</f>
        <v>#REF!</v>
      </c>
      <c r="G9" s="286" t="e">
        <f>EXACT(RECO!#REF!,JCPL_Formula!G9)</f>
        <v>#REF!</v>
      </c>
      <c r="H9" s="286" t="e">
        <f>EXACT(RECO!#REF!,JCPL_Formula!H9)</f>
        <v>#REF!</v>
      </c>
      <c r="I9" s="286" t="e">
        <f>EXACT(RECO!#REF!,JCPL_Formula!I9)</f>
        <v>#REF!</v>
      </c>
      <c r="J9" s="286" t="e">
        <f>EXACT(RECO!#REF!,JCPL_Formula!J9)</f>
        <v>#REF!</v>
      </c>
      <c r="K9" s="286" t="e">
        <f>EXACT(RECO!#REF!,JCPL_Formula!K9)</f>
        <v>#REF!</v>
      </c>
      <c r="L9" s="286" t="e">
        <f>EXACT(RECO!#REF!,JCPL_Formula!L9)</f>
        <v>#REF!</v>
      </c>
      <c r="M9" s="286" t="e">
        <f>EXACT(RECO!#REF!,JCPL_Formula!M9)</f>
        <v>#REF!</v>
      </c>
      <c r="N9" s="286" t="e">
        <f>EXACT(RECO!#REF!,JCPL_Formula!N9)</f>
        <v>#REF!</v>
      </c>
      <c r="O9" s="286" t="e">
        <f>EXACT(RECO!#REF!,JCPL_Formula!O9)</f>
        <v>#REF!</v>
      </c>
      <c r="P9" s="286" t="e">
        <f>EXACT(RECO!#REF!,JCPL_Formula!P9)</f>
        <v>#REF!</v>
      </c>
      <c r="Q9" s="286" t="e">
        <f>EXACT(RECO!#REF!,JCPL_Formula!Q9)</f>
        <v>#REF!</v>
      </c>
      <c r="R9" s="286" t="e">
        <f>EXACT(RECO!#REF!,JCPL_Formula!R9)</f>
        <v>#REF!</v>
      </c>
      <c r="S9" s="286" t="e">
        <f>EXACT(RECO!#REF!,JCPL_Formula!S9)</f>
        <v>#REF!</v>
      </c>
      <c r="T9" s="286" t="e">
        <f>EXACT(RECO!#REF!,JCPL_Formula!W9)</f>
        <v>#REF!</v>
      </c>
      <c r="U9" s="286" t="e">
        <f>EXACT(RECO!#REF!,JCPL_Formula!X9)</f>
        <v>#REF!</v>
      </c>
      <c r="V9" s="286" t="e">
        <f>EXACT(RECO!#REF!,JCPL_Formula!Y9)</f>
        <v>#REF!</v>
      </c>
      <c r="W9" s="286" t="e">
        <f>EXACT(RECO!#REF!,JCPL_Formula!Z9)</f>
        <v>#REF!</v>
      </c>
      <c r="X9" s="286" t="e">
        <f>EXACT(RECO!#REF!,JCPL_Formula!AE9)</f>
        <v>#REF!</v>
      </c>
      <c r="Y9" s="286" t="e">
        <f>EXACT(RECO!#REF!,JCPL_Formula!AF9)</f>
        <v>#REF!</v>
      </c>
      <c r="Z9" s="286" t="e">
        <f>EXACT(RECO!#REF!,JCPL_Formula!AG9)</f>
        <v>#REF!</v>
      </c>
      <c r="AA9" s="286" t="e">
        <f>EXACT(RECO!#REF!,JCPL_Formula!AH9)</f>
        <v>#REF!</v>
      </c>
      <c r="AB9" s="286" t="e">
        <f>EXACT(RECO!#REF!,JCPL_Formula!AI9)</f>
        <v>#REF!</v>
      </c>
      <c r="AC9" s="286" t="e">
        <f>EXACT(RECO!#REF!,JCPL_Formula!AJ9)</f>
        <v>#REF!</v>
      </c>
      <c r="AD9" s="286" t="e">
        <f>EXACT(RECO!#REF!,JCPL_Formula!AK9)</f>
        <v>#REF!</v>
      </c>
      <c r="AE9" s="286" t="e">
        <f>EXACT(RECO!#REF!,JCPL_Formula!AL9)</f>
        <v>#REF!</v>
      </c>
      <c r="AF9" s="286" t="e">
        <f>EXACT(RECO!#REF!,JCPL_Formula!AM9)</f>
        <v>#REF!</v>
      </c>
      <c r="AG9" s="286" t="e">
        <f>EXACT(RECO!#REF!,JCPL_Formula!AN9)</f>
        <v>#REF!</v>
      </c>
      <c r="AH9" s="286" t="e">
        <f>EXACT(RECO!#REF!,JCPL_Formula!AO9)</f>
        <v>#REF!</v>
      </c>
      <c r="AI9" s="286" t="e">
        <f>EXACT(RECO!#REF!,JCPL_Formula!AP9)</f>
        <v>#REF!</v>
      </c>
    </row>
    <row r="10" spans="1:37" ht="13.75" customHeight="1">
      <c r="A10" s="286" t="s">
        <v>521</v>
      </c>
      <c r="B10" s="286" t="s">
        <v>86</v>
      </c>
      <c r="C10" s="286" t="s">
        <v>631</v>
      </c>
      <c r="D10" s="286" t="s">
        <v>786</v>
      </c>
      <c r="E10" s="286" t="b">
        <f>EXACT(RECO!F8,JCPL_Formula!E10)</f>
        <v>0</v>
      </c>
      <c r="F10" s="286" t="e">
        <f>EXACT(RECO!G8,JCPL_Formula!F10)</f>
        <v>#REF!</v>
      </c>
      <c r="G10" s="286" t="b">
        <f>EXACT(RECO!H8,JCPL_Formula!G10)</f>
        <v>0</v>
      </c>
      <c r="H10" s="286" t="e">
        <f>EXACT(RECO!I8,JCPL_Formula!H10)</f>
        <v>#REF!</v>
      </c>
      <c r="I10" s="286" t="b">
        <f>EXACT(RECO!J8,JCPL_Formula!I10)</f>
        <v>0</v>
      </c>
      <c r="J10" s="286" t="b">
        <f>EXACT(RECO!L8,JCPL_Formula!J10)</f>
        <v>0</v>
      </c>
      <c r="K10" s="286" t="b">
        <f>EXACT(RECO!AL8,JCPL_Formula!K10)</f>
        <v>0</v>
      </c>
      <c r="L10" s="286" t="e">
        <f>EXACT(RECO!AM8,JCPL_Formula!L10)</f>
        <v>#REF!</v>
      </c>
      <c r="M10" s="286" t="e">
        <f>EXACT(RECO!AO8,JCPL_Formula!M10)</f>
        <v>#REF!</v>
      </c>
      <c r="N10" s="286" t="b">
        <f>EXACT(RECO!AQ8,JCPL_Formula!N10)</f>
        <v>0</v>
      </c>
      <c r="O10" s="286" t="b">
        <f>EXACT(RECO!AS8,JCPL_Formula!O10)</f>
        <v>0</v>
      </c>
      <c r="P10" s="286" t="e">
        <f>EXACT(RECO!#REF!,JCPL_Formula!P10)</f>
        <v>#REF!</v>
      </c>
      <c r="Q10" s="286" t="e">
        <f>EXACT(RECO!#REF!,JCPL_Formula!Q10)</f>
        <v>#REF!</v>
      </c>
      <c r="R10" s="286" t="e">
        <f>EXACT(RECO!#REF!,JCPL_Formula!R10)</f>
        <v>#REF!</v>
      </c>
      <c r="S10" s="286" t="e">
        <f>EXACT(RECO!#REF!,JCPL_Formula!S10)</f>
        <v>#REF!</v>
      </c>
      <c r="T10" s="286" t="e">
        <f>EXACT(RECO!#REF!,JCPL_Formula!W10)</f>
        <v>#REF!</v>
      </c>
      <c r="U10" s="286" t="e">
        <f>EXACT(RECO!#REF!,JCPL_Formula!X10)</f>
        <v>#REF!</v>
      </c>
      <c r="V10" s="286" t="e">
        <f>EXACT(RECO!#REF!,JCPL_Formula!Y10)</f>
        <v>#REF!</v>
      </c>
      <c r="W10" s="286" t="e">
        <f>EXACT(RECO!#REF!,JCPL_Formula!Z10)</f>
        <v>#REF!</v>
      </c>
      <c r="X10" s="286" t="e">
        <f>EXACT(RECO!#REF!,JCPL_Formula!AE10)</f>
        <v>#REF!</v>
      </c>
      <c r="Y10" s="286" t="e">
        <f>EXACT(RECO!#REF!,JCPL_Formula!AF10)</f>
        <v>#REF!</v>
      </c>
      <c r="Z10" s="286" t="e">
        <f>EXACT(RECO!#REF!,JCPL_Formula!AG10)</f>
        <v>#REF!</v>
      </c>
      <c r="AA10" s="286" t="e">
        <f>EXACT(RECO!#REF!,JCPL_Formula!AH10)</f>
        <v>#REF!</v>
      </c>
      <c r="AB10" s="286" t="e">
        <f>EXACT(RECO!#REF!,JCPL_Formula!AI10)</f>
        <v>#REF!</v>
      </c>
      <c r="AC10" s="286" t="e">
        <f>EXACT(RECO!#REF!,JCPL_Formula!AJ10)</f>
        <v>#REF!</v>
      </c>
      <c r="AD10" s="286" t="e">
        <f>EXACT(RECO!#REF!,JCPL_Formula!AK10)</f>
        <v>#REF!</v>
      </c>
      <c r="AE10" s="286" t="e">
        <f>EXACT(RECO!#REF!,JCPL_Formula!AL10)</f>
        <v>#REF!</v>
      </c>
      <c r="AF10" s="286" t="e">
        <f>EXACT(RECO!#REF!,JCPL_Formula!AM10)</f>
        <v>#REF!</v>
      </c>
      <c r="AG10" s="286" t="e">
        <f>EXACT(RECO!#REF!,JCPL_Formula!AN10)</f>
        <v>#REF!</v>
      </c>
      <c r="AH10" s="286" t="e">
        <f>EXACT(RECO!#REF!,JCPL_Formula!AO10)</f>
        <v>#REF!</v>
      </c>
      <c r="AI10" s="286" t="e">
        <f>EXACT(RECO!#REF!,JCPL_Formula!AP10)</f>
        <v>#REF!</v>
      </c>
    </row>
    <row r="11" spans="1:37">
      <c r="A11" s="272" t="s">
        <v>521</v>
      </c>
      <c r="B11" s="272" t="s">
        <v>86</v>
      </c>
      <c r="C11" s="272" t="s">
        <v>631</v>
      </c>
      <c r="D11" s="272"/>
      <c r="E11" s="272" t="e">
        <f>EXACT(RECO!#REF!,JCPL_Formula!E11)</f>
        <v>#REF!</v>
      </c>
      <c r="F11" s="272" t="e">
        <f>EXACT(RECO!#REF!,JCPL_Formula!F11)</f>
        <v>#REF!</v>
      </c>
      <c r="G11" s="272" t="e">
        <f>EXACT(RECO!#REF!,JCPL_Formula!G11)</f>
        <v>#REF!</v>
      </c>
      <c r="H11" s="272" t="e">
        <f>EXACT(RECO!#REF!,JCPL_Formula!H11)</f>
        <v>#REF!</v>
      </c>
      <c r="I11" s="272" t="e">
        <f>EXACT(RECO!#REF!,JCPL_Formula!I11)</f>
        <v>#REF!</v>
      </c>
      <c r="J11" s="272" t="e">
        <f>EXACT(RECO!#REF!,JCPL_Formula!J11)</f>
        <v>#REF!</v>
      </c>
      <c r="K11" s="272" t="e">
        <f>EXACT(RECO!#REF!,JCPL_Formula!K11)</f>
        <v>#REF!</v>
      </c>
      <c r="L11" s="272" t="e">
        <f>EXACT(RECO!#REF!,JCPL_Formula!L11)</f>
        <v>#REF!</v>
      </c>
      <c r="M11" s="272" t="e">
        <f>EXACT(RECO!#REF!,JCPL_Formula!M11)</f>
        <v>#REF!</v>
      </c>
      <c r="N11" s="272" t="e">
        <f>EXACT(RECO!#REF!,JCPL_Formula!N11)</f>
        <v>#REF!</v>
      </c>
      <c r="O11" s="272" t="e">
        <f>EXACT(RECO!#REF!,JCPL_Formula!O11)</f>
        <v>#REF!</v>
      </c>
      <c r="P11" s="272" t="e">
        <f>EXACT(RECO!#REF!,JCPL_Formula!P11)</f>
        <v>#REF!</v>
      </c>
      <c r="Q11" s="272" t="e">
        <f>EXACT(RECO!#REF!,JCPL_Formula!Q11)</f>
        <v>#REF!</v>
      </c>
      <c r="R11" s="272" t="e">
        <f>EXACT(RECO!#REF!,JCPL_Formula!R11)</f>
        <v>#REF!</v>
      </c>
      <c r="S11" s="272" t="e">
        <f>EXACT(RECO!#REF!,JCPL_Formula!S11)</f>
        <v>#REF!</v>
      </c>
      <c r="T11" s="272" t="e">
        <f>EXACT(RECO!#REF!,JCPL_Formula!W11)</f>
        <v>#REF!</v>
      </c>
      <c r="U11" s="272" t="e">
        <f>EXACT(RECO!#REF!,JCPL_Formula!X11)</f>
        <v>#REF!</v>
      </c>
      <c r="V11" s="272" t="e">
        <f>EXACT(RECO!#REF!,JCPL_Formula!Y11)</f>
        <v>#REF!</v>
      </c>
      <c r="W11" s="272" t="e">
        <f>EXACT(RECO!#REF!,JCPL_Formula!Z11)</f>
        <v>#REF!</v>
      </c>
      <c r="X11" s="272" t="e">
        <f>EXACT(RECO!#REF!,JCPL_Formula!AE11)</f>
        <v>#REF!</v>
      </c>
      <c r="Y11" s="272" t="e">
        <f>EXACT(RECO!#REF!,JCPL_Formula!AF11)</f>
        <v>#REF!</v>
      </c>
      <c r="Z11" s="272" t="e">
        <f>EXACT(RECO!#REF!,JCPL_Formula!AG11)</f>
        <v>#REF!</v>
      </c>
      <c r="AA11" s="272" t="e">
        <f>EXACT(RECO!#REF!,JCPL_Formula!AH11)</f>
        <v>#REF!</v>
      </c>
      <c r="AB11" s="272" t="e">
        <f>EXACT(RECO!#REF!,JCPL_Formula!AI11)</f>
        <v>#REF!</v>
      </c>
      <c r="AC11" s="272" t="e">
        <f>EXACT(RECO!#REF!,JCPL_Formula!AJ11)</f>
        <v>#REF!</v>
      </c>
      <c r="AD11" s="272" t="e">
        <f>EXACT(RECO!#REF!,JCPL_Formula!AK11)</f>
        <v>#REF!</v>
      </c>
      <c r="AE11" s="272" t="e">
        <f>EXACT(RECO!#REF!,JCPL_Formula!AL11)</f>
        <v>#REF!</v>
      </c>
      <c r="AF11" s="272" t="e">
        <f>EXACT(RECO!#REF!,JCPL_Formula!AM11)</f>
        <v>#REF!</v>
      </c>
      <c r="AG11" s="272" t="e">
        <f>EXACT(RECO!#REF!,JCPL_Formula!AN11)</f>
        <v>#REF!</v>
      </c>
      <c r="AH11" s="272" t="e">
        <f>EXACT(RECO!#REF!,JCPL_Formula!AO11)</f>
        <v>#REF!</v>
      </c>
      <c r="AI11" s="272" t="e">
        <f>EXACT(RECO!#REF!,JCPL_Formula!AP11)</f>
        <v>#REF!</v>
      </c>
    </row>
    <row r="12" spans="1:37">
      <c r="A12" s="236" t="s">
        <v>521</v>
      </c>
      <c r="B12" s="236" t="s">
        <v>86</v>
      </c>
      <c r="C12" s="236" t="s">
        <v>633</v>
      </c>
      <c r="D12" s="236" t="s">
        <v>634</v>
      </c>
      <c r="E12" s="236" t="e">
        <f>EXACT(RECO!F11,JCPL_Formula!E12)</f>
        <v>#REF!</v>
      </c>
      <c r="F12" s="236" t="e">
        <f>EXACT(RECO!G11,JCPL_Formula!F12)</f>
        <v>#REF!</v>
      </c>
      <c r="G12" s="236" t="b">
        <f>EXACT(RECO!H11,JCPL_Formula!G12)</f>
        <v>0</v>
      </c>
      <c r="H12" s="236" t="e">
        <f>EXACT(RECO!I11,JCPL_Formula!H12)</f>
        <v>#REF!</v>
      </c>
      <c r="I12" s="236" t="b">
        <f>EXACT(RECO!J11,JCPL_Formula!I12)</f>
        <v>0</v>
      </c>
      <c r="J12" s="236" t="b">
        <f>EXACT(RECO!L11,JCPL_Formula!J12)</f>
        <v>0</v>
      </c>
      <c r="K12" s="236" t="e">
        <f>EXACT(RECO!AL11,JCPL_Formula!K12)</f>
        <v>#REF!</v>
      </c>
      <c r="L12" s="236" t="e">
        <f>EXACT(RECO!AM11,JCPL_Formula!L12)</f>
        <v>#REF!</v>
      </c>
      <c r="M12" s="236" t="e">
        <f>EXACT(RECO!AO11,JCPL_Formula!M12)</f>
        <v>#REF!</v>
      </c>
      <c r="N12" s="236" t="b">
        <f>EXACT(RECO!AQ11,JCPL_Formula!N12)</f>
        <v>1</v>
      </c>
      <c r="O12" s="236" t="b">
        <f>EXACT(RECO!AS11,JCPL_Formula!O12)</f>
        <v>0</v>
      </c>
      <c r="P12" s="236" t="e">
        <f>EXACT(RECO!#REF!,JCPL_Formula!P12)</f>
        <v>#REF!</v>
      </c>
      <c r="Q12" s="236" t="e">
        <f>EXACT(RECO!#REF!,JCPL_Formula!Q12)</f>
        <v>#REF!</v>
      </c>
      <c r="R12" s="236" t="e">
        <f>EXACT(RECO!#REF!,JCPL_Formula!R12)</f>
        <v>#REF!</v>
      </c>
      <c r="S12" s="236" t="e">
        <f>EXACT(RECO!#REF!,JCPL_Formula!S12)</f>
        <v>#REF!</v>
      </c>
      <c r="T12" s="236" t="e">
        <f>EXACT(RECO!#REF!,JCPL_Formula!W12)</f>
        <v>#REF!</v>
      </c>
      <c r="U12" s="236" t="e">
        <f>EXACT(RECO!#REF!,JCPL_Formula!X12)</f>
        <v>#REF!</v>
      </c>
      <c r="V12" s="236" t="e">
        <f>EXACT(RECO!#REF!,JCPL_Formula!Y12)</f>
        <v>#REF!</v>
      </c>
      <c r="W12" s="236" t="e">
        <f>EXACT(RECO!#REF!,JCPL_Formula!Z12)</f>
        <v>#REF!</v>
      </c>
      <c r="X12" s="236" t="e">
        <f>EXACT(RECO!#REF!,JCPL_Formula!AE12)</f>
        <v>#REF!</v>
      </c>
      <c r="Y12" s="236" t="e">
        <f>EXACT(RECO!#REF!,JCPL_Formula!AF12)</f>
        <v>#REF!</v>
      </c>
      <c r="Z12" s="236" t="e">
        <f>EXACT(RECO!#REF!,JCPL_Formula!AG12)</f>
        <v>#REF!</v>
      </c>
      <c r="AA12" s="236" t="e">
        <f>EXACT(RECO!#REF!,JCPL_Formula!AH12)</f>
        <v>#REF!</v>
      </c>
      <c r="AB12" s="236" t="e">
        <f>EXACT(RECO!#REF!,JCPL_Formula!AI12)</f>
        <v>#REF!</v>
      </c>
      <c r="AC12" s="236" t="e">
        <f>EXACT(RECO!#REF!,JCPL_Formula!AJ12)</f>
        <v>#REF!</v>
      </c>
      <c r="AD12" s="236" t="e">
        <f>EXACT(RECO!#REF!,JCPL_Formula!AK12)</f>
        <v>#REF!</v>
      </c>
      <c r="AE12" s="236" t="e">
        <f>EXACT(RECO!#REF!,JCPL_Formula!AL12)</f>
        <v>#REF!</v>
      </c>
      <c r="AF12" s="236" t="e">
        <f>EXACT(RECO!#REF!,JCPL_Formula!AM12)</f>
        <v>#REF!</v>
      </c>
      <c r="AG12" s="236" t="e">
        <f>EXACT(RECO!#REF!,JCPL_Formula!AN12)</f>
        <v>#REF!</v>
      </c>
      <c r="AH12" s="236" t="e">
        <f>EXACT(RECO!#REF!,JCPL_Formula!AO12)</f>
        <v>#REF!</v>
      </c>
      <c r="AI12" s="236" t="e">
        <f>EXACT(RECO!#REF!,JCPL_Formula!AP12)</f>
        <v>#REF!</v>
      </c>
    </row>
    <row r="13" spans="1:37">
      <c r="A13" s="236" t="s">
        <v>521</v>
      </c>
      <c r="B13" s="236" t="s">
        <v>86</v>
      </c>
      <c r="C13" s="236" t="s">
        <v>633</v>
      </c>
      <c r="D13" s="236" t="s">
        <v>249</v>
      </c>
      <c r="E13" s="236" t="e">
        <f>EXACT(RECO!F12,JCPL_Formula!E13)</f>
        <v>#REF!</v>
      </c>
      <c r="F13" s="236" t="e">
        <f>EXACT(RECO!G12,JCPL_Formula!F13)</f>
        <v>#REF!</v>
      </c>
      <c r="G13" s="236" t="b">
        <f>EXACT(RECO!H12,JCPL_Formula!G13)</f>
        <v>0</v>
      </c>
      <c r="H13" s="236" t="e">
        <f>EXACT(RECO!I12,JCPL_Formula!H13)</f>
        <v>#REF!</v>
      </c>
      <c r="I13" s="236" t="b">
        <f>EXACT(RECO!J12,JCPL_Formula!I13)</f>
        <v>0</v>
      </c>
      <c r="J13" s="236" t="b">
        <f>EXACT(RECO!L12,JCPL_Formula!J13)</f>
        <v>0</v>
      </c>
      <c r="K13" s="236" t="e">
        <f>EXACT(RECO!AL12,JCPL_Formula!K13)</f>
        <v>#REF!</v>
      </c>
      <c r="L13" s="236" t="e">
        <f>EXACT(RECO!AM12,JCPL_Formula!L13)</f>
        <v>#REF!</v>
      </c>
      <c r="M13" s="236" t="e">
        <f>EXACT(RECO!AO12,JCPL_Formula!M13)</f>
        <v>#REF!</v>
      </c>
      <c r="N13" s="236" t="b">
        <f>EXACT(RECO!AQ12,JCPL_Formula!N13)</f>
        <v>1</v>
      </c>
      <c r="O13" s="236" t="b">
        <f>EXACT(RECO!AS12,JCPL_Formula!O13)</f>
        <v>0</v>
      </c>
      <c r="P13" s="236" t="e">
        <f>EXACT(RECO!#REF!,JCPL_Formula!P13)</f>
        <v>#REF!</v>
      </c>
      <c r="Q13" s="236" t="e">
        <f>EXACT(RECO!#REF!,JCPL_Formula!Q13)</f>
        <v>#REF!</v>
      </c>
      <c r="R13" s="236" t="e">
        <f>EXACT(RECO!#REF!,JCPL_Formula!R13)</f>
        <v>#REF!</v>
      </c>
      <c r="S13" s="236" t="e">
        <f>EXACT(RECO!#REF!,JCPL_Formula!S13)</f>
        <v>#REF!</v>
      </c>
      <c r="T13" s="236" t="e">
        <f>EXACT(RECO!#REF!,JCPL_Formula!W13)</f>
        <v>#REF!</v>
      </c>
      <c r="U13" s="236" t="e">
        <f>EXACT(RECO!#REF!,JCPL_Formula!X13)</f>
        <v>#REF!</v>
      </c>
      <c r="V13" s="236" t="e">
        <f>EXACT(RECO!#REF!,JCPL_Formula!Y13)</f>
        <v>#REF!</v>
      </c>
      <c r="W13" s="236" t="e">
        <f>EXACT(RECO!#REF!,JCPL_Formula!Z13)</f>
        <v>#REF!</v>
      </c>
      <c r="X13" s="236" t="e">
        <f>EXACT(RECO!#REF!,JCPL_Formula!AE13)</f>
        <v>#REF!</v>
      </c>
      <c r="Y13" s="236" t="e">
        <f>EXACT(RECO!#REF!,JCPL_Formula!AF13)</f>
        <v>#REF!</v>
      </c>
      <c r="Z13" s="236" t="e">
        <f>EXACT(RECO!#REF!,JCPL_Formula!AG13)</f>
        <v>#REF!</v>
      </c>
      <c r="AA13" s="236" t="e">
        <f>EXACT(RECO!#REF!,JCPL_Formula!AH13)</f>
        <v>#REF!</v>
      </c>
      <c r="AB13" s="236" t="e">
        <f>EXACT(RECO!#REF!,JCPL_Formula!AI13)</f>
        <v>#REF!</v>
      </c>
      <c r="AC13" s="236" t="e">
        <f>EXACT(RECO!#REF!,JCPL_Formula!AJ13)</f>
        <v>#REF!</v>
      </c>
      <c r="AD13" s="236" t="e">
        <f>EXACT(RECO!#REF!,JCPL_Formula!AK13)</f>
        <v>#REF!</v>
      </c>
      <c r="AE13" s="236" t="e">
        <f>EXACT(RECO!#REF!,JCPL_Formula!AL13)</f>
        <v>#REF!</v>
      </c>
      <c r="AF13" s="236" t="e">
        <f>EXACT(RECO!#REF!,JCPL_Formula!AM13)</f>
        <v>#REF!</v>
      </c>
      <c r="AG13" s="236" t="e">
        <f>EXACT(RECO!#REF!,JCPL_Formula!AN13)</f>
        <v>#REF!</v>
      </c>
      <c r="AH13" s="236" t="e">
        <f>EXACT(RECO!#REF!,JCPL_Formula!AO13)</f>
        <v>#REF!</v>
      </c>
      <c r="AI13" s="236" t="e">
        <f>EXACT(RECO!#REF!,JCPL_Formula!AP13)</f>
        <v>#REF!</v>
      </c>
    </row>
    <row r="14" spans="1:37">
      <c r="A14" s="236" t="s">
        <v>521</v>
      </c>
      <c r="B14" s="236" t="s">
        <v>86</v>
      </c>
      <c r="C14" s="236" t="s">
        <v>633</v>
      </c>
      <c r="D14" s="236" t="s">
        <v>156</v>
      </c>
      <c r="E14" s="236" t="e">
        <f>EXACT(RECO!F13,JCPL_Formula!E14)</f>
        <v>#REF!</v>
      </c>
      <c r="F14" s="236" t="e">
        <f>EXACT(RECO!G13,JCPL_Formula!F14)</f>
        <v>#REF!</v>
      </c>
      <c r="G14" s="236" t="b">
        <f>EXACT(RECO!H13,JCPL_Formula!G14)</f>
        <v>0</v>
      </c>
      <c r="H14" s="236" t="e">
        <f>EXACT(RECO!I13,JCPL_Formula!H14)</f>
        <v>#REF!</v>
      </c>
      <c r="I14" s="236" t="b">
        <f>EXACT(RECO!J13,JCPL_Formula!I14)</f>
        <v>0</v>
      </c>
      <c r="J14" s="236" t="b">
        <f>EXACT(RECO!L13,JCPL_Formula!J14)</f>
        <v>0</v>
      </c>
      <c r="K14" s="236" t="e">
        <f>EXACT(RECO!AL13,JCPL_Formula!K14)</f>
        <v>#REF!</v>
      </c>
      <c r="L14" s="236" t="e">
        <f>EXACT(RECO!AM13,JCPL_Formula!L14)</f>
        <v>#REF!</v>
      </c>
      <c r="M14" s="236" t="e">
        <f>EXACT(RECO!AO13,JCPL_Formula!M14)</f>
        <v>#REF!</v>
      </c>
      <c r="N14" s="236" t="b">
        <f>EXACT(RECO!AQ13,JCPL_Formula!N14)</f>
        <v>1</v>
      </c>
      <c r="O14" s="236" t="b">
        <f>EXACT(RECO!AS13,JCPL_Formula!O14)</f>
        <v>0</v>
      </c>
      <c r="P14" s="236" t="e">
        <f>EXACT(RECO!#REF!,JCPL_Formula!P14)</f>
        <v>#REF!</v>
      </c>
      <c r="Q14" s="236" t="e">
        <f>EXACT(RECO!#REF!,JCPL_Formula!Q14)</f>
        <v>#REF!</v>
      </c>
      <c r="R14" s="236" t="e">
        <f>EXACT(RECO!#REF!,JCPL_Formula!R14)</f>
        <v>#REF!</v>
      </c>
      <c r="S14" s="236" t="e">
        <f>EXACT(RECO!#REF!,JCPL_Formula!S14)</f>
        <v>#REF!</v>
      </c>
      <c r="T14" s="236" t="e">
        <f>EXACT(RECO!#REF!,JCPL_Formula!W14)</f>
        <v>#REF!</v>
      </c>
      <c r="U14" s="236" t="e">
        <f>EXACT(RECO!#REF!,JCPL_Formula!X14)</f>
        <v>#REF!</v>
      </c>
      <c r="V14" s="236" t="e">
        <f>EXACT(RECO!#REF!,JCPL_Formula!Y14)</f>
        <v>#REF!</v>
      </c>
      <c r="W14" s="236" t="e">
        <f>EXACT(RECO!#REF!,JCPL_Formula!Z14)</f>
        <v>#REF!</v>
      </c>
      <c r="X14" s="236" t="e">
        <f>EXACT(RECO!#REF!,JCPL_Formula!AE14)</f>
        <v>#REF!</v>
      </c>
      <c r="Y14" s="236" t="e">
        <f>EXACT(RECO!#REF!,JCPL_Formula!AF14)</f>
        <v>#REF!</v>
      </c>
      <c r="Z14" s="236" t="e">
        <f>EXACT(RECO!#REF!,JCPL_Formula!AG14)</f>
        <v>#REF!</v>
      </c>
      <c r="AA14" s="236" t="e">
        <f>EXACT(RECO!#REF!,JCPL_Formula!AH14)</f>
        <v>#REF!</v>
      </c>
      <c r="AB14" s="236" t="e">
        <f>EXACT(RECO!#REF!,JCPL_Formula!AI14)</f>
        <v>#REF!</v>
      </c>
      <c r="AC14" s="236" t="e">
        <f>EXACT(RECO!#REF!,JCPL_Formula!AJ14)</f>
        <v>#REF!</v>
      </c>
      <c r="AD14" s="236" t="e">
        <f>EXACT(RECO!#REF!,JCPL_Formula!AK14)</f>
        <v>#REF!</v>
      </c>
      <c r="AE14" s="236" t="e">
        <f>EXACT(RECO!#REF!,JCPL_Formula!AL14)</f>
        <v>#REF!</v>
      </c>
      <c r="AF14" s="236" t="e">
        <f>EXACT(RECO!#REF!,JCPL_Formula!AM14)</f>
        <v>#REF!</v>
      </c>
      <c r="AG14" s="236" t="e">
        <f>EXACT(RECO!#REF!,JCPL_Formula!AN14)</f>
        <v>#REF!</v>
      </c>
      <c r="AH14" s="236" t="e">
        <f>EXACT(RECO!#REF!,JCPL_Formula!AO14)</f>
        <v>#REF!</v>
      </c>
      <c r="AI14" s="236" t="e">
        <f>EXACT(RECO!#REF!,JCPL_Formula!AP14)</f>
        <v>#REF!</v>
      </c>
    </row>
    <row r="15" spans="1:37">
      <c r="A15" s="236" t="s">
        <v>521</v>
      </c>
      <c r="B15" s="236" t="s">
        <v>86</v>
      </c>
      <c r="C15" s="236" t="s">
        <v>635</v>
      </c>
      <c r="D15" s="236" t="s">
        <v>795</v>
      </c>
      <c r="E15" s="236" t="b">
        <f>EXACT(RECO!F15,JCPL_Formula!E15)</f>
        <v>0</v>
      </c>
      <c r="F15" s="236" t="e">
        <f>EXACT(RECO!G15,JCPL_Formula!F15)</f>
        <v>#REF!</v>
      </c>
      <c r="G15" s="236" t="b">
        <f>EXACT(RECO!H15,JCPL_Formula!G15)</f>
        <v>1</v>
      </c>
      <c r="H15" s="236" t="e">
        <f>EXACT(RECO!I15,JCPL_Formula!H15)</f>
        <v>#REF!</v>
      </c>
      <c r="I15" s="236" t="b">
        <f>EXACT(RECO!J15,JCPL_Formula!I15)</f>
        <v>1</v>
      </c>
      <c r="J15" s="236" t="b">
        <f>EXACT(RECO!L15,JCPL_Formula!J15)</f>
        <v>1</v>
      </c>
      <c r="K15" s="236" t="b">
        <f>EXACT(RECO!AL15,JCPL_Formula!K15)</f>
        <v>0</v>
      </c>
      <c r="L15" s="236" t="e">
        <f>EXACT(RECO!AM15,JCPL_Formula!L15)</f>
        <v>#REF!</v>
      </c>
      <c r="M15" s="236" t="e">
        <f>EXACT(RECO!AO15,JCPL_Formula!M15)</f>
        <v>#REF!</v>
      </c>
      <c r="N15" s="236" t="b">
        <f>EXACT(RECO!AQ15,JCPL_Formula!N15)</f>
        <v>0</v>
      </c>
      <c r="O15" s="236" t="b">
        <f>EXACT(RECO!AS15,JCPL_Formula!O15)</f>
        <v>1</v>
      </c>
      <c r="P15" s="236" t="e">
        <f>EXACT(RECO!#REF!,JCPL_Formula!P15)</f>
        <v>#REF!</v>
      </c>
      <c r="Q15" s="236" t="e">
        <f>EXACT(RECO!#REF!,JCPL_Formula!Q15)</f>
        <v>#REF!</v>
      </c>
      <c r="R15" s="236" t="e">
        <f>EXACT(RECO!#REF!,JCPL_Formula!R15)</f>
        <v>#REF!</v>
      </c>
      <c r="S15" s="236" t="e">
        <f>EXACT(RECO!#REF!,JCPL_Formula!S15)</f>
        <v>#REF!</v>
      </c>
      <c r="T15" s="236" t="e">
        <f>EXACT(RECO!#REF!,JCPL_Formula!W15)</f>
        <v>#REF!</v>
      </c>
      <c r="U15" s="236" t="e">
        <f>EXACT(RECO!#REF!,JCPL_Formula!X15)</f>
        <v>#REF!</v>
      </c>
      <c r="V15" s="236" t="e">
        <f>EXACT(RECO!#REF!,JCPL_Formula!Y15)</f>
        <v>#REF!</v>
      </c>
      <c r="W15" s="236" t="e">
        <f>EXACT(RECO!#REF!,JCPL_Formula!Z15)</f>
        <v>#REF!</v>
      </c>
      <c r="X15" s="236" t="e">
        <f>EXACT(RECO!#REF!,JCPL_Formula!AE15)</f>
        <v>#REF!</v>
      </c>
      <c r="Y15" s="236" t="e">
        <f>EXACT(RECO!#REF!,JCPL_Formula!AF15)</f>
        <v>#REF!</v>
      </c>
      <c r="Z15" s="236" t="e">
        <f>EXACT(RECO!#REF!,JCPL_Formula!AG15)</f>
        <v>#REF!</v>
      </c>
      <c r="AA15" s="236" t="e">
        <f>EXACT(RECO!#REF!,JCPL_Formula!AH15)</f>
        <v>#REF!</v>
      </c>
      <c r="AB15" s="236" t="e">
        <f>EXACT(RECO!#REF!,JCPL_Formula!AI15)</f>
        <v>#REF!</v>
      </c>
      <c r="AC15" s="236" t="e">
        <f>EXACT(RECO!#REF!,JCPL_Formula!AJ15)</f>
        <v>#REF!</v>
      </c>
      <c r="AD15" s="236" t="e">
        <f>EXACT(RECO!#REF!,JCPL_Formula!AK15)</f>
        <v>#REF!</v>
      </c>
      <c r="AE15" s="236" t="e">
        <f>EXACT(RECO!#REF!,JCPL_Formula!AL15)</f>
        <v>#REF!</v>
      </c>
      <c r="AF15" s="236" t="e">
        <f>EXACT(RECO!#REF!,JCPL_Formula!AM15)</f>
        <v>#REF!</v>
      </c>
      <c r="AG15" s="236" t="e">
        <f>EXACT(RECO!#REF!,JCPL_Formula!AN15)</f>
        <v>#REF!</v>
      </c>
      <c r="AH15" s="236" t="e">
        <f>EXACT(RECO!#REF!,JCPL_Formula!AO15)</f>
        <v>#REF!</v>
      </c>
      <c r="AI15" s="236" t="e">
        <f>EXACT(RECO!#REF!,JCPL_Formula!AP15)</f>
        <v>#REF!</v>
      </c>
    </row>
    <row r="16" spans="1:37">
      <c r="A16" s="236" t="s">
        <v>521</v>
      </c>
      <c r="B16" s="236" t="s">
        <v>86</v>
      </c>
      <c r="C16" s="236" t="s">
        <v>635</v>
      </c>
      <c r="D16" s="236" t="s">
        <v>627</v>
      </c>
      <c r="E16" s="236" t="e">
        <f>EXACT(RECO!#REF!,JCPL_Formula!E16)</f>
        <v>#REF!</v>
      </c>
      <c r="F16" s="236" t="e">
        <f>EXACT(RECO!#REF!,JCPL_Formula!F16)</f>
        <v>#REF!</v>
      </c>
      <c r="G16" s="236" t="e">
        <f>EXACT(RECO!#REF!,JCPL_Formula!G16)</f>
        <v>#REF!</v>
      </c>
      <c r="H16" s="236" t="e">
        <f>EXACT(RECO!#REF!,JCPL_Formula!H16)</f>
        <v>#REF!</v>
      </c>
      <c r="I16" s="236" t="e">
        <f>EXACT(RECO!#REF!,JCPL_Formula!I16)</f>
        <v>#REF!</v>
      </c>
      <c r="J16" s="236" t="e">
        <f>EXACT(RECO!#REF!,JCPL_Formula!J16)</f>
        <v>#REF!</v>
      </c>
      <c r="K16" s="236" t="e">
        <f>EXACT(RECO!#REF!,JCPL_Formula!K16)</f>
        <v>#REF!</v>
      </c>
      <c r="L16" s="236" t="e">
        <f>EXACT(RECO!#REF!,JCPL_Formula!L16)</f>
        <v>#REF!</v>
      </c>
      <c r="M16" s="236" t="e">
        <f>EXACT(RECO!#REF!,JCPL_Formula!M16)</f>
        <v>#REF!</v>
      </c>
      <c r="N16" s="236" t="e">
        <f>EXACT(RECO!#REF!,JCPL_Formula!N16)</f>
        <v>#REF!</v>
      </c>
      <c r="O16" s="236" t="e">
        <f>EXACT(RECO!#REF!,JCPL_Formula!O16)</f>
        <v>#REF!</v>
      </c>
      <c r="P16" s="236" t="e">
        <f>EXACT(RECO!#REF!,JCPL_Formula!P16)</f>
        <v>#REF!</v>
      </c>
      <c r="Q16" s="236" t="e">
        <f>EXACT(RECO!#REF!,JCPL_Formula!Q16)</f>
        <v>#REF!</v>
      </c>
      <c r="R16" s="236" t="e">
        <f>EXACT(RECO!#REF!,JCPL_Formula!R16)</f>
        <v>#REF!</v>
      </c>
      <c r="S16" s="236" t="e">
        <f>EXACT(RECO!#REF!,JCPL_Formula!S16)</f>
        <v>#REF!</v>
      </c>
      <c r="T16" s="236" t="e">
        <f>EXACT(RECO!#REF!,JCPL_Formula!W16)</f>
        <v>#REF!</v>
      </c>
      <c r="U16" s="236" t="e">
        <f>EXACT(RECO!#REF!,JCPL_Formula!X16)</f>
        <v>#REF!</v>
      </c>
      <c r="V16" s="236" t="e">
        <f>EXACT(RECO!#REF!,JCPL_Formula!Y16)</f>
        <v>#REF!</v>
      </c>
      <c r="W16" s="236" t="e">
        <f>EXACT(RECO!#REF!,JCPL_Formula!Z16)</f>
        <v>#REF!</v>
      </c>
      <c r="X16" s="236" t="e">
        <f>EXACT(RECO!#REF!,JCPL_Formula!AE16)</f>
        <v>#REF!</v>
      </c>
      <c r="Y16" s="236" t="e">
        <f>EXACT(RECO!#REF!,JCPL_Formula!AF16)</f>
        <v>#REF!</v>
      </c>
      <c r="Z16" s="236" t="e">
        <f>EXACT(RECO!#REF!,JCPL_Formula!AG16)</f>
        <v>#REF!</v>
      </c>
      <c r="AA16" s="236" t="e">
        <f>EXACT(RECO!#REF!,JCPL_Formula!AH16)</f>
        <v>#REF!</v>
      </c>
      <c r="AB16" s="236" t="e">
        <f>EXACT(RECO!#REF!,JCPL_Formula!AI16)</f>
        <v>#REF!</v>
      </c>
      <c r="AC16" s="236" t="e">
        <f>EXACT(RECO!#REF!,JCPL_Formula!AJ16)</f>
        <v>#REF!</v>
      </c>
      <c r="AD16" s="236" t="e">
        <f>EXACT(RECO!#REF!,JCPL_Formula!AK16)</f>
        <v>#REF!</v>
      </c>
      <c r="AE16" s="236" t="e">
        <f>EXACT(RECO!#REF!,JCPL_Formula!AL16)</f>
        <v>#REF!</v>
      </c>
      <c r="AF16" s="236" t="e">
        <f>EXACT(RECO!#REF!,JCPL_Formula!AM16)</f>
        <v>#REF!</v>
      </c>
      <c r="AG16" s="236" t="e">
        <f>EXACT(RECO!#REF!,JCPL_Formula!AN16)</f>
        <v>#REF!</v>
      </c>
      <c r="AH16" s="236" t="e">
        <f>EXACT(RECO!#REF!,JCPL_Formula!AO16)</f>
        <v>#REF!</v>
      </c>
      <c r="AI16" s="236" t="e">
        <f>EXACT(RECO!#REF!,JCPL_Formula!AP16)</f>
        <v>#REF!</v>
      </c>
    </row>
    <row r="17" spans="1:35">
      <c r="A17" s="272" t="s">
        <v>521</v>
      </c>
      <c r="B17" s="272" t="s">
        <v>86</v>
      </c>
      <c r="C17" s="272" t="s">
        <v>635</v>
      </c>
      <c r="D17" s="272"/>
      <c r="E17" s="272" t="e">
        <f>EXACT(RECO!#REF!,JCPL_Formula!E17)</f>
        <v>#REF!</v>
      </c>
      <c r="F17" s="272" t="e">
        <f>EXACT(RECO!#REF!,JCPL_Formula!F17)</f>
        <v>#REF!</v>
      </c>
      <c r="G17" s="272" t="e">
        <f>EXACT(RECO!#REF!,JCPL_Formula!G17)</f>
        <v>#REF!</v>
      </c>
      <c r="H17" s="272" t="e">
        <f>EXACT(RECO!#REF!,JCPL_Formula!H17)</f>
        <v>#REF!</v>
      </c>
      <c r="I17" s="272" t="e">
        <f>EXACT(RECO!#REF!,JCPL_Formula!I17)</f>
        <v>#REF!</v>
      </c>
      <c r="J17" s="272" t="e">
        <f>EXACT(RECO!#REF!,JCPL_Formula!J17)</f>
        <v>#REF!</v>
      </c>
      <c r="K17" s="272" t="e">
        <f>EXACT(RECO!#REF!,JCPL_Formula!K17)</f>
        <v>#REF!</v>
      </c>
      <c r="L17" s="272" t="e">
        <f>EXACT(RECO!#REF!,JCPL_Formula!L17)</f>
        <v>#REF!</v>
      </c>
      <c r="M17" s="272" t="e">
        <f>EXACT(RECO!#REF!,JCPL_Formula!M17)</f>
        <v>#REF!</v>
      </c>
      <c r="N17" s="272" t="e">
        <f>EXACT(RECO!#REF!,JCPL_Formula!N17)</f>
        <v>#REF!</v>
      </c>
      <c r="O17" s="272" t="e">
        <f>EXACT(RECO!#REF!,JCPL_Formula!O17)</f>
        <v>#REF!</v>
      </c>
      <c r="P17" s="272" t="e">
        <f>EXACT(RECO!#REF!,JCPL_Formula!P17)</f>
        <v>#REF!</v>
      </c>
      <c r="Q17" s="272" t="e">
        <f>EXACT(RECO!#REF!,JCPL_Formula!Q17)</f>
        <v>#REF!</v>
      </c>
      <c r="R17" s="272" t="e">
        <f>EXACT(RECO!#REF!,JCPL_Formula!R17)</f>
        <v>#REF!</v>
      </c>
      <c r="S17" s="272" t="e">
        <f>EXACT(RECO!#REF!,JCPL_Formula!S17)</f>
        <v>#REF!</v>
      </c>
      <c r="T17" s="272" t="e">
        <f>EXACT(RECO!#REF!,JCPL_Formula!W17)</f>
        <v>#REF!</v>
      </c>
      <c r="U17" s="272" t="e">
        <f>EXACT(RECO!#REF!,JCPL_Formula!X17)</f>
        <v>#REF!</v>
      </c>
      <c r="V17" s="272" t="e">
        <f>EXACT(RECO!#REF!,JCPL_Formula!Y17)</f>
        <v>#REF!</v>
      </c>
      <c r="W17" s="272" t="e">
        <f>EXACT(RECO!#REF!,JCPL_Formula!Z17)</f>
        <v>#REF!</v>
      </c>
      <c r="X17" s="272" t="e">
        <f>EXACT(RECO!#REF!,JCPL_Formula!AE17)</f>
        <v>#REF!</v>
      </c>
      <c r="Y17" s="272" t="e">
        <f>EXACT(RECO!#REF!,JCPL_Formula!AF17)</f>
        <v>#REF!</v>
      </c>
      <c r="Z17" s="272" t="e">
        <f>EXACT(RECO!#REF!,JCPL_Formula!AG17)</f>
        <v>#REF!</v>
      </c>
      <c r="AA17" s="272" t="e">
        <f>EXACT(RECO!#REF!,JCPL_Formula!AH17)</f>
        <v>#REF!</v>
      </c>
      <c r="AB17" s="272" t="e">
        <f>EXACT(RECO!#REF!,JCPL_Formula!AI17)</f>
        <v>#REF!</v>
      </c>
      <c r="AC17" s="272" t="e">
        <f>EXACT(RECO!#REF!,JCPL_Formula!AJ17)</f>
        <v>#REF!</v>
      </c>
      <c r="AD17" s="272" t="e">
        <f>EXACT(RECO!#REF!,JCPL_Formula!AK17)</f>
        <v>#REF!</v>
      </c>
      <c r="AE17" s="272" t="e">
        <f>EXACT(RECO!#REF!,JCPL_Formula!AL17)</f>
        <v>#REF!</v>
      </c>
      <c r="AF17" s="272" t="e">
        <f>EXACT(RECO!#REF!,JCPL_Formula!AM17)</f>
        <v>#REF!</v>
      </c>
      <c r="AG17" s="272" t="e">
        <f>EXACT(RECO!#REF!,JCPL_Formula!AN17)</f>
        <v>#REF!</v>
      </c>
      <c r="AH17" s="272" t="e">
        <f>EXACT(RECO!#REF!,JCPL_Formula!AO17)</f>
        <v>#REF!</v>
      </c>
      <c r="AI17" s="272" t="e">
        <f>EXACT(RECO!#REF!,JCPL_Formula!AP17)</f>
        <v>#REF!</v>
      </c>
    </row>
    <row r="18" spans="1:35">
      <c r="A18" s="286" t="s">
        <v>521</v>
      </c>
      <c r="B18" s="286" t="s">
        <v>628</v>
      </c>
      <c r="C18" s="286" t="s">
        <v>27</v>
      </c>
      <c r="D18" s="286" t="s">
        <v>27</v>
      </c>
      <c r="E18" s="286" t="e">
        <f>EXACT(RECO!F16,JCPL_Formula!E18)</f>
        <v>#REF!</v>
      </c>
      <c r="F18" s="286" t="e">
        <f>EXACT(RECO!G16,JCPL_Formula!F18)</f>
        <v>#REF!</v>
      </c>
      <c r="G18" s="286" t="b">
        <f>EXACT(RECO!H16,JCPL_Formula!G18)</f>
        <v>0</v>
      </c>
      <c r="H18" s="286" t="e">
        <f>EXACT(RECO!I16,JCPL_Formula!H18)</f>
        <v>#REF!</v>
      </c>
      <c r="I18" s="286" t="b">
        <f>EXACT(RECO!J16,JCPL_Formula!I18)</f>
        <v>0</v>
      </c>
      <c r="J18" s="286" t="b">
        <f>EXACT(RECO!L16,JCPL_Formula!J18)</f>
        <v>0</v>
      </c>
      <c r="K18" s="286" t="e">
        <f>EXACT(RECO!AL16,JCPL_Formula!K18)</f>
        <v>#REF!</v>
      </c>
      <c r="L18" s="286" t="e">
        <f>EXACT(RECO!AM16,JCPL_Formula!L18)</f>
        <v>#REF!</v>
      </c>
      <c r="M18" s="286" t="e">
        <f>EXACT(RECO!AO16,JCPL_Formula!M18)</f>
        <v>#REF!</v>
      </c>
      <c r="N18" s="286" t="b">
        <f>EXACT(RECO!AQ16,JCPL_Formula!N18)</f>
        <v>0</v>
      </c>
      <c r="O18" s="286" t="b">
        <f>EXACT(RECO!AS16,JCPL_Formula!O18)</f>
        <v>0</v>
      </c>
      <c r="P18" s="286" t="e">
        <f>EXACT(RECO!#REF!,JCPL_Formula!P18)</f>
        <v>#REF!</v>
      </c>
      <c r="Q18" s="286" t="e">
        <f>EXACT(RECO!#REF!,JCPL_Formula!Q18)</f>
        <v>#REF!</v>
      </c>
      <c r="R18" s="286" t="e">
        <f>EXACT(RECO!#REF!,JCPL_Formula!R18)</f>
        <v>#REF!</v>
      </c>
      <c r="S18" s="286" t="e">
        <f>EXACT(RECO!#REF!,JCPL_Formula!S18)</f>
        <v>#REF!</v>
      </c>
      <c r="T18" s="286" t="e">
        <f>EXACT(RECO!#REF!,JCPL_Formula!W18)</f>
        <v>#REF!</v>
      </c>
      <c r="U18" s="286" t="e">
        <f>EXACT(RECO!#REF!,JCPL_Formula!X18)</f>
        <v>#REF!</v>
      </c>
      <c r="V18" s="286" t="e">
        <f>EXACT(RECO!#REF!,JCPL_Formula!Y18)</f>
        <v>#REF!</v>
      </c>
      <c r="W18" s="286" t="e">
        <f>EXACT(RECO!#REF!,JCPL_Formula!Z18)</f>
        <v>#REF!</v>
      </c>
      <c r="X18" s="286" t="e">
        <f>EXACT(RECO!#REF!,JCPL_Formula!AE18)</f>
        <v>#REF!</v>
      </c>
      <c r="Y18" s="286" t="e">
        <f>EXACT(RECO!#REF!,JCPL_Formula!AF18)</f>
        <v>#REF!</v>
      </c>
      <c r="Z18" s="286" t="e">
        <f>EXACT(RECO!#REF!,JCPL_Formula!AG18)</f>
        <v>#REF!</v>
      </c>
      <c r="AA18" s="286" t="e">
        <f>EXACT(RECO!#REF!,JCPL_Formula!AH18)</f>
        <v>#REF!</v>
      </c>
      <c r="AB18" s="286" t="e">
        <f>EXACT(RECO!#REF!,JCPL_Formula!AI18)</f>
        <v>#REF!</v>
      </c>
      <c r="AC18" s="286" t="e">
        <f>EXACT(RECO!#REF!,JCPL_Formula!AJ18)</f>
        <v>#REF!</v>
      </c>
      <c r="AD18" s="286" t="e">
        <f>EXACT(RECO!#REF!,JCPL_Formula!AK18)</f>
        <v>#REF!</v>
      </c>
      <c r="AE18" s="286" t="e">
        <f>EXACT(RECO!#REF!,JCPL_Formula!AL18)</f>
        <v>#REF!</v>
      </c>
      <c r="AF18" s="286" t="e">
        <f>EXACT(RECO!#REF!,JCPL_Formula!AM18)</f>
        <v>#REF!</v>
      </c>
      <c r="AG18" s="286" t="e">
        <f>EXACT(RECO!#REF!,JCPL_Formula!AN18)</f>
        <v>#REF!</v>
      </c>
      <c r="AH18" s="286" t="e">
        <f>EXACT(RECO!#REF!,JCPL_Formula!AO18)</f>
        <v>#REF!</v>
      </c>
      <c r="AI18" s="286" t="e">
        <f>EXACT(RECO!#REF!,JCPL_Formula!AP18)</f>
        <v>#REF!</v>
      </c>
    </row>
    <row r="19" spans="1:35">
      <c r="A19" s="286" t="s">
        <v>521</v>
      </c>
      <c r="B19" s="286" t="s">
        <v>628</v>
      </c>
      <c r="C19" s="286" t="s">
        <v>636</v>
      </c>
      <c r="D19" s="286" t="s">
        <v>29</v>
      </c>
      <c r="E19" s="286" t="e">
        <f>EXACT(RECO!F17,JCPL_Formula!E19)</f>
        <v>#REF!</v>
      </c>
      <c r="F19" s="286" t="e">
        <f>EXACT(RECO!G17,JCPL_Formula!F19)</f>
        <v>#REF!</v>
      </c>
      <c r="G19" s="286" t="b">
        <f>EXACT(RECO!H17,JCPL_Formula!G19)</f>
        <v>0</v>
      </c>
      <c r="H19" s="286" t="e">
        <f>EXACT(RECO!I17,JCPL_Formula!H19)</f>
        <v>#REF!</v>
      </c>
      <c r="I19" s="286" t="b">
        <f>EXACT(RECO!J17,JCPL_Formula!I19)</f>
        <v>0</v>
      </c>
      <c r="J19" s="286" t="b">
        <f>EXACT(RECO!L17,JCPL_Formula!J19)</f>
        <v>0</v>
      </c>
      <c r="K19" s="286" t="e">
        <f>EXACT(RECO!AL17,JCPL_Formula!K19)</f>
        <v>#REF!</v>
      </c>
      <c r="L19" s="286" t="e">
        <f>EXACT(RECO!AM17,JCPL_Formula!L19)</f>
        <v>#REF!</v>
      </c>
      <c r="M19" s="286" t="e">
        <f>EXACT(RECO!AO17,JCPL_Formula!M19)</f>
        <v>#REF!</v>
      </c>
      <c r="N19" s="286" t="b">
        <f>EXACT(RECO!AQ17,JCPL_Formula!N19)</f>
        <v>0</v>
      </c>
      <c r="O19" s="286" t="b">
        <f>EXACT(RECO!AS17,JCPL_Formula!O19)</f>
        <v>0</v>
      </c>
      <c r="P19" s="286" t="e">
        <f>EXACT(RECO!#REF!,JCPL_Formula!P19)</f>
        <v>#REF!</v>
      </c>
      <c r="Q19" s="286" t="e">
        <f>EXACT(RECO!#REF!,JCPL_Formula!Q19)</f>
        <v>#REF!</v>
      </c>
      <c r="R19" s="286" t="e">
        <f>EXACT(RECO!#REF!,JCPL_Formula!R19)</f>
        <v>#REF!</v>
      </c>
      <c r="S19" s="286" t="e">
        <f>EXACT(RECO!#REF!,JCPL_Formula!S19)</f>
        <v>#REF!</v>
      </c>
      <c r="T19" s="286" t="e">
        <f>EXACT(RECO!#REF!,JCPL_Formula!W19)</f>
        <v>#REF!</v>
      </c>
      <c r="U19" s="286" t="e">
        <f>EXACT(RECO!#REF!,JCPL_Formula!X19)</f>
        <v>#REF!</v>
      </c>
      <c r="V19" s="286" t="e">
        <f>EXACT(RECO!#REF!,JCPL_Formula!Y19)</f>
        <v>#REF!</v>
      </c>
      <c r="W19" s="286" t="e">
        <f>EXACT(RECO!#REF!,JCPL_Formula!Z19)</f>
        <v>#REF!</v>
      </c>
      <c r="X19" s="286" t="e">
        <f>EXACT(RECO!#REF!,JCPL_Formula!AE19)</f>
        <v>#REF!</v>
      </c>
      <c r="Y19" s="286" t="e">
        <f>EXACT(RECO!#REF!,JCPL_Formula!AF19)</f>
        <v>#REF!</v>
      </c>
      <c r="Z19" s="286" t="e">
        <f>EXACT(RECO!#REF!,JCPL_Formula!AG19)</f>
        <v>#REF!</v>
      </c>
      <c r="AA19" s="286" t="e">
        <f>EXACT(RECO!#REF!,JCPL_Formula!AH19)</f>
        <v>#REF!</v>
      </c>
      <c r="AB19" s="286" t="e">
        <f>EXACT(RECO!#REF!,JCPL_Formula!AI19)</f>
        <v>#REF!</v>
      </c>
      <c r="AC19" s="286" t="e">
        <f>EXACT(RECO!#REF!,JCPL_Formula!AJ19)</f>
        <v>#REF!</v>
      </c>
      <c r="AD19" s="286" t="e">
        <f>EXACT(RECO!#REF!,JCPL_Formula!AK19)</f>
        <v>#REF!</v>
      </c>
      <c r="AE19" s="286" t="e">
        <f>EXACT(RECO!#REF!,JCPL_Formula!AL19)</f>
        <v>#REF!</v>
      </c>
      <c r="AF19" s="286" t="e">
        <f>EXACT(RECO!#REF!,JCPL_Formula!AM19)</f>
        <v>#REF!</v>
      </c>
      <c r="AG19" s="286" t="e">
        <f>EXACT(RECO!#REF!,JCPL_Formula!AN19)</f>
        <v>#REF!</v>
      </c>
      <c r="AH19" s="286" t="e">
        <f>EXACT(RECO!#REF!,JCPL_Formula!AO19)</f>
        <v>#REF!</v>
      </c>
      <c r="AI19" s="286" t="e">
        <f>EXACT(RECO!#REF!,JCPL_Formula!AP19)</f>
        <v>#REF!</v>
      </c>
    </row>
    <row r="20" spans="1:35">
      <c r="A20" s="286" t="s">
        <v>521</v>
      </c>
      <c r="B20" s="286" t="s">
        <v>628</v>
      </c>
      <c r="C20" s="286" t="s">
        <v>636</v>
      </c>
      <c r="D20" s="286" t="s">
        <v>637</v>
      </c>
      <c r="E20" s="286" t="e">
        <f>EXACT(RECO!#REF!,JCPL_Formula!E20)</f>
        <v>#REF!</v>
      </c>
      <c r="F20" s="286" t="e">
        <f>EXACT(RECO!#REF!,JCPL_Formula!F20)</f>
        <v>#REF!</v>
      </c>
      <c r="G20" s="286" t="e">
        <f>EXACT(RECO!#REF!,JCPL_Formula!G20)</f>
        <v>#REF!</v>
      </c>
      <c r="H20" s="286" t="e">
        <f>EXACT(RECO!#REF!,JCPL_Formula!H20)</f>
        <v>#REF!</v>
      </c>
      <c r="I20" s="286" t="e">
        <f>EXACT(RECO!#REF!,JCPL_Formula!I20)</f>
        <v>#REF!</v>
      </c>
      <c r="J20" s="286" t="e">
        <f>EXACT(RECO!#REF!,JCPL_Formula!J20)</f>
        <v>#REF!</v>
      </c>
      <c r="K20" s="286" t="e">
        <f>EXACT(RECO!#REF!,JCPL_Formula!K20)</f>
        <v>#REF!</v>
      </c>
      <c r="L20" s="286" t="e">
        <f>EXACT(RECO!#REF!,JCPL_Formula!L20)</f>
        <v>#REF!</v>
      </c>
      <c r="M20" s="286" t="e">
        <f>EXACT(RECO!#REF!,JCPL_Formula!M20)</f>
        <v>#REF!</v>
      </c>
      <c r="N20" s="286" t="e">
        <f>EXACT(RECO!#REF!,JCPL_Formula!N20)</f>
        <v>#REF!</v>
      </c>
      <c r="O20" s="286" t="e">
        <f>EXACT(RECO!#REF!,JCPL_Formula!O20)</f>
        <v>#REF!</v>
      </c>
      <c r="P20" s="286" t="e">
        <f>EXACT(RECO!#REF!,JCPL_Formula!P20)</f>
        <v>#REF!</v>
      </c>
      <c r="Q20" s="286" t="e">
        <f>EXACT(RECO!#REF!,JCPL_Formula!Q20)</f>
        <v>#REF!</v>
      </c>
      <c r="R20" s="286" t="e">
        <f>EXACT(RECO!#REF!,JCPL_Formula!R20)</f>
        <v>#REF!</v>
      </c>
      <c r="S20" s="286" t="e">
        <f>EXACT(RECO!#REF!,JCPL_Formula!S20)</f>
        <v>#REF!</v>
      </c>
      <c r="T20" s="286" t="e">
        <f>EXACT(RECO!#REF!,JCPL_Formula!W20)</f>
        <v>#REF!</v>
      </c>
      <c r="U20" s="286" t="e">
        <f>EXACT(RECO!#REF!,JCPL_Formula!X20)</f>
        <v>#REF!</v>
      </c>
      <c r="V20" s="286" t="e">
        <f>EXACT(RECO!#REF!,JCPL_Formula!Y20)</f>
        <v>#REF!</v>
      </c>
      <c r="W20" s="286" t="e">
        <f>EXACT(RECO!#REF!,JCPL_Formula!Z20)</f>
        <v>#REF!</v>
      </c>
      <c r="X20" s="286" t="e">
        <f>EXACT(RECO!#REF!,JCPL_Formula!AE20)</f>
        <v>#REF!</v>
      </c>
      <c r="Y20" s="286" t="e">
        <f>EXACT(RECO!#REF!,JCPL_Formula!AF20)</f>
        <v>#REF!</v>
      </c>
      <c r="Z20" s="286" t="e">
        <f>EXACT(RECO!#REF!,JCPL_Formula!AG20)</f>
        <v>#REF!</v>
      </c>
      <c r="AA20" s="286" t="e">
        <f>EXACT(RECO!#REF!,JCPL_Formula!AH20)</f>
        <v>#REF!</v>
      </c>
      <c r="AB20" s="286" t="e">
        <f>EXACT(RECO!#REF!,JCPL_Formula!AI20)</f>
        <v>#REF!</v>
      </c>
      <c r="AC20" s="286" t="e">
        <f>EXACT(RECO!#REF!,JCPL_Formula!AJ20)</f>
        <v>#REF!</v>
      </c>
      <c r="AD20" s="286" t="e">
        <f>EXACT(RECO!#REF!,JCPL_Formula!AK20)</f>
        <v>#REF!</v>
      </c>
      <c r="AE20" s="286" t="e">
        <f>EXACT(RECO!#REF!,JCPL_Formula!AL20)</f>
        <v>#REF!</v>
      </c>
      <c r="AF20" s="286" t="e">
        <f>EXACT(RECO!#REF!,JCPL_Formula!AM20)</f>
        <v>#REF!</v>
      </c>
      <c r="AG20" s="286" t="e">
        <f>EXACT(RECO!#REF!,JCPL_Formula!AN20)</f>
        <v>#REF!</v>
      </c>
      <c r="AH20" s="286" t="e">
        <f>EXACT(RECO!#REF!,JCPL_Formula!AO20)</f>
        <v>#REF!</v>
      </c>
      <c r="AI20" s="286" t="e">
        <f>EXACT(RECO!#REF!,JCPL_Formula!AP20)</f>
        <v>#REF!</v>
      </c>
    </row>
    <row r="21" spans="1:35">
      <c r="A21" s="286" t="s">
        <v>521</v>
      </c>
      <c r="B21" s="286" t="s">
        <v>628</v>
      </c>
      <c r="C21" s="286" t="s">
        <v>636</v>
      </c>
      <c r="D21" s="286" t="s">
        <v>34</v>
      </c>
      <c r="E21" s="286" t="e">
        <f>EXACT(RECO!F20,JCPL_Formula!E21)</f>
        <v>#REF!</v>
      </c>
      <c r="F21" s="286" t="e">
        <f>EXACT(RECO!G20,JCPL_Formula!F21)</f>
        <v>#REF!</v>
      </c>
      <c r="G21" s="286" t="b">
        <f>EXACT(RECO!H20,JCPL_Formula!G21)</f>
        <v>0</v>
      </c>
      <c r="H21" s="286" t="e">
        <f>EXACT(RECO!I20,JCPL_Formula!H21)</f>
        <v>#REF!</v>
      </c>
      <c r="I21" s="286" t="b">
        <f>EXACT(RECO!J20,JCPL_Formula!I21)</f>
        <v>0</v>
      </c>
      <c r="J21" s="286" t="b">
        <f>EXACT(RECO!L20,JCPL_Formula!J21)</f>
        <v>0</v>
      </c>
      <c r="K21" s="286" t="e">
        <f>EXACT(RECO!AL20,JCPL_Formula!K21)</f>
        <v>#REF!</v>
      </c>
      <c r="L21" s="286" t="e">
        <f>EXACT(RECO!AM20,JCPL_Formula!L21)</f>
        <v>#REF!</v>
      </c>
      <c r="M21" s="286" t="e">
        <f>EXACT(RECO!AO20,JCPL_Formula!M21)</f>
        <v>#REF!</v>
      </c>
      <c r="N21" s="286" t="b">
        <f>EXACT(RECO!AQ20,JCPL_Formula!N21)</f>
        <v>0</v>
      </c>
      <c r="O21" s="286" t="b">
        <f>EXACT(RECO!AS20,JCPL_Formula!O21)</f>
        <v>0</v>
      </c>
      <c r="P21" s="286" t="e">
        <f>EXACT(RECO!#REF!,JCPL_Formula!P21)</f>
        <v>#REF!</v>
      </c>
      <c r="Q21" s="286" t="e">
        <f>EXACT(RECO!#REF!,JCPL_Formula!Q21)</f>
        <v>#REF!</v>
      </c>
      <c r="R21" s="286" t="e">
        <f>EXACT(RECO!#REF!,JCPL_Formula!R21)</f>
        <v>#REF!</v>
      </c>
      <c r="S21" s="286" t="e">
        <f>EXACT(RECO!#REF!,JCPL_Formula!S21)</f>
        <v>#REF!</v>
      </c>
      <c r="T21" s="286" t="e">
        <f>EXACT(RECO!#REF!,JCPL_Formula!W21)</f>
        <v>#REF!</v>
      </c>
      <c r="U21" s="286" t="e">
        <f>EXACT(RECO!#REF!,JCPL_Formula!X21)</f>
        <v>#REF!</v>
      </c>
      <c r="V21" s="286" t="e">
        <f>EXACT(RECO!#REF!,JCPL_Formula!Y21)</f>
        <v>#REF!</v>
      </c>
      <c r="W21" s="286" t="e">
        <f>EXACT(RECO!#REF!,JCPL_Formula!Z21)</f>
        <v>#REF!</v>
      </c>
      <c r="X21" s="286" t="e">
        <f>EXACT(RECO!#REF!,JCPL_Formula!AE21)</f>
        <v>#REF!</v>
      </c>
      <c r="Y21" s="286" t="e">
        <f>EXACT(RECO!#REF!,JCPL_Formula!AF21)</f>
        <v>#REF!</v>
      </c>
      <c r="Z21" s="286" t="e">
        <f>EXACT(RECO!#REF!,JCPL_Formula!AG21)</f>
        <v>#REF!</v>
      </c>
      <c r="AA21" s="286" t="e">
        <f>EXACT(RECO!#REF!,JCPL_Formula!AH21)</f>
        <v>#REF!</v>
      </c>
      <c r="AB21" s="286" t="e">
        <f>EXACT(RECO!#REF!,JCPL_Formula!AI21)</f>
        <v>#REF!</v>
      </c>
      <c r="AC21" s="286" t="e">
        <f>EXACT(RECO!#REF!,JCPL_Formula!AJ21)</f>
        <v>#REF!</v>
      </c>
      <c r="AD21" s="286" t="e">
        <f>EXACT(RECO!#REF!,JCPL_Formula!AK21)</f>
        <v>#REF!</v>
      </c>
      <c r="AE21" s="286" t="e">
        <f>EXACT(RECO!#REF!,JCPL_Formula!AL21)</f>
        <v>#REF!</v>
      </c>
      <c r="AF21" s="286" t="e">
        <f>EXACT(RECO!#REF!,JCPL_Formula!AM21)</f>
        <v>#REF!</v>
      </c>
      <c r="AG21" s="286" t="e">
        <f>EXACT(RECO!#REF!,JCPL_Formula!AN21)</f>
        <v>#REF!</v>
      </c>
      <c r="AH21" s="286" t="e">
        <f>EXACT(RECO!#REF!,JCPL_Formula!AO21)</f>
        <v>#REF!</v>
      </c>
      <c r="AI21" s="286" t="e">
        <f>EXACT(RECO!#REF!,JCPL_Formula!AP21)</f>
        <v>#REF!</v>
      </c>
    </row>
    <row r="22" spans="1:35">
      <c r="A22" s="236" t="s">
        <v>521</v>
      </c>
      <c r="B22" s="236" t="s">
        <v>131</v>
      </c>
      <c r="C22" s="236" t="s">
        <v>131</v>
      </c>
      <c r="D22" s="236" t="s">
        <v>634</v>
      </c>
      <c r="E22" s="236" t="e">
        <f>EXACT(RECO!#REF!,JCPL_Formula!E22)</f>
        <v>#REF!</v>
      </c>
      <c r="F22" s="236" t="e">
        <f>EXACT(RECO!#REF!,JCPL_Formula!F22)</f>
        <v>#REF!</v>
      </c>
      <c r="G22" s="236" t="e">
        <f>EXACT(RECO!#REF!,JCPL_Formula!G22)</f>
        <v>#REF!</v>
      </c>
      <c r="H22" s="236" t="e">
        <f>EXACT(RECO!#REF!,JCPL_Formula!H22)</f>
        <v>#REF!</v>
      </c>
      <c r="I22" s="236" t="e">
        <f>EXACT(RECO!#REF!,JCPL_Formula!I22)</f>
        <v>#REF!</v>
      </c>
      <c r="J22" s="236" t="e">
        <f>EXACT(RECO!#REF!,JCPL_Formula!J22)</f>
        <v>#REF!</v>
      </c>
      <c r="K22" s="236" t="e">
        <f>EXACT(RECO!#REF!,JCPL_Formula!K22)</f>
        <v>#REF!</v>
      </c>
      <c r="L22" s="236" t="e">
        <f>EXACT(RECO!#REF!,JCPL_Formula!L22)</f>
        <v>#REF!</v>
      </c>
      <c r="M22" s="236" t="e">
        <f>EXACT(RECO!#REF!,JCPL_Formula!M22)</f>
        <v>#REF!</v>
      </c>
      <c r="N22" s="236" t="e">
        <f>EXACT(RECO!#REF!,JCPL_Formula!N22)</f>
        <v>#REF!</v>
      </c>
      <c r="O22" s="236" t="e">
        <f>EXACT(RECO!#REF!,JCPL_Formula!O22)</f>
        <v>#REF!</v>
      </c>
      <c r="P22" s="236" t="e">
        <f>EXACT(RECO!#REF!,JCPL_Formula!P22)</f>
        <v>#REF!</v>
      </c>
      <c r="Q22" s="236" t="e">
        <f>EXACT(RECO!#REF!,JCPL_Formula!Q22)</f>
        <v>#REF!</v>
      </c>
      <c r="R22" s="236" t="e">
        <f>EXACT(RECO!#REF!,JCPL_Formula!R22)</f>
        <v>#REF!</v>
      </c>
      <c r="S22" s="236" t="e">
        <f>EXACT(RECO!#REF!,JCPL_Formula!S22)</f>
        <v>#REF!</v>
      </c>
      <c r="T22" s="236" t="e">
        <f>EXACT(RECO!#REF!,JCPL_Formula!W22)</f>
        <v>#REF!</v>
      </c>
      <c r="U22" s="236" t="e">
        <f>EXACT(RECO!#REF!,JCPL_Formula!X22)</f>
        <v>#REF!</v>
      </c>
      <c r="V22" s="236" t="e">
        <f>EXACT(RECO!#REF!,JCPL_Formula!Y22)</f>
        <v>#REF!</v>
      </c>
      <c r="W22" s="236" t="e">
        <f>EXACT(RECO!#REF!,JCPL_Formula!Z22)</f>
        <v>#REF!</v>
      </c>
      <c r="X22" s="236" t="e">
        <f>EXACT(RECO!#REF!,JCPL_Formula!AE22)</f>
        <v>#REF!</v>
      </c>
      <c r="Y22" s="236" t="e">
        <f>EXACT(RECO!#REF!,JCPL_Formula!AF22)</f>
        <v>#REF!</v>
      </c>
      <c r="Z22" s="236" t="e">
        <f>EXACT(RECO!#REF!,JCPL_Formula!AG22)</f>
        <v>#REF!</v>
      </c>
      <c r="AA22" s="236" t="e">
        <f>EXACT(RECO!#REF!,JCPL_Formula!AH22)</f>
        <v>#REF!</v>
      </c>
      <c r="AB22" s="236" t="e">
        <f>EXACT(RECO!#REF!,JCPL_Formula!AI22)</f>
        <v>#REF!</v>
      </c>
      <c r="AC22" s="236" t="e">
        <f>EXACT(RECO!#REF!,JCPL_Formula!AJ22)</f>
        <v>#REF!</v>
      </c>
      <c r="AD22" s="236" t="e">
        <f>EXACT(RECO!#REF!,JCPL_Formula!AK22)</f>
        <v>#REF!</v>
      </c>
      <c r="AE22" s="236" t="e">
        <f>EXACT(RECO!#REF!,JCPL_Formula!AL22)</f>
        <v>#REF!</v>
      </c>
      <c r="AF22" s="236" t="e">
        <f>EXACT(RECO!#REF!,JCPL_Formula!AM22)</f>
        <v>#REF!</v>
      </c>
      <c r="AG22" s="236" t="e">
        <f>EXACT(RECO!#REF!,JCPL_Formula!AN22)</f>
        <v>#REF!</v>
      </c>
      <c r="AH22" s="236" t="e">
        <f>EXACT(RECO!#REF!,JCPL_Formula!AO22)</f>
        <v>#REF!</v>
      </c>
      <c r="AI22" s="236" t="e">
        <f>EXACT(RECO!#REF!,JCPL_Formula!AP22)</f>
        <v>#REF!</v>
      </c>
    </row>
    <row r="23" spans="1:35">
      <c r="A23" s="236" t="s">
        <v>521</v>
      </c>
      <c r="B23" s="236" t="s">
        <v>131</v>
      </c>
      <c r="C23" s="236" t="s">
        <v>131</v>
      </c>
      <c r="D23" s="236" t="s">
        <v>27</v>
      </c>
      <c r="E23" s="236" t="b">
        <f>EXACT(RECO!F21,JCPL_Formula!E23)</f>
        <v>0</v>
      </c>
      <c r="F23" s="236" t="e">
        <f>EXACT(RECO!G21,JCPL_Formula!F23)</f>
        <v>#REF!</v>
      </c>
      <c r="G23" s="236" t="b">
        <f>EXACT(RECO!H21,JCPL_Formula!G23)</f>
        <v>0</v>
      </c>
      <c r="H23" s="236" t="e">
        <f>EXACT(RECO!I21,JCPL_Formula!H23)</f>
        <v>#REF!</v>
      </c>
      <c r="I23" s="236" t="b">
        <f>EXACT(RECO!J21,JCPL_Formula!I23)</f>
        <v>0</v>
      </c>
      <c r="J23" s="236" t="b">
        <f>EXACT(RECO!L21,JCPL_Formula!J23)</f>
        <v>0</v>
      </c>
      <c r="K23" s="236" t="b">
        <f>EXACT(RECO!AL21,JCPL_Formula!K23)</f>
        <v>0</v>
      </c>
      <c r="L23" s="236" t="e">
        <f>EXACT(RECO!AM21,JCPL_Formula!L23)</f>
        <v>#REF!</v>
      </c>
      <c r="M23" s="236" t="e">
        <f>EXACT(RECO!AO21,JCPL_Formula!M23)</f>
        <v>#REF!</v>
      </c>
      <c r="N23" s="236" t="b">
        <f>EXACT(RECO!AQ21,JCPL_Formula!N23)</f>
        <v>0</v>
      </c>
      <c r="O23" s="236" t="b">
        <f>EXACT(RECO!AS21,JCPL_Formula!O23)</f>
        <v>0</v>
      </c>
      <c r="P23" s="236" t="e">
        <f>EXACT(RECO!#REF!,JCPL_Formula!P23)</f>
        <v>#REF!</v>
      </c>
      <c r="Q23" s="236" t="e">
        <f>EXACT(RECO!#REF!,JCPL_Formula!Q23)</f>
        <v>#REF!</v>
      </c>
      <c r="R23" s="236" t="e">
        <f>EXACT(RECO!#REF!,JCPL_Formula!R23)</f>
        <v>#REF!</v>
      </c>
      <c r="S23" s="236" t="e">
        <f>EXACT(RECO!#REF!,JCPL_Formula!S23)</f>
        <v>#REF!</v>
      </c>
      <c r="T23" s="236" t="e">
        <f>EXACT(RECO!#REF!,JCPL_Formula!W23)</f>
        <v>#REF!</v>
      </c>
      <c r="U23" s="236" t="e">
        <f>EXACT(RECO!#REF!,JCPL_Formula!X23)</f>
        <v>#REF!</v>
      </c>
      <c r="V23" s="236" t="e">
        <f>EXACT(RECO!#REF!,JCPL_Formula!Y23)</f>
        <v>#REF!</v>
      </c>
      <c r="W23" s="236" t="e">
        <f>EXACT(RECO!#REF!,JCPL_Formula!Z23)</f>
        <v>#REF!</v>
      </c>
      <c r="X23" s="236" t="e">
        <f>EXACT(RECO!#REF!,JCPL_Formula!AE23)</f>
        <v>#REF!</v>
      </c>
      <c r="Y23" s="236" t="e">
        <f>EXACT(RECO!#REF!,JCPL_Formula!AF23)</f>
        <v>#REF!</v>
      </c>
      <c r="Z23" s="236" t="e">
        <f>EXACT(RECO!#REF!,JCPL_Formula!AG23)</f>
        <v>#REF!</v>
      </c>
      <c r="AA23" s="236" t="e">
        <f>EXACT(RECO!#REF!,JCPL_Formula!AH23)</f>
        <v>#REF!</v>
      </c>
      <c r="AB23" s="236" t="e">
        <f>EXACT(RECO!#REF!,JCPL_Formula!AI23)</f>
        <v>#REF!</v>
      </c>
      <c r="AC23" s="236" t="e">
        <f>EXACT(RECO!#REF!,JCPL_Formula!AJ23)</f>
        <v>#REF!</v>
      </c>
      <c r="AD23" s="236" t="e">
        <f>EXACT(RECO!#REF!,JCPL_Formula!AK23)</f>
        <v>#REF!</v>
      </c>
      <c r="AE23" s="236" t="e">
        <f>EXACT(RECO!#REF!,JCPL_Formula!AL23)</f>
        <v>#REF!</v>
      </c>
      <c r="AF23" s="236" t="e">
        <f>EXACT(RECO!#REF!,JCPL_Formula!AM23)</f>
        <v>#REF!</v>
      </c>
      <c r="AG23" s="236" t="e">
        <f>EXACT(RECO!#REF!,JCPL_Formula!AN23)</f>
        <v>#REF!</v>
      </c>
      <c r="AH23" s="236" t="e">
        <f>EXACT(RECO!#REF!,JCPL_Formula!AO23)</f>
        <v>#REF!</v>
      </c>
      <c r="AI23" s="236" t="e">
        <f>EXACT(RECO!#REF!,JCPL_Formula!AP23)</f>
        <v>#REF!</v>
      </c>
    </row>
    <row r="24" spans="1:35">
      <c r="A24" s="236" t="s">
        <v>521</v>
      </c>
      <c r="B24" s="236" t="s">
        <v>131</v>
      </c>
      <c r="C24" s="236" t="s">
        <v>131</v>
      </c>
      <c r="D24" s="236" t="s">
        <v>29</v>
      </c>
      <c r="E24" s="236" t="b">
        <f>EXACT(RECO!F22,JCPL_Formula!E24)</f>
        <v>0</v>
      </c>
      <c r="F24" s="236" t="e">
        <f>EXACT(RECO!G22,JCPL_Formula!F24)</f>
        <v>#REF!</v>
      </c>
      <c r="G24" s="236" t="b">
        <f>EXACT(RECO!H22,JCPL_Formula!G24)</f>
        <v>0</v>
      </c>
      <c r="H24" s="236" t="e">
        <f>EXACT(RECO!I22,JCPL_Formula!H24)</f>
        <v>#REF!</v>
      </c>
      <c r="I24" s="236" t="b">
        <f>EXACT(RECO!J22,JCPL_Formula!I24)</f>
        <v>0</v>
      </c>
      <c r="J24" s="236" t="e">
        <f>EXACT(RECO!L22,JCPL_Formula!J24)</f>
        <v>#REF!</v>
      </c>
      <c r="K24" s="236" t="b">
        <f>EXACT(RECO!AL22,JCPL_Formula!K24)</f>
        <v>0</v>
      </c>
      <c r="L24" s="236" t="e">
        <f>EXACT(RECO!AM22,JCPL_Formula!L24)</f>
        <v>#REF!</v>
      </c>
      <c r="M24" s="236" t="e">
        <f>EXACT(RECO!AO22,JCPL_Formula!M24)</f>
        <v>#REF!</v>
      </c>
      <c r="N24" s="236" t="b">
        <f>EXACT(RECO!AQ22,JCPL_Formula!N24)</f>
        <v>0</v>
      </c>
      <c r="O24" s="236" t="b">
        <f>EXACT(RECO!AS22,JCPL_Formula!O24)</f>
        <v>0</v>
      </c>
      <c r="P24" s="236" t="e">
        <f>EXACT(RECO!#REF!,JCPL_Formula!P24)</f>
        <v>#REF!</v>
      </c>
      <c r="Q24" s="236" t="e">
        <f>EXACT(RECO!#REF!,JCPL_Formula!Q24)</f>
        <v>#REF!</v>
      </c>
      <c r="R24" s="236" t="e">
        <f>EXACT(RECO!#REF!,JCPL_Formula!R24)</f>
        <v>#REF!</v>
      </c>
      <c r="S24" s="236" t="e">
        <f>EXACT(RECO!#REF!,JCPL_Formula!S24)</f>
        <v>#REF!</v>
      </c>
      <c r="T24" s="236" t="e">
        <f>EXACT(RECO!#REF!,JCPL_Formula!W24)</f>
        <v>#REF!</v>
      </c>
      <c r="U24" s="236" t="e">
        <f>EXACT(RECO!#REF!,JCPL_Formula!X24)</f>
        <v>#REF!</v>
      </c>
      <c r="V24" s="236" t="e">
        <f>EXACT(RECO!#REF!,JCPL_Formula!Y24)</f>
        <v>#REF!</v>
      </c>
      <c r="W24" s="236" t="e">
        <f>EXACT(RECO!#REF!,JCPL_Formula!Z24)</f>
        <v>#REF!</v>
      </c>
      <c r="X24" s="236" t="e">
        <f>EXACT(RECO!#REF!,JCPL_Formula!AE24)</f>
        <v>#REF!</v>
      </c>
      <c r="Y24" s="236" t="e">
        <f>EXACT(RECO!#REF!,JCPL_Formula!AF24)</f>
        <v>#REF!</v>
      </c>
      <c r="Z24" s="236" t="e">
        <f>EXACT(RECO!#REF!,JCPL_Formula!AG24)</f>
        <v>#REF!</v>
      </c>
      <c r="AA24" s="236" t="e">
        <f>EXACT(RECO!#REF!,JCPL_Formula!AH24)</f>
        <v>#REF!</v>
      </c>
      <c r="AB24" s="236" t="e">
        <f>EXACT(RECO!#REF!,JCPL_Formula!AI24)</f>
        <v>#REF!</v>
      </c>
      <c r="AC24" s="236" t="e">
        <f>EXACT(RECO!#REF!,JCPL_Formula!AJ24)</f>
        <v>#REF!</v>
      </c>
      <c r="AD24" s="236" t="e">
        <f>EXACT(RECO!#REF!,JCPL_Formula!AK24)</f>
        <v>#REF!</v>
      </c>
      <c r="AE24" s="236" t="e">
        <f>EXACT(RECO!#REF!,JCPL_Formula!AL24)</f>
        <v>#REF!</v>
      </c>
      <c r="AF24" s="236" t="e">
        <f>EXACT(RECO!#REF!,JCPL_Formula!AM24)</f>
        <v>#REF!</v>
      </c>
      <c r="AG24" s="236" t="e">
        <f>EXACT(RECO!#REF!,JCPL_Formula!AN24)</f>
        <v>#REF!</v>
      </c>
      <c r="AH24" s="236" t="e">
        <f>EXACT(RECO!#REF!,JCPL_Formula!AO24)</f>
        <v>#REF!</v>
      </c>
      <c r="AI24" s="236" t="e">
        <f>EXACT(RECO!#REF!,JCPL_Formula!AP24)</f>
        <v>#REF!</v>
      </c>
    </row>
    <row r="25" spans="1:35">
      <c r="A25" s="236" t="s">
        <v>521</v>
      </c>
      <c r="B25" s="236" t="s">
        <v>131</v>
      </c>
      <c r="C25" s="236" t="s">
        <v>131</v>
      </c>
      <c r="D25" s="236" t="s">
        <v>34</v>
      </c>
      <c r="E25" s="236" t="e">
        <f>EXACT(RECO!#REF!,JCPL_Formula!E25)</f>
        <v>#REF!</v>
      </c>
      <c r="F25" s="236" t="e">
        <f>EXACT(RECO!#REF!,JCPL_Formula!F25)</f>
        <v>#REF!</v>
      </c>
      <c r="G25" s="236" t="e">
        <f>EXACT(RECO!#REF!,JCPL_Formula!G25)</f>
        <v>#REF!</v>
      </c>
      <c r="H25" s="236" t="e">
        <f>EXACT(RECO!#REF!,JCPL_Formula!H25)</f>
        <v>#REF!</v>
      </c>
      <c r="I25" s="236" t="e">
        <f>EXACT(RECO!#REF!,JCPL_Formula!I25)</f>
        <v>#REF!</v>
      </c>
      <c r="J25" s="236" t="e">
        <f>EXACT(RECO!#REF!,JCPL_Formula!J25)</f>
        <v>#REF!</v>
      </c>
      <c r="K25" s="236" t="e">
        <f>EXACT(RECO!#REF!,JCPL_Formula!K25)</f>
        <v>#REF!</v>
      </c>
      <c r="L25" s="236" t="e">
        <f>EXACT(RECO!#REF!,JCPL_Formula!L25)</f>
        <v>#REF!</v>
      </c>
      <c r="M25" s="236" t="e">
        <f>EXACT(RECO!#REF!,JCPL_Formula!M25)</f>
        <v>#REF!</v>
      </c>
      <c r="N25" s="236" t="e">
        <f>EXACT(RECO!#REF!,JCPL_Formula!N25)</f>
        <v>#REF!</v>
      </c>
      <c r="O25" s="236" t="e">
        <f>EXACT(RECO!#REF!,JCPL_Formula!O25)</f>
        <v>#REF!</v>
      </c>
      <c r="P25" s="236" t="e">
        <f>EXACT(RECO!#REF!,JCPL_Formula!P25)</f>
        <v>#REF!</v>
      </c>
      <c r="Q25" s="236" t="e">
        <f>EXACT(RECO!#REF!,JCPL_Formula!Q25)</f>
        <v>#REF!</v>
      </c>
      <c r="R25" s="236" t="e">
        <f>EXACT(RECO!#REF!,JCPL_Formula!R25)</f>
        <v>#REF!</v>
      </c>
      <c r="S25" s="236" t="e">
        <f>EXACT(RECO!#REF!,JCPL_Formula!S25)</f>
        <v>#REF!</v>
      </c>
      <c r="T25" s="236" t="e">
        <f>EXACT(RECO!#REF!,JCPL_Formula!W25)</f>
        <v>#REF!</v>
      </c>
      <c r="U25" s="236" t="e">
        <f>EXACT(RECO!#REF!,JCPL_Formula!X25)</f>
        <v>#REF!</v>
      </c>
      <c r="V25" s="236" t="e">
        <f>EXACT(RECO!#REF!,JCPL_Formula!Y25)</f>
        <v>#REF!</v>
      </c>
      <c r="W25" s="236" t="e">
        <f>EXACT(RECO!#REF!,JCPL_Formula!Z25)</f>
        <v>#REF!</v>
      </c>
      <c r="X25" s="236" t="e">
        <f>EXACT(RECO!#REF!,JCPL_Formula!AE25)</f>
        <v>#REF!</v>
      </c>
      <c r="Y25" s="236" t="e">
        <f>EXACT(RECO!#REF!,JCPL_Formula!AF25)</f>
        <v>#REF!</v>
      </c>
      <c r="Z25" s="236" t="e">
        <f>EXACT(RECO!#REF!,JCPL_Formula!AG25)</f>
        <v>#REF!</v>
      </c>
      <c r="AA25" s="236" t="e">
        <f>EXACT(RECO!#REF!,JCPL_Formula!AH25)</f>
        <v>#REF!</v>
      </c>
      <c r="AB25" s="236" t="e">
        <f>EXACT(RECO!#REF!,JCPL_Formula!AI25)</f>
        <v>#REF!</v>
      </c>
      <c r="AC25" s="236" t="e">
        <f>EXACT(RECO!#REF!,JCPL_Formula!AJ25)</f>
        <v>#REF!</v>
      </c>
      <c r="AD25" s="236" t="e">
        <f>EXACT(RECO!#REF!,JCPL_Formula!AK25)</f>
        <v>#REF!</v>
      </c>
      <c r="AE25" s="236" t="e">
        <f>EXACT(RECO!#REF!,JCPL_Formula!AL25)</f>
        <v>#REF!</v>
      </c>
      <c r="AF25" s="236" t="e">
        <f>EXACT(RECO!#REF!,JCPL_Formula!AM25)</f>
        <v>#REF!</v>
      </c>
      <c r="AG25" s="236" t="e">
        <f>EXACT(RECO!#REF!,JCPL_Formula!AN25)</f>
        <v>#REF!</v>
      </c>
      <c r="AH25" s="236" t="e">
        <f>EXACT(RECO!#REF!,JCPL_Formula!AO25)</f>
        <v>#REF!</v>
      </c>
      <c r="AI25" s="236" t="e">
        <f>EXACT(RECO!#REF!,JCPL_Formula!AP25)</f>
        <v>#REF!</v>
      </c>
    </row>
    <row r="26" spans="1:35">
      <c r="A26" s="272" t="s">
        <v>521</v>
      </c>
      <c r="B26" s="272" t="s">
        <v>131</v>
      </c>
      <c r="C26" s="272" t="s">
        <v>131</v>
      </c>
      <c r="D26" s="272"/>
      <c r="E26" s="272" t="e">
        <f>EXACT(RECO!#REF!,JCPL_Formula!E26)</f>
        <v>#REF!</v>
      </c>
      <c r="F26" s="272" t="e">
        <f>EXACT(RECO!#REF!,JCPL_Formula!F26)</f>
        <v>#REF!</v>
      </c>
      <c r="G26" s="272" t="e">
        <f>EXACT(RECO!#REF!,JCPL_Formula!G26)</f>
        <v>#REF!</v>
      </c>
      <c r="H26" s="272" t="e">
        <f>EXACT(RECO!#REF!,JCPL_Formula!H26)</f>
        <v>#REF!</v>
      </c>
      <c r="I26" s="272" t="e">
        <f>EXACT(RECO!#REF!,JCPL_Formula!I26)</f>
        <v>#REF!</v>
      </c>
      <c r="J26" s="272" t="e">
        <f>EXACT(RECO!#REF!,JCPL_Formula!J26)</f>
        <v>#REF!</v>
      </c>
      <c r="K26" s="272" t="e">
        <f>EXACT(RECO!#REF!,JCPL_Formula!K26)</f>
        <v>#REF!</v>
      </c>
      <c r="L26" s="272" t="e">
        <f>EXACT(RECO!#REF!,JCPL_Formula!L26)</f>
        <v>#REF!</v>
      </c>
      <c r="M26" s="272" t="e">
        <f>EXACT(RECO!#REF!,JCPL_Formula!M26)</f>
        <v>#REF!</v>
      </c>
      <c r="N26" s="272" t="e">
        <f>EXACT(RECO!#REF!,JCPL_Formula!N26)</f>
        <v>#REF!</v>
      </c>
      <c r="O26" s="272" t="e">
        <f>EXACT(RECO!#REF!,JCPL_Formula!O26)</f>
        <v>#REF!</v>
      </c>
      <c r="P26" s="272" t="e">
        <f>EXACT(RECO!#REF!,JCPL_Formula!P26)</f>
        <v>#REF!</v>
      </c>
      <c r="Q26" s="272" t="e">
        <f>EXACT(RECO!#REF!,JCPL_Formula!Q26)</f>
        <v>#REF!</v>
      </c>
      <c r="R26" s="272" t="e">
        <f>EXACT(RECO!#REF!,JCPL_Formula!R26)</f>
        <v>#REF!</v>
      </c>
      <c r="S26" s="272" t="e">
        <f>EXACT(RECO!#REF!,JCPL_Formula!S26)</f>
        <v>#REF!</v>
      </c>
      <c r="T26" s="272" t="e">
        <f>EXACT(RECO!#REF!,JCPL_Formula!W26)</f>
        <v>#REF!</v>
      </c>
      <c r="U26" s="272" t="e">
        <f>EXACT(RECO!#REF!,JCPL_Formula!X26)</f>
        <v>#REF!</v>
      </c>
      <c r="V26" s="272" t="e">
        <f>EXACT(RECO!#REF!,JCPL_Formula!Y26)</f>
        <v>#REF!</v>
      </c>
      <c r="W26" s="272" t="e">
        <f>EXACT(RECO!#REF!,JCPL_Formula!Z26)</f>
        <v>#REF!</v>
      </c>
      <c r="X26" s="272" t="e">
        <f>EXACT(RECO!#REF!,JCPL_Formula!AE26)</f>
        <v>#REF!</v>
      </c>
      <c r="Y26" s="272" t="e">
        <f>EXACT(RECO!#REF!,JCPL_Formula!AF26)</f>
        <v>#REF!</v>
      </c>
      <c r="Z26" s="272" t="e">
        <f>EXACT(RECO!#REF!,JCPL_Formula!AG26)</f>
        <v>#REF!</v>
      </c>
      <c r="AA26" s="272" t="e">
        <f>EXACT(RECO!#REF!,JCPL_Formula!AH26)</f>
        <v>#REF!</v>
      </c>
      <c r="AB26" s="272" t="e">
        <f>EXACT(RECO!#REF!,JCPL_Formula!AI26)</f>
        <v>#REF!</v>
      </c>
      <c r="AC26" s="272" t="e">
        <f>EXACT(RECO!#REF!,JCPL_Formula!AJ26)</f>
        <v>#REF!</v>
      </c>
      <c r="AD26" s="272" t="e">
        <f>EXACT(RECO!#REF!,JCPL_Formula!AK26)</f>
        <v>#REF!</v>
      </c>
      <c r="AE26" s="272" t="e">
        <f>EXACT(RECO!#REF!,JCPL_Formula!AL26)</f>
        <v>#REF!</v>
      </c>
      <c r="AF26" s="272" t="e">
        <f>EXACT(RECO!#REF!,JCPL_Formula!AM26)</f>
        <v>#REF!</v>
      </c>
      <c r="AG26" s="272" t="e">
        <f>EXACT(RECO!#REF!,JCPL_Formula!AN26)</f>
        <v>#REF!</v>
      </c>
      <c r="AH26" s="272" t="e">
        <f>EXACT(RECO!#REF!,JCPL_Formula!AO26)</f>
        <v>#REF!</v>
      </c>
      <c r="AI26" s="272" t="e">
        <f>EXACT(RECO!#REF!,JCPL_Formula!AP26)</f>
        <v>#REF!</v>
      </c>
    </row>
    <row r="27" spans="1:35">
      <c r="A27" s="286" t="s">
        <v>521</v>
      </c>
      <c r="B27" s="286" t="s">
        <v>638</v>
      </c>
      <c r="C27" s="286" t="s">
        <v>639</v>
      </c>
      <c r="D27" s="286" t="s">
        <v>639</v>
      </c>
      <c r="E27" s="286" t="e">
        <f>EXACT(RECO!F24,JCPL_Formula!E27)</f>
        <v>#REF!</v>
      </c>
      <c r="F27" s="286" t="e">
        <f>EXACT(RECO!G24,JCPL_Formula!F27)</f>
        <v>#REF!</v>
      </c>
      <c r="G27" s="286" t="e">
        <f>EXACT(RECO!H24,JCPL_Formula!G27)</f>
        <v>#REF!</v>
      </c>
      <c r="H27" s="286" t="e">
        <f>EXACT(RECO!I24,JCPL_Formula!H27)</f>
        <v>#REF!</v>
      </c>
      <c r="I27" s="286" t="e">
        <f>EXACT(RECO!J24,JCPL_Formula!I27)</f>
        <v>#REF!</v>
      </c>
      <c r="J27" s="286" t="e">
        <f>EXACT(RECO!L24,JCPL_Formula!J27)</f>
        <v>#REF!</v>
      </c>
      <c r="K27" s="286" t="e">
        <f>EXACT(RECO!AL24,JCPL_Formula!K27)</f>
        <v>#REF!</v>
      </c>
      <c r="L27" s="286" t="e">
        <f>EXACT(RECO!AM24,JCPL_Formula!L27)</f>
        <v>#REF!</v>
      </c>
      <c r="M27" s="286" t="e">
        <f>EXACT(RECO!AO24,JCPL_Formula!M27)</f>
        <v>#REF!</v>
      </c>
      <c r="N27" s="286" t="e">
        <f>EXACT(RECO!AQ24,JCPL_Formula!N27)</f>
        <v>#REF!</v>
      </c>
      <c r="O27" s="286" t="e">
        <f>EXACT(RECO!AS24,JCPL_Formula!O27)</f>
        <v>#REF!</v>
      </c>
      <c r="P27" s="286" t="e">
        <f>EXACT(RECO!#REF!,JCPL_Formula!P27)</f>
        <v>#REF!</v>
      </c>
      <c r="Q27" s="286" t="e">
        <f>EXACT(RECO!#REF!,JCPL_Formula!Q27)</f>
        <v>#REF!</v>
      </c>
      <c r="R27" s="286" t="e">
        <f>EXACT(RECO!#REF!,JCPL_Formula!R27)</f>
        <v>#REF!</v>
      </c>
      <c r="S27" s="286" t="e">
        <f>EXACT(RECO!#REF!,JCPL_Formula!S27)</f>
        <v>#REF!</v>
      </c>
      <c r="T27" s="286" t="e">
        <f>EXACT(RECO!#REF!,JCPL_Formula!W27)</f>
        <v>#REF!</v>
      </c>
      <c r="U27" s="286" t="e">
        <f>EXACT(RECO!#REF!,JCPL_Formula!X27)</f>
        <v>#REF!</v>
      </c>
      <c r="V27" s="286" t="e">
        <f>EXACT(RECO!#REF!,JCPL_Formula!Y27)</f>
        <v>#REF!</v>
      </c>
      <c r="W27" s="286" t="e">
        <f>EXACT(RECO!#REF!,JCPL_Formula!Z27)</f>
        <v>#REF!</v>
      </c>
      <c r="X27" s="286" t="e">
        <f>EXACT(RECO!#REF!,JCPL_Formula!AE27)</f>
        <v>#REF!</v>
      </c>
      <c r="Y27" s="286" t="e">
        <f>EXACT(RECO!#REF!,JCPL_Formula!AF27)</f>
        <v>#REF!</v>
      </c>
      <c r="Z27" s="286" t="e">
        <f>EXACT(RECO!#REF!,JCPL_Formula!AG27)</f>
        <v>#REF!</v>
      </c>
      <c r="AA27" s="286" t="e">
        <f>EXACT(RECO!#REF!,JCPL_Formula!AH27)</f>
        <v>#REF!</v>
      </c>
      <c r="AB27" s="286" t="e">
        <f>EXACT(RECO!#REF!,JCPL_Formula!AI27)</f>
        <v>#REF!</v>
      </c>
      <c r="AC27" s="286" t="e">
        <f>EXACT(RECO!#REF!,JCPL_Formula!AJ27)</f>
        <v>#REF!</v>
      </c>
      <c r="AD27" s="286" t="e">
        <f>EXACT(RECO!#REF!,JCPL_Formula!AK27)</f>
        <v>#REF!</v>
      </c>
      <c r="AE27" s="286" t="e">
        <f>EXACT(RECO!#REF!,JCPL_Formula!AL27)</f>
        <v>#REF!</v>
      </c>
      <c r="AF27" s="286" t="e">
        <f>EXACT(RECO!#REF!,JCPL_Formula!AM27)</f>
        <v>#REF!</v>
      </c>
      <c r="AG27" s="286" t="e">
        <f>EXACT(RECO!#REF!,JCPL_Formula!AN27)</f>
        <v>#REF!</v>
      </c>
      <c r="AH27" s="286" t="e">
        <f>EXACT(RECO!#REF!,JCPL_Formula!AO27)</f>
        <v>#REF!</v>
      </c>
      <c r="AI27" s="286" t="e">
        <f>EXACT(RECO!#REF!,JCPL_Formula!AP27)</f>
        <v>#REF!</v>
      </c>
    </row>
    <row r="28" spans="1:35">
      <c r="A28" s="287" t="s">
        <v>521</v>
      </c>
      <c r="B28" s="288" t="s">
        <v>86</v>
      </c>
      <c r="C28" s="287" t="s">
        <v>91</v>
      </c>
      <c r="D28" s="289" t="s">
        <v>91</v>
      </c>
      <c r="E28" s="290" t="e">
        <f>EXACT(RECO!#REF!,JCPL_Formula!E28)</f>
        <v>#REF!</v>
      </c>
      <c r="F28" s="291" t="e">
        <f>EXACT(RECO!#REF!,JCPL_Formula!F28)</f>
        <v>#REF!</v>
      </c>
      <c r="G28" s="290" t="e">
        <f>EXACT(RECO!#REF!,JCPL_Formula!G28)</f>
        <v>#REF!</v>
      </c>
      <c r="H28" s="290" t="e">
        <f>EXACT(RECO!#REF!,JCPL_Formula!H28)</f>
        <v>#REF!</v>
      </c>
      <c r="I28" s="290" t="e">
        <f>EXACT(RECO!#REF!,JCPL_Formula!I28)</f>
        <v>#REF!</v>
      </c>
      <c r="J28" s="290" t="e">
        <f>EXACT(RECO!#REF!,JCPL_Formula!J28)</f>
        <v>#REF!</v>
      </c>
      <c r="K28" s="292" t="e">
        <f>EXACT(RECO!#REF!,JCPL_Formula!K28)</f>
        <v>#REF!</v>
      </c>
      <c r="L28" s="292" t="e">
        <f>EXACT(RECO!#REF!,JCPL_Formula!L28)</f>
        <v>#REF!</v>
      </c>
      <c r="M28" s="293" t="e">
        <f>EXACT(RECO!#REF!,JCPL_Formula!M28)</f>
        <v>#REF!</v>
      </c>
      <c r="N28" s="293" t="e">
        <f>EXACT(RECO!#REF!,JCPL_Formula!N28)</f>
        <v>#REF!</v>
      </c>
      <c r="O28" s="293" t="e">
        <f>EXACT(RECO!#REF!,JCPL_Formula!O28)</f>
        <v>#REF!</v>
      </c>
      <c r="P28" s="293" t="e">
        <f>EXACT(RECO!#REF!,JCPL_Formula!P28)</f>
        <v>#REF!</v>
      </c>
      <c r="Q28" s="293" t="e">
        <f>EXACT(RECO!#REF!,JCPL_Formula!Q28)</f>
        <v>#REF!</v>
      </c>
      <c r="R28" s="293" t="e">
        <f>EXACT(RECO!#REF!,JCPL_Formula!R28)</f>
        <v>#REF!</v>
      </c>
      <c r="S28" s="293" t="e">
        <f>EXACT(RECO!#REF!,JCPL_Formula!S28)</f>
        <v>#REF!</v>
      </c>
      <c r="T28" s="293" t="e">
        <f>EXACT(RECO!#REF!,JCPL_Formula!W28)</f>
        <v>#REF!</v>
      </c>
      <c r="U28" s="293" t="e">
        <f>EXACT(RECO!#REF!,JCPL_Formula!X28)</f>
        <v>#REF!</v>
      </c>
      <c r="V28" s="293" t="e">
        <f>EXACT(RECO!#REF!,JCPL_Formula!Y28)</f>
        <v>#REF!</v>
      </c>
      <c r="W28" s="293" t="e">
        <f>EXACT(RECO!#REF!,JCPL_Formula!Z28)</f>
        <v>#REF!</v>
      </c>
      <c r="X28" s="294" t="e">
        <f>EXACT(RECO!#REF!,JCPL_Formula!AE28)</f>
        <v>#REF!</v>
      </c>
      <c r="Y28" s="294" t="e">
        <f>EXACT(RECO!#REF!,JCPL_Formula!AF28)</f>
        <v>#REF!</v>
      </c>
      <c r="Z28" s="286" t="e">
        <f>EXACT(RECO!#REF!,JCPL_Formula!AG28)</f>
        <v>#REF!</v>
      </c>
      <c r="AA28" s="286" t="e">
        <f>EXACT(RECO!#REF!,JCPL_Formula!AH28)</f>
        <v>#REF!</v>
      </c>
      <c r="AB28" s="295" t="e">
        <f>EXACT(RECO!#REF!,JCPL_Formula!AI28)</f>
        <v>#REF!</v>
      </c>
      <c r="AC28" s="295" t="e">
        <f>EXACT(RECO!#REF!,JCPL_Formula!AJ28)</f>
        <v>#REF!</v>
      </c>
      <c r="AD28" s="294" t="e">
        <f>EXACT(RECO!#REF!,JCPL_Formula!AK28)</f>
        <v>#REF!</v>
      </c>
      <c r="AE28" s="286" t="e">
        <f>EXACT(RECO!#REF!,JCPL_Formula!AL28)</f>
        <v>#REF!</v>
      </c>
      <c r="AF28" s="295" t="e">
        <f>EXACT(RECO!#REF!,JCPL_Formula!AM28)</f>
        <v>#REF!</v>
      </c>
      <c r="AG28" s="295" t="e">
        <f>EXACT(RECO!#REF!,JCPL_Formula!AN28)</f>
        <v>#REF!</v>
      </c>
      <c r="AH28" s="295" t="e">
        <f>EXACT(RECO!#REF!,JCPL_Formula!AO28)</f>
        <v>#REF!</v>
      </c>
      <c r="AI28" s="286" t="e">
        <f>EXACT(RECO!#REF!,JCPL_Formula!AP28)</f>
        <v>#REF!</v>
      </c>
    </row>
    <row r="29" spans="1:35">
      <c r="K29"/>
      <c r="L29"/>
      <c r="M29"/>
      <c r="N29"/>
      <c r="O29"/>
      <c r="P29"/>
      <c r="Q29"/>
      <c r="R29"/>
      <c r="S29"/>
      <c r="T29"/>
      <c r="U29"/>
      <c r="V29"/>
      <c r="W29"/>
      <c r="X29"/>
      <c r="Y29"/>
      <c r="Z29"/>
      <c r="AA29"/>
      <c r="AB29"/>
      <c r="AC29"/>
      <c r="AD29"/>
      <c r="AE29"/>
      <c r="AF29"/>
      <c r="AG29"/>
      <c r="AH29"/>
      <c r="AI29"/>
    </row>
    <row r="30" spans="1:35">
      <c r="K30"/>
      <c r="L30"/>
      <c r="M30"/>
      <c r="N30"/>
      <c r="O30"/>
      <c r="P30"/>
      <c r="Q30"/>
      <c r="R30"/>
      <c r="S30"/>
      <c r="T30"/>
      <c r="U30"/>
      <c r="V30"/>
      <c r="W30"/>
      <c r="X30"/>
      <c r="Y30"/>
      <c r="Z30"/>
      <c r="AA30"/>
      <c r="AB30"/>
      <c r="AC30"/>
      <c r="AD30"/>
      <c r="AE30"/>
      <c r="AF30"/>
      <c r="AG30"/>
      <c r="AH30"/>
      <c r="AI30"/>
    </row>
    <row r="31" spans="1:35">
      <c r="K31"/>
      <c r="L31"/>
      <c r="M31"/>
      <c r="N31"/>
      <c r="O31"/>
      <c r="P31"/>
      <c r="Q31"/>
      <c r="R31"/>
      <c r="S31"/>
      <c r="T31"/>
      <c r="U31"/>
      <c r="V31"/>
      <c r="W31"/>
      <c r="X31"/>
      <c r="Y31"/>
      <c r="Z31"/>
      <c r="AA31"/>
      <c r="AB31"/>
      <c r="AC31"/>
      <c r="AD31"/>
      <c r="AE31"/>
      <c r="AF31"/>
      <c r="AG31"/>
      <c r="AH31"/>
      <c r="AI31"/>
    </row>
    <row r="32" spans="1:35">
      <c r="K32"/>
      <c r="L32"/>
      <c r="M32"/>
      <c r="N32"/>
      <c r="O32"/>
      <c r="P32"/>
      <c r="Q32"/>
      <c r="R32"/>
      <c r="S32"/>
      <c r="T32"/>
      <c r="U32"/>
      <c r="V32"/>
      <c r="W32"/>
      <c r="X32"/>
      <c r="Y32"/>
      <c r="Z32"/>
      <c r="AA32"/>
      <c r="AB32"/>
      <c r="AC32"/>
      <c r="AD32"/>
      <c r="AE32"/>
      <c r="AF32"/>
      <c r="AG32"/>
      <c r="AH32"/>
      <c r="AI32"/>
    </row>
    <row r="33" spans="11:35">
      <c r="K33"/>
      <c r="L33"/>
      <c r="M33"/>
      <c r="N33"/>
      <c r="O33"/>
      <c r="P33"/>
      <c r="Q33"/>
      <c r="R33"/>
      <c r="S33"/>
      <c r="T33"/>
      <c r="U33"/>
      <c r="V33"/>
      <c r="W33"/>
      <c r="X33"/>
      <c r="Y33"/>
      <c r="Z33"/>
      <c r="AA33"/>
      <c r="AB33"/>
      <c r="AC33"/>
      <c r="AD33"/>
      <c r="AE33"/>
      <c r="AF33"/>
      <c r="AG33"/>
      <c r="AH33"/>
      <c r="AI33"/>
    </row>
    <row r="34" spans="11:35">
      <c r="K34"/>
      <c r="L34"/>
      <c r="M34"/>
      <c r="N34"/>
      <c r="O34"/>
      <c r="P34"/>
      <c r="Q34"/>
      <c r="R34"/>
      <c r="S34"/>
      <c r="T34"/>
      <c r="U34"/>
      <c r="V34"/>
      <c r="W34"/>
      <c r="X34"/>
      <c r="Y34"/>
      <c r="Z34"/>
      <c r="AA34"/>
      <c r="AB34"/>
      <c r="AC34"/>
      <c r="AD34"/>
      <c r="AE34"/>
      <c r="AF34"/>
      <c r="AG34"/>
      <c r="AH34"/>
      <c r="AI34"/>
    </row>
    <row r="35" spans="11:35">
      <c r="K35"/>
      <c r="L35"/>
      <c r="M35"/>
      <c r="N35"/>
      <c r="O35"/>
      <c r="P35"/>
      <c r="Q35"/>
      <c r="R35"/>
      <c r="S35"/>
      <c r="T35"/>
      <c r="U35"/>
      <c r="V35"/>
      <c r="W35"/>
      <c r="X35"/>
      <c r="Y35"/>
      <c r="Z35"/>
      <c r="AA35"/>
      <c r="AB35"/>
      <c r="AC35"/>
      <c r="AD35"/>
      <c r="AE35"/>
      <c r="AF35"/>
      <c r="AG35"/>
      <c r="AH35"/>
      <c r="AI35"/>
    </row>
    <row r="44" spans="11:35" ht="15" customHeight="1"/>
  </sheetData>
  <conditionalFormatting sqref="M5:O10 M12:W16">
    <cfRule type="expression" dxfId="14" priority="1">
      <formula>IF(#REF!&gt;1,TRUE,FALSE)</formula>
    </cfRule>
  </conditionalFormatting>
  <conditionalFormatting sqref="M18:W25 M27:W28">
    <cfRule type="expression" dxfId="13" priority="2">
      <formula>IF(#REF!&gt;1,TRUE,FALSE)</formula>
    </cfRule>
  </conditionalFormatting>
  <conditionalFormatting sqref="N8:O8">
    <cfRule type="expression" dxfId="12" priority="8">
      <formula>IF(#REF!&gt;1,TRUE,FALSE)</formula>
    </cfRule>
  </conditionalFormatting>
  <conditionalFormatting sqref="P5 P6:W10">
    <cfRule type="expression" dxfId="11" priority="6">
      <formula>IF(#REF!&gt;1,TRUE,FALSE)</formula>
    </cfRule>
  </conditionalFormatting>
  <conditionalFormatting sqref="X5:X10">
    <cfRule type="expression" dxfId="10" priority="3">
      <formula>IF(#REF!&gt;1,TRUE,FALSE)</formula>
    </cfRule>
  </conditionalFormatting>
  <pageMargins left="0.7" right="0.7" top="0.75" bottom="0.75" header="0.3" footer="0.3"/>
  <headerFooter>
    <oddFooter>&amp;C_x000D_&amp;1#&amp;"Calibri"&amp;22&amp;K0073CF INTERNAL</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DC746-1AEF-4528-9AC7-B403C9B301D8}">
  <sheetPr codeName="Sheet21"/>
  <dimension ref="A1:K37"/>
  <sheetViews>
    <sheetView workbookViewId="0">
      <selection activeCell="E32" sqref="E32"/>
    </sheetView>
  </sheetViews>
  <sheetFormatPr defaultRowHeight="14.5"/>
  <cols>
    <col min="1" max="1" width="16.54296875" customWidth="1"/>
    <col min="2" max="2" width="16.1796875" customWidth="1"/>
    <col min="3" max="3" width="20.81640625" customWidth="1"/>
    <col min="4" max="4" width="34.453125" customWidth="1"/>
    <col min="5" max="5" width="19.54296875" style="219" customWidth="1"/>
    <col min="6" max="6" width="20.81640625" style="219" customWidth="1"/>
    <col min="7" max="7" width="18.81640625" customWidth="1"/>
    <col min="8" max="8" width="20" customWidth="1"/>
    <col min="9" max="9" width="14.54296875" customWidth="1"/>
    <col min="10" max="10" width="15" customWidth="1"/>
    <col min="11" max="11" width="14.453125" customWidth="1"/>
  </cols>
  <sheetData>
    <row r="1" spans="1:11">
      <c r="A1" t="s">
        <v>665</v>
      </c>
      <c r="B1" s="218" t="s">
        <v>714</v>
      </c>
      <c r="C1" t="s">
        <v>526</v>
      </c>
      <c r="D1" s="218">
        <v>2022</v>
      </c>
      <c r="E1" s="219">
        <v>3.41</v>
      </c>
    </row>
    <row r="2" spans="1:11">
      <c r="A2" s="220" t="s">
        <v>528</v>
      </c>
      <c r="B2" s="221"/>
      <c r="C2" s="221"/>
      <c r="D2" s="222"/>
      <c r="E2" s="223" t="s">
        <v>668</v>
      </c>
      <c r="F2" s="224"/>
      <c r="G2" s="225" t="s">
        <v>796</v>
      </c>
      <c r="H2" s="226"/>
      <c r="I2" s="226"/>
      <c r="J2" s="226"/>
      <c r="K2" s="227"/>
    </row>
    <row r="3" spans="1:11" ht="43.5">
      <c r="A3" s="228" t="s">
        <v>536</v>
      </c>
      <c r="B3" s="229" t="s">
        <v>83</v>
      </c>
      <c r="C3" s="230" t="s">
        <v>1</v>
      </c>
      <c r="D3" s="230" t="s">
        <v>2</v>
      </c>
      <c r="E3" s="231" t="s">
        <v>671</v>
      </c>
      <c r="F3" s="231" t="s">
        <v>672</v>
      </c>
      <c r="G3" s="232" t="s">
        <v>675</v>
      </c>
      <c r="H3" s="232" t="s">
        <v>676</v>
      </c>
      <c r="I3" s="232" t="s">
        <v>677</v>
      </c>
      <c r="J3" s="232" t="s">
        <v>678</v>
      </c>
      <c r="K3" s="232" t="s">
        <v>797</v>
      </c>
    </row>
    <row r="4" spans="1:11">
      <c r="A4" s="229" t="s">
        <v>577</v>
      </c>
      <c r="B4" s="229" t="s">
        <v>578</v>
      </c>
      <c r="C4" s="229" t="s">
        <v>579</v>
      </c>
      <c r="D4" s="229" t="s">
        <v>580</v>
      </c>
      <c r="E4" s="231" t="s">
        <v>798</v>
      </c>
      <c r="F4" s="231" t="s">
        <v>799</v>
      </c>
      <c r="G4" s="233" t="s">
        <v>800</v>
      </c>
      <c r="H4" s="233" t="s">
        <v>801</v>
      </c>
      <c r="I4" s="233" t="s">
        <v>802</v>
      </c>
      <c r="J4" s="233" t="s">
        <v>803</v>
      </c>
      <c r="K4" s="233" t="s">
        <v>699</v>
      </c>
    </row>
    <row r="5" spans="1:11">
      <c r="A5" s="234" t="s">
        <v>521</v>
      </c>
      <c r="B5" s="235" t="s">
        <v>86</v>
      </c>
      <c r="C5" s="234" t="s">
        <v>631</v>
      </c>
      <c r="D5" s="204" t="s">
        <v>781</v>
      </c>
      <c r="E5" s="236">
        <f ca="1">IFERROR(JCPL_Formula!AH5*AVERAGE(OFFSET(OFFSET(H_Factors!$B$2,1,MATCH(JCPL_Formula!$D$1,H_Factors!$C$2:$L$2)), 0, 0, ROUND(JCPL_Formula!AH5/JCPL_Formula!AF5,0), 1)), "-")</f>
        <v>7.9861018599316642</v>
      </c>
      <c r="F5" s="236">
        <f ca="1">IFERROR(JCPL_Formula!AL5*AVERAGE(OFFSET(OFFSET(H_Factors!$B$2,1,MATCH(JCPL_Formula!$D$1,H_Factors!$C$2:$L$2)), 0, 0, ROUND(JCPL_Formula!AL5/JCPL_Formula!AK5,0), 1)), "-")</f>
        <v>7.9861018599316642</v>
      </c>
      <c r="G5" s="236">
        <f>IFERROR(JCPL_Formula!AK5*$E$1, "-")</f>
        <v>4.2931900000000001</v>
      </c>
      <c r="H5" s="236">
        <f>IFERROR(JCPL_Formula!AL5*$E$1, "-")</f>
        <v>60.619570000000003</v>
      </c>
      <c r="I5" s="236"/>
      <c r="J5" s="236"/>
      <c r="K5" s="236"/>
    </row>
    <row r="6" spans="1:11">
      <c r="A6" s="234" t="s">
        <v>521</v>
      </c>
      <c r="B6" s="235" t="s">
        <v>86</v>
      </c>
      <c r="C6" s="234" t="s">
        <v>631</v>
      </c>
      <c r="D6" s="204" t="s">
        <v>783</v>
      </c>
      <c r="E6" s="236">
        <f ca="1">IFERROR(JCPL_Formula!AH6*AVERAGE(OFFSET(OFFSET(H_Factors!$B$2,1,MATCH(JCPL_Formula!$D$1,H_Factors!$C$2:$L$2)), 0, 0, ROUND(JCPL_Formula!AH6/JCPL_Formula!AF6,0), 1)), "-")</f>
        <v>2.4939901967815858</v>
      </c>
      <c r="F6" s="236">
        <f ca="1">IFERROR(JCPL_Formula!AL6*AVERAGE(OFFSET(OFFSET(H_Factors!$B$2,1,MATCH(JCPL_Formula!$D$1,H_Factors!$C$2:$L$2)), 0, 0, ROUND(JCPL_Formula!AL6/JCPL_Formula!AK6,0), 1)), "-")</f>
        <v>2.4939901967815858</v>
      </c>
      <c r="G6" s="236">
        <f>IFERROR(JCPL_Formula!AK6*$E$1, "-")</f>
        <v>2.3665400000000001</v>
      </c>
      <c r="H6" s="236">
        <f>IFERROR(JCPL_Formula!AL6*$E$1, "-")</f>
        <v>17.701309999999999</v>
      </c>
      <c r="I6" s="236"/>
      <c r="J6" s="236"/>
      <c r="K6" s="236"/>
    </row>
    <row r="7" spans="1:11">
      <c r="A7" s="234" t="s">
        <v>521</v>
      </c>
      <c r="B7" s="235" t="s">
        <v>86</v>
      </c>
      <c r="C7" s="234" t="s">
        <v>631</v>
      </c>
      <c r="D7" s="204" t="s">
        <v>784</v>
      </c>
      <c r="E7" s="236" t="str">
        <f ca="1">IFERROR(JCPL_Formula!AH7*AVERAGE(OFFSET(OFFSET(H_Factors!$B$2,1,MATCH(JCPL_Formula!$D$1,H_Factors!$C$2:$L$2)), 0, 0, ROUND(JCPL_Formula!AH7/JCPL_Formula!AF7,0), 1)), "-")</f>
        <v>-</v>
      </c>
      <c r="F7" s="236" t="str">
        <f ca="1">IFERROR(JCPL_Formula!AL7*AVERAGE(OFFSET(OFFSET(H_Factors!$B$2,1,MATCH(JCPL_Formula!$D$1,H_Factors!$C$2:$L$2)), 0, 0, ROUND(JCPL_Formula!AL7/JCPL_Formula!AK7,0), 1)), "-")</f>
        <v>-</v>
      </c>
      <c r="G7" s="236">
        <f>IFERROR(JCPL_Formula!AK7*$E$1, "-")</f>
        <v>0</v>
      </c>
      <c r="H7" s="236">
        <f>IFERROR(JCPL_Formula!AL7*$E$1, "-")</f>
        <v>0</v>
      </c>
      <c r="I7" s="236"/>
      <c r="J7" s="236"/>
      <c r="K7" s="236"/>
    </row>
    <row r="8" spans="1:11">
      <c r="A8" s="234" t="s">
        <v>521</v>
      </c>
      <c r="B8" s="235" t="s">
        <v>86</v>
      </c>
      <c r="C8" s="234" t="s">
        <v>631</v>
      </c>
      <c r="D8" s="204" t="s">
        <v>785</v>
      </c>
      <c r="E8" s="236">
        <f ca="1">IFERROR(JCPL_Formula!AH8*AVERAGE(OFFSET(OFFSET(H_Factors!$B$2,1,MATCH(JCPL_Formula!$D$1,H_Factors!$C$2:$L$2)), 0, 0, ROUND(JCPL_Formula!AH8/JCPL_Formula!AF8,0), 1)), "-")</f>
        <v>18.8229497591797</v>
      </c>
      <c r="F8" s="236">
        <f ca="1">IFERROR(JCPL_Formula!AL8*AVERAGE(OFFSET(OFFSET(H_Factors!$B$2,1,MATCH(JCPL_Formula!$D$1,H_Factors!$C$2:$L$2)), 0, 0, ROUND(JCPL_Formula!AL8/JCPL_Formula!AK8,0), 1)), "-")</f>
        <v>18.8229497591797</v>
      </c>
      <c r="G8" s="236">
        <f>IFERROR(JCPL_Formula!AK8*$E$1, "-")</f>
        <v>24.893000000000001</v>
      </c>
      <c r="H8" s="236">
        <f>IFERROR(JCPL_Formula!AL8*$E$1, "-")</f>
        <v>131.06335000000001</v>
      </c>
      <c r="I8" s="236"/>
      <c r="J8" s="236"/>
      <c r="K8" s="236"/>
    </row>
    <row r="9" spans="1:11">
      <c r="A9" s="234" t="s">
        <v>521</v>
      </c>
      <c r="B9" s="235" t="s">
        <v>86</v>
      </c>
      <c r="C9" s="234" t="s">
        <v>631</v>
      </c>
      <c r="D9" s="204" t="s">
        <v>632</v>
      </c>
      <c r="E9" s="236" t="str">
        <f ca="1">IFERROR(JCPL_Formula!AH9*AVERAGE(OFFSET(OFFSET(H_Factors!$B$2,1,MATCH(JCPL_Formula!$D$1,H_Factors!$C$2:$L$2)), 0, 0, ROUND(JCPL_Formula!AH9/JCPL_Formula!AF9,0), 1)), "-")</f>
        <v>-</v>
      </c>
      <c r="F9" s="236" t="str">
        <f ca="1">IFERROR(JCPL_Formula!AL9*AVERAGE(OFFSET(OFFSET(H_Factors!$B$2,1,MATCH(JCPL_Formula!$D$1,H_Factors!$C$2:$L$2)), 0, 0, ROUND(JCPL_Formula!AL9/JCPL_Formula!AK9,0), 1)), "-")</f>
        <v>-</v>
      </c>
      <c r="G9" s="236" t="str">
        <f>IFERROR(JCPL_Formula!AK9*$E$1, "-")</f>
        <v>-</v>
      </c>
      <c r="H9" s="236" t="str">
        <f>IFERROR(JCPL_Formula!AL9*$E$1, "-")</f>
        <v>-</v>
      </c>
      <c r="I9" s="236"/>
      <c r="J9" s="236"/>
      <c r="K9" s="236"/>
    </row>
    <row r="10" spans="1:11">
      <c r="A10" s="234" t="s">
        <v>521</v>
      </c>
      <c r="B10" s="235" t="s">
        <v>86</v>
      </c>
      <c r="C10" s="234" t="s">
        <v>631</v>
      </c>
      <c r="D10" s="204" t="s">
        <v>786</v>
      </c>
      <c r="E10" s="236" t="str">
        <f ca="1">IFERROR(JCPL_Formula!AH10*AVERAGE(OFFSET(OFFSET(H_Factors!$B$2,1,MATCH(JCPL_Formula!$D$1,H_Factors!$C$2:$L$2)), 0, 0, ROUND(JCPL_Formula!AH10/JCPL_Formula!AF10,0), 1)), "-")</f>
        <v>-</v>
      </c>
      <c r="F10" s="236" t="str">
        <f ca="1">IFERROR(JCPL_Formula!AL10*AVERAGE(OFFSET(OFFSET(H_Factors!$B$2,1,MATCH(JCPL_Formula!$D$1,H_Factors!$C$2:$L$2)), 0, 0, ROUND(JCPL_Formula!AL10/JCPL_Formula!AK10,0), 1)), "-")</f>
        <v>-</v>
      </c>
      <c r="G10" s="236">
        <f>IFERROR(JCPL_Formula!AK10*$E$1, "-")</f>
        <v>0</v>
      </c>
      <c r="H10" s="236">
        <f>IFERROR(JCPL_Formula!AL10*$E$1, "-")</f>
        <v>0</v>
      </c>
      <c r="I10" s="236"/>
      <c r="J10" s="236"/>
      <c r="K10" s="236"/>
    </row>
    <row r="11" spans="1:11">
      <c r="A11" s="237" t="s">
        <v>521</v>
      </c>
      <c r="B11" s="238" t="s">
        <v>86</v>
      </c>
      <c r="C11" s="237" t="s">
        <v>631</v>
      </c>
      <c r="D11" s="239"/>
      <c r="E11" s="240" t="s">
        <v>261</v>
      </c>
      <c r="F11" s="240" t="s">
        <v>261</v>
      </c>
      <c r="G11" s="240" t="str">
        <f>IFERROR(JCPL_Formula!AK11*$E$1, "-")</f>
        <v>-</v>
      </c>
      <c r="H11" s="240" t="str">
        <f>IFERROR(JCPL_Formula!AL11*$E$1, "-")</f>
        <v>-</v>
      </c>
      <c r="I11" s="240"/>
      <c r="J11" s="240"/>
      <c r="K11" s="240"/>
    </row>
    <row r="12" spans="1:11">
      <c r="A12" s="234" t="s">
        <v>521</v>
      </c>
      <c r="B12" s="235" t="s">
        <v>86</v>
      </c>
      <c r="C12" s="234" t="s">
        <v>633</v>
      </c>
      <c r="D12" s="204" t="s">
        <v>634</v>
      </c>
      <c r="E12" s="236" t="str">
        <f ca="1">IFERROR(JCPL_Formula!AH12*AVERAGE(OFFSET(OFFSET(H_Factors!$B$2,1,MATCH(JCPL_Formula!$D$1,H_Factors!$C$2:$L$2)), 0, 0, ROUND(JCPL_Formula!AH12/JCPL_Formula!AF12,0), 1)), "-")</f>
        <v>-</v>
      </c>
      <c r="F12" s="236" t="str">
        <f ca="1">IFERROR(JCPL_Formula!AL12*AVERAGE(OFFSET(OFFSET(H_Factors!$B$2,1,MATCH(JCPL_Formula!$D$1,H_Factors!$C$2:$L$2)), 0, 0, ROUND(JCPL_Formula!AL12/JCPL_Formula!AK12,0), 1)), "-")</f>
        <v>-</v>
      </c>
      <c r="G12" s="236">
        <f>IFERROR(JCPL_Formula!AK12*$E$1, "-")</f>
        <v>0</v>
      </c>
      <c r="H12" s="236">
        <f>IFERROR(JCPL_Formula!AL12*$E$1, "-")</f>
        <v>0</v>
      </c>
      <c r="I12" s="236"/>
      <c r="J12" s="236"/>
      <c r="K12" s="236"/>
    </row>
    <row r="13" spans="1:11">
      <c r="A13" s="234" t="s">
        <v>521</v>
      </c>
      <c r="B13" s="235" t="s">
        <v>86</v>
      </c>
      <c r="C13" s="234" t="s">
        <v>633</v>
      </c>
      <c r="D13" s="204" t="s">
        <v>249</v>
      </c>
      <c r="E13" s="236">
        <f ca="1">IFERROR(JCPL_Formula!AH13*AVERAGE(OFFSET(OFFSET(H_Factors!$B$2,1,MATCH(JCPL_Formula!$D$1,H_Factors!$C$2:$L$2)), 0, 0, ROUND(JCPL_Formula!AH13/JCPL_Formula!AF13,0), 1)), "-")</f>
        <v>22.3848952510976</v>
      </c>
      <c r="F13" s="236">
        <f ca="1">IFERROR(JCPL_Formula!AL13*AVERAGE(OFFSET(OFFSET(H_Factors!$B$2,1,MATCH(JCPL_Formula!$D$1,H_Factors!$C$2:$L$2)), 0, 0, ROUND(JCPL_Formula!AL13/JCPL_Formula!AK13,0), 1)), "-")</f>
        <v>22.3848952510976</v>
      </c>
      <c r="G13" s="236">
        <f>IFERROR(JCPL_Formula!AK13*$E$1, "-")</f>
        <v>23.529000000000003</v>
      </c>
      <c r="H13" s="236">
        <f>IFERROR(JCPL_Formula!AL13*$E$1, "-")</f>
        <v>158.87872000000002</v>
      </c>
      <c r="I13" s="236"/>
      <c r="J13" s="236"/>
      <c r="K13" s="236"/>
    </row>
    <row r="14" spans="1:11">
      <c r="A14" s="234" t="s">
        <v>521</v>
      </c>
      <c r="B14" s="235" t="s">
        <v>86</v>
      </c>
      <c r="C14" s="234" t="s">
        <v>633</v>
      </c>
      <c r="D14" s="241" t="s">
        <v>156</v>
      </c>
      <c r="E14" s="236" t="str">
        <f ca="1">IFERROR(JCPL_Formula!AH14*AVERAGE(OFFSET(OFFSET(H_Factors!$B$2,1,MATCH(JCPL_Formula!$D$1,H_Factors!$C$2:$L$2)), 0, 0, ROUND(JCPL_Formula!AH14/JCPL_Formula!AF14,0), 1)), "-")</f>
        <v>-</v>
      </c>
      <c r="F14" s="236" t="str">
        <f ca="1">IFERROR(JCPL_Formula!AL14*AVERAGE(OFFSET(OFFSET(H_Factors!$B$2,1,MATCH(JCPL_Formula!$D$1,H_Factors!$C$2:$L$2)), 0, 0, ROUND(JCPL_Formula!AL14/JCPL_Formula!AK14,0), 1)), "-")</f>
        <v>-</v>
      </c>
      <c r="G14" s="236">
        <f>IFERROR(JCPL_Formula!AK14*$E$1, "-")</f>
        <v>0</v>
      </c>
      <c r="H14" s="236">
        <f>IFERROR(JCPL_Formula!AL14*$E$1, "-")</f>
        <v>0</v>
      </c>
      <c r="I14" s="236"/>
      <c r="J14" s="236"/>
      <c r="K14" s="236"/>
    </row>
    <row r="15" spans="1:11">
      <c r="A15" s="237" t="s">
        <v>521</v>
      </c>
      <c r="B15" s="238" t="s">
        <v>86</v>
      </c>
      <c r="C15" s="237" t="s">
        <v>633</v>
      </c>
      <c r="D15" s="242"/>
      <c r="E15" s="240" t="s">
        <v>261</v>
      </c>
      <c r="F15" s="240" t="s">
        <v>261</v>
      </c>
      <c r="G15" s="240" t="str">
        <f>IFERROR(JCPL_Formula!#REF!*$E$1, "-")</f>
        <v>-</v>
      </c>
      <c r="H15" s="240" t="str">
        <f>IFERROR(JCPL_Formula!#REF!*$E$1, "-")</f>
        <v>-</v>
      </c>
      <c r="I15" s="240"/>
      <c r="J15" s="240"/>
      <c r="K15" s="240"/>
    </row>
    <row r="16" spans="1:11" ht="16.5">
      <c r="A16" s="234" t="s">
        <v>521</v>
      </c>
      <c r="B16" s="235" t="s">
        <v>86</v>
      </c>
      <c r="C16" s="235" t="s">
        <v>635</v>
      </c>
      <c r="D16" s="204" t="s">
        <v>787</v>
      </c>
      <c r="E16" s="236" t="str">
        <f ca="1">IFERROR(JCPL_Formula!AH15*AVERAGE(OFFSET(OFFSET(H_Factors!$B$2,1,MATCH(JCPL_Formula!$D$1,H_Factors!$C$2:$L$2)), 0, 0, ROUND(JCPL_Formula!AH15/JCPL_Formula!AF15,0), 1)), "-")</f>
        <v>-</v>
      </c>
      <c r="F16" s="236" t="str">
        <f ca="1">IFERROR(JCPL_Formula!AL15*AVERAGE(OFFSET(OFFSET(H_Factors!$B$2,1,MATCH(JCPL_Formula!$D$1,H_Factors!$C$2:$L$2)), 0, 0, ROUND(JCPL_Formula!AL15/JCPL_Formula!AK15,0), 1)), "-")</f>
        <v>-</v>
      </c>
      <c r="G16" s="236">
        <f>IFERROR(JCPL_Formula!AK15*$E$1, "-")</f>
        <v>0</v>
      </c>
      <c r="H16" s="236">
        <f>IFERROR(JCPL_Formula!AL15*$E$1, "-")</f>
        <v>0</v>
      </c>
      <c r="I16" s="236"/>
      <c r="J16" s="236"/>
      <c r="K16" s="236"/>
    </row>
    <row r="17" spans="1:11">
      <c r="A17" s="234" t="s">
        <v>521</v>
      </c>
      <c r="B17" s="235" t="s">
        <v>86</v>
      </c>
      <c r="C17" s="235" t="s">
        <v>635</v>
      </c>
      <c r="D17" s="204" t="s">
        <v>627</v>
      </c>
      <c r="E17" s="236" t="str">
        <f ca="1">IFERROR(JCPL_Formula!AH16*AVERAGE(OFFSET(OFFSET(H_Factors!$B$2,1,MATCH(JCPL_Formula!$D$1,H_Factors!$C$2:$L$2)), 0, 0, ROUND(JCPL_Formula!AH16/JCPL_Formula!AF16,0), 1)), "-")</f>
        <v>-</v>
      </c>
      <c r="F17" s="236" t="str">
        <f ca="1">IFERROR(JCPL_Formula!AL16*AVERAGE(OFFSET(OFFSET(H_Factors!$B$2,1,MATCH(JCPL_Formula!$D$1,H_Factors!$C$2:$L$2)), 0, 0, ROUND(JCPL_Formula!AL16/JCPL_Formula!AK16,0), 1)), "-")</f>
        <v>-</v>
      </c>
      <c r="G17" s="236">
        <f>IFERROR(JCPL_Formula!AK16*$E$1, "-")</f>
        <v>0</v>
      </c>
      <c r="H17" s="236">
        <f>IFERROR(JCPL_Formula!AL16*$E$1, "-")</f>
        <v>0</v>
      </c>
      <c r="I17" s="236"/>
      <c r="J17" s="236"/>
      <c r="K17" s="236"/>
    </row>
    <row r="18" spans="1:11">
      <c r="A18" s="237" t="s">
        <v>521</v>
      </c>
      <c r="B18" s="238" t="s">
        <v>86</v>
      </c>
      <c r="C18" s="237" t="s">
        <v>635</v>
      </c>
      <c r="D18" s="239"/>
      <c r="E18" s="240" t="s">
        <v>261</v>
      </c>
      <c r="F18" s="240" t="s">
        <v>261</v>
      </c>
      <c r="G18" s="240" t="str">
        <f>IFERROR(JCPL_Formula!AK17*$E$1, "-")</f>
        <v>-</v>
      </c>
      <c r="H18" s="240" t="str">
        <f>IFERROR(JCPL_Formula!AL17*$E$1, "-")</f>
        <v>-</v>
      </c>
      <c r="I18" s="240"/>
      <c r="J18" s="240"/>
      <c r="K18" s="240"/>
    </row>
    <row r="19" spans="1:11">
      <c r="A19" s="234" t="s">
        <v>521</v>
      </c>
      <c r="B19" s="235" t="s">
        <v>628</v>
      </c>
      <c r="C19" s="234" t="s">
        <v>27</v>
      </c>
      <c r="D19" s="204" t="s">
        <v>27</v>
      </c>
      <c r="E19" s="236" t="str">
        <f ca="1">IFERROR(JCPL_Formula!AH18*AVERAGE(OFFSET(OFFSET(H_Factors!$B$2,1,MATCH(JCPL_Formula!$D$1,H_Factors!$C$2:$L$2)), 0, 0, ROUND(JCPL_Formula!AH18/JCPL_Formula!AF18,0), 1)), "-")</f>
        <v>-</v>
      </c>
      <c r="F19" s="236" t="str">
        <f ca="1">IFERROR(JCPL_Formula!AL18*AVERAGE(OFFSET(OFFSET(H_Factors!$B$2,1,MATCH(JCPL_Formula!$D$1,H_Factors!$C$2:$L$2)), 0, 0, ROUND(JCPL_Formula!AL18/JCPL_Formula!AK18,0), 1)), "-")</f>
        <v>-</v>
      </c>
      <c r="G19" s="236">
        <f>IFERROR(JCPL_Formula!AK18*$E$1, "-")</f>
        <v>0</v>
      </c>
      <c r="H19" s="236">
        <f>IFERROR(JCPL_Formula!AL18*$E$1, "-")</f>
        <v>0</v>
      </c>
      <c r="I19" s="236"/>
      <c r="J19" s="236"/>
      <c r="K19" s="236"/>
    </row>
    <row r="20" spans="1:11">
      <c r="A20" s="234" t="s">
        <v>521</v>
      </c>
      <c r="B20" s="235" t="s">
        <v>628</v>
      </c>
      <c r="C20" s="234" t="s">
        <v>636</v>
      </c>
      <c r="D20" s="204" t="s">
        <v>29</v>
      </c>
      <c r="E20" s="236" t="str">
        <f ca="1">IFERROR(JCPL_Formula!AH19*AVERAGE(OFFSET(OFFSET(H_Factors!$B$2,1,MATCH(JCPL_Formula!$D$1,H_Factors!$C$2:$L$2)), 0, 0, ROUND(JCPL_Formula!AH19/JCPL_Formula!AF19,0), 1)), "-")</f>
        <v>-</v>
      </c>
      <c r="F20" s="236" t="str">
        <f ca="1">IFERROR(JCPL_Formula!AL19*AVERAGE(OFFSET(OFFSET(H_Factors!$B$2,1,MATCH(JCPL_Formula!$D$1,H_Factors!$C$2:$L$2)), 0, 0, ROUND(JCPL_Formula!AL19/JCPL_Formula!AK19,0), 1)), "-")</f>
        <v>-</v>
      </c>
      <c r="G20" s="236">
        <f>IFERROR(JCPL_Formula!AK19*$E$1, "-")</f>
        <v>0</v>
      </c>
      <c r="H20" s="236">
        <f>IFERROR(JCPL_Formula!AL19*$E$1, "-")</f>
        <v>0</v>
      </c>
      <c r="I20" s="236"/>
      <c r="J20" s="236"/>
      <c r="K20" s="236"/>
    </row>
    <row r="21" spans="1:11">
      <c r="A21" s="234" t="s">
        <v>521</v>
      </c>
      <c r="B21" s="235" t="s">
        <v>628</v>
      </c>
      <c r="C21" s="234" t="s">
        <v>636</v>
      </c>
      <c r="D21" s="204" t="s">
        <v>637</v>
      </c>
      <c r="E21" s="236" t="str">
        <f ca="1">IFERROR(JCPL_Formula!AH20*AVERAGE(OFFSET(OFFSET(H_Factors!$B$2,1,MATCH(JCPL_Formula!$D$1,H_Factors!$C$2:$L$2)), 0, 0, ROUND(JCPL_Formula!AH20/JCPL_Formula!AF20,0), 1)), "-")</f>
        <v>-</v>
      </c>
      <c r="F21" s="236" t="str">
        <f ca="1">IFERROR(JCPL_Formula!AL20*AVERAGE(OFFSET(OFFSET(H_Factors!$B$2,1,MATCH(JCPL_Formula!$D$1,H_Factors!$C$2:$L$2)), 0, 0, ROUND(JCPL_Formula!AL20/JCPL_Formula!AK20,0), 1)), "-")</f>
        <v>-</v>
      </c>
      <c r="G21" s="236" t="str">
        <f>IFERROR(JCPL_Formula!AK20*$E$1, "-")</f>
        <v>-</v>
      </c>
      <c r="H21" s="236" t="str">
        <f>IFERROR(JCPL_Formula!AL20*$E$1, "-")</f>
        <v>-</v>
      </c>
      <c r="I21" s="236"/>
      <c r="J21" s="236"/>
      <c r="K21" s="236"/>
    </row>
    <row r="22" spans="1:11">
      <c r="A22" s="234" t="s">
        <v>521</v>
      </c>
      <c r="B22" s="235" t="s">
        <v>628</v>
      </c>
      <c r="C22" s="234" t="s">
        <v>636</v>
      </c>
      <c r="D22" s="204" t="s">
        <v>34</v>
      </c>
      <c r="E22" s="236" t="str">
        <f ca="1">IFERROR(JCPL_Formula!AH21*AVERAGE(OFFSET(OFFSET(H_Factors!$B$2,1,MATCH(JCPL_Formula!$D$1,H_Factors!$C$2:$L$2)), 0, 0, ROUND(JCPL_Formula!AH21/JCPL_Formula!AF21,0), 1)), "-")</f>
        <v>-</v>
      </c>
      <c r="F22" s="236" t="str">
        <f ca="1">IFERROR(JCPL_Formula!AL21*AVERAGE(OFFSET(OFFSET(H_Factors!$B$2,1,MATCH(JCPL_Formula!$D$1,H_Factors!$C$2:$L$2)), 0, 0, ROUND(JCPL_Formula!AL21/JCPL_Formula!AK21,0), 1)), "-")</f>
        <v>-</v>
      </c>
      <c r="G22" s="236">
        <f>IFERROR(JCPL_Formula!AK21*$E$1, "-")</f>
        <v>0</v>
      </c>
      <c r="H22" s="236">
        <f>IFERROR(JCPL_Formula!AL21*$E$1, "-")</f>
        <v>0</v>
      </c>
      <c r="I22" s="236"/>
      <c r="J22" s="236"/>
      <c r="K22" s="236"/>
    </row>
    <row r="23" spans="1:11">
      <c r="A23" s="243" t="s">
        <v>521</v>
      </c>
      <c r="B23" s="244" t="s">
        <v>628</v>
      </c>
      <c r="C23" s="243"/>
      <c r="D23" s="245"/>
      <c r="E23" s="240" t="s">
        <v>261</v>
      </c>
      <c r="F23" s="240" t="s">
        <v>261</v>
      </c>
      <c r="G23" s="240" t="str">
        <f>IFERROR(JCPL_Formula!#REF!*$E$1, "-")</f>
        <v>-</v>
      </c>
      <c r="H23" s="240" t="str">
        <f>IFERROR(JCPL_Formula!#REF!*$E$1, "-")</f>
        <v>-</v>
      </c>
      <c r="I23" s="240"/>
      <c r="J23" s="240"/>
      <c r="K23" s="240"/>
    </row>
    <row r="24" spans="1:11">
      <c r="A24" s="234" t="s">
        <v>521</v>
      </c>
      <c r="B24" s="235" t="s">
        <v>131</v>
      </c>
      <c r="C24" s="234" t="s">
        <v>131</v>
      </c>
      <c r="D24" s="204" t="s">
        <v>634</v>
      </c>
      <c r="E24" s="236" t="str">
        <f ca="1">IFERROR(JCPL_Formula!AH22*AVERAGE(OFFSET(OFFSET(H_Factors!$B$2,1,MATCH(JCPL_Formula!$D$1,H_Factors!$C$2:$L$2)), 0, 0, ROUND(JCPL_Formula!AH22/JCPL_Formula!AF22,0), 1)), "-")</f>
        <v>-</v>
      </c>
      <c r="F24" s="236" t="str">
        <f ca="1">IFERROR(JCPL_Formula!AL22*AVERAGE(OFFSET(OFFSET(H_Factors!$B$2,1,MATCH(JCPL_Formula!$D$1,H_Factors!$C$2:$L$2)), 0, 0, ROUND(JCPL_Formula!AL22/JCPL_Formula!AK22,0), 1)), "-")</f>
        <v>-</v>
      </c>
      <c r="G24" s="236">
        <f>IFERROR(JCPL_Formula!AK22*$E$1, "-")</f>
        <v>0</v>
      </c>
      <c r="H24" s="236">
        <f>IFERROR(JCPL_Formula!AL22*$E$1, "-")</f>
        <v>0</v>
      </c>
      <c r="I24" s="236"/>
      <c r="J24" s="236"/>
      <c r="K24" s="236"/>
    </row>
    <row r="25" spans="1:11">
      <c r="A25" s="234" t="s">
        <v>521</v>
      </c>
      <c r="B25" s="235" t="s">
        <v>131</v>
      </c>
      <c r="C25" s="234" t="s">
        <v>131</v>
      </c>
      <c r="D25" s="204" t="s">
        <v>27</v>
      </c>
      <c r="E25" s="236" t="str">
        <f ca="1">IFERROR(JCPL_Formula!AH23*AVERAGE(OFFSET(OFFSET(H_Factors!$B$2,1,MATCH(JCPL_Formula!$D$1,H_Factors!$C$2:$L$2)), 0, 0, ROUND(JCPL_Formula!AH23/JCPL_Formula!AF23,0), 1)), "-")</f>
        <v>-</v>
      </c>
      <c r="F25" s="236" t="str">
        <f ca="1">IFERROR(JCPL_Formula!AL23*AVERAGE(OFFSET(OFFSET(H_Factors!$B$2,1,MATCH(JCPL_Formula!$D$1,H_Factors!$C$2:$L$2)), 0, 0, ROUND(JCPL_Formula!AL23/JCPL_Formula!AK23,0), 1)), "-")</f>
        <v>-</v>
      </c>
      <c r="G25" s="236">
        <f>IFERROR(JCPL_Formula!AK23*$E$1, "-")</f>
        <v>0</v>
      </c>
      <c r="H25" s="236">
        <f>IFERROR(JCPL_Formula!AL23*$E$1, "-")</f>
        <v>0</v>
      </c>
      <c r="I25" s="236"/>
      <c r="J25" s="236"/>
      <c r="K25" s="236"/>
    </row>
    <row r="26" spans="1:11">
      <c r="A26" s="234" t="s">
        <v>521</v>
      </c>
      <c r="B26" s="235" t="s">
        <v>131</v>
      </c>
      <c r="C26" s="234" t="s">
        <v>131</v>
      </c>
      <c r="D26" s="204" t="s">
        <v>29</v>
      </c>
      <c r="E26" s="236" t="str">
        <f ca="1">IFERROR(JCPL_Formula!AH24*AVERAGE(OFFSET(OFFSET(H_Factors!$B$2,1,MATCH(JCPL_Formula!$D$1,H_Factors!$C$2:$L$2)), 0, 0, ROUND(JCPL_Formula!AH24/JCPL_Formula!AF24,0), 1)), "-")</f>
        <v>-</v>
      </c>
      <c r="F26" s="236" t="str">
        <f ca="1">IFERROR(JCPL_Formula!AL24*AVERAGE(OFFSET(OFFSET(H_Factors!$B$2,1,MATCH(JCPL_Formula!$D$1,H_Factors!$C$2:$L$2)), 0, 0, ROUND(JCPL_Formula!AL24/JCPL_Formula!AK24,0), 1)), "-")</f>
        <v>-</v>
      </c>
      <c r="G26" s="236" t="str">
        <f>IFERROR(JCPL_Formula!AK24*$E$1, "-")</f>
        <v>-</v>
      </c>
      <c r="H26" s="236" t="str">
        <f>IFERROR(JCPL_Formula!AL24*$E$1, "-")</f>
        <v>-</v>
      </c>
      <c r="I26" s="236"/>
      <c r="J26" s="236"/>
      <c r="K26" s="236"/>
    </row>
    <row r="27" spans="1:11">
      <c r="A27" s="234" t="s">
        <v>521</v>
      </c>
      <c r="B27" s="235" t="s">
        <v>131</v>
      </c>
      <c r="C27" s="234" t="s">
        <v>131</v>
      </c>
      <c r="D27" s="204" t="s">
        <v>34</v>
      </c>
      <c r="E27" s="236" t="str">
        <f ca="1">IFERROR(JCPL_Formula!AH25*AVERAGE(OFFSET(OFFSET(H_Factors!$B$2,1,MATCH(JCPL_Formula!$D$1,H_Factors!$C$2:$L$2)), 0, 0, ROUND(JCPL_Formula!AH25/JCPL_Formula!AF25,0), 1)), "-")</f>
        <v>-</v>
      </c>
      <c r="F27" s="236" t="str">
        <f ca="1">IFERROR(JCPL_Formula!AL25*AVERAGE(OFFSET(OFFSET(H_Factors!$B$2,1,MATCH(JCPL_Formula!$D$1,H_Factors!$C$2:$L$2)), 0, 0, ROUND(JCPL_Formula!AL25/JCPL_Formula!AK25,0), 1)), "-")</f>
        <v>-</v>
      </c>
      <c r="G27" s="236" t="str">
        <f>IFERROR(JCPL_Formula!AK25*$E$1, "-")</f>
        <v>-</v>
      </c>
      <c r="H27" s="236" t="str">
        <f>IFERROR(JCPL_Formula!AL25*$E$1, "-")</f>
        <v>-</v>
      </c>
      <c r="I27" s="236"/>
      <c r="J27" s="236"/>
      <c r="K27" s="236"/>
    </row>
    <row r="28" spans="1:11">
      <c r="A28" s="237" t="s">
        <v>521</v>
      </c>
      <c r="B28" s="238" t="s">
        <v>131</v>
      </c>
      <c r="C28" s="237" t="s">
        <v>131</v>
      </c>
      <c r="D28" s="239"/>
      <c r="E28" s="240" t="s">
        <v>261</v>
      </c>
      <c r="F28" s="240" t="s">
        <v>261</v>
      </c>
      <c r="G28" s="240" t="str">
        <f>IFERROR(JCPL_Formula!AK26*$E$1, "-")</f>
        <v>-</v>
      </c>
      <c r="H28" s="240" t="str">
        <f>IFERROR(JCPL_Formula!AL26*$E$1, "-")</f>
        <v>-</v>
      </c>
      <c r="I28" s="240"/>
      <c r="J28" s="240"/>
      <c r="K28" s="240"/>
    </row>
    <row r="29" spans="1:11" ht="29">
      <c r="A29" s="234" t="s">
        <v>521</v>
      </c>
      <c r="B29" s="235" t="s">
        <v>638</v>
      </c>
      <c r="C29" s="234" t="s">
        <v>639</v>
      </c>
      <c r="D29" s="204" t="s">
        <v>639</v>
      </c>
      <c r="E29" s="236" t="str">
        <f ca="1">IFERROR(JCPL_Formula!AH27*AVERAGE(OFFSET(OFFSET(H_Factors!$B$2,1,MATCH(JCPL_Formula!$D$1,H_Factors!$C$2:$L$2)), 0, 0, ROUND(JCPL_Formula!AH27/JCPL_Formula!AF27,0), 1)), "-")</f>
        <v>-</v>
      </c>
      <c r="F29" s="236" t="str">
        <f ca="1">IFERROR(JCPL_Formula!AL27*AVERAGE(OFFSET(OFFSET(H_Factors!$B$2,1,MATCH(JCPL_Formula!$D$1,H_Factors!$C$2:$L$2)), 0, 0, ROUND(JCPL_Formula!AL27/JCPL_Formula!AK27,0), 1)), "-")</f>
        <v>-</v>
      </c>
      <c r="G29" s="236" t="str">
        <f>IFERROR(JCPL_Formula!AK27*$E$1, "-")</f>
        <v>-</v>
      </c>
      <c r="H29" s="236" t="str">
        <f>IFERROR(JCPL_Formula!AL27*$E$1, "-")</f>
        <v>-</v>
      </c>
      <c r="I29" s="236"/>
      <c r="J29" s="236"/>
      <c r="K29" s="236"/>
    </row>
    <row r="30" spans="1:11">
      <c r="A30" s="234" t="s">
        <v>521</v>
      </c>
      <c r="B30" s="235" t="s">
        <v>86</v>
      </c>
      <c r="C30" s="234" t="s">
        <v>91</v>
      </c>
      <c r="D30" s="204" t="s">
        <v>91</v>
      </c>
      <c r="E30" s="236">
        <f ca="1">IFERROR(JCPL_Formula!AH28*AVERAGE(OFFSET(OFFSET(H_Factors!$B$2,1,MATCH(JCPL_Formula!$D$1,H_Factors!$C$2:$L$2)), 0, 0, ROUND(JCPL_Formula!AH28/JCPL_Formula!AF28,0), 1)), "-")</f>
        <v>1451.6078549175156</v>
      </c>
      <c r="F30" s="236" t="str">
        <f ca="1">IFERROR(JCPL_Formula!AL28*AVERAGE(OFFSET(OFFSET(H_Factors!$B$2,1,MATCH(JCPL_Formula!$D$1,H_Factors!$C$2:$L$2)), 0, 0, ROUND(JCPL_Formula!AL28/JCPL_Formula!AK28,0), 1)), "-")</f>
        <v>-</v>
      </c>
      <c r="G30" s="236" t="str">
        <f>IFERROR(JCPL_Formula!AK28*$E$1, "-")</f>
        <v>-</v>
      </c>
      <c r="H30" s="236">
        <f>IFERROR(JCPL_Formula!AL28*$E$1, "-")</f>
        <v>21976.704222429002</v>
      </c>
      <c r="I30" s="236"/>
      <c r="J30" s="236"/>
      <c r="K30" s="236"/>
    </row>
    <row r="31" spans="1:11">
      <c r="E31"/>
      <c r="F31"/>
    </row>
    <row r="32" spans="1:11">
      <c r="E32"/>
      <c r="F32"/>
    </row>
    <row r="33" customFormat="1"/>
    <row r="34" customFormat="1"/>
    <row r="35" customFormat="1"/>
    <row r="36" customFormat="1"/>
    <row r="37" customFormat="1"/>
  </sheetData>
  <pageMargins left="0.7" right="0.7" top="0.75" bottom="0.75" header="0.3" footer="0.3"/>
  <headerFooter>
    <oddFooter>&amp;C_x000D_&amp;1#&amp;"Calibri"&amp;22&amp;K0073CF INTERNAL</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DA979-5CEC-4CC1-AD99-BCA9B605D6D9}">
  <sheetPr codeName="Sheet16"/>
  <dimension ref="A1:AW44"/>
  <sheetViews>
    <sheetView tabSelected="1" zoomScale="90" zoomScaleNormal="90" workbookViewId="0">
      <pane xSplit="5" ySplit="4" topLeftCell="L5" activePane="bottomRight" state="frozen"/>
      <selection pane="topRight" activeCell="F1" sqref="F1"/>
      <selection pane="bottomLeft" activeCell="A5" sqref="A5"/>
      <selection pane="bottomRight" activeCell="D23" sqref="D23"/>
    </sheetView>
  </sheetViews>
  <sheetFormatPr defaultRowHeight="14.5" outlineLevelCol="2"/>
  <cols>
    <col min="1" max="1" width="8" customWidth="1"/>
    <col min="2" max="2" width="16.81640625" bestFit="1" customWidth="1"/>
    <col min="3" max="3" width="9.7265625" bestFit="1" customWidth="1"/>
    <col min="4" max="5" width="38" bestFit="1" customWidth="1"/>
    <col min="6" max="6" width="16.81640625" customWidth="1"/>
    <col min="7" max="12" width="15.7265625" customWidth="1"/>
    <col min="13" max="13" width="15.7265625" customWidth="1" outlineLevel="1" collapsed="1"/>
    <col min="14" max="25" width="15.7265625" customWidth="1" outlineLevel="1"/>
    <col min="26" max="26" width="15.7265625" customWidth="1" outlineLevel="2" collapsed="1"/>
    <col min="27" max="37" width="15.7265625" customWidth="1" outlineLevel="2"/>
    <col min="38" max="38" width="17.26953125" style="247" customWidth="1"/>
    <col min="39" max="44" width="14.7265625" style="247" customWidth="1"/>
    <col min="45" max="45" width="13.26953125" style="247" bestFit="1" customWidth="1"/>
    <col min="46" max="46" width="12.7265625" style="247" customWidth="1"/>
    <col min="47" max="47" width="12.81640625" style="247" customWidth="1"/>
    <col min="48" max="49" width="14" style="247" bestFit="1" customWidth="1"/>
    <col min="50" max="50" width="17.453125" customWidth="1"/>
    <col min="51" max="51" width="29.1796875" customWidth="1"/>
  </cols>
  <sheetData>
    <row r="1" spans="1:49">
      <c r="B1" s="482" t="s">
        <v>926</v>
      </c>
      <c r="C1" s="218"/>
      <c r="D1" t="s">
        <v>526</v>
      </c>
      <c r="E1" s="482">
        <v>2025</v>
      </c>
      <c r="G1" s="246" t="s">
        <v>527</v>
      </c>
      <c r="L1" s="353" t="s">
        <v>914</v>
      </c>
      <c r="W1" s="353" t="s">
        <v>914</v>
      </c>
      <c r="AJ1" s="353" t="s">
        <v>914</v>
      </c>
      <c r="AS1" s="353" t="s">
        <v>914</v>
      </c>
      <c r="AT1"/>
      <c r="AU1"/>
      <c r="AV1"/>
      <c r="AW1"/>
    </row>
    <row r="2" spans="1:49" ht="58">
      <c r="A2" s="220" t="s">
        <v>528</v>
      </c>
      <c r="B2" s="221"/>
      <c r="C2" s="221"/>
      <c r="D2" s="221"/>
      <c r="E2" s="222"/>
      <c r="F2" s="767" t="s">
        <v>888</v>
      </c>
      <c r="G2" s="248" t="s">
        <v>530</v>
      </c>
      <c r="H2" s="249"/>
      <c r="I2" s="248" t="s">
        <v>531</v>
      </c>
      <c r="J2" s="250"/>
      <c r="K2" s="250"/>
      <c r="L2" s="250"/>
      <c r="M2" s="408" t="s">
        <v>889</v>
      </c>
      <c r="N2" s="261" t="s">
        <v>890</v>
      </c>
      <c r="O2" s="262"/>
      <c r="P2" s="262"/>
      <c r="Q2" s="263"/>
      <c r="R2" s="261" t="s">
        <v>891</v>
      </c>
      <c r="S2" s="262"/>
      <c r="T2" s="262"/>
      <c r="U2" s="262"/>
      <c r="V2" s="262"/>
      <c r="W2" s="262"/>
      <c r="X2" s="262"/>
      <c r="Y2" s="263"/>
      <c r="Z2" s="1140" t="s">
        <v>892</v>
      </c>
      <c r="AA2" s="843" t="s">
        <v>893</v>
      </c>
      <c r="AB2" s="631"/>
      <c r="AC2" s="631"/>
      <c r="AD2" s="632"/>
      <c r="AE2" s="843" t="s">
        <v>894</v>
      </c>
      <c r="AF2" s="631"/>
      <c r="AG2" s="631"/>
      <c r="AH2" s="631"/>
      <c r="AI2" s="631"/>
      <c r="AJ2" s="632"/>
      <c r="AK2" s="632"/>
      <c r="AL2" s="766" t="s">
        <v>532</v>
      </c>
      <c r="AM2" s="782" t="s">
        <v>533</v>
      </c>
      <c r="AN2" s="842"/>
      <c r="AO2" s="782" t="s">
        <v>534</v>
      </c>
      <c r="AP2" s="467"/>
      <c r="AQ2" s="253"/>
      <c r="AR2" s="253"/>
      <c r="AS2" s="254"/>
      <c r="AT2" s="257" t="s">
        <v>906</v>
      </c>
      <c r="AU2" s="258"/>
      <c r="AV2" s="258"/>
      <c r="AW2" s="258"/>
    </row>
    <row r="3" spans="1:49" ht="101.5">
      <c r="A3" s="228" t="s">
        <v>536</v>
      </c>
      <c r="B3" s="229" t="s">
        <v>83</v>
      </c>
      <c r="C3" s="768" t="s">
        <v>537</v>
      </c>
      <c r="D3" s="230" t="s">
        <v>1</v>
      </c>
      <c r="E3" s="230" t="s">
        <v>2</v>
      </c>
      <c r="F3" s="649" t="s">
        <v>538</v>
      </c>
      <c r="G3" s="264" t="s">
        <v>539</v>
      </c>
      <c r="H3" s="264" t="s">
        <v>723</v>
      </c>
      <c r="I3" s="264" t="s">
        <v>541</v>
      </c>
      <c r="J3" s="264" t="s">
        <v>724</v>
      </c>
      <c r="K3" s="264" t="s">
        <v>543</v>
      </c>
      <c r="L3" s="867" t="s">
        <v>913</v>
      </c>
      <c r="M3" s="268" t="s">
        <v>545</v>
      </c>
      <c r="N3" s="268" t="s">
        <v>546</v>
      </c>
      <c r="O3" s="268" t="s">
        <v>547</v>
      </c>
      <c r="P3" s="409" t="s">
        <v>548</v>
      </c>
      <c r="Q3" s="268" t="s">
        <v>549</v>
      </c>
      <c r="R3" s="268" t="s">
        <v>550</v>
      </c>
      <c r="S3" s="268" t="s">
        <v>551</v>
      </c>
      <c r="T3" s="268" t="s">
        <v>552</v>
      </c>
      <c r="U3" s="268" t="s">
        <v>553</v>
      </c>
      <c r="V3" s="268" t="s">
        <v>554</v>
      </c>
      <c r="W3" s="870" t="s">
        <v>917</v>
      </c>
      <c r="X3" s="268" t="s">
        <v>555</v>
      </c>
      <c r="Y3" s="269" t="s">
        <v>556</v>
      </c>
      <c r="Z3" s="633" t="s">
        <v>557</v>
      </c>
      <c r="AA3" s="634" t="s">
        <v>558</v>
      </c>
      <c r="AB3" s="634" t="s">
        <v>559</v>
      </c>
      <c r="AC3" s="634" t="s">
        <v>560</v>
      </c>
      <c r="AD3" s="634" t="s">
        <v>561</v>
      </c>
      <c r="AE3" s="634" t="s">
        <v>562</v>
      </c>
      <c r="AF3" s="634" t="s">
        <v>563</v>
      </c>
      <c r="AG3" s="634" t="s">
        <v>564</v>
      </c>
      <c r="AH3" s="634" t="s">
        <v>565</v>
      </c>
      <c r="AI3" s="634" t="s">
        <v>566</v>
      </c>
      <c r="AJ3" s="869" t="s">
        <v>916</v>
      </c>
      <c r="AK3" s="634" t="s">
        <v>901</v>
      </c>
      <c r="AL3" s="265" t="s">
        <v>905</v>
      </c>
      <c r="AM3" s="265" t="s">
        <v>568</v>
      </c>
      <c r="AN3" s="265" t="s">
        <v>569</v>
      </c>
      <c r="AO3" s="265" t="s">
        <v>570</v>
      </c>
      <c r="AP3" s="265" t="s">
        <v>571</v>
      </c>
      <c r="AQ3" s="265" t="s">
        <v>572</v>
      </c>
      <c r="AR3" s="265" t="s">
        <v>573</v>
      </c>
      <c r="AS3" s="868" t="s">
        <v>915</v>
      </c>
      <c r="AT3" s="267" t="s">
        <v>123</v>
      </c>
      <c r="AU3" s="267" t="s">
        <v>124</v>
      </c>
      <c r="AV3" s="267" t="s">
        <v>575</v>
      </c>
      <c r="AW3" s="267" t="s">
        <v>576</v>
      </c>
    </row>
    <row r="4" spans="1:49">
      <c r="A4" s="298" t="s">
        <v>577</v>
      </c>
      <c r="B4" s="299" t="s">
        <v>578</v>
      </c>
      <c r="C4" s="299" t="s">
        <v>579</v>
      </c>
      <c r="D4" s="299" t="s">
        <v>580</v>
      </c>
      <c r="E4" s="299" t="s">
        <v>581</v>
      </c>
      <c r="F4" s="300" t="s">
        <v>582</v>
      </c>
      <c r="G4" s="300" t="s">
        <v>583</v>
      </c>
      <c r="H4" s="300" t="s">
        <v>584</v>
      </c>
      <c r="I4" s="300" t="s">
        <v>585</v>
      </c>
      <c r="J4" s="300" t="s">
        <v>586</v>
      </c>
      <c r="K4" s="300" t="s">
        <v>587</v>
      </c>
      <c r="L4" s="300" t="s">
        <v>588</v>
      </c>
      <c r="M4" s="304" t="s">
        <v>589</v>
      </c>
      <c r="N4" s="304" t="s">
        <v>590</v>
      </c>
      <c r="O4" s="304" t="s">
        <v>591</v>
      </c>
      <c r="P4" s="304" t="s">
        <v>592</v>
      </c>
      <c r="Q4" s="304" t="s">
        <v>593</v>
      </c>
      <c r="R4" s="304" t="s">
        <v>594</v>
      </c>
      <c r="S4" s="304" t="s">
        <v>595</v>
      </c>
      <c r="T4" s="304" t="s">
        <v>596</v>
      </c>
      <c r="U4" s="304" t="s">
        <v>597</v>
      </c>
      <c r="V4" s="304" t="s">
        <v>598</v>
      </c>
      <c r="W4" s="304" t="s">
        <v>599</v>
      </c>
      <c r="X4" s="304" t="s">
        <v>600</v>
      </c>
      <c r="Y4" s="304" t="s">
        <v>601</v>
      </c>
      <c r="Z4" s="635" t="s">
        <v>602</v>
      </c>
      <c r="AA4" s="636" t="s">
        <v>603</v>
      </c>
      <c r="AB4" s="636" t="s">
        <v>604</v>
      </c>
      <c r="AC4" s="636" t="s">
        <v>605</v>
      </c>
      <c r="AD4" s="636" t="s">
        <v>606</v>
      </c>
      <c r="AE4" s="636" t="s">
        <v>607</v>
      </c>
      <c r="AF4" s="636" t="s">
        <v>608</v>
      </c>
      <c r="AG4" s="636" t="s">
        <v>609</v>
      </c>
      <c r="AH4" s="636" t="s">
        <v>610</v>
      </c>
      <c r="AI4" s="636" t="s">
        <v>611</v>
      </c>
      <c r="AJ4" s="636" t="s">
        <v>612</v>
      </c>
      <c r="AK4" s="636" t="s">
        <v>900</v>
      </c>
      <c r="AL4" s="301" t="s">
        <v>613</v>
      </c>
      <c r="AM4" s="301" t="s">
        <v>614</v>
      </c>
      <c r="AN4" s="301" t="s">
        <v>615</v>
      </c>
      <c r="AO4" s="301" t="s">
        <v>616</v>
      </c>
      <c r="AP4" s="301" t="s">
        <v>617</v>
      </c>
      <c r="AQ4" s="301" t="s">
        <v>618</v>
      </c>
      <c r="AR4" s="301" t="s">
        <v>619</v>
      </c>
      <c r="AS4" s="301" t="s">
        <v>620</v>
      </c>
      <c r="AT4" s="303" t="s">
        <v>621</v>
      </c>
      <c r="AU4" s="303" t="s">
        <v>622</v>
      </c>
      <c r="AV4" s="303" t="s">
        <v>623</v>
      </c>
      <c r="AW4" s="303" t="s">
        <v>624</v>
      </c>
    </row>
    <row r="5" spans="1:49" s="482" customFormat="1">
      <c r="A5" s="1249" t="s">
        <v>522</v>
      </c>
      <c r="B5" s="294" t="s">
        <v>86</v>
      </c>
      <c r="C5" s="294" t="s">
        <v>625</v>
      </c>
      <c r="D5" s="294" t="s">
        <v>4</v>
      </c>
      <c r="E5" s="294" t="s">
        <v>5</v>
      </c>
      <c r="F5" s="1174"/>
      <c r="G5" s="1126">
        <v>4</v>
      </c>
      <c r="H5" s="1126"/>
      <c r="I5" s="1126">
        <v>4</v>
      </c>
      <c r="J5" s="1126"/>
      <c r="K5" s="1174"/>
      <c r="L5" s="1126"/>
      <c r="M5" s="1250"/>
      <c r="N5" s="1139">
        <v>1.2589999999999999</v>
      </c>
      <c r="O5" s="1139">
        <v>17.777000000000001</v>
      </c>
      <c r="P5" s="1139"/>
      <c r="Q5" s="1139"/>
      <c r="R5" s="1139">
        <f>DataEntry[[#This Row],[E-E02]]</f>
        <v>1.2589999999999999</v>
      </c>
      <c r="S5" s="1139">
        <f>DataEntry[[#This Row],[E-E06]]*1.0345</f>
        <v>1.3024354999999999</v>
      </c>
      <c r="T5" s="1139">
        <f>DataEntry[[#This Row],[E-E03]]</f>
        <v>17.777000000000001</v>
      </c>
      <c r="U5" s="1139"/>
      <c r="V5" s="294"/>
      <c r="W5" s="294"/>
      <c r="X5" s="1251"/>
      <c r="Y5" s="1183">
        <v>1E-3</v>
      </c>
      <c r="Z5" s="1252"/>
      <c r="AA5" s="1252"/>
      <c r="AB5" s="1252"/>
      <c r="AC5" s="1252"/>
      <c r="AD5" s="1252"/>
      <c r="AE5" s="1252"/>
      <c r="AF5" s="1252"/>
      <c r="AG5" s="1252"/>
      <c r="AH5" s="1252"/>
      <c r="AI5" s="1252"/>
      <c r="AJ5" s="1252"/>
      <c r="AK5" s="1251"/>
      <c r="AL5" s="1253"/>
      <c r="AM5" s="1142">
        <v>10768.49</v>
      </c>
      <c r="AN5" s="1172"/>
      <c r="AO5" s="1142">
        <f>DataEntry[[#This Row],[S-B02]]</f>
        <v>10768.49</v>
      </c>
      <c r="AP5" s="1172"/>
      <c r="AQ5" s="1142">
        <v>1210</v>
      </c>
      <c r="AR5" s="1172"/>
      <c r="AS5" s="1142"/>
      <c r="AT5" s="294"/>
      <c r="AU5" s="294"/>
      <c r="AV5" s="294"/>
      <c r="AW5" s="294"/>
    </row>
    <row r="6" spans="1:49">
      <c r="A6" s="296" t="s">
        <v>522</v>
      </c>
      <c r="B6" s="286" t="s">
        <v>86</v>
      </c>
      <c r="C6" s="286" t="s">
        <v>625</v>
      </c>
      <c r="D6" s="436" t="s">
        <v>4</v>
      </c>
      <c r="E6" s="286" t="s">
        <v>153</v>
      </c>
      <c r="F6" s="1122"/>
      <c r="G6" s="1126">
        <v>5</v>
      </c>
      <c r="H6" s="1126">
        <v>1</v>
      </c>
      <c r="I6" s="1126">
        <v>5</v>
      </c>
      <c r="J6" s="1126">
        <v>1</v>
      </c>
      <c r="K6" s="1122"/>
      <c r="L6" s="1126">
        <v>1</v>
      </c>
      <c r="M6" s="1133"/>
      <c r="N6" s="1139">
        <v>0.69399999999999995</v>
      </c>
      <c r="O6" s="1139">
        <v>5.1909999999999998</v>
      </c>
      <c r="P6" s="1139">
        <v>0.217</v>
      </c>
      <c r="Q6" s="1139">
        <f>DataEntry[[#This Row],[E-E04]]*12</f>
        <v>2.6040000000000001</v>
      </c>
      <c r="R6" s="1139">
        <f>DataEntry[[#This Row],[E-E02]]</f>
        <v>0.69399999999999995</v>
      </c>
      <c r="S6" s="1139">
        <f>DataEntry[[#This Row],[E-E06]]*1.0345</f>
        <v>0.71794299999999989</v>
      </c>
      <c r="T6" s="1139">
        <f>DataEntry[[#This Row],[E-E03]]</f>
        <v>5.1909999999999998</v>
      </c>
      <c r="U6" s="1139">
        <f>DataEntry[[#This Row],[E-E04]]</f>
        <v>0.217</v>
      </c>
      <c r="V6" s="294">
        <f>DataEntry[[#This Row],[E-E05]]</f>
        <v>2.6040000000000001</v>
      </c>
      <c r="W6" s="294">
        <f>DataEntry[[#This Row],[E-E09]]</f>
        <v>0.217</v>
      </c>
      <c r="X6" s="1101"/>
      <c r="Y6" s="1183">
        <v>1.0000000000000001E-5</v>
      </c>
      <c r="Z6" s="1099"/>
      <c r="AA6" s="1099"/>
      <c r="AB6" s="1099"/>
      <c r="AC6" s="1099"/>
      <c r="AD6" s="1099"/>
      <c r="AE6" s="1099"/>
      <c r="AF6" s="1099"/>
      <c r="AG6" s="1099"/>
      <c r="AH6" s="1099"/>
      <c r="AI6" s="1099"/>
      <c r="AJ6" s="1099"/>
      <c r="AK6" s="1101"/>
      <c r="AL6" s="1166"/>
      <c r="AM6" s="1142">
        <v>21409.68</v>
      </c>
      <c r="AN6" s="1172"/>
      <c r="AO6" s="1142">
        <f>DataEntry[[#This Row],[S-B02]]</f>
        <v>21409.68</v>
      </c>
      <c r="AP6" s="1104"/>
      <c r="AQ6" s="1142">
        <v>500</v>
      </c>
      <c r="AR6" s="1172"/>
      <c r="AS6" s="1142">
        <v>200</v>
      </c>
      <c r="AT6" s="1100"/>
      <c r="AU6" s="1100"/>
      <c r="AV6" s="1100"/>
      <c r="AW6" s="1100"/>
    </row>
    <row r="7" spans="1:49">
      <c r="A7" s="296" t="s">
        <v>522</v>
      </c>
      <c r="B7" s="286" t="s">
        <v>86</v>
      </c>
      <c r="C7" s="286" t="s">
        <v>625</v>
      </c>
      <c r="D7" s="436" t="s">
        <v>4</v>
      </c>
      <c r="E7" s="286" t="s">
        <v>626</v>
      </c>
      <c r="F7" s="1122"/>
      <c r="G7" s="1123"/>
      <c r="H7" s="1123"/>
      <c r="I7" s="1123"/>
      <c r="J7" s="1123"/>
      <c r="K7" s="1122"/>
      <c r="L7" s="1123"/>
      <c r="M7" s="1133"/>
      <c r="N7" s="1134"/>
      <c r="O7" s="1134"/>
      <c r="P7" s="1134"/>
      <c r="Q7" s="1134"/>
      <c r="R7" s="1134"/>
      <c r="S7" s="1139">
        <f>DataEntry[[#This Row],[E-E06]]*1.0345</f>
        <v>0</v>
      </c>
      <c r="T7" s="1134"/>
      <c r="U7" s="1134"/>
      <c r="V7" s="1100"/>
      <c r="W7" s="1100"/>
      <c r="X7" s="1101"/>
      <c r="Y7" s="1184"/>
      <c r="Z7" s="1099"/>
      <c r="AA7" s="1099"/>
      <c r="AB7" s="1099"/>
      <c r="AC7" s="1099"/>
      <c r="AD7" s="1099"/>
      <c r="AE7" s="1099"/>
      <c r="AF7" s="1099"/>
      <c r="AG7" s="1099"/>
      <c r="AH7" s="1099"/>
      <c r="AI7" s="1099"/>
      <c r="AJ7" s="1099"/>
      <c r="AK7" s="1101"/>
      <c r="AL7" s="1166"/>
      <c r="AM7" s="1103"/>
      <c r="AN7" s="1104"/>
      <c r="AO7" s="1103"/>
      <c r="AP7" s="1104"/>
      <c r="AQ7" s="1103"/>
      <c r="AR7" s="1104"/>
      <c r="AS7" s="1103"/>
      <c r="AT7" s="1100"/>
      <c r="AU7" s="1100"/>
      <c r="AV7" s="1100"/>
      <c r="AW7" s="1100"/>
    </row>
    <row r="8" spans="1:49" ht="13.75" customHeight="1">
      <c r="A8" s="296" t="s">
        <v>522</v>
      </c>
      <c r="B8" s="286" t="s">
        <v>86</v>
      </c>
      <c r="C8" s="286" t="s">
        <v>625</v>
      </c>
      <c r="D8" s="436" t="s">
        <v>4</v>
      </c>
      <c r="E8" s="286" t="s">
        <v>154</v>
      </c>
      <c r="F8" s="1122"/>
      <c r="G8" s="1126">
        <v>65</v>
      </c>
      <c r="H8" s="1126">
        <v>3</v>
      </c>
      <c r="I8" s="1126">
        <v>65</v>
      </c>
      <c r="J8" s="1126">
        <v>3</v>
      </c>
      <c r="K8" s="1174"/>
      <c r="L8" s="1126">
        <v>3</v>
      </c>
      <c r="M8" s="1133"/>
      <c r="N8" s="1139">
        <v>7.3</v>
      </c>
      <c r="O8" s="1139">
        <v>38.435000000000002</v>
      </c>
      <c r="P8" s="1139">
        <v>0.35099999999999998</v>
      </c>
      <c r="Q8" s="1139">
        <f>DataEntry[[#This Row],[E-E04]]*11</f>
        <v>3.8609999999999998</v>
      </c>
      <c r="R8" s="1139">
        <f>DataEntry[[#This Row],[E-E02]]</f>
        <v>7.3</v>
      </c>
      <c r="S8" s="1139">
        <f>DataEntry[[#This Row],[E-E06]]*1.0345</f>
        <v>7.55185</v>
      </c>
      <c r="T8" s="1139">
        <f>DataEntry[[#This Row],[E-E03]]</f>
        <v>38.435000000000002</v>
      </c>
      <c r="U8" s="1139">
        <f>DataEntry[[#This Row],[E-E04]]</f>
        <v>0.35099999999999998</v>
      </c>
      <c r="V8" s="294">
        <f>DataEntry[[#This Row],[E-E05]]</f>
        <v>3.8609999999999998</v>
      </c>
      <c r="W8" s="294">
        <f>DataEntry[[#This Row],[E-E09]]</f>
        <v>0.35099999999999998</v>
      </c>
      <c r="X8" s="1101"/>
      <c r="Y8" s="1183">
        <v>0</v>
      </c>
      <c r="Z8" s="1099"/>
      <c r="AA8" s="1099"/>
      <c r="AB8" s="1099"/>
      <c r="AC8" s="1099"/>
      <c r="AD8" s="1099"/>
      <c r="AE8" s="1099"/>
      <c r="AF8" s="1099"/>
      <c r="AG8" s="1099"/>
      <c r="AH8" s="1099"/>
      <c r="AI8" s="1099"/>
      <c r="AJ8" s="1099"/>
      <c r="AK8" s="1101"/>
      <c r="AL8" s="1166"/>
      <c r="AM8" s="1142">
        <v>9978.19</v>
      </c>
      <c r="AN8" s="1104"/>
      <c r="AO8" s="1142">
        <f>DataEntry[[#This Row],[S-B02]]</f>
        <v>9978.19</v>
      </c>
      <c r="AP8" s="1172"/>
      <c r="AQ8" s="1142">
        <v>3507.16</v>
      </c>
      <c r="AR8" s="1104"/>
      <c r="AS8" s="1142">
        <v>300</v>
      </c>
      <c r="AT8" s="1100"/>
      <c r="AU8" s="1100"/>
      <c r="AV8" s="1100"/>
      <c r="AW8" s="1100"/>
    </row>
    <row r="9" spans="1:49" ht="13.75" customHeight="1">
      <c r="A9" s="296" t="s">
        <v>522</v>
      </c>
      <c r="B9" s="286" t="s">
        <v>86</v>
      </c>
      <c r="C9" s="286" t="s">
        <v>625</v>
      </c>
      <c r="D9" s="436" t="s">
        <v>4</v>
      </c>
      <c r="E9" s="286" t="s">
        <v>962</v>
      </c>
      <c r="F9" s="1122"/>
      <c r="G9" s="1123"/>
      <c r="H9" s="1123"/>
      <c r="I9" s="1123"/>
      <c r="J9" s="1123"/>
      <c r="K9" s="1122"/>
      <c r="L9" s="1123"/>
      <c r="M9" s="1133"/>
      <c r="N9" s="1134"/>
      <c r="O9" s="1134"/>
      <c r="P9" s="1134"/>
      <c r="Q9" s="1134"/>
      <c r="R9" s="1134"/>
      <c r="S9" s="1139">
        <f>DataEntry[[#This Row],[E-E06]]*1.0345</f>
        <v>0</v>
      </c>
      <c r="T9" s="1134"/>
      <c r="U9" s="1134"/>
      <c r="V9" s="1100"/>
      <c r="W9" s="1100"/>
      <c r="X9" s="1101"/>
      <c r="Y9" s="1184"/>
      <c r="Z9" s="1099"/>
      <c r="AA9" s="1099"/>
      <c r="AB9" s="1099"/>
      <c r="AC9" s="1099"/>
      <c r="AD9" s="1099"/>
      <c r="AE9" s="1099"/>
      <c r="AF9" s="1099"/>
      <c r="AG9" s="1099"/>
      <c r="AH9" s="1099"/>
      <c r="AI9" s="1099"/>
      <c r="AJ9" s="1099"/>
      <c r="AK9" s="1101"/>
      <c r="AL9" s="1166"/>
      <c r="AM9" s="1142">
        <v>2790.9</v>
      </c>
      <c r="AN9" s="1172"/>
      <c r="AO9" s="1142">
        <f>DataEntry[[#This Row],[S-B02]]</f>
        <v>2790.9</v>
      </c>
      <c r="AP9" s="1172"/>
      <c r="AQ9" s="1142">
        <v>0</v>
      </c>
      <c r="AR9" s="1104"/>
      <c r="AS9" s="1103"/>
      <c r="AT9" s="1100"/>
      <c r="AU9" s="1100"/>
      <c r="AV9" s="1100"/>
      <c r="AW9" s="1100"/>
    </row>
    <row r="10" spans="1:49" ht="13.75" customHeight="1">
      <c r="A10" s="637" t="s">
        <v>522</v>
      </c>
      <c r="B10" s="638" t="s">
        <v>86</v>
      </c>
      <c r="C10" s="638" t="s">
        <v>625</v>
      </c>
      <c r="D10" s="437" t="s">
        <v>4</v>
      </c>
      <c r="E10" s="638"/>
      <c r="F10" s="1431">
        <v>5131</v>
      </c>
      <c r="G10" s="852"/>
      <c r="H10" s="852"/>
      <c r="I10" s="852"/>
      <c r="J10" s="852"/>
      <c r="K10" s="852"/>
      <c r="L10" s="852"/>
      <c r="M10" s="1432">
        <v>542.82600000000002</v>
      </c>
      <c r="N10" s="1433"/>
      <c r="O10" s="1433"/>
      <c r="P10" s="1433"/>
      <c r="Q10" s="1433"/>
      <c r="R10" s="1433"/>
      <c r="S10" s="1433"/>
      <c r="T10" s="1433"/>
      <c r="U10" s="1433"/>
      <c r="V10" s="1433"/>
      <c r="W10" s="1433"/>
      <c r="X10" s="1434"/>
      <c r="Y10" s="1434"/>
      <c r="Z10" s="638"/>
      <c r="AA10" s="1435"/>
      <c r="AB10" s="1435"/>
      <c r="AC10" s="1435"/>
      <c r="AD10" s="1435"/>
      <c r="AE10" s="1435"/>
      <c r="AF10" s="1435"/>
      <c r="AG10" s="1435"/>
      <c r="AH10" s="1435"/>
      <c r="AI10" s="1435"/>
      <c r="AJ10" s="1435"/>
      <c r="AK10" s="1436"/>
      <c r="AL10" s="1437">
        <v>1465209</v>
      </c>
      <c r="AM10" s="1438"/>
      <c r="AN10" s="1438"/>
      <c r="AO10" s="1438"/>
      <c r="AP10" s="1438"/>
      <c r="AQ10" s="1438"/>
      <c r="AR10" s="1438"/>
      <c r="AS10" s="1438"/>
      <c r="AT10" s="1435"/>
      <c r="AU10" s="1435"/>
      <c r="AV10" s="1435"/>
      <c r="AW10" s="1435"/>
    </row>
    <row r="11" spans="1:49">
      <c r="A11" s="297" t="s">
        <v>522</v>
      </c>
      <c r="B11" s="236" t="s">
        <v>86</v>
      </c>
      <c r="C11" s="236" t="s">
        <v>625</v>
      </c>
      <c r="D11" s="236" t="s">
        <v>129</v>
      </c>
      <c r="E11" s="438" t="s">
        <v>155</v>
      </c>
      <c r="F11" s="1124">
        <v>170</v>
      </c>
      <c r="G11" s="1125"/>
      <c r="H11" s="1125"/>
      <c r="I11" s="1125"/>
      <c r="J11" s="1125"/>
      <c r="K11" s="1122"/>
      <c r="L11" s="1125"/>
      <c r="M11" s="1138">
        <v>105.432</v>
      </c>
      <c r="N11" s="1135"/>
      <c r="O11" s="1135"/>
      <c r="P11" s="1135"/>
      <c r="Q11" s="1135"/>
      <c r="R11" s="1135"/>
      <c r="S11" s="1139">
        <f>DataEntry[[#This Row],[E-E06]]*1.0345</f>
        <v>0</v>
      </c>
      <c r="T11" s="1135"/>
      <c r="U11" s="1135"/>
      <c r="V11" s="1106"/>
      <c r="W11" s="1106"/>
      <c r="X11" s="1101"/>
      <c r="Y11" s="1185"/>
      <c r="Z11" s="1099"/>
      <c r="AA11" s="1099"/>
      <c r="AB11" s="1099"/>
      <c r="AC11" s="1099"/>
      <c r="AD11" s="1099"/>
      <c r="AE11" s="1099"/>
      <c r="AF11" s="1099"/>
      <c r="AG11" s="1099"/>
      <c r="AH11" s="1099"/>
      <c r="AI11" s="1099"/>
      <c r="AJ11" s="1099"/>
      <c r="AK11" s="1101"/>
      <c r="AL11" s="1141">
        <v>976574</v>
      </c>
      <c r="AM11" s="1141">
        <v>8267.5</v>
      </c>
      <c r="AN11" s="1104"/>
      <c r="AO11" s="1141">
        <f>DataEntry[[#This Row],[S-B02]]</f>
        <v>8267.5</v>
      </c>
      <c r="AP11" s="1104"/>
      <c r="AQ11" s="1141">
        <v>0</v>
      </c>
      <c r="AR11" s="1104"/>
      <c r="AS11" s="1107"/>
      <c r="AT11" s="1106"/>
      <c r="AU11" s="1106"/>
      <c r="AV11" s="1106"/>
      <c r="AW11" s="1106"/>
    </row>
    <row r="12" spans="1:49">
      <c r="A12" s="297" t="s">
        <v>522</v>
      </c>
      <c r="B12" s="236" t="s">
        <v>86</v>
      </c>
      <c r="C12" s="236" t="s">
        <v>625</v>
      </c>
      <c r="D12" s="438" t="s">
        <v>129</v>
      </c>
      <c r="E12" s="438" t="s">
        <v>19</v>
      </c>
      <c r="F12" s="1125"/>
      <c r="G12" s="1124">
        <v>18</v>
      </c>
      <c r="H12" s="1124"/>
      <c r="I12" s="1124">
        <v>18</v>
      </c>
      <c r="J12" s="1125"/>
      <c r="K12" s="1122"/>
      <c r="L12" s="1125"/>
      <c r="M12" s="1138"/>
      <c r="N12" s="1138">
        <v>6.9</v>
      </c>
      <c r="O12" s="1138">
        <v>46.591999999999999</v>
      </c>
      <c r="P12" s="1138"/>
      <c r="Q12" s="1138"/>
      <c r="R12" s="1138">
        <f>DataEntry[[#This Row],[E-E02]]</f>
        <v>6.9</v>
      </c>
      <c r="S12" s="1139">
        <f>DataEntry[[#This Row],[E-E06]]*1.0345</f>
        <v>7.1380499999999998</v>
      </c>
      <c r="T12" s="1138">
        <f>DataEntry[[#This Row],[E-E03]]</f>
        <v>46.591999999999999</v>
      </c>
      <c r="U12" s="1135"/>
      <c r="V12" s="1106"/>
      <c r="W12" s="1106"/>
      <c r="X12" s="1101"/>
      <c r="Y12" s="1178">
        <v>5.9999999999999995E-4</v>
      </c>
      <c r="Z12" s="1099"/>
      <c r="AA12" s="1099"/>
      <c r="AB12" s="1099"/>
      <c r="AC12" s="1099"/>
      <c r="AD12" s="1099"/>
      <c r="AE12" s="1099"/>
      <c r="AF12" s="1099"/>
      <c r="AG12" s="1099"/>
      <c r="AH12" s="1099"/>
      <c r="AI12" s="1099"/>
      <c r="AJ12" s="1099"/>
      <c r="AK12" s="1101"/>
      <c r="AL12" s="1141"/>
      <c r="AM12" s="1141">
        <v>46544.7</v>
      </c>
      <c r="AN12" s="1172"/>
      <c r="AO12" s="1141">
        <f>DataEntry[[#This Row],[S-B02]]</f>
        <v>46544.7</v>
      </c>
      <c r="AP12" s="1104"/>
      <c r="AQ12" s="1141">
        <v>5180.4399999999996</v>
      </c>
      <c r="AR12" s="1104"/>
      <c r="AS12" s="1107"/>
      <c r="AT12" s="1106"/>
      <c r="AU12" s="1106"/>
      <c r="AV12" s="1106"/>
      <c r="AW12" s="1106"/>
    </row>
    <row r="13" spans="1:49">
      <c r="A13" s="297" t="s">
        <v>522</v>
      </c>
      <c r="B13" s="236" t="s">
        <v>86</v>
      </c>
      <c r="C13" s="236" t="s">
        <v>625</v>
      </c>
      <c r="D13" s="438" t="s">
        <v>130</v>
      </c>
      <c r="E13" s="438" t="s">
        <v>156</v>
      </c>
      <c r="F13" s="1124">
        <v>132</v>
      </c>
      <c r="G13" s="1125"/>
      <c r="H13" s="1125"/>
      <c r="I13" s="1125"/>
      <c r="J13" s="1125"/>
      <c r="K13" s="1125"/>
      <c r="L13" s="1125"/>
      <c r="M13" s="1138">
        <v>77.209999999999994</v>
      </c>
      <c r="N13" s="1135"/>
      <c r="O13" s="1135"/>
      <c r="P13" s="1135"/>
      <c r="Q13" s="1135"/>
      <c r="R13" s="1135"/>
      <c r="S13" s="1139">
        <f>DataEntry[[#This Row],[E-E06]]*1.0345</f>
        <v>0</v>
      </c>
      <c r="T13" s="1135"/>
      <c r="U13" s="1135"/>
      <c r="V13" s="1106"/>
      <c r="W13" s="1106"/>
      <c r="X13" s="1182"/>
      <c r="Y13" s="1185"/>
      <c r="Z13" s="1106"/>
      <c r="AA13" s="1106"/>
      <c r="AB13" s="1106"/>
      <c r="AC13" s="1106"/>
      <c r="AD13" s="1106"/>
      <c r="AE13" s="1106"/>
      <c r="AF13" s="1106"/>
      <c r="AG13" s="1106"/>
      <c r="AH13" s="1106"/>
      <c r="AI13" s="1106"/>
      <c r="AJ13" s="1106"/>
      <c r="AK13" s="1182"/>
      <c r="AL13" s="1280">
        <v>1056306</v>
      </c>
      <c r="AM13" s="1280">
        <v>2625.25</v>
      </c>
      <c r="AN13" s="1280"/>
      <c r="AO13" s="1280">
        <f>DataEntry[[#This Row],[S-B02]]</f>
        <v>2625.25</v>
      </c>
      <c r="AP13" s="1281"/>
      <c r="AQ13" s="1280">
        <v>0</v>
      </c>
      <c r="AR13" s="1281"/>
      <c r="AS13" s="1281"/>
      <c r="AT13" s="1106"/>
      <c r="AU13" s="1106"/>
      <c r="AV13" s="1106"/>
      <c r="AW13" s="1106"/>
    </row>
    <row r="14" spans="1:49">
      <c r="A14" s="297" t="s">
        <v>522</v>
      </c>
      <c r="B14" s="236" t="s">
        <v>86</v>
      </c>
      <c r="C14" s="236" t="s">
        <v>625</v>
      </c>
      <c r="D14" s="438" t="s">
        <v>130</v>
      </c>
      <c r="E14" s="438" t="s">
        <v>154</v>
      </c>
      <c r="F14" s="1125"/>
      <c r="G14" s="1125"/>
      <c r="H14" s="1125"/>
      <c r="I14" s="1125"/>
      <c r="J14" s="1125"/>
      <c r="K14" s="1125"/>
      <c r="L14" s="1125"/>
      <c r="M14" s="1135"/>
      <c r="N14" s="1135"/>
      <c r="O14" s="1135"/>
      <c r="P14" s="1135"/>
      <c r="Q14" s="1135"/>
      <c r="R14" s="1135"/>
      <c r="S14" s="1139">
        <f>DataEntry[[#This Row],[E-E06]]*1.0345</f>
        <v>0</v>
      </c>
      <c r="T14" s="1135"/>
      <c r="U14" s="1135"/>
      <c r="V14" s="1106"/>
      <c r="W14" s="1106"/>
      <c r="X14" s="1182"/>
      <c r="Y14" s="1185"/>
      <c r="Z14" s="1106"/>
      <c r="AA14" s="1106"/>
      <c r="AB14" s="1106"/>
      <c r="AC14" s="1106"/>
      <c r="AD14" s="1106"/>
      <c r="AE14" s="1106"/>
      <c r="AF14" s="1106"/>
      <c r="AG14" s="1106"/>
      <c r="AH14" s="1106"/>
      <c r="AI14" s="1106"/>
      <c r="AJ14" s="1106"/>
      <c r="AK14" s="1182"/>
      <c r="AL14" s="1280"/>
      <c r="AM14" s="1280">
        <v>5480.43</v>
      </c>
      <c r="AN14" s="1280"/>
      <c r="AO14" s="1280">
        <f>DataEntry[[#This Row],[S-B02]]</f>
        <v>5480.43</v>
      </c>
      <c r="AP14" s="1281"/>
      <c r="AQ14" s="1280">
        <v>0</v>
      </c>
      <c r="AR14" s="1281"/>
      <c r="AS14" s="1281"/>
      <c r="AT14" s="1106"/>
      <c r="AU14" s="1106"/>
      <c r="AV14" s="1106"/>
      <c r="AW14" s="1106"/>
    </row>
    <row r="15" spans="1:49">
      <c r="A15" s="297" t="s">
        <v>522</v>
      </c>
      <c r="B15" s="236" t="s">
        <v>86</v>
      </c>
      <c r="C15" s="236" t="s">
        <v>625</v>
      </c>
      <c r="D15" s="439" t="s">
        <v>183</v>
      </c>
      <c r="E15" s="236" t="s">
        <v>183</v>
      </c>
      <c r="F15" s="1124">
        <v>19320</v>
      </c>
      <c r="G15" s="1124">
        <v>31955</v>
      </c>
      <c r="H15" s="1124">
        <v>691</v>
      </c>
      <c r="I15" s="1124">
        <f>DataEntry[[#This Row],[S-P02]]</f>
        <v>31955</v>
      </c>
      <c r="J15" s="1124">
        <f>DataEntry[[#This Row],[S-P03]]</f>
        <v>691</v>
      </c>
      <c r="K15" s="1122"/>
      <c r="L15" s="1124">
        <f>DataEntry[[#This Row],[S-P05]]</f>
        <v>691</v>
      </c>
      <c r="M15" s="1138">
        <v>1932</v>
      </c>
      <c r="N15" s="1138">
        <v>503</v>
      </c>
      <c r="O15" s="1138">
        <v>503</v>
      </c>
      <c r="P15" s="1138">
        <v>10.875</v>
      </c>
      <c r="Q15" s="1138">
        <v>10.875</v>
      </c>
      <c r="R15" s="1138">
        <f>DataEntry[[#This Row],[E-E02]]</f>
        <v>503</v>
      </c>
      <c r="S15" s="1139">
        <f>DataEntry[[#This Row],[E-E06]]*1.0345</f>
        <v>520.35349999999994</v>
      </c>
      <c r="T15" s="1138">
        <f>DataEntry[[#This Row],[E-E03]]</f>
        <v>503</v>
      </c>
      <c r="U15" s="1138">
        <f>DataEntry[[#This Row],[E-E04]]</f>
        <v>10.875</v>
      </c>
      <c r="V15" s="1160">
        <f>DataEntry[[#This Row],[E-E05]]</f>
        <v>10.875</v>
      </c>
      <c r="W15" s="1160">
        <f>DataEntry[[#This Row],[E-E09]]</f>
        <v>10.875</v>
      </c>
      <c r="X15" s="1101"/>
      <c r="Y15" s="1178">
        <v>0</v>
      </c>
      <c r="Z15" s="1099"/>
      <c r="AA15" s="1099"/>
      <c r="AB15" s="1099"/>
      <c r="AC15" s="1099"/>
      <c r="AD15" s="1099"/>
      <c r="AE15" s="1099"/>
      <c r="AF15" s="1099"/>
      <c r="AG15" s="1099"/>
      <c r="AH15" s="1099"/>
      <c r="AI15" s="1099"/>
      <c r="AJ15" s="1099"/>
      <c r="AK15" s="1101"/>
      <c r="AL15" s="1141">
        <v>78235</v>
      </c>
      <c r="AM15" s="1141">
        <v>8994.08</v>
      </c>
      <c r="AN15" s="1172"/>
      <c r="AO15" s="1141">
        <f>DataEntry[[#This Row],[S-B02]]</f>
        <v>8994.08</v>
      </c>
      <c r="AP15" s="1172"/>
      <c r="AQ15" s="1141">
        <v>0</v>
      </c>
      <c r="AR15" s="1104"/>
      <c r="AS15" s="1141">
        <v>0</v>
      </c>
      <c r="AT15" s="1106"/>
      <c r="AU15" s="1106"/>
      <c r="AV15" s="1106"/>
      <c r="AW15" s="1106"/>
    </row>
    <row r="16" spans="1:49">
      <c r="A16" s="296" t="s">
        <v>522</v>
      </c>
      <c r="B16" s="286" t="s">
        <v>628</v>
      </c>
      <c r="C16" s="286" t="s">
        <v>625</v>
      </c>
      <c r="D16" s="286" t="s">
        <v>27</v>
      </c>
      <c r="E16" s="286" t="s">
        <v>629</v>
      </c>
      <c r="F16" s="1126">
        <v>68</v>
      </c>
      <c r="G16" s="1123"/>
      <c r="H16" s="1123"/>
      <c r="I16" s="1123"/>
      <c r="J16" s="1123"/>
      <c r="K16" s="1123"/>
      <c r="L16" s="1122"/>
      <c r="M16" s="1139">
        <v>3295.2890000000002</v>
      </c>
      <c r="N16" s="1134"/>
      <c r="O16" s="1134"/>
      <c r="P16" s="1134"/>
      <c r="Q16" s="1134"/>
      <c r="R16" s="1134"/>
      <c r="S16" s="1139">
        <f>DataEntry[[#This Row],[E-E06]]*1.0345</f>
        <v>0</v>
      </c>
      <c r="T16" s="1134"/>
      <c r="U16" s="1134"/>
      <c r="V16" s="1100"/>
      <c r="W16" s="1099"/>
      <c r="X16" s="1102"/>
      <c r="Y16" s="1184"/>
      <c r="Z16" s="1099"/>
      <c r="AA16" s="1099"/>
      <c r="AB16" s="1099"/>
      <c r="AC16" s="1099"/>
      <c r="AD16" s="1099"/>
      <c r="AE16" s="1099"/>
      <c r="AF16" s="1099"/>
      <c r="AG16" s="1099"/>
      <c r="AH16" s="1099"/>
      <c r="AI16" s="1099"/>
      <c r="AJ16" s="1099"/>
      <c r="AK16" s="1101"/>
      <c r="AL16" s="1142">
        <v>3611222</v>
      </c>
      <c r="AM16" s="1142">
        <v>71105.279999999999</v>
      </c>
      <c r="AN16" s="1104"/>
      <c r="AO16" s="1142">
        <f>DataEntry[[#This Row],[S-B02]]</f>
        <v>71105.279999999999</v>
      </c>
      <c r="AP16" s="1172"/>
      <c r="AQ16" s="1142"/>
      <c r="AR16" s="1103"/>
      <c r="AS16" s="1104"/>
      <c r="AT16" s="1100"/>
      <c r="AU16" s="1100"/>
      <c r="AV16" s="1100"/>
      <c r="AW16" s="1100"/>
    </row>
    <row r="17" spans="1:49" ht="13.5" customHeight="1">
      <c r="A17" s="296" t="s">
        <v>522</v>
      </c>
      <c r="B17" s="286" t="s">
        <v>628</v>
      </c>
      <c r="C17" s="286" t="s">
        <v>625</v>
      </c>
      <c r="D17" s="479" t="s">
        <v>29</v>
      </c>
      <c r="E17" s="286" t="s">
        <v>29</v>
      </c>
      <c r="F17" s="1126">
        <v>91</v>
      </c>
      <c r="G17" s="1123"/>
      <c r="H17" s="1123"/>
      <c r="I17" s="1123"/>
      <c r="J17" s="1123"/>
      <c r="K17" s="1123"/>
      <c r="L17" s="1122"/>
      <c r="M17" s="1139">
        <v>3202.6819999999998</v>
      </c>
      <c r="N17" s="1134"/>
      <c r="O17" s="1134"/>
      <c r="P17" s="1134"/>
      <c r="Q17" s="1134"/>
      <c r="R17" s="1134"/>
      <c r="S17" s="1139">
        <f>DataEntry[[#This Row],[E-E06]]*1.0345</f>
        <v>0</v>
      </c>
      <c r="T17" s="1134"/>
      <c r="U17" s="1134"/>
      <c r="V17" s="1100"/>
      <c r="W17" s="1099"/>
      <c r="X17" s="1102"/>
      <c r="Y17" s="1184"/>
      <c r="Z17" s="1099"/>
      <c r="AA17" s="1099"/>
      <c r="AB17" s="1099"/>
      <c r="AC17" s="1099"/>
      <c r="AD17" s="1099"/>
      <c r="AE17" s="1099"/>
      <c r="AF17" s="1099"/>
      <c r="AG17" s="1099"/>
      <c r="AH17" s="1099"/>
      <c r="AI17" s="1099"/>
      <c r="AJ17" s="1099"/>
      <c r="AK17" s="1101"/>
      <c r="AL17" s="1142">
        <v>1668519</v>
      </c>
      <c r="AM17" s="1142">
        <v>29836.43</v>
      </c>
      <c r="AN17" s="1172"/>
      <c r="AO17" s="1142">
        <f>DataEntry[[#This Row],[S-B02]]</f>
        <v>29836.43</v>
      </c>
      <c r="AP17" s="1104"/>
      <c r="AQ17" s="1103"/>
      <c r="AR17" s="1103"/>
      <c r="AS17" s="1104"/>
      <c r="AT17" s="1100"/>
      <c r="AU17" s="1100"/>
      <c r="AV17" s="1100"/>
      <c r="AW17" s="1100"/>
    </row>
    <row r="18" spans="1:49" ht="13.5" customHeight="1">
      <c r="A18" s="296" t="s">
        <v>522</v>
      </c>
      <c r="B18" s="286" t="s">
        <v>628</v>
      </c>
      <c r="C18" s="286" t="s">
        <v>625</v>
      </c>
      <c r="D18" s="479" t="s">
        <v>29</v>
      </c>
      <c r="E18" s="286" t="s">
        <v>963</v>
      </c>
      <c r="F18" s="1126"/>
      <c r="G18" s="1123"/>
      <c r="H18" s="1123"/>
      <c r="I18" s="1123"/>
      <c r="J18" s="1123"/>
      <c r="K18" s="1123"/>
      <c r="L18" s="1122"/>
      <c r="M18" s="1139"/>
      <c r="N18" s="1134"/>
      <c r="O18" s="1134"/>
      <c r="P18" s="1134"/>
      <c r="Q18" s="1134"/>
      <c r="R18" s="1134"/>
      <c r="S18" s="1139">
        <f>DataEntry[[#This Row],[E-E06]]*1.0345</f>
        <v>0</v>
      </c>
      <c r="T18" s="1134"/>
      <c r="U18" s="1134"/>
      <c r="V18" s="1100"/>
      <c r="W18" s="1099"/>
      <c r="X18" s="1182"/>
      <c r="Y18" s="1184"/>
      <c r="Z18" s="1099"/>
      <c r="AA18" s="1099"/>
      <c r="AB18" s="1099"/>
      <c r="AC18" s="1099"/>
      <c r="AD18" s="1099"/>
      <c r="AE18" s="1099"/>
      <c r="AF18" s="1099"/>
      <c r="AG18" s="1099"/>
      <c r="AH18" s="1099"/>
      <c r="AI18" s="1099"/>
      <c r="AJ18" s="1099"/>
      <c r="AK18" s="1101"/>
      <c r="AL18" s="1142"/>
      <c r="AM18" s="1142">
        <v>19762.509999999998</v>
      </c>
      <c r="AN18" s="1172"/>
      <c r="AO18" s="1142">
        <f>DataEntry[[#This Row],[S-B02]]</f>
        <v>19762.509999999998</v>
      </c>
      <c r="AP18" s="1172"/>
      <c r="AQ18" s="1142"/>
      <c r="AR18" s="1103"/>
      <c r="AS18" s="1104"/>
      <c r="AT18" s="1100"/>
      <c r="AU18" s="1100"/>
      <c r="AV18" s="1100"/>
      <c r="AW18" s="1100"/>
    </row>
    <row r="19" spans="1:49" ht="13.5" customHeight="1">
      <c r="A19" s="296" t="s">
        <v>522</v>
      </c>
      <c r="B19" s="286" t="s">
        <v>628</v>
      </c>
      <c r="C19" s="286" t="s">
        <v>625</v>
      </c>
      <c r="D19" s="479" t="s">
        <v>29</v>
      </c>
      <c r="E19" s="286" t="s">
        <v>964</v>
      </c>
      <c r="F19" s="1126"/>
      <c r="G19" s="1123"/>
      <c r="H19" s="1123"/>
      <c r="I19" s="1123"/>
      <c r="J19" s="1123"/>
      <c r="K19" s="1123"/>
      <c r="L19" s="1122"/>
      <c r="M19" s="1139"/>
      <c r="N19" s="1134"/>
      <c r="O19" s="1134"/>
      <c r="P19" s="1134"/>
      <c r="Q19" s="1134"/>
      <c r="R19" s="1134"/>
      <c r="S19" s="1139">
        <f>DataEntry[[#This Row],[E-E06]]*1.0345</f>
        <v>0</v>
      </c>
      <c r="T19" s="1134"/>
      <c r="U19" s="1134"/>
      <c r="V19" s="1100"/>
      <c r="W19" s="1099"/>
      <c r="X19" s="1182"/>
      <c r="Y19" s="1184"/>
      <c r="Z19" s="1099"/>
      <c r="AA19" s="1099"/>
      <c r="AB19" s="1099"/>
      <c r="AC19" s="1099"/>
      <c r="AD19" s="1099"/>
      <c r="AE19" s="1099"/>
      <c r="AF19" s="1099"/>
      <c r="AG19" s="1099"/>
      <c r="AH19" s="1099"/>
      <c r="AI19" s="1099"/>
      <c r="AJ19" s="1099"/>
      <c r="AK19" s="1101"/>
      <c r="AL19" s="1142"/>
      <c r="AM19" s="1103"/>
      <c r="AN19" s="1104"/>
      <c r="AO19" s="1103"/>
      <c r="AP19" s="1104"/>
      <c r="AQ19" s="1103"/>
      <c r="AR19" s="1103"/>
      <c r="AS19" s="1104"/>
      <c r="AT19" s="1100"/>
      <c r="AU19" s="1100"/>
      <c r="AV19" s="1100"/>
      <c r="AW19" s="1100"/>
    </row>
    <row r="20" spans="1:49">
      <c r="A20" s="296" t="s">
        <v>522</v>
      </c>
      <c r="B20" s="286" t="s">
        <v>628</v>
      </c>
      <c r="C20" s="286" t="s">
        <v>625</v>
      </c>
      <c r="D20" s="286" t="s">
        <v>30</v>
      </c>
      <c r="E20" s="286" t="s">
        <v>30</v>
      </c>
      <c r="F20" s="1126">
        <v>10</v>
      </c>
      <c r="G20" s="1123"/>
      <c r="H20" s="1123"/>
      <c r="I20" s="1123"/>
      <c r="J20" s="1123"/>
      <c r="K20" s="1123"/>
      <c r="L20" s="1122"/>
      <c r="M20" s="1139">
        <v>2.585</v>
      </c>
      <c r="N20" s="1134"/>
      <c r="O20" s="1134"/>
      <c r="P20" s="1134"/>
      <c r="Q20" s="1134"/>
      <c r="R20" s="1134"/>
      <c r="S20" s="1139">
        <f>DataEntry[[#This Row],[E-E06]]*1.0345</f>
        <v>0</v>
      </c>
      <c r="T20" s="1134"/>
      <c r="U20" s="1134"/>
      <c r="V20" s="1100"/>
      <c r="W20" s="1099"/>
      <c r="X20" s="1102"/>
      <c r="Y20" s="1184"/>
      <c r="Z20" s="1099"/>
      <c r="AA20" s="1099"/>
      <c r="AB20" s="1099"/>
      <c r="AC20" s="1099"/>
      <c r="AD20" s="1099"/>
      <c r="AE20" s="1099"/>
      <c r="AF20" s="1099"/>
      <c r="AG20" s="1099"/>
      <c r="AH20" s="1099"/>
      <c r="AI20" s="1099"/>
      <c r="AJ20" s="1099"/>
      <c r="AK20" s="1101"/>
      <c r="AL20" s="1142">
        <v>110305</v>
      </c>
      <c r="AM20" s="1103"/>
      <c r="AN20" s="1104"/>
      <c r="AO20" s="1103"/>
      <c r="AP20" s="1104"/>
      <c r="AQ20" s="1103"/>
      <c r="AR20" s="1103"/>
      <c r="AS20" s="1104"/>
      <c r="AT20" s="1100"/>
      <c r="AU20" s="1100"/>
      <c r="AV20" s="1100"/>
      <c r="AW20" s="1100"/>
    </row>
    <row r="21" spans="1:49" s="482" customFormat="1">
      <c r="A21" s="1254" t="s">
        <v>522</v>
      </c>
      <c r="B21" s="1160" t="s">
        <v>131</v>
      </c>
      <c r="C21" s="1160" t="s">
        <v>625</v>
      </c>
      <c r="D21" s="1160" t="s">
        <v>131</v>
      </c>
      <c r="E21" s="1160" t="s">
        <v>629</v>
      </c>
      <c r="F21" s="1174"/>
      <c r="G21" s="1124"/>
      <c r="H21" s="1124"/>
      <c r="I21" s="1124"/>
      <c r="J21" s="1124"/>
      <c r="K21" s="1174"/>
      <c r="L21" s="1124"/>
      <c r="M21" s="1250"/>
      <c r="N21" s="1138"/>
      <c r="O21" s="1138"/>
      <c r="P21" s="1138"/>
      <c r="Q21" s="1138"/>
      <c r="R21" s="1138"/>
      <c r="S21" s="1139">
        <f>DataEntry[[#This Row],[E-E06]]*1.0345</f>
        <v>0</v>
      </c>
      <c r="T21" s="1138"/>
      <c r="U21" s="1138"/>
      <c r="V21" s="1160"/>
      <c r="W21" s="1160"/>
      <c r="X21" s="1251"/>
      <c r="Y21" s="1178"/>
      <c r="Z21" s="1252"/>
      <c r="AA21" s="1252"/>
      <c r="AB21" s="1252"/>
      <c r="AC21" s="1252"/>
      <c r="AD21" s="1252"/>
      <c r="AE21" s="1252"/>
      <c r="AF21" s="1252"/>
      <c r="AG21" s="1252"/>
      <c r="AH21" s="1252"/>
      <c r="AI21" s="1252"/>
      <c r="AJ21" s="1252"/>
      <c r="AK21" s="1251"/>
      <c r="AL21" s="1141"/>
      <c r="AM21" s="1141">
        <v>1178.31</v>
      </c>
      <c r="AN21" s="1172"/>
      <c r="AO21" s="1141">
        <f>DataEntry[[#This Row],[S-B02]]</f>
        <v>1178.31</v>
      </c>
      <c r="AP21" s="1172"/>
      <c r="AQ21" s="1141"/>
      <c r="AR21" s="1172"/>
      <c r="AS21" s="1141"/>
      <c r="AT21" s="1160"/>
      <c r="AU21" s="1160"/>
      <c r="AV21" s="1160"/>
      <c r="AW21" s="1160"/>
    </row>
    <row r="22" spans="1:49">
      <c r="A22" s="297" t="s">
        <v>522</v>
      </c>
      <c r="B22" s="236" t="s">
        <v>131</v>
      </c>
      <c r="C22" s="236" t="s">
        <v>625</v>
      </c>
      <c r="D22" s="236" t="s">
        <v>131</v>
      </c>
      <c r="E22" s="236" t="s">
        <v>29</v>
      </c>
      <c r="F22" s="1122"/>
      <c r="G22" s="1125"/>
      <c r="H22" s="1125"/>
      <c r="I22" s="1125"/>
      <c r="J22" s="1125"/>
      <c r="K22" s="1122"/>
      <c r="L22" s="1125"/>
      <c r="M22" s="1133"/>
      <c r="N22" s="1135"/>
      <c r="O22" s="1135"/>
      <c r="P22" s="1135"/>
      <c r="Q22" s="1135"/>
      <c r="R22" s="1135"/>
      <c r="S22" s="1139">
        <f>DataEntry[[#This Row],[E-E06]]*1.0345</f>
        <v>0</v>
      </c>
      <c r="T22" s="1135"/>
      <c r="U22" s="1135"/>
      <c r="V22" s="1106"/>
      <c r="W22" s="1106"/>
      <c r="X22" s="1101"/>
      <c r="Y22" s="1185"/>
      <c r="Z22" s="1099"/>
      <c r="AA22" s="1099"/>
      <c r="AB22" s="1099"/>
      <c r="AC22" s="1099"/>
      <c r="AD22" s="1099"/>
      <c r="AE22" s="1099"/>
      <c r="AF22" s="1099"/>
      <c r="AG22" s="1099"/>
      <c r="AH22" s="1099"/>
      <c r="AI22" s="1099"/>
      <c r="AJ22" s="1099"/>
      <c r="AK22" s="1101"/>
      <c r="AL22" s="1141"/>
      <c r="AM22" s="1107"/>
      <c r="AN22" s="1104"/>
      <c r="AO22" s="1107"/>
      <c r="AP22" s="1104"/>
      <c r="AQ22" s="1107"/>
      <c r="AR22" s="1104"/>
      <c r="AS22" s="1107"/>
      <c r="AT22" s="1106"/>
      <c r="AU22" s="1106"/>
      <c r="AV22" s="1106"/>
      <c r="AW22" s="1106"/>
    </row>
    <row r="23" spans="1:49">
      <c r="A23" s="637" t="s">
        <v>522</v>
      </c>
      <c r="B23" s="638" t="s">
        <v>131</v>
      </c>
      <c r="C23" s="638" t="s">
        <v>625</v>
      </c>
      <c r="D23" s="437" t="s">
        <v>131</v>
      </c>
      <c r="E23" s="638"/>
      <c r="F23" s="1439">
        <v>141</v>
      </c>
      <c r="G23" s="852"/>
      <c r="H23" s="852"/>
      <c r="I23" s="852"/>
      <c r="J23" s="852"/>
      <c r="K23" s="852"/>
      <c r="L23" s="852"/>
      <c r="M23" s="1432">
        <v>52.098999999999997</v>
      </c>
      <c r="N23" s="1433"/>
      <c r="O23" s="1433"/>
      <c r="P23" s="1433"/>
      <c r="Q23" s="1433"/>
      <c r="R23" s="1433"/>
      <c r="S23" s="1433"/>
      <c r="T23" s="1433"/>
      <c r="U23" s="1433"/>
      <c r="V23" s="1433"/>
      <c r="W23" s="1433"/>
      <c r="X23" s="1434"/>
      <c r="Y23" s="1434"/>
      <c r="Z23" s="638"/>
      <c r="AA23" s="1435"/>
      <c r="AB23" s="1435"/>
      <c r="AC23" s="1435"/>
      <c r="AD23" s="1435"/>
      <c r="AE23" s="1435"/>
      <c r="AF23" s="1435"/>
      <c r="AG23" s="1435"/>
      <c r="AH23" s="1435"/>
      <c r="AI23" s="1435"/>
      <c r="AJ23" s="1435"/>
      <c r="AK23" s="1436"/>
      <c r="AL23" s="1437">
        <v>163794</v>
      </c>
      <c r="AM23" s="1438"/>
      <c r="AN23" s="1438"/>
      <c r="AO23" s="1438"/>
      <c r="AP23" s="1438"/>
      <c r="AQ23" s="1438"/>
      <c r="AR23" s="1438"/>
      <c r="AS23" s="1438"/>
      <c r="AT23" s="1435"/>
      <c r="AU23" s="1435"/>
      <c r="AV23" s="1435"/>
      <c r="AW23" s="1435"/>
    </row>
    <row r="24" spans="1:49">
      <c r="A24" s="296" t="s">
        <v>522</v>
      </c>
      <c r="B24" s="286" t="s">
        <v>90</v>
      </c>
      <c r="C24" s="286" t="s">
        <v>625</v>
      </c>
      <c r="D24" s="436" t="s">
        <v>965</v>
      </c>
      <c r="E24" s="436" t="s">
        <v>966</v>
      </c>
      <c r="F24" s="1126">
        <v>0</v>
      </c>
      <c r="G24" s="1126">
        <v>2111</v>
      </c>
      <c r="H24" s="1126">
        <v>46</v>
      </c>
      <c r="I24" s="1126">
        <f>DataEntry[[#This Row],[S-P02]]</f>
        <v>2111</v>
      </c>
      <c r="J24" s="1126">
        <f>DataEntry[[#This Row],[S-P03]]</f>
        <v>46</v>
      </c>
      <c r="K24" s="1127"/>
      <c r="L24" s="1126">
        <f>DataEntry[[#This Row],[S-P05]]</f>
        <v>46</v>
      </c>
      <c r="M24" s="1156"/>
      <c r="N24" s="1156"/>
      <c r="O24" s="1156"/>
      <c r="P24" s="1156"/>
      <c r="Q24" s="1156"/>
      <c r="R24" s="1156"/>
      <c r="S24" s="1180"/>
      <c r="T24" s="1156"/>
      <c r="U24" s="1156"/>
      <c r="V24" s="1099"/>
      <c r="W24" s="1099"/>
      <c r="X24" s="1101"/>
      <c r="Y24" s="1183">
        <v>0</v>
      </c>
      <c r="Z24" s="1099"/>
      <c r="AA24" s="1099"/>
      <c r="AB24" s="1099"/>
      <c r="AC24" s="1099"/>
      <c r="AD24" s="1099"/>
      <c r="AE24" s="1099"/>
      <c r="AF24" s="1099"/>
      <c r="AG24" s="1099"/>
      <c r="AH24" s="1099"/>
      <c r="AI24" s="1099"/>
      <c r="AJ24" s="1099"/>
      <c r="AK24" s="1101"/>
      <c r="AL24" s="1142">
        <v>84421</v>
      </c>
      <c r="AM24" s="1142">
        <v>8149.74</v>
      </c>
      <c r="AN24" s="1104"/>
      <c r="AO24" s="1142">
        <f>DataEntry[[#This Row],[S-B02]]</f>
        <v>8149.74</v>
      </c>
      <c r="AP24" s="1104"/>
      <c r="AQ24" s="1142">
        <v>0</v>
      </c>
      <c r="AR24" s="1104"/>
      <c r="AS24" s="1142">
        <v>0</v>
      </c>
      <c r="AT24" s="1100"/>
      <c r="AU24" s="1100"/>
      <c r="AV24" s="1100"/>
      <c r="AW24" s="1100"/>
    </row>
    <row r="25" spans="1:49">
      <c r="A25" s="305" t="s">
        <v>522</v>
      </c>
      <c r="B25" s="306" t="s">
        <v>90</v>
      </c>
      <c r="C25" s="306" t="s">
        <v>625</v>
      </c>
      <c r="D25" s="440" t="s">
        <v>965</v>
      </c>
      <c r="E25" s="440" t="s">
        <v>967</v>
      </c>
      <c r="F25" s="1128"/>
      <c r="G25" s="1128"/>
      <c r="H25" s="1128"/>
      <c r="I25" s="1128"/>
      <c r="J25" s="1128"/>
      <c r="K25" s="1128"/>
      <c r="L25" s="1128"/>
      <c r="M25" s="1181"/>
      <c r="N25" s="1181"/>
      <c r="O25" s="1181"/>
      <c r="P25" s="1156"/>
      <c r="Q25" s="1156"/>
      <c r="R25" s="1156"/>
      <c r="S25" s="1180"/>
      <c r="T25" s="1181"/>
      <c r="U25" s="1156"/>
      <c r="V25" s="1099"/>
      <c r="W25" s="1161"/>
      <c r="X25" s="1108"/>
      <c r="Y25" s="1186">
        <v>0</v>
      </c>
      <c r="Z25" s="1099"/>
      <c r="AA25" s="1099"/>
      <c r="AB25" s="1099"/>
      <c r="AC25" s="1099"/>
      <c r="AD25" s="1099"/>
      <c r="AE25" s="1099"/>
      <c r="AF25" s="1099"/>
      <c r="AG25" s="1099"/>
      <c r="AH25" s="1099"/>
      <c r="AI25" s="1099"/>
      <c r="AJ25" s="1161"/>
      <c r="AK25" s="1108"/>
      <c r="AL25" s="498"/>
      <c r="AM25" s="1109"/>
      <c r="AN25" s="1109"/>
      <c r="AO25" s="1110"/>
      <c r="AP25" s="1110"/>
      <c r="AQ25" s="1110"/>
      <c r="AR25" s="1104"/>
      <c r="AS25" s="1110"/>
      <c r="AT25" s="1111"/>
      <c r="AU25" s="1111"/>
      <c r="AV25" s="1111"/>
      <c r="AW25" s="1111"/>
    </row>
    <row r="26" spans="1:49" ht="15" thickBot="1">
      <c r="A26" s="678" t="s">
        <v>522</v>
      </c>
      <c r="B26" s="679" t="s">
        <v>983</v>
      </c>
      <c r="C26" s="679" t="s">
        <v>625</v>
      </c>
      <c r="D26" s="680" t="s">
        <v>91</v>
      </c>
      <c r="E26" s="681" t="s">
        <v>91</v>
      </c>
      <c r="F26" s="1197">
        <f>52/2</f>
        <v>26</v>
      </c>
      <c r="G26" s="1155">
        <v>11</v>
      </c>
      <c r="H26" s="1155">
        <v>4</v>
      </c>
      <c r="I26" s="1155">
        <v>11</v>
      </c>
      <c r="J26" s="1155">
        <v>4</v>
      </c>
      <c r="K26" s="1129"/>
      <c r="L26" s="1155">
        <v>11</v>
      </c>
      <c r="M26" s="1198">
        <f>31.832/2</f>
        <v>15.916</v>
      </c>
      <c r="N26" s="1157">
        <v>13.641</v>
      </c>
      <c r="O26" s="1157">
        <v>205.601</v>
      </c>
      <c r="P26" s="1167">
        <v>4.1459999999999999</v>
      </c>
      <c r="Q26" s="1167">
        <v>61.332000000000001</v>
      </c>
      <c r="R26" s="1157">
        <f>DataEntry[[#This Row],[E-E02]]</f>
        <v>13.641</v>
      </c>
      <c r="S26" s="1443">
        <f>DataEntry[[#This Row],[E-E06]]*1.0345</f>
        <v>14.1116145</v>
      </c>
      <c r="T26" s="1157">
        <f>DataEntry[[#This Row],[E-E03]]</f>
        <v>205.601</v>
      </c>
      <c r="U26" s="1167">
        <f>DataEntry[[#This Row],[E-E04]]</f>
        <v>4.1459999999999999</v>
      </c>
      <c r="V26" s="1168">
        <f>DataEntry[[#This Row],[E-E05]]</f>
        <v>61.332000000000001</v>
      </c>
      <c r="W26" s="1168">
        <f>DataEntry[[#This Row],[E-E06]]</f>
        <v>13.641</v>
      </c>
      <c r="X26" s="1112"/>
      <c r="Y26" s="1187">
        <v>2E-3</v>
      </c>
      <c r="Z26" s="1162"/>
      <c r="AA26" s="1162"/>
      <c r="AB26" s="1162"/>
      <c r="AC26" s="1162"/>
      <c r="AD26" s="1162"/>
      <c r="AE26" s="1162"/>
      <c r="AF26" s="1162"/>
      <c r="AG26" s="1162"/>
      <c r="AH26" s="1162"/>
      <c r="AI26" s="1162"/>
      <c r="AJ26" s="1162"/>
      <c r="AK26" s="1112"/>
      <c r="AL26" s="1199">
        <f>279207.82/2</f>
        <v>139603.91</v>
      </c>
      <c r="AM26" s="1169">
        <v>58985.42</v>
      </c>
      <c r="AN26" s="1113"/>
      <c r="AO26" s="1170">
        <f>DataEntry[[#This Row],[S-B02]]</f>
        <v>58985.42</v>
      </c>
      <c r="AP26" s="1114"/>
      <c r="AQ26" s="1170">
        <v>28201.83</v>
      </c>
      <c r="AR26" s="1114"/>
      <c r="AS26" s="1170">
        <f>DataEntry[[#This Row],[S-B06]]</f>
        <v>28201.83</v>
      </c>
      <c r="AT26" s="1115"/>
      <c r="AU26" s="1115"/>
      <c r="AV26" s="1115"/>
      <c r="AW26" s="1115"/>
    </row>
    <row r="27" spans="1:49">
      <c r="A27" s="675" t="s">
        <v>522</v>
      </c>
      <c r="B27" s="675" t="s">
        <v>86</v>
      </c>
      <c r="C27" s="676" t="s">
        <v>630</v>
      </c>
      <c r="D27" s="675" t="s">
        <v>631</v>
      </c>
      <c r="E27" s="677" t="s">
        <v>964</v>
      </c>
      <c r="F27" s="1130"/>
      <c r="G27" s="1124">
        <v>10</v>
      </c>
      <c r="H27" s="1124"/>
      <c r="I27" s="1124">
        <v>10</v>
      </c>
      <c r="J27" s="1125"/>
      <c r="K27" s="1131"/>
      <c r="L27" s="1125"/>
      <c r="M27" s="1136"/>
      <c r="N27" s="1158">
        <v>4.9669999999999996</v>
      </c>
      <c r="O27" s="1158">
        <v>79.180000000000007</v>
      </c>
      <c r="P27" s="1137"/>
      <c r="Q27" s="1137"/>
      <c r="R27" s="1158">
        <f>DataEntry[[#This Row],[E-E02]]</f>
        <v>4.9669999999999996</v>
      </c>
      <c r="S27" s="1444">
        <f>DataEntry[[#This Row],[E-E06]]*1.0345</f>
        <v>5.1383614999999994</v>
      </c>
      <c r="T27" s="1158">
        <f>DataEntry[[#This Row],[E-E03]]</f>
        <v>79.180000000000007</v>
      </c>
      <c r="U27" s="1137"/>
      <c r="V27" s="1159"/>
      <c r="W27" s="1159"/>
      <c r="X27" s="1116"/>
      <c r="Y27" s="1176">
        <v>4.0000000000000001E-3</v>
      </c>
      <c r="Z27" s="1163"/>
      <c r="AA27" s="1163"/>
      <c r="AB27" s="1163"/>
      <c r="AC27" s="1163"/>
      <c r="AD27" s="1163"/>
      <c r="AE27" s="1163"/>
      <c r="AF27" s="1163"/>
      <c r="AG27" s="1163"/>
      <c r="AH27" s="1163"/>
      <c r="AI27" s="1163"/>
      <c r="AJ27" s="1163"/>
      <c r="AK27" s="1116"/>
      <c r="AL27" s="1165"/>
      <c r="AM27" s="1173">
        <v>27897.81</v>
      </c>
      <c r="AN27" s="1117"/>
      <c r="AO27" s="1173">
        <f>DataEntry[[#This Row],[S-B02]]</f>
        <v>27897.81</v>
      </c>
      <c r="AP27" s="1117"/>
      <c r="AQ27" s="1173">
        <f>DataEntry[[#This Row],[S-B02]]</f>
        <v>27897.81</v>
      </c>
      <c r="AR27" s="1118"/>
      <c r="AS27" s="1117"/>
      <c r="AT27" s="1143">
        <v>77949.08</v>
      </c>
      <c r="AU27" s="1148">
        <f>DataEntry[[#This Row],[S-R01]]</f>
        <v>77949.08</v>
      </c>
      <c r="AV27" s="1144">
        <v>6</v>
      </c>
      <c r="AW27" s="1144">
        <f>DataEntry[[#This Row],[S-R03]]</f>
        <v>6</v>
      </c>
    </row>
    <row r="28" spans="1:49">
      <c r="A28" s="287" t="s">
        <v>522</v>
      </c>
      <c r="B28" s="287" t="s">
        <v>86</v>
      </c>
      <c r="C28" s="412" t="s">
        <v>630</v>
      </c>
      <c r="D28" s="287" t="s">
        <v>631</v>
      </c>
      <c r="E28" s="289" t="s">
        <v>153</v>
      </c>
      <c r="F28" s="1122"/>
      <c r="G28" s="1124">
        <v>46</v>
      </c>
      <c r="H28" s="1124">
        <v>1</v>
      </c>
      <c r="I28" s="1124">
        <v>46</v>
      </c>
      <c r="J28" s="1124">
        <v>1</v>
      </c>
      <c r="K28" s="1132"/>
      <c r="L28" s="1124">
        <v>1</v>
      </c>
      <c r="M28" s="1133"/>
      <c r="N28" s="1139">
        <v>4.1479999999999997</v>
      </c>
      <c r="O28" s="1139">
        <v>42.07</v>
      </c>
      <c r="P28" s="1139">
        <v>0.186</v>
      </c>
      <c r="Q28" s="1139">
        <v>2.2320000000000002</v>
      </c>
      <c r="R28" s="1139">
        <f>DataEntry[[#This Row],[E-E02]]</f>
        <v>4.1479999999999997</v>
      </c>
      <c r="S28" s="1139">
        <f>DataEntry[[#This Row],[E-E06]]*1.0345</f>
        <v>4.2911059999999992</v>
      </c>
      <c r="T28" s="1139">
        <f>DataEntry[[#This Row],[E-E03]]</f>
        <v>42.07</v>
      </c>
      <c r="U28" s="1139">
        <f>DataEntry[[#This Row],[E-E04]]</f>
        <v>0.186</v>
      </c>
      <c r="V28" s="294">
        <f>DataEntry[[#This Row],[E-E05]]</f>
        <v>2.2320000000000002</v>
      </c>
      <c r="W28" s="294">
        <f>DataEntry[[#This Row],[E-E09]]</f>
        <v>0.186</v>
      </c>
      <c r="X28" s="1101"/>
      <c r="Y28" s="1177">
        <v>4.0000000000000002E-4</v>
      </c>
      <c r="Z28" s="1164"/>
      <c r="AA28" s="1164"/>
      <c r="AB28" s="1164"/>
      <c r="AC28" s="1164"/>
      <c r="AD28" s="1164"/>
      <c r="AE28" s="1164"/>
      <c r="AF28" s="1164"/>
      <c r="AG28" s="1164"/>
      <c r="AH28" s="1164"/>
      <c r="AI28" s="1164"/>
      <c r="AJ28" s="1164"/>
      <c r="AK28" s="1101"/>
      <c r="AL28" s="1166"/>
      <c r="AM28" s="1142">
        <v>3000</v>
      </c>
      <c r="AN28" s="1142"/>
      <c r="AO28" s="1142">
        <f>DataEntry[[#This Row],[S-B02]]</f>
        <v>3000</v>
      </c>
      <c r="AP28" s="1103"/>
      <c r="AQ28" s="1142">
        <v>3000</v>
      </c>
      <c r="AR28" s="1172"/>
      <c r="AS28" s="1142">
        <v>100</v>
      </c>
      <c r="AT28" s="1119"/>
      <c r="AU28" s="1149"/>
      <c r="AV28" s="1149"/>
      <c r="AW28" s="1149"/>
    </row>
    <row r="29" spans="1:49">
      <c r="A29" s="287" t="s">
        <v>522</v>
      </c>
      <c r="B29" s="287" t="s">
        <v>86</v>
      </c>
      <c r="C29" s="412" t="s">
        <v>630</v>
      </c>
      <c r="D29" s="287" t="s">
        <v>631</v>
      </c>
      <c r="E29" s="289" t="s">
        <v>962</v>
      </c>
      <c r="F29" s="1122"/>
      <c r="G29" s="1124">
        <v>8</v>
      </c>
      <c r="H29" s="1124"/>
      <c r="I29" s="1124">
        <v>8</v>
      </c>
      <c r="J29" s="1125"/>
      <c r="K29" s="1132"/>
      <c r="L29" s="1125"/>
      <c r="M29" s="1133"/>
      <c r="N29" s="1139">
        <v>1.0229999999999999</v>
      </c>
      <c r="O29" s="1139">
        <v>10.914</v>
      </c>
      <c r="P29" s="1139"/>
      <c r="Q29" s="1139"/>
      <c r="R29" s="1139">
        <f>DataEntry[[#This Row],[E-E02]]</f>
        <v>1.0229999999999999</v>
      </c>
      <c r="S29" s="1139">
        <f>DataEntry[[#This Row],[E-E06]]*1.0345</f>
        <v>1.0582934999999998</v>
      </c>
      <c r="T29" s="1139">
        <f>DataEntry[[#This Row],[E-E03]]</f>
        <v>10.914</v>
      </c>
      <c r="U29" s="1134"/>
      <c r="V29" s="1100"/>
      <c r="W29" s="1100"/>
      <c r="X29" s="1101"/>
      <c r="Y29" s="1177">
        <v>2.0000000000000001E-4</v>
      </c>
      <c r="Z29" s="1099"/>
      <c r="AA29" s="1099"/>
      <c r="AB29" s="1099"/>
      <c r="AC29" s="1099"/>
      <c r="AD29" s="1099"/>
      <c r="AE29" s="1099"/>
      <c r="AF29" s="1099"/>
      <c r="AG29" s="1099"/>
      <c r="AH29" s="1099"/>
      <c r="AI29" s="1099"/>
      <c r="AJ29" s="1099"/>
      <c r="AK29" s="1101"/>
      <c r="AL29" s="1166"/>
      <c r="AM29" s="1142">
        <v>234</v>
      </c>
      <c r="AN29" s="1172"/>
      <c r="AO29" s="1142">
        <f>DataEntry[[#This Row],[S-B02]]</f>
        <v>234</v>
      </c>
      <c r="AP29" s="1172"/>
      <c r="AQ29" s="1142">
        <v>234</v>
      </c>
      <c r="AR29" s="1104"/>
      <c r="AS29" s="1103"/>
      <c r="AT29" s="1119"/>
      <c r="AU29" s="1149"/>
      <c r="AV29" s="1149"/>
      <c r="AW29" s="1149"/>
    </row>
    <row r="30" spans="1:49">
      <c r="A30" s="287" t="s">
        <v>522</v>
      </c>
      <c r="B30" s="287" t="s">
        <v>86</v>
      </c>
      <c r="C30" s="412" t="s">
        <v>630</v>
      </c>
      <c r="D30" s="287" t="s">
        <v>631</v>
      </c>
      <c r="E30" s="289" t="s">
        <v>13</v>
      </c>
      <c r="F30" s="1122"/>
      <c r="G30" s="1124">
        <v>53</v>
      </c>
      <c r="H30" s="1124">
        <v>1</v>
      </c>
      <c r="I30" s="1124">
        <v>53</v>
      </c>
      <c r="J30" s="1124">
        <v>1</v>
      </c>
      <c r="K30" s="1175"/>
      <c r="L30" s="1124">
        <v>1</v>
      </c>
      <c r="M30" s="1133"/>
      <c r="N30" s="1139">
        <v>5.6779999999999999</v>
      </c>
      <c r="O30" s="1139">
        <v>56.978999999999999</v>
      </c>
      <c r="P30" s="1139">
        <v>0.1028</v>
      </c>
      <c r="Q30" s="1139">
        <v>0.82240000000000002</v>
      </c>
      <c r="R30" s="1139">
        <f>DataEntry[[#This Row],[E-E02]]</f>
        <v>5.6779999999999999</v>
      </c>
      <c r="S30" s="1139">
        <f>DataEntry[[#This Row],[E-E06]]*1.0345</f>
        <v>5.8738909999999995</v>
      </c>
      <c r="T30" s="1139">
        <f>DataEntry[[#This Row],[E-E03]]</f>
        <v>56.978999999999999</v>
      </c>
      <c r="U30" s="1139">
        <f>DataEntry[[#This Row],[E-E04]]</f>
        <v>0.1028</v>
      </c>
      <c r="V30" s="294">
        <f>DataEntry[[#This Row],[E-E05]]</f>
        <v>0.82240000000000002</v>
      </c>
      <c r="W30" s="294">
        <f>DataEntry[[#This Row],[E-E09]]</f>
        <v>0.1028</v>
      </c>
      <c r="X30" s="1101"/>
      <c r="Y30" s="1177">
        <v>2.0000000000000001E-4</v>
      </c>
      <c r="Z30" s="1099"/>
      <c r="AA30" s="1099"/>
      <c r="AB30" s="1099"/>
      <c r="AC30" s="1099"/>
      <c r="AD30" s="1099"/>
      <c r="AE30" s="1099"/>
      <c r="AF30" s="1099"/>
      <c r="AG30" s="1099"/>
      <c r="AH30" s="1099"/>
      <c r="AI30" s="1099"/>
      <c r="AJ30" s="1099"/>
      <c r="AK30" s="1101"/>
      <c r="AL30" s="1166"/>
      <c r="AM30" s="1142">
        <v>2543.54</v>
      </c>
      <c r="AN30" s="1103"/>
      <c r="AO30" s="1142">
        <f>DataEntry[[#This Row],[S-B02]]</f>
        <v>2543.54</v>
      </c>
      <c r="AP30" s="1142"/>
      <c r="AQ30" s="1142">
        <f>DataEntry[[#This Row],[S-B04]]</f>
        <v>2543.54</v>
      </c>
      <c r="AR30" s="1104"/>
      <c r="AS30" s="1142">
        <v>11</v>
      </c>
      <c r="AT30" s="1120"/>
      <c r="AU30" s="1145"/>
      <c r="AV30" s="1145"/>
      <c r="AW30" s="1145"/>
    </row>
    <row r="31" spans="1:49">
      <c r="A31" s="637" t="s">
        <v>522</v>
      </c>
      <c r="B31" s="638" t="s">
        <v>86</v>
      </c>
      <c r="C31" s="638" t="s">
        <v>630</v>
      </c>
      <c r="D31" s="437" t="s">
        <v>631</v>
      </c>
      <c r="E31" s="638"/>
      <c r="F31" s="1435"/>
      <c r="G31" s="1435"/>
      <c r="H31" s="1435"/>
      <c r="I31" s="1435"/>
      <c r="J31" s="1435"/>
      <c r="K31" s="1435"/>
      <c r="L31" s="1435"/>
      <c r="M31" s="1432"/>
      <c r="N31" s="1433"/>
      <c r="O31" s="1433"/>
      <c r="P31" s="1433"/>
      <c r="Q31" s="1433"/>
      <c r="R31" s="1433"/>
      <c r="S31" s="1433"/>
      <c r="T31" s="1433"/>
      <c r="U31" s="1433"/>
      <c r="V31" s="1433"/>
      <c r="W31" s="1433"/>
      <c r="X31" s="1434"/>
      <c r="Y31" s="1434"/>
      <c r="Z31" s="638"/>
      <c r="AA31" s="1435"/>
      <c r="AB31" s="1435"/>
      <c r="AC31" s="1435"/>
      <c r="AD31" s="1435"/>
      <c r="AE31" s="1435"/>
      <c r="AF31" s="1435"/>
      <c r="AG31" s="1435"/>
      <c r="AH31" s="1435"/>
      <c r="AI31" s="1435"/>
      <c r="AJ31" s="1435"/>
      <c r="AK31" s="1436"/>
      <c r="AL31" s="1437"/>
      <c r="AM31" s="1438"/>
      <c r="AN31" s="1438"/>
      <c r="AO31" s="1438"/>
      <c r="AP31" s="1438"/>
      <c r="AQ31" s="1438"/>
      <c r="AR31" s="1438"/>
      <c r="AS31" s="1438"/>
      <c r="AT31" s="1435"/>
      <c r="AU31" s="1435"/>
      <c r="AV31" s="1435"/>
      <c r="AW31" s="1435"/>
    </row>
    <row r="32" spans="1:49">
      <c r="A32" s="234" t="s">
        <v>522</v>
      </c>
      <c r="B32" s="234" t="s">
        <v>86</v>
      </c>
      <c r="C32" s="37" t="s">
        <v>630</v>
      </c>
      <c r="D32" s="234" t="s">
        <v>633</v>
      </c>
      <c r="E32" s="204" t="s">
        <v>634</v>
      </c>
      <c r="F32" s="1122"/>
      <c r="G32" s="1124">
        <v>1</v>
      </c>
      <c r="H32" s="1124"/>
      <c r="I32" s="1124">
        <v>1</v>
      </c>
      <c r="J32" s="1124"/>
      <c r="K32" s="1132"/>
      <c r="L32" s="1125"/>
      <c r="M32" s="1156"/>
      <c r="N32" s="1138">
        <v>0.22500000000000001</v>
      </c>
      <c r="O32" s="1138">
        <v>6.5519999999999996</v>
      </c>
      <c r="P32" s="1135"/>
      <c r="Q32" s="1135"/>
      <c r="R32" s="1138">
        <f>DataEntry[[#This Row],[E-E02]]</f>
        <v>0.22500000000000001</v>
      </c>
      <c r="S32" s="1139">
        <f>DataEntry[[#This Row],[E-E06]]*1.0345</f>
        <v>0.23276250000000001</v>
      </c>
      <c r="T32" s="1138">
        <f>DataEntry[[#This Row],[E-E03]]</f>
        <v>6.5519999999999996</v>
      </c>
      <c r="U32" s="1135"/>
      <c r="V32" s="1106"/>
      <c r="W32" s="1106"/>
      <c r="X32" s="1101"/>
      <c r="Y32" s="1179">
        <v>1E-4</v>
      </c>
      <c r="Z32" s="1099"/>
      <c r="AA32" s="1099"/>
      <c r="AB32" s="1099"/>
      <c r="AC32" s="1099"/>
      <c r="AD32" s="1099"/>
      <c r="AE32" s="1099"/>
      <c r="AF32" s="1099"/>
      <c r="AG32" s="1099"/>
      <c r="AH32" s="1099"/>
      <c r="AI32" s="1099"/>
      <c r="AJ32" s="1099"/>
      <c r="AK32" s="1101"/>
      <c r="AL32" s="1166"/>
      <c r="AM32" s="1141">
        <v>10492.04</v>
      </c>
      <c r="AN32" s="1107"/>
      <c r="AO32" s="1141">
        <f>DataEntry[[#This Row],[S-B02]]</f>
        <v>10492.04</v>
      </c>
      <c r="AP32" s="1107"/>
      <c r="AQ32" s="1141">
        <f>DataEntry[[#This Row],[S-B04]]</f>
        <v>10492.04</v>
      </c>
      <c r="AR32" s="1104"/>
      <c r="AS32" s="1107"/>
      <c r="AT32" s="1147">
        <v>12634</v>
      </c>
      <c r="AU32" s="1148">
        <f>DataEntry[[#This Row],[S-R01]]</f>
        <v>12634</v>
      </c>
      <c r="AV32" s="1146">
        <v>1</v>
      </c>
      <c r="AW32" s="1144">
        <f>DataEntry[[#This Row],[S-R03]]</f>
        <v>1</v>
      </c>
    </row>
    <row r="33" spans="1:49">
      <c r="A33" s="234" t="s">
        <v>522</v>
      </c>
      <c r="B33" s="234" t="s">
        <v>86</v>
      </c>
      <c r="C33" s="37" t="s">
        <v>630</v>
      </c>
      <c r="D33" s="234" t="s">
        <v>633</v>
      </c>
      <c r="E33" s="204" t="s">
        <v>249</v>
      </c>
      <c r="F33" s="1122"/>
      <c r="G33" s="1125"/>
      <c r="H33" s="1125"/>
      <c r="I33" s="1125"/>
      <c r="J33" s="1125"/>
      <c r="K33" s="1132"/>
      <c r="L33" s="1125"/>
      <c r="M33" s="1156"/>
      <c r="N33" s="1135"/>
      <c r="O33" s="1135"/>
      <c r="P33" s="1135"/>
      <c r="Q33" s="1135"/>
      <c r="R33" s="1135"/>
      <c r="S33" s="1139">
        <f>DataEntry[[#This Row],[E-E06]]*1.0345</f>
        <v>0</v>
      </c>
      <c r="T33" s="1135"/>
      <c r="U33" s="1135"/>
      <c r="V33" s="1106"/>
      <c r="W33" s="1106"/>
      <c r="X33" s="1101"/>
      <c r="Y33" s="1188"/>
      <c r="Z33" s="1099"/>
      <c r="AA33" s="1099"/>
      <c r="AB33" s="1099"/>
      <c r="AC33" s="1099"/>
      <c r="AD33" s="1099"/>
      <c r="AE33" s="1099"/>
      <c r="AF33" s="1099"/>
      <c r="AG33" s="1099"/>
      <c r="AH33" s="1099"/>
      <c r="AI33" s="1099"/>
      <c r="AJ33" s="1099"/>
      <c r="AK33" s="1101"/>
      <c r="AL33" s="1166"/>
      <c r="AM33" s="1107"/>
      <c r="AN33" s="1107"/>
      <c r="AO33" s="1107"/>
      <c r="AP33" s="1107"/>
      <c r="AQ33" s="1107"/>
      <c r="AR33" s="1104"/>
      <c r="AS33" s="1107"/>
      <c r="AT33" s="1121"/>
      <c r="AU33" s="1147"/>
      <c r="AV33" s="1147"/>
      <c r="AW33" s="1147"/>
    </row>
    <row r="34" spans="1:49">
      <c r="A34" s="234" t="s">
        <v>522</v>
      </c>
      <c r="B34" s="234" t="s">
        <v>86</v>
      </c>
      <c r="C34" s="37" t="s">
        <v>630</v>
      </c>
      <c r="D34" s="234" t="s">
        <v>633</v>
      </c>
      <c r="E34" s="204" t="s">
        <v>156</v>
      </c>
      <c r="F34" s="1122"/>
      <c r="G34" s="1125"/>
      <c r="H34" s="1125"/>
      <c r="I34" s="1125"/>
      <c r="J34" s="1125"/>
      <c r="K34" s="1132"/>
      <c r="L34" s="1125"/>
      <c r="M34" s="1156"/>
      <c r="N34" s="1135"/>
      <c r="O34" s="1135"/>
      <c r="P34" s="1135"/>
      <c r="Q34" s="1135"/>
      <c r="R34" s="1135"/>
      <c r="S34" s="1139">
        <f>DataEntry[[#This Row],[E-E06]]*1.0345</f>
        <v>0</v>
      </c>
      <c r="T34" s="1135"/>
      <c r="U34" s="1135"/>
      <c r="V34" s="1106"/>
      <c r="W34" s="1106"/>
      <c r="X34" s="1101"/>
      <c r="Y34" s="1188"/>
      <c r="Z34" s="1099"/>
      <c r="AA34" s="1099"/>
      <c r="AB34" s="1099"/>
      <c r="AC34" s="1099"/>
      <c r="AD34" s="1099"/>
      <c r="AE34" s="1099"/>
      <c r="AF34" s="1099"/>
      <c r="AG34" s="1099"/>
      <c r="AH34" s="1099"/>
      <c r="AI34" s="1099"/>
      <c r="AJ34" s="1099"/>
      <c r="AK34" s="1101"/>
      <c r="AL34" s="1166"/>
      <c r="AM34" s="1107"/>
      <c r="AN34" s="1107"/>
      <c r="AO34" s="1107"/>
      <c r="AP34" s="1107"/>
      <c r="AQ34" s="1107"/>
      <c r="AR34" s="1104"/>
      <c r="AS34" s="1107"/>
      <c r="AT34" s="1121"/>
      <c r="AU34" s="1147"/>
      <c r="AV34" s="1147"/>
      <c r="AW34" s="1147"/>
    </row>
    <row r="35" spans="1:49">
      <c r="A35" s="637" t="s">
        <v>522</v>
      </c>
      <c r="B35" s="638" t="s">
        <v>86</v>
      </c>
      <c r="C35" s="638" t="s">
        <v>630</v>
      </c>
      <c r="D35" s="437" t="s">
        <v>633</v>
      </c>
      <c r="E35" s="638"/>
      <c r="F35" s="1435"/>
      <c r="G35" s="1435"/>
      <c r="H35" s="1435"/>
      <c r="I35" s="1435"/>
      <c r="J35" s="1435"/>
      <c r="K35" s="1435"/>
      <c r="L35" s="1435"/>
      <c r="M35" s="1432"/>
      <c r="N35" s="1433"/>
      <c r="O35" s="1433"/>
      <c r="P35" s="1433"/>
      <c r="Q35" s="1433"/>
      <c r="R35" s="1433"/>
      <c r="S35" s="1433"/>
      <c r="T35" s="1433"/>
      <c r="U35" s="1433"/>
      <c r="V35" s="1433"/>
      <c r="W35" s="1433"/>
      <c r="X35" s="1434"/>
      <c r="Y35" s="1434"/>
      <c r="Z35" s="638"/>
      <c r="AA35" s="1435"/>
      <c r="AB35" s="1435"/>
      <c r="AC35" s="1435"/>
      <c r="AD35" s="1435"/>
      <c r="AE35" s="1435"/>
      <c r="AF35" s="1435"/>
      <c r="AG35" s="1435"/>
      <c r="AH35" s="1435"/>
      <c r="AI35" s="1435"/>
      <c r="AJ35" s="1435"/>
      <c r="AK35" s="1436"/>
      <c r="AL35" s="1437"/>
      <c r="AM35" s="1438"/>
      <c r="AN35" s="1438"/>
      <c r="AO35" s="1438"/>
      <c r="AP35" s="1438"/>
      <c r="AQ35" s="1438"/>
      <c r="AR35" s="1438"/>
      <c r="AS35" s="1438"/>
      <c r="AT35" s="1435"/>
      <c r="AU35" s="1435"/>
      <c r="AV35" s="1435"/>
      <c r="AW35" s="1435"/>
    </row>
    <row r="36" spans="1:49" ht="15" customHeight="1">
      <c r="A36" s="287" t="s">
        <v>522</v>
      </c>
      <c r="B36" s="287" t="s">
        <v>628</v>
      </c>
      <c r="C36" s="412" t="s">
        <v>630</v>
      </c>
      <c r="D36" s="287" t="s">
        <v>27</v>
      </c>
      <c r="E36" s="289" t="s">
        <v>27</v>
      </c>
      <c r="F36" s="1122"/>
      <c r="G36" s="1126">
        <v>16</v>
      </c>
      <c r="H36" s="1126"/>
      <c r="I36" s="1126">
        <v>16</v>
      </c>
      <c r="J36" s="1126"/>
      <c r="K36" s="1126">
        <v>16</v>
      </c>
      <c r="L36" s="1132"/>
      <c r="M36" s="1156"/>
      <c r="N36" s="1139">
        <v>233.85300000000001</v>
      </c>
      <c r="O36" s="1139">
        <v>3498.752</v>
      </c>
      <c r="P36" s="1139"/>
      <c r="Q36" s="1139"/>
      <c r="R36" s="1139">
        <f>DataEntry[[#This Row],[E-E02]]</f>
        <v>233.85300000000001</v>
      </c>
      <c r="S36" s="1139">
        <f>DataEntry[[#This Row],[E-E06]]*1.0345</f>
        <v>241.9209285</v>
      </c>
      <c r="T36" s="1139">
        <f>DataEntry[[#This Row],[E-E03]]</f>
        <v>3498.752</v>
      </c>
      <c r="U36" s="1134"/>
      <c r="V36" s="1100"/>
      <c r="W36" s="1105"/>
      <c r="X36" s="1171">
        <f>DataEntry[[#This Row],[E-E06]]</f>
        <v>233.85300000000001</v>
      </c>
      <c r="Y36" s="1177">
        <f>0.049</f>
        <v>4.9000000000000002E-2</v>
      </c>
      <c r="Z36" s="1099"/>
      <c r="AA36" s="1099"/>
      <c r="AB36" s="1099"/>
      <c r="AC36" s="1099"/>
      <c r="AD36" s="1099"/>
      <c r="AE36" s="1099"/>
      <c r="AF36" s="1099"/>
      <c r="AG36" s="1099"/>
      <c r="AH36" s="1099"/>
      <c r="AI36" s="1099"/>
      <c r="AJ36" s="1099"/>
      <c r="AK36" s="1101"/>
      <c r="AL36" s="1166"/>
      <c r="AM36" s="1142">
        <v>573953.75</v>
      </c>
      <c r="AN36" s="1103"/>
      <c r="AO36" s="1142">
        <f>DataEntry[[#This Row],[S-B02]]</f>
        <v>573953.75</v>
      </c>
      <c r="AP36" s="1142"/>
      <c r="AQ36" s="1142">
        <f>DataEntry[[#This Row],[S-B02]]</f>
        <v>573953.75</v>
      </c>
      <c r="AR36" s="1142">
        <f>DataEntry[[#This Row],[S-B06]]</f>
        <v>573953.75</v>
      </c>
      <c r="AS36" s="1104"/>
      <c r="AT36" s="1145">
        <v>8960</v>
      </c>
      <c r="AU36" s="1148">
        <f>DataEntry[[#This Row],[S-R01]]</f>
        <v>8960</v>
      </c>
      <c r="AV36" s="1146">
        <v>1</v>
      </c>
      <c r="AW36" s="1144">
        <f>DataEntry[[#This Row],[S-R03]]</f>
        <v>1</v>
      </c>
    </row>
    <row r="37" spans="1:49">
      <c r="A37" s="287" t="s">
        <v>522</v>
      </c>
      <c r="B37" s="287" t="s">
        <v>628</v>
      </c>
      <c r="C37" s="412" t="s">
        <v>630</v>
      </c>
      <c r="D37" s="287" t="s">
        <v>636</v>
      </c>
      <c r="E37" s="289" t="s">
        <v>29</v>
      </c>
      <c r="F37" s="1122"/>
      <c r="G37" s="1126">
        <v>5</v>
      </c>
      <c r="H37" s="1126"/>
      <c r="I37" s="1126">
        <v>5</v>
      </c>
      <c r="J37" s="1126"/>
      <c r="K37" s="1126">
        <v>3</v>
      </c>
      <c r="L37" s="1132"/>
      <c r="M37" s="1156"/>
      <c r="N37" s="1139">
        <v>341.88799999999998</v>
      </c>
      <c r="O37" s="1139">
        <v>5011.1180000000004</v>
      </c>
      <c r="P37" s="1139"/>
      <c r="Q37" s="1139"/>
      <c r="R37" s="1139">
        <f>DataEntry[[#This Row],[E-E02]]</f>
        <v>341.88799999999998</v>
      </c>
      <c r="S37" s="1139">
        <f>DataEntry[[#This Row],[E-E06]]*1.0345</f>
        <v>353.68313599999999</v>
      </c>
      <c r="T37" s="1139">
        <f>DataEntry[[#This Row],[E-E03]]</f>
        <v>5011.1180000000004</v>
      </c>
      <c r="U37" s="1134"/>
      <c r="V37" s="1100"/>
      <c r="W37" s="1105"/>
      <c r="X37" s="1171">
        <v>228.40899999999999</v>
      </c>
      <c r="Y37" s="1177">
        <v>1.7999999999999999E-2</v>
      </c>
      <c r="Z37" s="1099"/>
      <c r="AA37" s="1099"/>
      <c r="AB37" s="1099"/>
      <c r="AC37" s="1099"/>
      <c r="AD37" s="1099"/>
      <c r="AE37" s="1099"/>
      <c r="AF37" s="1099"/>
      <c r="AG37" s="1099"/>
      <c r="AH37" s="1099"/>
      <c r="AI37" s="1099"/>
      <c r="AJ37" s="1099"/>
      <c r="AK37" s="1101"/>
      <c r="AL37" s="1166"/>
      <c r="AM37" s="1142">
        <v>30789.57</v>
      </c>
      <c r="AN37" s="1142"/>
      <c r="AO37" s="1142">
        <f>DataEntry[[#This Row],[S-B02]]</f>
        <v>30789.57</v>
      </c>
      <c r="AP37" s="1103"/>
      <c r="AQ37" s="1142">
        <f>DataEntry[[#This Row],[S-B04]]</f>
        <v>30789.57</v>
      </c>
      <c r="AR37" s="1142">
        <v>25328.81</v>
      </c>
      <c r="AS37" s="1104"/>
      <c r="AT37" s="1120"/>
      <c r="AU37" s="1145"/>
      <c r="AV37" s="1145"/>
      <c r="AW37" s="1145"/>
    </row>
    <row r="38" spans="1:49">
      <c r="A38" s="287" t="s">
        <v>522</v>
      </c>
      <c r="B38" s="287" t="s">
        <v>628</v>
      </c>
      <c r="C38" s="412" t="s">
        <v>630</v>
      </c>
      <c r="D38" s="287" t="s">
        <v>636</v>
      </c>
      <c r="E38" s="289" t="s">
        <v>963</v>
      </c>
      <c r="F38" s="1122"/>
      <c r="G38" s="1126">
        <v>2</v>
      </c>
      <c r="H38" s="1126"/>
      <c r="I38" s="1126">
        <v>2</v>
      </c>
      <c r="J38" s="1126"/>
      <c r="K38" s="1126">
        <v>2</v>
      </c>
      <c r="L38" s="1132"/>
      <c r="M38" s="1156"/>
      <c r="N38" s="1139">
        <v>295.827</v>
      </c>
      <c r="O38" s="1139">
        <v>4437.41</v>
      </c>
      <c r="P38" s="1139"/>
      <c r="Q38" s="1139"/>
      <c r="R38" s="1139">
        <f>DataEntry[[#This Row],[E-E02]]</f>
        <v>295.827</v>
      </c>
      <c r="S38" s="1139">
        <f>DataEntry[[#This Row],[E-E06]]*1.0345</f>
        <v>306.03303149999999</v>
      </c>
      <c r="T38" s="1139">
        <f>DataEntry[[#This Row],[E-E03]]</f>
        <v>4437.41</v>
      </c>
      <c r="U38" s="1134"/>
      <c r="V38" s="1100"/>
      <c r="W38" s="1105"/>
      <c r="X38" s="1171">
        <f>DataEntry[[#This Row],[E-E06]]</f>
        <v>295.827</v>
      </c>
      <c r="Y38" s="1177">
        <v>6.8000000000000005E-2</v>
      </c>
      <c r="Z38" s="1099"/>
      <c r="AA38" s="1099"/>
      <c r="AB38" s="1099"/>
      <c r="AC38" s="1099"/>
      <c r="AD38" s="1099"/>
      <c r="AE38" s="1099"/>
      <c r="AF38" s="1099"/>
      <c r="AG38" s="1099"/>
      <c r="AH38" s="1099"/>
      <c r="AI38" s="1099"/>
      <c r="AJ38" s="1099"/>
      <c r="AK38" s="1101"/>
      <c r="AL38" s="1166"/>
      <c r="AM38" s="1142">
        <v>24225</v>
      </c>
      <c r="AN38" s="1142"/>
      <c r="AO38" s="1142">
        <f>DataEntry[[#This Row],[S-B02]]</f>
        <v>24225</v>
      </c>
      <c r="AP38" s="1142"/>
      <c r="AQ38" s="1142">
        <f>DataEntry[[#This Row],[S-B04]]</f>
        <v>24225</v>
      </c>
      <c r="AR38" s="1142">
        <f>DataEntry[[#This Row],[S-B06]]</f>
        <v>24225</v>
      </c>
      <c r="AS38" s="1104"/>
      <c r="AT38" s="1120"/>
      <c r="AU38" s="1145"/>
      <c r="AV38" s="1145"/>
      <c r="AW38" s="1145"/>
    </row>
    <row r="39" spans="1:49">
      <c r="A39" s="637" t="s">
        <v>522</v>
      </c>
      <c r="B39" s="638" t="s">
        <v>628</v>
      </c>
      <c r="C39" s="638" t="s">
        <v>630</v>
      </c>
      <c r="D39" s="437" t="s">
        <v>636</v>
      </c>
      <c r="E39" s="638"/>
      <c r="F39" s="1435"/>
      <c r="G39" s="1435"/>
      <c r="H39" s="1435"/>
      <c r="I39" s="1435"/>
      <c r="J39" s="1435"/>
      <c r="K39" s="1435"/>
      <c r="L39" s="1435"/>
      <c r="M39" s="1432"/>
      <c r="N39" s="1433"/>
      <c r="O39" s="1433"/>
      <c r="P39" s="1433"/>
      <c r="Q39" s="1433"/>
      <c r="R39" s="1433"/>
      <c r="S39" s="1433"/>
      <c r="T39" s="1433"/>
      <c r="U39" s="1433"/>
      <c r="V39" s="1433"/>
      <c r="W39" s="1433"/>
      <c r="X39" s="1434"/>
      <c r="Y39" s="1434"/>
      <c r="Z39" s="638"/>
      <c r="AA39" s="1435"/>
      <c r="AB39" s="1435"/>
      <c r="AC39" s="1435"/>
      <c r="AD39" s="1435"/>
      <c r="AE39" s="1435"/>
      <c r="AF39" s="1435"/>
      <c r="AG39" s="1435"/>
      <c r="AH39" s="1435"/>
      <c r="AI39" s="1435"/>
      <c r="AJ39" s="1435"/>
      <c r="AK39" s="1436"/>
      <c r="AL39" s="1437"/>
      <c r="AM39" s="1438"/>
      <c r="AN39" s="1438"/>
      <c r="AO39" s="1438"/>
      <c r="AP39" s="1438"/>
      <c r="AQ39" s="1438"/>
      <c r="AR39" s="1438"/>
      <c r="AS39" s="1438"/>
      <c r="AT39" s="1435"/>
      <c r="AU39" s="1435"/>
      <c r="AV39" s="1435"/>
      <c r="AW39" s="1435"/>
    </row>
    <row r="40" spans="1:49">
      <c r="A40" s="234" t="s">
        <v>522</v>
      </c>
      <c r="B40" s="234" t="s">
        <v>131</v>
      </c>
      <c r="C40" s="37" t="s">
        <v>630</v>
      </c>
      <c r="D40" s="234" t="s">
        <v>131</v>
      </c>
      <c r="E40" s="204" t="s">
        <v>27</v>
      </c>
      <c r="F40" s="1122"/>
      <c r="G40" s="1125"/>
      <c r="H40" s="1125"/>
      <c r="I40" s="1125"/>
      <c r="J40" s="1125"/>
      <c r="K40" s="1132"/>
      <c r="L40" s="1125"/>
      <c r="M40" s="1133"/>
      <c r="N40" s="1135"/>
      <c r="O40" s="1135"/>
      <c r="P40" s="1135"/>
      <c r="Q40" s="1135"/>
      <c r="R40" s="1135"/>
      <c r="S40" s="1139">
        <f>DataEntry[[#This Row],[E-E06]]*1.0345</f>
        <v>0</v>
      </c>
      <c r="T40" s="1135"/>
      <c r="U40" s="1135"/>
      <c r="V40" s="1106"/>
      <c r="W40" s="1106"/>
      <c r="X40" s="1101"/>
      <c r="Y40" s="1188"/>
      <c r="Z40" s="1099"/>
      <c r="AA40" s="1099"/>
      <c r="AB40" s="1099"/>
      <c r="AC40" s="1099"/>
      <c r="AD40" s="1099"/>
      <c r="AE40" s="1099"/>
      <c r="AF40" s="1099"/>
      <c r="AG40" s="1099"/>
      <c r="AH40" s="1099"/>
      <c r="AI40" s="1099"/>
      <c r="AJ40" s="1099"/>
      <c r="AK40" s="1101"/>
      <c r="AL40" s="1166"/>
      <c r="AM40" s="1107"/>
      <c r="AN40" s="1107"/>
      <c r="AO40" s="1107"/>
      <c r="AP40" s="1107"/>
      <c r="AQ40" s="1107"/>
      <c r="AR40" s="1104"/>
      <c r="AS40" s="1107"/>
      <c r="AT40" s="1121"/>
      <c r="AU40" s="1147"/>
      <c r="AV40" s="1147"/>
      <c r="AW40" s="1147"/>
    </row>
    <row r="41" spans="1:49">
      <c r="AL41"/>
      <c r="AM41"/>
      <c r="AN41"/>
      <c r="AO41"/>
      <c r="AP41"/>
      <c r="AQ41"/>
      <c r="AR41"/>
      <c r="AS41"/>
      <c r="AT41"/>
      <c r="AU41"/>
      <c r="AV41"/>
      <c r="AW41"/>
    </row>
    <row r="42" spans="1:49">
      <c r="N42" s="1284"/>
      <c r="O42" s="1242"/>
      <c r="R42" s="1242"/>
      <c r="AL42"/>
      <c r="AM42" s="1242"/>
      <c r="AN42"/>
      <c r="AO42"/>
      <c r="AP42"/>
      <c r="AQ42" s="1242"/>
      <c r="AR42"/>
      <c r="AS42"/>
      <c r="AT42"/>
      <c r="AU42"/>
      <c r="AV42"/>
      <c r="AW42"/>
    </row>
    <row r="43" spans="1:49">
      <c r="N43" s="1284"/>
      <c r="AL43"/>
      <c r="AM43"/>
      <c r="AN43"/>
      <c r="AO43"/>
      <c r="AP43"/>
      <c r="AQ43"/>
      <c r="AR43"/>
      <c r="AS43"/>
      <c r="AT43"/>
      <c r="AU43"/>
      <c r="AV43"/>
      <c r="AW43"/>
    </row>
    <row r="44" spans="1:49">
      <c r="N44" s="1284"/>
    </row>
  </sheetData>
  <phoneticPr fontId="50" type="noConversion"/>
  <conditionalFormatting sqref="AO5:AQ9 AS11:AW22 AO26:AW26 AO11:AQ22 AO24:AQ25 AS24:AW25">
    <cfRule type="expression" dxfId="9" priority="25">
      <formula>IF(#REF!&gt;1,TRUE,FALSE)</formula>
    </cfRule>
  </conditionalFormatting>
  <conditionalFormatting sqref="AR5:AS9 AT6:AW9 AR11:AR22 AR24:AR25">
    <cfRule type="expression" dxfId="8" priority="26">
      <formula>IF(#REF!&gt;1,TRUE,FALSE)</formula>
    </cfRule>
  </conditionalFormatting>
  <conditionalFormatting sqref="AR10">
    <cfRule type="expression" dxfId="7" priority="5">
      <formula>IF(#REF!&gt;1,TRUE,FALSE)</formula>
    </cfRule>
  </conditionalFormatting>
  <conditionalFormatting sqref="AR23">
    <cfRule type="expression" dxfId="6" priority="4">
      <formula>IF(#REF!&gt;1,TRUE,FALSE)</formula>
    </cfRule>
  </conditionalFormatting>
  <conditionalFormatting sqref="AR31">
    <cfRule type="expression" dxfId="5" priority="3">
      <formula>IF(#REF!&gt;1,TRUE,FALSE)</formula>
    </cfRule>
  </conditionalFormatting>
  <conditionalFormatting sqref="AR35">
    <cfRule type="expression" dxfId="4" priority="2">
      <formula>IF(#REF!&gt;1,TRUE,FALSE)</formula>
    </cfRule>
  </conditionalFormatting>
  <conditionalFormatting sqref="AR39">
    <cfRule type="expression" dxfId="0" priority="1">
      <formula>IF(#REF!&gt;1,TRUE,FALSE)</formula>
    </cfRule>
  </conditionalFormatting>
  <pageMargins left="0.7" right="0.7" top="0.75" bottom="0.75" header="0.3" footer="0.3"/>
  <headerFooter>
    <oddFooter>&amp;C_x000D_&amp;1#&amp;"Calibri"&amp;22&amp;K0073CF INTERNAL</oddFooter>
  </headerFooter>
  <tableParts count="1">
    <tablePart r:id="rId1"/>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E156F-4D75-49CC-9A96-4EE959415142}">
  <sheetPr codeName="Sheet17"/>
  <dimension ref="A1:AI8"/>
  <sheetViews>
    <sheetView workbookViewId="0">
      <pane ySplit="4" topLeftCell="A5" activePane="bottomLeft" state="frozen"/>
      <selection pane="bottomLeft" activeCell="AA5" sqref="AA5:AA7"/>
    </sheetView>
  </sheetViews>
  <sheetFormatPr defaultRowHeight="14.5" outlineLevelCol="1"/>
  <cols>
    <col min="1" max="1" width="23.26953125" bestFit="1" customWidth="1"/>
    <col min="2" max="2" width="9.7265625" bestFit="1" customWidth="1"/>
    <col min="3" max="3" width="12.1796875" bestFit="1" customWidth="1"/>
    <col min="4" max="4" width="20.453125" bestFit="1" customWidth="1"/>
    <col min="5" max="5" width="35" customWidth="1"/>
    <col min="6" max="6" width="19.26953125" bestFit="1" customWidth="1"/>
    <col min="7" max="7" width="14.54296875" bestFit="1" customWidth="1"/>
    <col min="8" max="8" width="18.26953125" bestFit="1" customWidth="1"/>
    <col min="9" max="9" width="14.26953125" bestFit="1" customWidth="1"/>
    <col min="10" max="10" width="18.1796875" bestFit="1" customWidth="1"/>
    <col min="11" max="11" width="16.7265625" bestFit="1" customWidth="1"/>
    <col min="12" max="12" width="17.7265625" bestFit="1" customWidth="1"/>
    <col min="13" max="13" width="22.1796875" customWidth="1" outlineLevel="1"/>
    <col min="14" max="23" width="15.7265625" customWidth="1" outlineLevel="1"/>
    <col min="24" max="24" width="18.1796875" bestFit="1" customWidth="1"/>
    <col min="25" max="25" width="12.453125" customWidth="1"/>
    <col min="26" max="26" width="16" customWidth="1"/>
    <col min="27" max="27" width="16.26953125" bestFit="1" customWidth="1"/>
    <col min="28" max="28" width="15.26953125" customWidth="1"/>
    <col min="29" max="31" width="11.7265625" customWidth="1"/>
    <col min="32" max="32" width="16.26953125" customWidth="1"/>
    <col min="33" max="33" width="11.1796875" bestFit="1" customWidth="1"/>
    <col min="34" max="34" width="13.1796875" customWidth="1"/>
    <col min="35" max="35" width="14.81640625" customWidth="1"/>
  </cols>
  <sheetData>
    <row r="1" spans="1:35">
      <c r="B1" s="482" t="s">
        <v>926</v>
      </c>
      <c r="C1" s="218"/>
      <c r="D1" t="s">
        <v>526</v>
      </c>
      <c r="E1" s="482">
        <v>2025</v>
      </c>
      <c r="G1" s="246" t="s">
        <v>527</v>
      </c>
    </row>
    <row r="2" spans="1:35" ht="43.5">
      <c r="A2" s="220" t="s">
        <v>528</v>
      </c>
      <c r="B2" s="221"/>
      <c r="C2" s="221"/>
      <c r="D2" s="221"/>
      <c r="E2" s="222"/>
      <c r="F2" s="767" t="s">
        <v>529</v>
      </c>
      <c r="G2" s="248" t="s">
        <v>530</v>
      </c>
      <c r="H2" s="249"/>
      <c r="I2" s="248" t="s">
        <v>531</v>
      </c>
      <c r="J2" s="250"/>
      <c r="K2" s="250"/>
      <c r="L2" s="250"/>
      <c r="M2" s="408" t="s">
        <v>640</v>
      </c>
      <c r="N2" s="261" t="s">
        <v>641</v>
      </c>
      <c r="O2" s="262"/>
      <c r="P2" s="262"/>
      <c r="Q2" s="262"/>
      <c r="R2" s="261" t="s">
        <v>642</v>
      </c>
      <c r="S2" s="262"/>
      <c r="T2" s="262"/>
      <c r="U2" s="262"/>
      <c r="V2" s="262"/>
      <c r="W2" s="262"/>
      <c r="X2" s="766" t="s">
        <v>532</v>
      </c>
      <c r="Y2" s="782" t="s">
        <v>533</v>
      </c>
      <c r="Z2" s="842"/>
      <c r="AA2" s="782" t="s">
        <v>534</v>
      </c>
      <c r="AB2" s="685"/>
      <c r="AC2" s="253"/>
      <c r="AD2" s="253"/>
      <c r="AE2" s="254"/>
      <c r="AF2" s="257" t="s">
        <v>535</v>
      </c>
      <c r="AG2" s="258"/>
      <c r="AH2" s="258"/>
      <c r="AI2" s="258"/>
    </row>
    <row r="3" spans="1:35" ht="43.5">
      <c r="A3" s="228" t="s">
        <v>536</v>
      </c>
      <c r="B3" s="229" t="s">
        <v>83</v>
      </c>
      <c r="C3" s="230" t="s">
        <v>537</v>
      </c>
      <c r="D3" s="230" t="s">
        <v>1</v>
      </c>
      <c r="E3" s="230" t="s">
        <v>2</v>
      </c>
      <c r="F3" s="649" t="s">
        <v>538</v>
      </c>
      <c r="G3" s="264" t="s">
        <v>539</v>
      </c>
      <c r="H3" s="264" t="s">
        <v>540</v>
      </c>
      <c r="I3" s="264" t="s">
        <v>541</v>
      </c>
      <c r="J3" s="264" t="s">
        <v>542</v>
      </c>
      <c r="K3" s="264" t="s">
        <v>543</v>
      </c>
      <c r="L3" s="264" t="s">
        <v>544</v>
      </c>
      <c r="M3" s="268" t="s">
        <v>643</v>
      </c>
      <c r="N3" s="268" t="s">
        <v>644</v>
      </c>
      <c r="O3" s="268" t="s">
        <v>645</v>
      </c>
      <c r="P3" s="268" t="s">
        <v>646</v>
      </c>
      <c r="Q3" s="268" t="s">
        <v>647</v>
      </c>
      <c r="R3" s="268" t="s">
        <v>648</v>
      </c>
      <c r="S3" s="268" t="s">
        <v>649</v>
      </c>
      <c r="T3" s="268" t="s">
        <v>650</v>
      </c>
      <c r="U3" s="268" t="s">
        <v>651</v>
      </c>
      <c r="V3" s="268" t="s">
        <v>652</v>
      </c>
      <c r="W3" s="268" t="s">
        <v>555</v>
      </c>
      <c r="X3" s="265" t="s">
        <v>567</v>
      </c>
      <c r="Y3" s="265" t="s">
        <v>568</v>
      </c>
      <c r="Z3" s="265" t="s">
        <v>569</v>
      </c>
      <c r="AA3" s="265" t="s">
        <v>570</v>
      </c>
      <c r="AB3" s="265" t="s">
        <v>571</v>
      </c>
      <c r="AC3" s="265" t="s">
        <v>572</v>
      </c>
      <c r="AD3" s="265" t="s">
        <v>573</v>
      </c>
      <c r="AE3" s="265" t="s">
        <v>574</v>
      </c>
      <c r="AF3" s="267" t="s">
        <v>123</v>
      </c>
      <c r="AG3" s="267" t="s">
        <v>124</v>
      </c>
      <c r="AH3" s="267" t="s">
        <v>575</v>
      </c>
      <c r="AI3" s="267" t="s">
        <v>576</v>
      </c>
    </row>
    <row r="4" spans="1:35">
      <c r="A4" s="697" t="s">
        <v>577</v>
      </c>
      <c r="B4" s="698" t="s">
        <v>578</v>
      </c>
      <c r="C4" s="699" t="s">
        <v>579</v>
      </c>
      <c r="D4" s="699" t="s">
        <v>580</v>
      </c>
      <c r="E4" s="699" t="s">
        <v>581</v>
      </c>
      <c r="F4" s="700" t="s">
        <v>582</v>
      </c>
      <c r="G4" s="700" t="s">
        <v>583</v>
      </c>
      <c r="H4" s="700" t="s">
        <v>584</v>
      </c>
      <c r="I4" s="700" t="s">
        <v>585</v>
      </c>
      <c r="J4" s="700" t="s">
        <v>586</v>
      </c>
      <c r="K4" s="700" t="s">
        <v>587</v>
      </c>
      <c r="L4" s="700" t="s">
        <v>588</v>
      </c>
      <c r="M4" s="701" t="s">
        <v>653</v>
      </c>
      <c r="N4" s="701" t="s">
        <v>654</v>
      </c>
      <c r="O4" s="701" t="s">
        <v>655</v>
      </c>
      <c r="P4" s="701" t="s">
        <v>656</v>
      </c>
      <c r="Q4" s="701" t="s">
        <v>657</v>
      </c>
      <c r="R4" s="701" t="s">
        <v>658</v>
      </c>
      <c r="S4" s="701" t="s">
        <v>659</v>
      </c>
      <c r="T4" s="701" t="s">
        <v>660</v>
      </c>
      <c r="U4" s="701" t="s">
        <v>661</v>
      </c>
      <c r="V4" s="701" t="s">
        <v>662</v>
      </c>
      <c r="W4" s="701" t="s">
        <v>663</v>
      </c>
      <c r="X4" s="702" t="s">
        <v>613</v>
      </c>
      <c r="Y4" s="702" t="s">
        <v>614</v>
      </c>
      <c r="Z4" s="702" t="s">
        <v>615</v>
      </c>
      <c r="AA4" s="702" t="s">
        <v>616</v>
      </c>
      <c r="AB4" s="702" t="s">
        <v>617</v>
      </c>
      <c r="AC4" s="702" t="s">
        <v>618</v>
      </c>
      <c r="AD4" s="702" t="s">
        <v>619</v>
      </c>
      <c r="AE4" s="702" t="s">
        <v>620</v>
      </c>
      <c r="AF4" s="703" t="s">
        <v>621</v>
      </c>
      <c r="AG4" s="703" t="s">
        <v>622</v>
      </c>
      <c r="AH4" s="703" t="s">
        <v>623</v>
      </c>
      <c r="AI4" s="704" t="s">
        <v>624</v>
      </c>
    </row>
    <row r="5" spans="1:35">
      <c r="A5" s="707" t="s">
        <v>522</v>
      </c>
      <c r="B5" s="708" t="s">
        <v>90</v>
      </c>
      <c r="C5" s="709" t="s">
        <v>625</v>
      </c>
      <c r="D5" s="710" t="s">
        <v>132</v>
      </c>
      <c r="E5" s="710" t="s">
        <v>231</v>
      </c>
      <c r="F5" s="852">
        <v>56</v>
      </c>
      <c r="G5" s="1154">
        <v>1</v>
      </c>
      <c r="H5" s="1150"/>
      <c r="I5" s="1154">
        <f>DataEntryBD[[#This Row],[S-P02]]</f>
        <v>1</v>
      </c>
      <c r="J5" s="1150"/>
      <c r="K5" s="1151"/>
      <c r="L5" s="1150"/>
      <c r="M5" s="851">
        <v>572.98500000000001</v>
      </c>
      <c r="N5" s="851">
        <v>71.495999999999995</v>
      </c>
      <c r="O5" s="851">
        <v>1072.4359999999999</v>
      </c>
      <c r="P5" s="1152"/>
      <c r="Q5" s="1152"/>
      <c r="R5" s="851">
        <f>DataEntryBD[[#This Row],[E-BD02]]</f>
        <v>71.495999999999995</v>
      </c>
      <c r="S5" s="851">
        <f>DataEntryBD[[#This Row],[E-BD03]]</f>
        <v>1072.4359999999999</v>
      </c>
      <c r="T5" s="1152"/>
      <c r="U5" s="1152"/>
      <c r="V5" s="1152"/>
      <c r="W5" s="1153"/>
      <c r="X5" s="1142">
        <v>691832</v>
      </c>
      <c r="Y5" s="1142">
        <v>32832.42</v>
      </c>
      <c r="Z5" s="1104"/>
      <c r="AA5" s="1142">
        <f>DataEntryBD[[#This Row],[S-B02]]</f>
        <v>32832.42</v>
      </c>
      <c r="AB5" s="1104"/>
      <c r="AC5" s="1142">
        <v>13419.2</v>
      </c>
      <c r="AD5" s="1104"/>
      <c r="AE5" s="1103"/>
      <c r="AF5" s="1100"/>
      <c r="AG5" s="1100"/>
      <c r="AH5" s="1100"/>
      <c r="AI5" s="1102"/>
    </row>
    <row r="6" spans="1:35">
      <c r="A6" s="707" t="s">
        <v>522</v>
      </c>
      <c r="B6" s="708" t="s">
        <v>90</v>
      </c>
      <c r="C6" s="709" t="s">
        <v>625</v>
      </c>
      <c r="D6" s="710" t="s">
        <v>132</v>
      </c>
      <c r="E6" s="710" t="s">
        <v>232</v>
      </c>
      <c r="F6" s="852"/>
      <c r="G6" s="1150"/>
      <c r="H6" s="1150"/>
      <c r="I6" s="1150"/>
      <c r="J6" s="1150"/>
      <c r="K6" s="1150"/>
      <c r="L6" s="1151"/>
      <c r="M6" s="1152"/>
      <c r="N6" s="1152"/>
      <c r="O6" s="1152"/>
      <c r="P6" s="1152"/>
      <c r="Q6" s="1152"/>
      <c r="R6" s="1152"/>
      <c r="S6" s="1152"/>
      <c r="T6" s="1152"/>
      <c r="U6" s="1152"/>
      <c r="V6" s="1153"/>
      <c r="W6" s="1152"/>
      <c r="X6" s="1103"/>
      <c r="Y6" s="1103"/>
      <c r="Z6" s="1104"/>
      <c r="AA6" s="1103"/>
      <c r="AB6" s="1104"/>
      <c r="AC6" s="1142"/>
      <c r="AD6" s="1103"/>
      <c r="AE6" s="1104"/>
      <c r="AF6" s="1100"/>
      <c r="AG6" s="1100"/>
      <c r="AH6" s="1100"/>
      <c r="AI6" s="1102"/>
    </row>
    <row r="7" spans="1:35" s="482" customFormat="1">
      <c r="A7" s="1243" t="s">
        <v>522</v>
      </c>
      <c r="B7" s="1244" t="s">
        <v>90</v>
      </c>
      <c r="C7" s="1245" t="s">
        <v>630</v>
      </c>
      <c r="D7" s="1246" t="s">
        <v>132</v>
      </c>
      <c r="E7" s="1246" t="s">
        <v>982</v>
      </c>
      <c r="F7" s="1247"/>
      <c r="G7" s="1154">
        <v>3</v>
      </c>
      <c r="H7" s="1154">
        <v>1</v>
      </c>
      <c r="I7" s="1154">
        <v>3</v>
      </c>
      <c r="J7" s="1154">
        <v>1</v>
      </c>
      <c r="K7" s="1151"/>
      <c r="L7" s="1154">
        <f>DataEntryBD[[#This Row],[S-P05]]</f>
        <v>1</v>
      </c>
      <c r="M7" s="851"/>
      <c r="N7" s="851">
        <v>107.179</v>
      </c>
      <c r="O7" s="851">
        <v>1607.68</v>
      </c>
      <c r="P7" s="851">
        <v>51.862000000000002</v>
      </c>
      <c r="Q7" s="851">
        <v>777.92600000000004</v>
      </c>
      <c r="R7" s="851">
        <f>DataEntryBD[[#This Row],[E-BD02]]</f>
        <v>107.179</v>
      </c>
      <c r="S7" s="851">
        <f>DataEntryBD[[#This Row],[E-BD03]]</f>
        <v>1607.68</v>
      </c>
      <c r="T7" s="851">
        <f>DataEntryBD[[#This Row],[E-BD04]]</f>
        <v>51.862000000000002</v>
      </c>
      <c r="U7" s="851">
        <f>DataEntryBD[[#This Row],[E-BD05]]</f>
        <v>777.92600000000004</v>
      </c>
      <c r="V7" s="851">
        <f>DataEntryBD[[#This Row],[E-BD08]]</f>
        <v>51.862000000000002</v>
      </c>
      <c r="W7" s="1153"/>
      <c r="X7" s="1153"/>
      <c r="Y7" s="1142">
        <v>35321</v>
      </c>
      <c r="Z7" s="1172"/>
      <c r="AA7" s="1142">
        <f>DataEntryBD[[#This Row],[S-B02]]</f>
        <v>35321</v>
      </c>
      <c r="AB7" s="1172"/>
      <c r="AC7" s="1142">
        <f>DataEntryBD[[#This Row],[S-B04]]</f>
        <v>35321</v>
      </c>
      <c r="AD7" s="1104"/>
      <c r="AE7" s="1103"/>
      <c r="AF7" s="1142">
        <v>15000</v>
      </c>
      <c r="AG7" s="1142">
        <v>15000</v>
      </c>
      <c r="AH7" s="1154">
        <v>1</v>
      </c>
      <c r="AI7" s="1248">
        <v>1</v>
      </c>
    </row>
    <row r="8" spans="1:35">
      <c r="A8" s="803" t="s">
        <v>664</v>
      </c>
      <c r="B8" s="803"/>
      <c r="C8" s="803"/>
      <c r="D8" s="802"/>
      <c r="E8" s="802"/>
    </row>
  </sheetData>
  <conditionalFormatting sqref="AB5:AB7 AF7:AI7">
    <cfRule type="expression" dxfId="3" priority="2">
      <formula>IF(#REF!&gt;1,TRUE,FALSE)</formula>
    </cfRule>
  </conditionalFormatting>
  <conditionalFormatting sqref="AD5 AE6:AI6 AC8:AE8">
    <cfRule type="expression" dxfId="2" priority="3">
      <formula>IF(#REF!&gt;1,TRUE,FALSE)</formula>
    </cfRule>
  </conditionalFormatting>
  <conditionalFormatting sqref="AD7">
    <cfRule type="expression" dxfId="1" priority="1">
      <formula>IF(#REF!&gt;1,TRUE,FALSE)</formula>
    </cfRule>
  </conditionalFormatting>
  <pageMargins left="0.7" right="0.7" top="0.75" bottom="0.75" header="0.3" footer="0.3"/>
  <headerFooter>
    <oddFooter>&amp;C_x000D_&amp;1#&amp;"Calibri"&amp;22&amp;K0073CF INTERNAL</oddFooter>
  </headerFooter>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CC88A-A2BE-4A97-A49C-ABDB347FDA55}">
  <sheetPr codeName="Sheet18"/>
  <dimension ref="A1:AA41"/>
  <sheetViews>
    <sheetView zoomScale="110" zoomScaleNormal="110" workbookViewId="0">
      <pane xSplit="5" ySplit="4" topLeftCell="J5" activePane="bottomRight" state="frozen"/>
      <selection pane="topRight" activeCell="F1" sqref="F1"/>
      <selection pane="bottomLeft" activeCell="A5" sqref="A5"/>
      <selection pane="bottomRight" activeCell="F5" sqref="F5"/>
    </sheetView>
  </sheetViews>
  <sheetFormatPr defaultRowHeight="14.5"/>
  <cols>
    <col min="1" max="1" width="16.7265625" customWidth="1"/>
    <col min="2" max="2" width="21.26953125" customWidth="1"/>
    <col min="3" max="3" width="23.1796875" customWidth="1"/>
    <col min="4" max="4" width="22.81640625" customWidth="1"/>
    <col min="5" max="5" width="28.1796875" customWidth="1"/>
    <col min="6" max="6" width="22" customWidth="1"/>
    <col min="7" max="7" width="23.7265625" customWidth="1"/>
    <col min="8" max="8" width="19.453125" customWidth="1"/>
    <col min="9" max="9" width="23.54296875" customWidth="1"/>
    <col min="10" max="10" width="19" customWidth="1"/>
    <col min="11" max="11" width="14.81640625" customWidth="1"/>
    <col min="12" max="12" width="15" customWidth="1"/>
    <col min="13" max="13" width="16" customWidth="1"/>
    <col min="14" max="14" width="14.7265625" customWidth="1"/>
    <col min="15" max="15" width="13" customWidth="1"/>
    <col min="16" max="16" width="19.453125" customWidth="1"/>
    <col min="17" max="17" width="20.453125" customWidth="1"/>
    <col min="18" max="18" width="19" customWidth="1"/>
    <col min="19" max="19" width="20.453125" customWidth="1"/>
    <col min="20" max="20" width="28.453125" customWidth="1"/>
    <col min="21" max="21" width="30.81640625" customWidth="1"/>
    <col min="22" max="22" width="28.54296875" customWidth="1"/>
    <col min="23" max="23" width="31.1796875" customWidth="1"/>
    <col min="24" max="24" width="26.453125" customWidth="1"/>
    <col min="25" max="25" width="25" customWidth="1"/>
    <col min="26" max="26" width="30.81640625" customWidth="1"/>
    <col min="27" max="27" width="27.1796875" customWidth="1"/>
  </cols>
  <sheetData>
    <row r="1" spans="1:27" ht="15.5">
      <c r="A1" s="783" t="s">
        <v>665</v>
      </c>
      <c r="B1" s="615"/>
      <c r="C1" s="482" t="s">
        <v>926</v>
      </c>
      <c r="D1" s="1193" t="s">
        <v>526</v>
      </c>
      <c r="E1" s="482">
        <v>2025</v>
      </c>
      <c r="F1" s="616" t="s">
        <v>666</v>
      </c>
      <c r="G1" s="617">
        <v>3.4</v>
      </c>
      <c r="H1" s="617" t="s">
        <v>667</v>
      </c>
      <c r="I1" s="617">
        <f>52.91/1000</f>
        <v>5.2909999999999999E-2</v>
      </c>
      <c r="J1" s="615"/>
      <c r="K1" s="615"/>
      <c r="L1" s="615"/>
      <c r="M1" s="615"/>
      <c r="N1" s="615"/>
      <c r="O1" s="615"/>
      <c r="P1" s="615"/>
      <c r="Q1" s="615"/>
      <c r="R1" s="615"/>
      <c r="S1" s="615"/>
      <c r="T1" s="615"/>
      <c r="U1" s="615"/>
      <c r="V1" s="615"/>
      <c r="W1" s="615"/>
      <c r="X1" s="615"/>
      <c r="Y1" s="615"/>
      <c r="Z1" s="615"/>
      <c r="AA1" s="615"/>
    </row>
    <row r="2" spans="1:27">
      <c r="A2" s="618" t="s">
        <v>528</v>
      </c>
      <c r="B2" s="618"/>
      <c r="C2" s="618"/>
      <c r="D2" s="618"/>
      <c r="E2" s="619"/>
      <c r="F2" s="620" t="s">
        <v>668</v>
      </c>
      <c r="G2" s="621"/>
      <c r="H2" s="622"/>
      <c r="I2" s="622"/>
      <c r="J2" s="623" t="s">
        <v>669</v>
      </c>
      <c r="K2" s="623"/>
      <c r="L2" s="623"/>
      <c r="M2" s="623"/>
      <c r="N2" s="623"/>
      <c r="O2" s="624"/>
      <c r="P2" s="625" t="s">
        <v>670</v>
      </c>
      <c r="Q2" s="625"/>
      <c r="R2" s="625"/>
      <c r="S2" s="625"/>
      <c r="T2" s="625"/>
      <c r="U2" s="625"/>
      <c r="V2" s="625"/>
      <c r="W2" s="625"/>
      <c r="X2" s="625"/>
      <c r="Y2" s="625"/>
      <c r="Z2" s="625"/>
      <c r="AA2" s="626"/>
    </row>
    <row r="3" spans="1:27" ht="31">
      <c r="A3" s="690" t="s">
        <v>536</v>
      </c>
      <c r="B3" s="691" t="s">
        <v>537</v>
      </c>
      <c r="C3" s="692" t="s">
        <v>83</v>
      </c>
      <c r="D3" s="691" t="s">
        <v>1</v>
      </c>
      <c r="E3" s="692" t="s">
        <v>2</v>
      </c>
      <c r="F3" s="693" t="s">
        <v>671</v>
      </c>
      <c r="G3" s="693" t="s">
        <v>672</v>
      </c>
      <c r="H3" s="694" t="s">
        <v>673</v>
      </c>
      <c r="I3" s="694" t="s">
        <v>674</v>
      </c>
      <c r="J3" s="695" t="s">
        <v>675</v>
      </c>
      <c r="K3" s="695" t="s">
        <v>676</v>
      </c>
      <c r="L3" s="695" t="s">
        <v>677</v>
      </c>
      <c r="M3" s="695" t="s">
        <v>678</v>
      </c>
      <c r="N3" s="695" t="s">
        <v>679</v>
      </c>
      <c r="O3" s="695" t="s">
        <v>680</v>
      </c>
      <c r="P3" s="696" t="s">
        <v>681</v>
      </c>
      <c r="Q3" s="696" t="s">
        <v>682</v>
      </c>
      <c r="R3" s="696" t="s">
        <v>683</v>
      </c>
      <c r="S3" s="696" t="s">
        <v>684</v>
      </c>
      <c r="T3" s="696" t="s">
        <v>685</v>
      </c>
      <c r="U3" s="696" t="s">
        <v>686</v>
      </c>
      <c r="V3" s="696" t="s">
        <v>687</v>
      </c>
      <c r="W3" s="696" t="s">
        <v>688</v>
      </c>
      <c r="X3" s="696" t="s">
        <v>689</v>
      </c>
      <c r="Y3" s="696" t="s">
        <v>690</v>
      </c>
      <c r="Z3" s="696" t="s">
        <v>883</v>
      </c>
      <c r="AA3" s="696" t="s">
        <v>884</v>
      </c>
    </row>
    <row r="4" spans="1:27">
      <c r="A4" s="627" t="s">
        <v>577</v>
      </c>
      <c r="B4" s="627" t="s">
        <v>578</v>
      </c>
      <c r="C4" s="627" t="s">
        <v>579</v>
      </c>
      <c r="D4" s="627" t="s">
        <v>580</v>
      </c>
      <c r="E4" s="627" t="s">
        <v>581</v>
      </c>
      <c r="F4" s="628" t="s">
        <v>691</v>
      </c>
      <c r="G4" s="628" t="s">
        <v>692</v>
      </c>
      <c r="H4" s="628" t="s">
        <v>693</v>
      </c>
      <c r="I4" s="628" t="s">
        <v>694</v>
      </c>
      <c r="J4" s="629" t="s">
        <v>695</v>
      </c>
      <c r="K4" s="629" t="s">
        <v>696</v>
      </c>
      <c r="L4" s="629" t="s">
        <v>697</v>
      </c>
      <c r="M4" s="629" t="s">
        <v>698</v>
      </c>
      <c r="N4" s="629" t="s">
        <v>699</v>
      </c>
      <c r="O4" s="629" t="s">
        <v>700</v>
      </c>
      <c r="P4" s="630" t="s">
        <v>701</v>
      </c>
      <c r="Q4" s="630" t="s">
        <v>702</v>
      </c>
      <c r="R4" s="630" t="s">
        <v>703</v>
      </c>
      <c r="S4" s="630" t="s">
        <v>704</v>
      </c>
      <c r="T4" s="630" t="s">
        <v>705</v>
      </c>
      <c r="U4" s="630" t="s">
        <v>706</v>
      </c>
      <c r="V4" s="630" t="s">
        <v>707</v>
      </c>
      <c r="W4" s="630" t="s">
        <v>708</v>
      </c>
      <c r="X4" s="630" t="s">
        <v>709</v>
      </c>
      <c r="Y4" s="630" t="s">
        <v>710</v>
      </c>
      <c r="Z4" s="630" t="s">
        <v>711</v>
      </c>
      <c r="AA4" s="687" t="s">
        <v>712</v>
      </c>
    </row>
    <row r="5" spans="1:27">
      <c r="A5" s="969" t="s">
        <v>522</v>
      </c>
      <c r="B5" s="272" t="s">
        <v>86</v>
      </c>
      <c r="C5" s="272" t="s">
        <v>625</v>
      </c>
      <c r="D5" s="968" t="s">
        <v>4</v>
      </c>
      <c r="E5" s="272" t="s">
        <v>5</v>
      </c>
      <c r="F5" s="965">
        <f ca="1">IFERROR(DataEntry[[#This Row],[E-E03]]*AVERAGE(OFFSET(OFFSET(H_Factors!$B$2,1,MATCH(RECO!$E$1,H_Factors!$C$2:$L$2)), 0, 0, ROUND(DataEntry[[#This Row],[E-E03]]/DataEntry[[#This Row],[E-E02]],0), 1)), "-")</f>
        <v>7.5022911656708606</v>
      </c>
      <c r="G5" s="965">
        <f ca="1">IFERROR(DataEntry[[#This Row],[E-E08]]*AVERAGE(OFFSET(OFFSET(H_Factors!$B$2,1,MATCH(RECO!$E$1,H_Factors!$C$2:$L$2)), 0, 0, ROUND(DataEntry[[#This Row],[E-E08]]/DataEntry[[#This Row],[E-E06]],0), 1)), "-")</f>
        <v>7.5022911656708606</v>
      </c>
      <c r="H5" s="965">
        <f>IFERROR(DataEntry[[#This Row],[G-G03]]*CO2pergasMMBtu,"-")</f>
        <v>0</v>
      </c>
      <c r="I5" s="965">
        <f>IFERROR(DataEntry[[#This Row],[G-G08]]*CO2pergasMMBtu,"-")</f>
        <v>0</v>
      </c>
      <c r="J5" s="965">
        <f>IFERROR(DataEntry[[#This Row],[E-E06]]*MMBTUperMWH, "-")</f>
        <v>4.2805999999999997</v>
      </c>
      <c r="K5" s="965">
        <f>IFERROR(DataEntry[[#This Row],[E-E08]]*MMBTUperMWH, "-")</f>
        <v>60.441800000000001</v>
      </c>
      <c r="L5" s="965">
        <f>IFERROR(DataEntry[[#This Row],[G-G06]], "-")</f>
        <v>0</v>
      </c>
      <c r="M5" s="965">
        <f>IFERROR(DataEntry[[#This Row],[G-G08]], "-")</f>
        <v>0</v>
      </c>
      <c r="N5" s="965">
        <f>SUM(J5,L5)</f>
        <v>4.2805999999999997</v>
      </c>
      <c r="O5" s="965">
        <f>SUM(K5,M5)</f>
        <v>60.441800000000001</v>
      </c>
      <c r="P5" s="965" t="str">
        <f>IFERROR(DataEntry[[#This Row],[S-P04]]/DataEntry[[#This Row],[S-P01]],"-")</f>
        <v>-</v>
      </c>
      <c r="Q5" s="965" t="str">
        <f>IFERROR(DataEntry[[#This Row],[E-E06]]/DataEntry[[#This Row],[E-E01]],"-")</f>
        <v>-</v>
      </c>
      <c r="R5" s="965" t="str">
        <f>IFERROR(DataEntry[[#This Row],[G-G06]]/DataEntry[[#This Row],[G-G01]], "-")</f>
        <v>-</v>
      </c>
      <c r="S5" s="966">
        <f>IFERROR((DataEntry[[#This Row],[S-B04]]/DataEntry[[#This Row],[S-P04]]), "-")</f>
        <v>2692.1224999999999</v>
      </c>
      <c r="T5" s="965">
        <f>IFERROR(DataEntry[[#This Row],[E-E06]]/DataEntry[[#This Row],[S-P04]],"-")</f>
        <v>0.31474999999999997</v>
      </c>
      <c r="U5" s="965">
        <f>IFERROR(DataEntry[[#This Row],[E-E08]]/DataEntry[[#This Row],[S-P04]],"-")</f>
        <v>4.4442500000000003</v>
      </c>
      <c r="V5" s="965">
        <f>IFERROR(DataEntry[[#This Row],[G-G06]]/DataEntry[[#This Row],[S-P04]],"-")</f>
        <v>0</v>
      </c>
      <c r="W5" s="965">
        <f>IFERROR(DataEntry[[#This Row],[G-G08]]/DataEntry[[#This Row],[S-P04]],"-")</f>
        <v>0</v>
      </c>
      <c r="X5" s="966">
        <f>IFERROR(DataEntry[[#This Row],[S-B04]]/DataEntry[[#This Row],[E-E06]],"-")</f>
        <v>8553.2088959491666</v>
      </c>
      <c r="Y5" s="966">
        <f>IFERROR(DataEntry[[#This Row],[S-B04]]/DataEntry[[#This Row],[E-E08]],"-")</f>
        <v>605.75406424031041</v>
      </c>
      <c r="Z5" s="966">
        <f>IFERROR(DataEntry[[#This Row],[S-B04]]/(L5+J5),"-")</f>
        <v>2515.6496752791668</v>
      </c>
      <c r="AA5" s="967">
        <f>IFERROR(DataEntry[[#This Row],[S-B04]]/(M5+K5),"-")</f>
        <v>178.16296007067956</v>
      </c>
    </row>
    <row r="6" spans="1:27">
      <c r="A6" s="969" t="s">
        <v>522</v>
      </c>
      <c r="B6" s="272" t="s">
        <v>86</v>
      </c>
      <c r="C6" s="272" t="s">
        <v>625</v>
      </c>
      <c r="D6" s="968" t="s">
        <v>4</v>
      </c>
      <c r="E6" s="272" t="s">
        <v>153</v>
      </c>
      <c r="F6" s="965">
        <f ca="1">IFERROR(DataEntry[[#This Row],[E-E03]]*AVERAGE(OFFSET(OFFSET(H_Factors!$B$2,1,MATCH(RECO!$E$1,H_Factors!$C$2:$L$2)), 0, 0, ROUND(DataEntry[[#This Row],[E-E03]]/DataEntry[[#This Row],[E-E02]],0), 1)), "-")</f>
        <v>2.3583653522436143</v>
      </c>
      <c r="G6" s="965">
        <f ca="1">IFERROR(DataEntry[[#This Row],[E-E08]]*AVERAGE(OFFSET(OFFSET(H_Factors!$B$2,1,MATCH(RECO!$E$1,H_Factors!$C$2:$L$2)), 0, 0, ROUND(DataEntry[[#This Row],[E-E08]]/DataEntry[[#This Row],[E-E06]],0), 1)), "-")</f>
        <v>2.3583653522436143</v>
      </c>
      <c r="H6" s="965">
        <f>IFERROR(DataEntry[[#This Row],[G-G03]]*CO2pergasMMBtu,"-")</f>
        <v>0</v>
      </c>
      <c r="I6" s="965">
        <f>IFERROR(DataEntry[[#This Row],[G-G08]]*CO2pergasMMBtu,"-")</f>
        <v>0</v>
      </c>
      <c r="J6" s="965">
        <f>IFERROR(DataEntry[[#This Row],[E-E06]]*MMBTUperMWH, "-")</f>
        <v>2.3595999999999999</v>
      </c>
      <c r="K6" s="965">
        <f>IFERROR(DataEntry[[#This Row],[E-E08]]*MMBTUperMWH, "-")</f>
        <v>17.6494</v>
      </c>
      <c r="L6" s="965">
        <f>IFERROR(DataEntry[[#This Row],[G-G06]], "-")</f>
        <v>0</v>
      </c>
      <c r="M6" s="965">
        <f>IFERROR(DataEntry[[#This Row],[G-G08]], "-")</f>
        <v>0</v>
      </c>
      <c r="N6" s="965">
        <f t="shared" ref="N6:N41" si="0">SUM(J6,L6)</f>
        <v>2.3595999999999999</v>
      </c>
      <c r="O6" s="965">
        <f t="shared" ref="O6:O41" si="1">SUM(K6,M6)</f>
        <v>17.6494</v>
      </c>
      <c r="P6" s="965" t="str">
        <f>IFERROR(DataEntry[[#This Row],[S-P04]]/DataEntry[[#This Row],[S-P01]],"-")</f>
        <v>-</v>
      </c>
      <c r="Q6" s="965" t="str">
        <f>IFERROR(DataEntry[[#This Row],[E-E06]]/DataEntry[[#This Row],[E-E01]],"-")</f>
        <v>-</v>
      </c>
      <c r="R6" s="965" t="str">
        <f>IFERROR(DataEntry[[#This Row],[G-G06]]/DataEntry[[#This Row],[G-G01]], "-")</f>
        <v>-</v>
      </c>
      <c r="S6" s="966">
        <f>IFERROR((DataEntry[[#This Row],[S-B04]]/DataEntry[[#This Row],[S-P04]]), "-")</f>
        <v>4281.9359999999997</v>
      </c>
      <c r="T6" s="965">
        <f>IFERROR(DataEntry[[#This Row],[E-E06]]/DataEntry[[#This Row],[S-P04]],"-")</f>
        <v>0.13879999999999998</v>
      </c>
      <c r="U6" s="965">
        <f>IFERROR(DataEntry[[#This Row],[E-E08]]/DataEntry[[#This Row],[S-P04]],"-")</f>
        <v>1.0382</v>
      </c>
      <c r="V6" s="965">
        <f>IFERROR(DataEntry[[#This Row],[G-G06]]/DataEntry[[#This Row],[S-P04]],"-")</f>
        <v>0</v>
      </c>
      <c r="W6" s="965">
        <f>IFERROR(DataEntry[[#This Row],[G-G08]]/DataEntry[[#This Row],[S-P04]],"-")</f>
        <v>0</v>
      </c>
      <c r="X6" s="966">
        <f>IFERROR(DataEntry[[#This Row],[S-B04]]/DataEntry[[#This Row],[E-E06]],"-")</f>
        <v>30849.682997118158</v>
      </c>
      <c r="Y6" s="966">
        <f>IFERROR(DataEntry[[#This Row],[S-B04]]/DataEntry[[#This Row],[E-E08]],"-")</f>
        <v>4124.3845116547873</v>
      </c>
      <c r="Z6" s="966">
        <f>IFERROR(DataEntry[[#This Row],[S-B04]]/(L6+J6),"-")</f>
        <v>9073.4361756229882</v>
      </c>
      <c r="AA6" s="967">
        <f>IFERROR(DataEntry[[#This Row],[S-B04]]/(M6+K6),"-")</f>
        <v>1213.0542681337608</v>
      </c>
    </row>
    <row r="7" spans="1:27">
      <c r="A7" s="969" t="s">
        <v>522</v>
      </c>
      <c r="B7" s="272" t="s">
        <v>86</v>
      </c>
      <c r="C7" s="272" t="s">
        <v>625</v>
      </c>
      <c r="D7" s="968" t="s">
        <v>4</v>
      </c>
      <c r="E7" s="272" t="s">
        <v>626</v>
      </c>
      <c r="F7" s="965" t="str">
        <f ca="1">IFERROR(DataEntry[[#This Row],[E-E03]]*AVERAGE(OFFSET(OFFSET(H_Factors!$B$2,1,MATCH(RECO!$E$1,H_Factors!$C$2:$L$2)), 0, 0, ROUND(DataEntry[[#This Row],[E-E03]]/DataEntry[[#This Row],[E-E02]],0), 1)), "-")</f>
        <v>-</v>
      </c>
      <c r="G7" s="965" t="str">
        <f ca="1">IFERROR(DataEntry[[#This Row],[E-E08]]*AVERAGE(OFFSET(OFFSET(H_Factors!$B$2,1,MATCH(RECO!$E$1,H_Factors!$C$2:$L$2)), 0, 0, ROUND(DataEntry[[#This Row],[E-E08]]/DataEntry[[#This Row],[E-E06]],0), 1)), "-")</f>
        <v>-</v>
      </c>
      <c r="H7" s="965">
        <f>IFERROR(DataEntry[[#This Row],[G-G03]]*CO2pergasMMBtu,"-")</f>
        <v>0</v>
      </c>
      <c r="I7" s="965">
        <f>IFERROR(DataEntry[[#This Row],[G-G08]]*CO2pergasMMBtu,"-")</f>
        <v>0</v>
      </c>
      <c r="J7" s="965">
        <f>IFERROR(DataEntry[[#This Row],[E-E06]]*MMBTUperMWH, "-")</f>
        <v>0</v>
      </c>
      <c r="K7" s="965">
        <f>IFERROR(DataEntry[[#This Row],[E-E08]]*MMBTUperMWH, "-")</f>
        <v>0</v>
      </c>
      <c r="L7" s="965">
        <f>IFERROR(DataEntry[[#This Row],[G-G06]], "-")</f>
        <v>0</v>
      </c>
      <c r="M7" s="965">
        <f>IFERROR(DataEntry[[#This Row],[G-G08]], "-")</f>
        <v>0</v>
      </c>
      <c r="N7" s="965">
        <f t="shared" si="0"/>
        <v>0</v>
      </c>
      <c r="O7" s="965">
        <f t="shared" si="1"/>
        <v>0</v>
      </c>
      <c r="P7" s="965" t="str">
        <f>IFERROR(DataEntry[[#This Row],[S-P04]]/DataEntry[[#This Row],[S-P01]],"-")</f>
        <v>-</v>
      </c>
      <c r="Q7" s="965" t="str">
        <f>IFERROR(DataEntry[[#This Row],[E-E06]]/DataEntry[[#This Row],[E-E01]],"-")</f>
        <v>-</v>
      </c>
      <c r="R7" s="965" t="str">
        <f>IFERROR(DataEntry[[#This Row],[G-G06]]/DataEntry[[#This Row],[G-G01]], "-")</f>
        <v>-</v>
      </c>
      <c r="S7" s="966" t="str">
        <f>IFERROR((DataEntry[[#This Row],[S-B04]]/DataEntry[[#This Row],[S-P04]]), "-")</f>
        <v>-</v>
      </c>
      <c r="T7" s="965" t="str">
        <f>IFERROR(DataEntry[[#This Row],[E-E06]]/DataEntry[[#This Row],[S-P04]],"-")</f>
        <v>-</v>
      </c>
      <c r="U7" s="965" t="str">
        <f>IFERROR(DataEntry[[#This Row],[E-E08]]/DataEntry[[#This Row],[S-P04]],"-")</f>
        <v>-</v>
      </c>
      <c r="V7" s="965" t="str">
        <f>IFERROR(DataEntry[[#This Row],[G-G06]]/DataEntry[[#This Row],[S-P04]],"-")</f>
        <v>-</v>
      </c>
      <c r="W7" s="965" t="str">
        <f>IFERROR(DataEntry[[#This Row],[G-G08]]/DataEntry[[#This Row],[S-P04]],"-")</f>
        <v>-</v>
      </c>
      <c r="X7" s="966" t="str">
        <f>IFERROR(DataEntry[[#This Row],[S-B04]]/DataEntry[[#This Row],[E-E06]],"-")</f>
        <v>-</v>
      </c>
      <c r="Y7" s="966" t="str">
        <f>IFERROR(DataEntry[[#This Row],[S-B04]]/DataEntry[[#This Row],[E-E08]],"-")</f>
        <v>-</v>
      </c>
      <c r="Z7" s="966" t="str">
        <f>IFERROR(DataEntry[[#This Row],[S-B04]]/(L7+J7),"-")</f>
        <v>-</v>
      </c>
      <c r="AA7" s="967" t="str">
        <f>IFERROR(DataEntry[[#This Row],[S-B04]]/(M7+K7),"-")</f>
        <v>-</v>
      </c>
    </row>
    <row r="8" spans="1:27">
      <c r="A8" s="969" t="s">
        <v>522</v>
      </c>
      <c r="B8" s="272" t="s">
        <v>86</v>
      </c>
      <c r="C8" s="272" t="s">
        <v>625</v>
      </c>
      <c r="D8" s="968" t="s">
        <v>4</v>
      </c>
      <c r="E8" s="272" t="s">
        <v>154</v>
      </c>
      <c r="F8" s="965">
        <f ca="1">IFERROR(DataEntry[[#This Row],[E-E03]]*AVERAGE(OFFSET(OFFSET(H_Factors!$B$2,1,MATCH(RECO!$E$1,H_Factors!$C$2:$L$2)), 0, 0, ROUND(DataEntry[[#This Row],[E-E03]]/DataEntry[[#This Row],[E-E02]],0), 1)), "-")</f>
        <v>17.807603921547603</v>
      </c>
      <c r="G8" s="965">
        <f ca="1">IFERROR(DataEntry[[#This Row],[E-E08]]*AVERAGE(OFFSET(OFFSET(H_Factors!$B$2,1,MATCH(RECO!$E$1,H_Factors!$C$2:$L$2)), 0, 0, ROUND(DataEntry[[#This Row],[E-E08]]/DataEntry[[#This Row],[E-E06]],0), 1)), "-")</f>
        <v>17.807603921547603</v>
      </c>
      <c r="H8" s="965">
        <f>IFERROR(DataEntry[[#This Row],[G-G03]]*CO2pergasMMBtu,"-")</f>
        <v>0</v>
      </c>
      <c r="I8" s="965">
        <f>IFERROR(DataEntry[[#This Row],[G-G08]]*CO2pergasMMBtu,"-")</f>
        <v>0</v>
      </c>
      <c r="J8" s="965">
        <f>IFERROR(DataEntry[[#This Row],[E-E06]]*MMBTUperMWH, "-")</f>
        <v>24.82</v>
      </c>
      <c r="K8" s="965">
        <f>IFERROR(DataEntry[[#This Row],[E-E08]]*MMBTUperMWH, "-")</f>
        <v>130.679</v>
      </c>
      <c r="L8" s="965">
        <f>IFERROR(DataEntry[[#This Row],[G-G06]], "-")</f>
        <v>0</v>
      </c>
      <c r="M8" s="965">
        <f>IFERROR(DataEntry[[#This Row],[G-G08]], "-")</f>
        <v>0</v>
      </c>
      <c r="N8" s="965">
        <f t="shared" si="0"/>
        <v>24.82</v>
      </c>
      <c r="O8" s="965">
        <f t="shared" si="1"/>
        <v>130.679</v>
      </c>
      <c r="P8" s="965" t="str">
        <f>IFERROR(DataEntry[[#This Row],[S-P04]]/DataEntry[[#This Row],[S-P01]],"-")</f>
        <v>-</v>
      </c>
      <c r="Q8" s="965" t="str">
        <f>IFERROR(DataEntry[[#This Row],[E-E06]]/DataEntry[[#This Row],[E-E01]],"-")</f>
        <v>-</v>
      </c>
      <c r="R8" s="965" t="str">
        <f>IFERROR(DataEntry[[#This Row],[G-G06]]/DataEntry[[#This Row],[G-G01]], "-")</f>
        <v>-</v>
      </c>
      <c r="S8" s="966">
        <f>IFERROR((DataEntry[[#This Row],[S-B04]]/DataEntry[[#This Row],[S-P04]]), "-")</f>
        <v>153.51061538461539</v>
      </c>
      <c r="T8" s="965">
        <f>IFERROR(DataEntry[[#This Row],[E-E06]]/DataEntry[[#This Row],[S-P04]],"-")</f>
        <v>0.1123076923076923</v>
      </c>
      <c r="U8" s="965">
        <f>IFERROR(DataEntry[[#This Row],[E-E08]]/DataEntry[[#This Row],[S-P04]],"-")</f>
        <v>0.59130769230769231</v>
      </c>
      <c r="V8" s="965">
        <f>IFERROR(DataEntry[[#This Row],[G-G06]]/DataEntry[[#This Row],[S-P04]],"-")</f>
        <v>0</v>
      </c>
      <c r="W8" s="965">
        <f>IFERROR(DataEntry[[#This Row],[G-G08]]/DataEntry[[#This Row],[S-P04]],"-")</f>
        <v>0</v>
      </c>
      <c r="X8" s="966">
        <f>IFERROR(DataEntry[[#This Row],[S-B04]]/DataEntry[[#This Row],[E-E06]],"-")</f>
        <v>1366.8753424657534</v>
      </c>
      <c r="Y8" s="966">
        <f>IFERROR(DataEntry[[#This Row],[S-B04]]/DataEntry[[#This Row],[E-E08]],"-")</f>
        <v>259.61207232990762</v>
      </c>
      <c r="Z8" s="966">
        <f>IFERROR(DataEntry[[#This Row],[S-B04]]/(L8+J8),"-")</f>
        <v>402.02215954875101</v>
      </c>
      <c r="AA8" s="967">
        <f>IFERROR(DataEntry[[#This Row],[S-B04]]/(M8+K8),"-")</f>
        <v>76.356491861737538</v>
      </c>
    </row>
    <row r="9" spans="1:27">
      <c r="A9" s="969" t="s">
        <v>522</v>
      </c>
      <c r="B9" s="272" t="s">
        <v>86</v>
      </c>
      <c r="C9" s="272" t="s">
        <v>625</v>
      </c>
      <c r="D9" s="968" t="s">
        <v>4</v>
      </c>
      <c r="E9" s="272" t="s">
        <v>962</v>
      </c>
      <c r="F9" s="965" t="str">
        <f ca="1">IFERROR(DataEntry[[#This Row],[E-E03]]*AVERAGE(OFFSET(OFFSET(H_Factors!$B$2,1,MATCH(RECO!$E$1,H_Factors!$C$2:$L$2)), 0, 0, ROUND(DataEntry[[#This Row],[E-E03]]/DataEntry[[#This Row],[E-E02]],0), 1)), "-")</f>
        <v>-</v>
      </c>
      <c r="G9" s="965" t="str">
        <f ca="1">IFERROR(DataEntry[[#This Row],[E-E08]]*AVERAGE(OFFSET(OFFSET(H_Factors!$B$2,1,MATCH(RECO!$E$1,H_Factors!$C$2:$L$2)), 0, 0, ROUND(DataEntry[[#This Row],[E-E08]]/DataEntry[[#This Row],[E-E06]],0), 1)), "-")</f>
        <v>-</v>
      </c>
      <c r="H9" s="965">
        <f>IFERROR(DataEntry[[#This Row],[G-G03]]*CO2pergasMMBtu,"-")</f>
        <v>0</v>
      </c>
      <c r="I9" s="965">
        <f>IFERROR(DataEntry[[#This Row],[G-G08]]*CO2pergasMMBtu,"-")</f>
        <v>0</v>
      </c>
      <c r="J9" s="965">
        <f>IFERROR(DataEntry[[#This Row],[E-E06]]*MMBTUperMWH, "-")</f>
        <v>0</v>
      </c>
      <c r="K9" s="965">
        <f>IFERROR(DataEntry[[#This Row],[E-E08]]*MMBTUperMWH, "-")</f>
        <v>0</v>
      </c>
      <c r="L9" s="965">
        <f>IFERROR(DataEntry[[#This Row],[G-G06]], "-")</f>
        <v>0</v>
      </c>
      <c r="M9" s="965">
        <f>IFERROR(DataEntry[[#This Row],[G-G08]], "-")</f>
        <v>0</v>
      </c>
      <c r="N9" s="965">
        <f t="shared" si="0"/>
        <v>0</v>
      </c>
      <c r="O9" s="965">
        <f t="shared" si="1"/>
        <v>0</v>
      </c>
      <c r="P9" s="965" t="str">
        <f>IFERROR(DataEntry[[#This Row],[S-P04]]/DataEntry[[#This Row],[S-P01]],"-")</f>
        <v>-</v>
      </c>
      <c r="Q9" s="965" t="str">
        <f>IFERROR(DataEntry[[#This Row],[E-E06]]/DataEntry[[#This Row],[E-E01]],"-")</f>
        <v>-</v>
      </c>
      <c r="R9" s="965" t="str">
        <f>IFERROR(DataEntry[[#This Row],[G-G06]]/DataEntry[[#This Row],[G-G01]], "-")</f>
        <v>-</v>
      </c>
      <c r="S9" s="966" t="str">
        <f>IFERROR((DataEntry[[#This Row],[S-B04]]/DataEntry[[#This Row],[S-P04]]), "-")</f>
        <v>-</v>
      </c>
      <c r="T9" s="965" t="str">
        <f>IFERROR(DataEntry[[#This Row],[E-E06]]/DataEntry[[#This Row],[S-P04]],"-")</f>
        <v>-</v>
      </c>
      <c r="U9" s="965" t="str">
        <f>IFERROR(DataEntry[[#This Row],[E-E08]]/DataEntry[[#This Row],[S-P04]],"-")</f>
        <v>-</v>
      </c>
      <c r="V9" s="965" t="str">
        <f>IFERROR(DataEntry[[#This Row],[G-G06]]/DataEntry[[#This Row],[S-P04]],"-")</f>
        <v>-</v>
      </c>
      <c r="W9" s="965" t="str">
        <f>IFERROR(DataEntry[[#This Row],[G-G08]]/DataEntry[[#This Row],[S-P04]],"-")</f>
        <v>-</v>
      </c>
      <c r="X9" s="966" t="str">
        <f>IFERROR(DataEntry[[#This Row],[S-B04]]/DataEntry[[#This Row],[E-E06]],"-")</f>
        <v>-</v>
      </c>
      <c r="Y9" s="966" t="str">
        <f>IFERROR(DataEntry[[#This Row],[S-B04]]/DataEntry[[#This Row],[E-E08]],"-")</f>
        <v>-</v>
      </c>
      <c r="Z9" s="966" t="str">
        <f>IFERROR(DataEntry[[#This Row],[S-B04]]/(L9+J9),"-")</f>
        <v>-</v>
      </c>
      <c r="AA9" s="967" t="str">
        <f>IFERROR(DataEntry[[#This Row],[S-B04]]/(M9+K9),"-")</f>
        <v>-</v>
      </c>
    </row>
    <row r="10" spans="1:27">
      <c r="A10" s="637" t="s">
        <v>522</v>
      </c>
      <c r="B10" s="638" t="s">
        <v>86</v>
      </c>
      <c r="C10" s="638" t="s">
        <v>625</v>
      </c>
      <c r="D10" s="437" t="s">
        <v>4</v>
      </c>
      <c r="E10" s="638"/>
      <c r="F10" s="639" t="str">
        <f ca="1">IFERROR(DataEntry[[#This Row],[E-E03]]*AVERAGE(OFFSET(OFFSET(H_Factors!$B$2,1,MATCH(RECO!$E$1,H_Factors!$C$2:$L$2)), 0, 0, ROUND(DataEntry[[#This Row],[E-E03]]/DataEntry[[#This Row],[E-E02]],0), 1)), "-")</f>
        <v>-</v>
      </c>
      <c r="G10" s="639" t="str">
        <f ca="1">IFERROR(DataEntry[[#This Row],[E-E08]]*AVERAGE(OFFSET(OFFSET(H_Factors!$B$2,1,MATCH(RECO!$E$1,H_Factors!$C$2:$L$2)), 0, 0, ROUND(DataEntry[[#This Row],[E-E08]]/DataEntry[[#This Row],[E-E06]],0), 1)), "-")</f>
        <v>-</v>
      </c>
      <c r="H10" s="639">
        <f>IFERROR(DataEntry[[#This Row],[G-G03]]*CO2pergasMMBtu,"-")</f>
        <v>0</v>
      </c>
      <c r="I10" s="639">
        <f>IFERROR(DataEntry[[#This Row],[G-G08]]*CO2pergasMMBtu,"-")</f>
        <v>0</v>
      </c>
      <c r="J10" s="639">
        <f>IFERROR(DataEntry[[#This Row],[E-E06]]*MMBTUperMWH, "-")</f>
        <v>0</v>
      </c>
      <c r="K10" s="639">
        <f>IFERROR(DataEntry[[#This Row],[E-E08]]*MMBTUperMWH, "-")</f>
        <v>0</v>
      </c>
      <c r="L10" s="639">
        <f>IFERROR(DataEntry[[#This Row],[G-G06]], "-")</f>
        <v>0</v>
      </c>
      <c r="M10" s="639">
        <f>IFERROR(DataEntry[[#This Row],[G-G08]], "-")</f>
        <v>0</v>
      </c>
      <c r="N10" s="639">
        <f t="shared" si="0"/>
        <v>0</v>
      </c>
      <c r="O10" s="639">
        <f t="shared" si="1"/>
        <v>0</v>
      </c>
      <c r="P10" s="639">
        <f>IFERROR(DataEntry[[#This Row],[S-P04]]/DataEntry[[#This Row],[S-P01]],"-")</f>
        <v>0</v>
      </c>
      <c r="Q10" s="639">
        <f>IFERROR(DataEntry[[#This Row],[E-E06]]/DataEntry[[#This Row],[E-E01]],"-")</f>
        <v>0</v>
      </c>
      <c r="R10" s="639" t="str">
        <f>IFERROR(DataEntry[[#This Row],[G-G06]]/DataEntry[[#This Row],[G-G01]], "-")</f>
        <v>-</v>
      </c>
      <c r="S10" s="641" t="str">
        <f>IFERROR((DataEntry[[#This Row],[S-B04]]/DataEntry[[#This Row],[S-P04]]), "-")</f>
        <v>-</v>
      </c>
      <c r="T10" s="639" t="str">
        <f>IFERROR(DataEntry[[#This Row],[E-E06]]/DataEntry[[#This Row],[S-P04]],"-")</f>
        <v>-</v>
      </c>
      <c r="U10" s="639" t="str">
        <f>IFERROR(DataEntry[[#This Row],[E-E08]]/DataEntry[[#This Row],[S-P04]],"-")</f>
        <v>-</v>
      </c>
      <c r="V10" s="639" t="str">
        <f>IFERROR(DataEntry[[#This Row],[G-G06]]/DataEntry[[#This Row],[S-P04]],"-")</f>
        <v>-</v>
      </c>
      <c r="W10" s="639" t="str">
        <f>IFERROR(DataEntry[[#This Row],[G-G08]]/DataEntry[[#This Row],[S-P04]],"-")</f>
        <v>-</v>
      </c>
      <c r="X10" s="641" t="str">
        <f>IFERROR(DataEntry[[#This Row],[S-B04]]/DataEntry[[#This Row],[E-E06]],"-")</f>
        <v>-</v>
      </c>
      <c r="Y10" s="641" t="str">
        <f>IFERROR(DataEntry[[#This Row],[S-B04]]/DataEntry[[#This Row],[E-E08]],"-")</f>
        <v>-</v>
      </c>
      <c r="Z10" s="641" t="str">
        <f>IFERROR(DataEntry[[#This Row],[S-B04]]/(L10+J10),"-")</f>
        <v>-</v>
      </c>
      <c r="AA10" s="689" t="str">
        <f>IFERROR(DataEntry[[#This Row],[S-B04]]/(M10+K10),"-")</f>
        <v>-</v>
      </c>
    </row>
    <row r="11" spans="1:27">
      <c r="A11" s="297" t="s">
        <v>522</v>
      </c>
      <c r="B11" s="236" t="s">
        <v>86</v>
      </c>
      <c r="C11" s="236" t="s">
        <v>625</v>
      </c>
      <c r="D11" s="236" t="s">
        <v>129</v>
      </c>
      <c r="E11" s="438" t="s">
        <v>155</v>
      </c>
      <c r="F11" s="214" t="str">
        <f ca="1">IFERROR(DataEntry[[#This Row],[E-E03]]*AVERAGE(OFFSET(OFFSET(H_Factors!$B$2,1,MATCH(RECO!$E$1,H_Factors!$C$2:$L$2)), 0, 0, ROUND(DataEntry[[#This Row],[E-E03]]/DataEntry[[#This Row],[E-E02]],0), 1)), "-")</f>
        <v>-</v>
      </c>
      <c r="G11" s="214" t="str">
        <f ca="1">IFERROR(DataEntry[[#This Row],[E-E08]]*AVERAGE(OFFSET(OFFSET(H_Factors!$B$2,1,MATCH(RECO!$E$1,H_Factors!$C$2:$L$2)), 0, 0, ROUND(DataEntry[[#This Row],[E-E08]]/DataEntry[[#This Row],[E-E06]],0), 1)), "-")</f>
        <v>-</v>
      </c>
      <c r="H11" s="214">
        <f>IFERROR(DataEntry[[#This Row],[G-G03]]*CO2pergasMMBtu,"-")</f>
        <v>0</v>
      </c>
      <c r="I11" s="214">
        <f>IFERROR(DataEntry[[#This Row],[G-G08]]*CO2pergasMMBtu,"-")</f>
        <v>0</v>
      </c>
      <c r="J11" s="214">
        <f>IFERROR(DataEntry[[#This Row],[E-E06]]*MMBTUperMWH, "-")</f>
        <v>0</v>
      </c>
      <c r="K11" s="214">
        <f>IFERROR(DataEntry[[#This Row],[E-E08]]*MMBTUperMWH, "-")</f>
        <v>0</v>
      </c>
      <c r="L11" s="214">
        <f>IFERROR(DataEntry[[#This Row],[G-G06]], "-")</f>
        <v>0</v>
      </c>
      <c r="M11" s="214">
        <f>IFERROR(DataEntry[[#This Row],[G-G08]], "-")</f>
        <v>0</v>
      </c>
      <c r="N11" s="214">
        <f t="shared" si="0"/>
        <v>0</v>
      </c>
      <c r="O11" s="214">
        <f t="shared" si="1"/>
        <v>0</v>
      </c>
      <c r="P11" s="214">
        <f>IFERROR(DataEntry[[#This Row],[S-P04]]/DataEntry[[#This Row],[S-P01]],"-")</f>
        <v>0</v>
      </c>
      <c r="Q11" s="214">
        <f>IFERROR(DataEntry[[#This Row],[E-E06]]/DataEntry[[#This Row],[E-E01]],"-")</f>
        <v>0</v>
      </c>
      <c r="R11" s="214" t="str">
        <f>IFERROR(DataEntry[[#This Row],[G-G06]]/DataEntry[[#This Row],[G-G01]], "-")</f>
        <v>-</v>
      </c>
      <c r="S11" s="640" t="str">
        <f>IFERROR((DataEntry[[#This Row],[S-B04]]/DataEntry[[#This Row],[S-P04]]), "-")</f>
        <v>-</v>
      </c>
      <c r="T11" s="214" t="str">
        <f>IFERROR(DataEntry[[#This Row],[E-E06]]/DataEntry[[#This Row],[S-P04]],"-")</f>
        <v>-</v>
      </c>
      <c r="U11" s="214" t="str">
        <f>IFERROR(DataEntry[[#This Row],[E-E08]]/DataEntry[[#This Row],[S-P04]],"-")</f>
        <v>-</v>
      </c>
      <c r="V11" s="214" t="str">
        <f>IFERROR(DataEntry[[#This Row],[G-G06]]/DataEntry[[#This Row],[S-P04]],"-")</f>
        <v>-</v>
      </c>
      <c r="W11" s="214" t="str">
        <f>IFERROR(DataEntry[[#This Row],[G-G08]]/DataEntry[[#This Row],[S-P04]],"-")</f>
        <v>-</v>
      </c>
      <c r="X11" s="640" t="str">
        <f>IFERROR(DataEntry[[#This Row],[S-B04]]/DataEntry[[#This Row],[E-E06]],"-")</f>
        <v>-</v>
      </c>
      <c r="Y11" s="640" t="str">
        <f>IFERROR(DataEntry[[#This Row],[S-B04]]/DataEntry[[#This Row],[E-E08]],"-")</f>
        <v>-</v>
      </c>
      <c r="Z11" s="640" t="str">
        <f>IFERROR(DataEntry[[#This Row],[S-B04]]/(L11+J11),"-")</f>
        <v>-</v>
      </c>
      <c r="AA11" s="688" t="str">
        <f>IFERROR(DataEntry[[#This Row],[S-B04]]/(M11+K11),"-")</f>
        <v>-</v>
      </c>
    </row>
    <row r="12" spans="1:27">
      <c r="A12" s="297" t="s">
        <v>522</v>
      </c>
      <c r="B12" s="236" t="s">
        <v>86</v>
      </c>
      <c r="C12" s="236" t="s">
        <v>625</v>
      </c>
      <c r="D12" s="438" t="s">
        <v>129</v>
      </c>
      <c r="E12" s="438" t="s">
        <v>19</v>
      </c>
      <c r="F12" s="214">
        <f ca="1">IFERROR(DataEntry[[#This Row],[E-E03]]*AVERAGE(OFFSET(OFFSET(H_Factors!$B$2,1,MATCH(RECO!$E$1,H_Factors!$C$2:$L$2)), 0, 0, ROUND(DataEntry[[#This Row],[E-E03]]/DataEntry[[#This Row],[E-E02]],0), 1)), "-")</f>
        <v>21.167589769164799</v>
      </c>
      <c r="G12" s="214">
        <f ca="1">IFERROR(DataEntry[[#This Row],[E-E08]]*AVERAGE(OFFSET(OFFSET(H_Factors!$B$2,1,MATCH(RECO!$E$1,H_Factors!$C$2:$L$2)), 0, 0, ROUND(DataEntry[[#This Row],[E-E08]]/DataEntry[[#This Row],[E-E06]],0), 1)), "-")</f>
        <v>21.167589769164799</v>
      </c>
      <c r="H12" s="214">
        <f>IFERROR(DataEntry[[#This Row],[G-G03]]*CO2pergasMMBtu,"-")</f>
        <v>0</v>
      </c>
      <c r="I12" s="214">
        <f>IFERROR(DataEntry[[#This Row],[G-G08]]*CO2pergasMMBtu,"-")</f>
        <v>0</v>
      </c>
      <c r="J12" s="214">
        <f>IFERROR(DataEntry[[#This Row],[E-E06]]*MMBTUperMWH, "-")</f>
        <v>23.46</v>
      </c>
      <c r="K12" s="214">
        <f>IFERROR(DataEntry[[#This Row],[E-E08]]*MMBTUperMWH, "-")</f>
        <v>158.4128</v>
      </c>
      <c r="L12" s="214">
        <f>IFERROR(DataEntry[[#This Row],[G-G06]], "-")</f>
        <v>0</v>
      </c>
      <c r="M12" s="214">
        <f>IFERROR(DataEntry[[#This Row],[G-G08]], "-")</f>
        <v>0</v>
      </c>
      <c r="N12" s="214">
        <f t="shared" si="0"/>
        <v>23.46</v>
      </c>
      <c r="O12" s="214">
        <f t="shared" si="1"/>
        <v>158.4128</v>
      </c>
      <c r="P12" s="214" t="str">
        <f>IFERROR(DataEntry[[#This Row],[S-P04]]/DataEntry[[#This Row],[S-P01]],"-")</f>
        <v>-</v>
      </c>
      <c r="Q12" s="214" t="str">
        <f>IFERROR(DataEntry[[#This Row],[E-E06]]/DataEntry[[#This Row],[E-E01]],"-")</f>
        <v>-</v>
      </c>
      <c r="R12" s="214" t="str">
        <f>IFERROR(DataEntry[[#This Row],[G-G06]]/DataEntry[[#This Row],[G-G01]], "-")</f>
        <v>-</v>
      </c>
      <c r="S12" s="640">
        <f>IFERROR((DataEntry[[#This Row],[S-B04]]/DataEntry[[#This Row],[S-P04]]), "-")</f>
        <v>2585.8166666666666</v>
      </c>
      <c r="T12" s="214">
        <f>IFERROR(DataEntry[[#This Row],[E-E06]]/DataEntry[[#This Row],[S-P04]],"-")</f>
        <v>0.38333333333333336</v>
      </c>
      <c r="U12" s="214">
        <f>IFERROR(DataEntry[[#This Row],[E-E08]]/DataEntry[[#This Row],[S-P04]],"-")</f>
        <v>2.5884444444444443</v>
      </c>
      <c r="V12" s="214">
        <f>IFERROR(DataEntry[[#This Row],[G-G06]]/DataEntry[[#This Row],[S-P04]],"-")</f>
        <v>0</v>
      </c>
      <c r="W12" s="214">
        <f>IFERROR(DataEntry[[#This Row],[G-G08]]/DataEntry[[#This Row],[S-P04]],"-")</f>
        <v>0</v>
      </c>
      <c r="X12" s="640">
        <f>IFERROR(DataEntry[[#This Row],[S-B04]]/DataEntry[[#This Row],[E-E06]],"-")</f>
        <v>6745.6086956521731</v>
      </c>
      <c r="Y12" s="640">
        <f>IFERROR(DataEntry[[#This Row],[S-B04]]/DataEntry[[#This Row],[E-E08]],"-")</f>
        <v>998.98480425824175</v>
      </c>
      <c r="Z12" s="640">
        <f>IFERROR(DataEntry[[#This Row],[S-B04]]/(L12+J12),"-")</f>
        <v>1984.0025575447569</v>
      </c>
      <c r="AA12" s="688">
        <f>IFERROR(DataEntry[[#This Row],[S-B04]]/(M12+K12),"-")</f>
        <v>293.81906007595342</v>
      </c>
    </row>
    <row r="13" spans="1:27">
      <c r="A13" s="969" t="s">
        <v>522</v>
      </c>
      <c r="B13" s="272" t="s">
        <v>86</v>
      </c>
      <c r="C13" s="272" t="s">
        <v>625</v>
      </c>
      <c r="D13" s="968" t="s">
        <v>130</v>
      </c>
      <c r="E13" s="968" t="s">
        <v>156</v>
      </c>
      <c r="F13" s="965" t="str">
        <f ca="1">IFERROR(DataEntry[[#This Row],[E-E03]]*AVERAGE(OFFSET(OFFSET(H_Factors!$B$2,1,MATCH(RECO!$E$1,H_Factors!$C$2:$L$2)), 0, 0, ROUND(DataEntry[[#This Row],[E-E03]]/DataEntry[[#This Row],[E-E02]],0), 1)), "-")</f>
        <v>-</v>
      </c>
      <c r="G13" s="965" t="str">
        <f ca="1">IFERROR(DataEntry[[#This Row],[E-E08]]*AVERAGE(OFFSET(OFFSET(H_Factors!$B$2,1,MATCH(RECO!$E$1,H_Factors!$C$2:$L$2)), 0, 0, ROUND(DataEntry[[#This Row],[E-E08]]/DataEntry[[#This Row],[E-E06]],0), 1)), "-")</f>
        <v>-</v>
      </c>
      <c r="H13" s="965">
        <f>IFERROR(DataEntry[[#This Row],[G-G03]]*CO2pergasMMBtu,"-")</f>
        <v>0</v>
      </c>
      <c r="I13" s="965">
        <f>IFERROR(DataEntry[[#This Row],[G-G08]]*CO2pergasMMBtu,"-")</f>
        <v>0</v>
      </c>
      <c r="J13" s="965">
        <f>IFERROR(DataEntry[[#This Row],[E-E06]]*MMBTUperMWH, "-")</f>
        <v>0</v>
      </c>
      <c r="K13" s="965">
        <f>IFERROR(DataEntry[[#This Row],[E-E08]]*MMBTUperMWH, "-")</f>
        <v>0</v>
      </c>
      <c r="L13" s="965">
        <f>IFERROR(DataEntry[[#This Row],[G-G06]], "-")</f>
        <v>0</v>
      </c>
      <c r="M13" s="965">
        <f>IFERROR(DataEntry[[#This Row],[G-G08]], "-")</f>
        <v>0</v>
      </c>
      <c r="N13" s="965">
        <f t="shared" si="0"/>
        <v>0</v>
      </c>
      <c r="O13" s="965">
        <f t="shared" si="1"/>
        <v>0</v>
      </c>
      <c r="P13" s="965">
        <f>IFERROR(DataEntry[[#This Row],[S-P04]]/DataEntry[[#This Row],[S-P01]],"-")</f>
        <v>0</v>
      </c>
      <c r="Q13" s="965">
        <f>IFERROR(DataEntry[[#This Row],[E-E06]]/DataEntry[[#This Row],[E-E01]],"-")</f>
        <v>0</v>
      </c>
      <c r="R13" s="965" t="str">
        <f>IFERROR(DataEntry[[#This Row],[G-G06]]/DataEntry[[#This Row],[G-G01]], "-")</f>
        <v>-</v>
      </c>
      <c r="S13" s="966" t="str">
        <f>IFERROR((DataEntry[[#This Row],[S-B04]]/DataEntry[[#This Row],[S-P04]]), "-")</f>
        <v>-</v>
      </c>
      <c r="T13" s="965" t="str">
        <f>IFERROR(DataEntry[[#This Row],[E-E06]]/DataEntry[[#This Row],[S-P04]],"-")</f>
        <v>-</v>
      </c>
      <c r="U13" s="965" t="str">
        <f>IFERROR(DataEntry[[#This Row],[E-E08]]/DataEntry[[#This Row],[S-P04]],"-")</f>
        <v>-</v>
      </c>
      <c r="V13" s="965" t="str">
        <f>IFERROR(DataEntry[[#This Row],[G-G06]]/DataEntry[[#This Row],[S-P04]],"-")</f>
        <v>-</v>
      </c>
      <c r="W13" s="965" t="str">
        <f>IFERROR(DataEntry[[#This Row],[G-G08]]/DataEntry[[#This Row],[S-P04]],"-")</f>
        <v>-</v>
      </c>
      <c r="X13" s="966" t="str">
        <f>IFERROR(DataEntry[[#This Row],[S-B04]]/DataEntry[[#This Row],[E-E06]],"-")</f>
        <v>-</v>
      </c>
      <c r="Y13" s="966" t="str">
        <f>IFERROR(DataEntry[[#This Row],[S-B04]]/DataEntry[[#This Row],[E-E08]],"-")</f>
        <v>-</v>
      </c>
      <c r="Z13" s="966" t="str">
        <f>IFERROR(DataEntry[[#This Row],[S-B04]]/(L13+J13),"-")</f>
        <v>-</v>
      </c>
      <c r="AA13" s="967" t="str">
        <f>IFERROR(DataEntry[[#This Row],[S-B04]]/(M13+K13),"-")</f>
        <v>-</v>
      </c>
    </row>
    <row r="14" spans="1:27">
      <c r="A14" s="969" t="s">
        <v>522</v>
      </c>
      <c r="B14" s="272" t="s">
        <v>86</v>
      </c>
      <c r="C14" s="272" t="s">
        <v>625</v>
      </c>
      <c r="D14" s="968" t="s">
        <v>130</v>
      </c>
      <c r="E14" s="968" t="s">
        <v>154</v>
      </c>
      <c r="F14" s="965" t="str">
        <f ca="1">IFERROR(DataEntry[[#This Row],[E-E03]]*AVERAGE(OFFSET(OFFSET(H_Factors!$B$2,1,MATCH(RECO!$E$1,H_Factors!$C$2:$L$2)), 0, 0, ROUND(DataEntry[[#This Row],[E-E03]]/DataEntry[[#This Row],[E-E02]],0), 1)), "-")</f>
        <v>-</v>
      </c>
      <c r="G14" s="965" t="str">
        <f ca="1">IFERROR(DataEntry[[#This Row],[E-E08]]*AVERAGE(OFFSET(OFFSET(H_Factors!$B$2,1,MATCH(RECO!$E$1,H_Factors!$C$2:$L$2)), 0, 0, ROUND(DataEntry[[#This Row],[E-E08]]/DataEntry[[#This Row],[E-E06]],0), 1)), "-")</f>
        <v>-</v>
      </c>
      <c r="H14" s="965">
        <f>IFERROR(DataEntry[[#This Row],[G-G03]]*CO2pergasMMBtu,"-")</f>
        <v>0</v>
      </c>
      <c r="I14" s="965">
        <f>IFERROR(DataEntry[[#This Row],[G-G08]]*CO2pergasMMBtu,"-")</f>
        <v>0</v>
      </c>
      <c r="J14" s="965">
        <f>IFERROR(DataEntry[[#This Row],[E-E06]]*MMBTUperMWH, "-")</f>
        <v>0</v>
      </c>
      <c r="K14" s="965">
        <f>IFERROR(DataEntry[[#This Row],[E-E08]]*MMBTUperMWH, "-")</f>
        <v>0</v>
      </c>
      <c r="L14" s="965">
        <f>IFERROR(DataEntry[[#This Row],[G-G06]], "-")</f>
        <v>0</v>
      </c>
      <c r="M14" s="965">
        <f>IFERROR(DataEntry[[#This Row],[G-G08]], "-")</f>
        <v>0</v>
      </c>
      <c r="N14" s="965">
        <f t="shared" si="0"/>
        <v>0</v>
      </c>
      <c r="O14" s="965">
        <f t="shared" si="1"/>
        <v>0</v>
      </c>
      <c r="P14" s="965" t="str">
        <f>IFERROR(DataEntry[[#This Row],[S-P04]]/DataEntry[[#This Row],[S-P01]],"-")</f>
        <v>-</v>
      </c>
      <c r="Q14" s="965" t="str">
        <f>IFERROR(DataEntry[[#This Row],[E-E06]]/DataEntry[[#This Row],[E-E01]],"-")</f>
        <v>-</v>
      </c>
      <c r="R14" s="965" t="str">
        <f>IFERROR(DataEntry[[#This Row],[G-G06]]/DataEntry[[#This Row],[G-G01]], "-")</f>
        <v>-</v>
      </c>
      <c r="S14" s="966" t="str">
        <f>IFERROR((DataEntry[[#This Row],[S-B04]]/DataEntry[[#This Row],[S-P04]]), "-")</f>
        <v>-</v>
      </c>
      <c r="T14" s="965" t="str">
        <f>IFERROR(DataEntry[[#This Row],[E-E06]]/DataEntry[[#This Row],[S-P04]],"-")</f>
        <v>-</v>
      </c>
      <c r="U14" s="965" t="str">
        <f>IFERROR(DataEntry[[#This Row],[E-E08]]/DataEntry[[#This Row],[S-P04]],"-")</f>
        <v>-</v>
      </c>
      <c r="V14" s="965" t="str">
        <f>IFERROR(DataEntry[[#This Row],[G-G06]]/DataEntry[[#This Row],[S-P04]],"-")</f>
        <v>-</v>
      </c>
      <c r="W14" s="965" t="str">
        <f>IFERROR(DataEntry[[#This Row],[G-G08]]/DataEntry[[#This Row],[S-P04]],"-")</f>
        <v>-</v>
      </c>
      <c r="X14" s="966" t="str">
        <f>IFERROR(DataEntry[[#This Row],[S-B04]]/DataEntry[[#This Row],[E-E06]],"-")</f>
        <v>-</v>
      </c>
      <c r="Y14" s="966" t="str">
        <f>IFERROR(DataEntry[[#This Row],[S-B04]]/DataEntry[[#This Row],[E-E08]],"-")</f>
        <v>-</v>
      </c>
      <c r="Z14" s="966" t="str">
        <f>IFERROR(DataEntry[[#This Row],[S-B04]]/(L14+J14),"-")</f>
        <v>-</v>
      </c>
      <c r="AA14" s="967" t="str">
        <f>IFERROR(DataEntry[[#This Row],[S-B04]]/(M14+K14),"-")</f>
        <v>-</v>
      </c>
    </row>
    <row r="15" spans="1:27">
      <c r="A15" s="297" t="s">
        <v>522</v>
      </c>
      <c r="B15" s="236" t="s">
        <v>86</v>
      </c>
      <c r="C15" s="236" t="s">
        <v>625</v>
      </c>
      <c r="D15" s="439" t="s">
        <v>183</v>
      </c>
      <c r="E15" s="236" t="s">
        <v>183</v>
      </c>
      <c r="F15" s="214">
        <f ca="1">IFERROR(DataEntry[[#This Row],[E-E03]]*AVERAGE(OFFSET(OFFSET(H_Factors!$B$2,1,MATCH(RECO!$E$1,H_Factors!$C$2:$L$2)), 0, 0, ROUND(DataEntry[[#This Row],[E-E03]]/DataEntry[[#This Row],[E-E02]],0), 1)), "-")</f>
        <v>242.75900797174998</v>
      </c>
      <c r="G15" s="214">
        <f ca="1">IFERROR(DataEntry[[#This Row],[E-E08]]*AVERAGE(OFFSET(OFFSET(H_Factors!$B$2,1,MATCH(RECO!$E$1,H_Factors!$C$2:$L$2)), 0, 0, ROUND(DataEntry[[#This Row],[E-E08]]/DataEntry[[#This Row],[E-E06]],0), 1)), "-")</f>
        <v>242.75900797174998</v>
      </c>
      <c r="H15" s="214">
        <f>IFERROR(DataEntry[[#This Row],[G-G03]]*CO2pergasMMBtu,"-")</f>
        <v>0</v>
      </c>
      <c r="I15" s="214">
        <f>IFERROR(DataEntry[[#This Row],[G-G08]]*CO2pergasMMBtu,"-")</f>
        <v>0</v>
      </c>
      <c r="J15" s="214">
        <f>IFERROR(DataEntry[[#This Row],[E-E06]]*MMBTUperMWH, "-")</f>
        <v>1710.2</v>
      </c>
      <c r="K15" s="214">
        <f>IFERROR(DataEntry[[#This Row],[E-E08]]*MMBTUperMWH, "-")</f>
        <v>1710.2</v>
      </c>
      <c r="L15" s="214">
        <f>IFERROR(DataEntry[[#This Row],[G-G06]], "-")</f>
        <v>0</v>
      </c>
      <c r="M15" s="214">
        <f>IFERROR(DataEntry[[#This Row],[G-G08]], "-")</f>
        <v>0</v>
      </c>
      <c r="N15" s="214">
        <f t="shared" si="0"/>
        <v>1710.2</v>
      </c>
      <c r="O15" s="214">
        <f t="shared" si="1"/>
        <v>1710.2</v>
      </c>
      <c r="P15" s="214">
        <f>IFERROR(DataEntry[[#This Row],[S-P04]]/DataEntry[[#This Row],[S-P01]],"-")</f>
        <v>1.6539855072463767</v>
      </c>
      <c r="Q15" s="214">
        <f>IFERROR(DataEntry[[#This Row],[E-E06]]/DataEntry[[#This Row],[E-E01]],"-")</f>
        <v>0.26035196687370599</v>
      </c>
      <c r="R15" s="214" t="str">
        <f>IFERROR(DataEntry[[#This Row],[G-G06]]/DataEntry[[#This Row],[G-G01]], "-")</f>
        <v>-</v>
      </c>
      <c r="S15" s="640">
        <f>IFERROR((DataEntry[[#This Row],[S-B04]]/DataEntry[[#This Row],[S-P04]]), "-")</f>
        <v>0.28146080425598496</v>
      </c>
      <c r="T15" s="214">
        <f>IFERROR(DataEntry[[#This Row],[E-E06]]/DataEntry[[#This Row],[S-P04]],"-")</f>
        <v>1.5740885620403693E-2</v>
      </c>
      <c r="U15" s="214">
        <f>IFERROR(DataEntry[[#This Row],[E-E08]]/DataEntry[[#This Row],[S-P04]],"-")</f>
        <v>1.5740885620403693E-2</v>
      </c>
      <c r="V15" s="214">
        <f>IFERROR(DataEntry[[#This Row],[G-G06]]/DataEntry[[#This Row],[S-P04]],"-")</f>
        <v>0</v>
      </c>
      <c r="W15" s="214">
        <f>IFERROR(DataEntry[[#This Row],[G-G08]]/DataEntry[[#This Row],[S-P04]],"-")</f>
        <v>0</v>
      </c>
      <c r="X15" s="640">
        <f>IFERROR(DataEntry[[#This Row],[S-B04]]/DataEntry[[#This Row],[E-E06]],"-")</f>
        <v>17.880874751491053</v>
      </c>
      <c r="Y15" s="640">
        <f>IFERROR(DataEntry[[#This Row],[S-B04]]/DataEntry[[#This Row],[E-E08]],"-")</f>
        <v>17.880874751491053</v>
      </c>
      <c r="Z15" s="640">
        <f>IFERROR(DataEntry[[#This Row],[S-B04]]/(L15+J15),"-")</f>
        <v>5.2590808092620742</v>
      </c>
      <c r="AA15" s="688">
        <f>IFERROR(DataEntry[[#This Row],[S-B04]]/(M15+K15),"-")</f>
        <v>5.2590808092620742</v>
      </c>
    </row>
    <row r="16" spans="1:27">
      <c r="A16" s="969" t="s">
        <v>522</v>
      </c>
      <c r="B16" s="272" t="s">
        <v>628</v>
      </c>
      <c r="C16" s="272" t="s">
        <v>625</v>
      </c>
      <c r="D16" s="272" t="s">
        <v>27</v>
      </c>
      <c r="E16" s="272" t="s">
        <v>629</v>
      </c>
      <c r="F16" s="965" t="str">
        <f ca="1">IFERROR(DataEntry[[#This Row],[E-E03]]*AVERAGE(OFFSET(OFFSET(H_Factors!$B$2,1,MATCH(RECO!$E$1,H_Factors!$C$2:$L$2)), 0, 0, ROUND(DataEntry[[#This Row],[E-E03]]/DataEntry[[#This Row],[E-E02]],0), 1)), "-")</f>
        <v>-</v>
      </c>
      <c r="G16" s="965" t="str">
        <f ca="1">IFERROR(DataEntry[[#This Row],[E-E08]]*AVERAGE(OFFSET(OFFSET(H_Factors!$B$2,1,MATCH(RECO!$E$1,H_Factors!$C$2:$L$2)), 0, 0, ROUND(DataEntry[[#This Row],[E-E08]]/DataEntry[[#This Row],[E-E06]],0), 1)), "-")</f>
        <v>-</v>
      </c>
      <c r="H16" s="965">
        <f>IFERROR(DataEntry[[#This Row],[G-G03]]*CO2pergasMMBtu,"-")</f>
        <v>0</v>
      </c>
      <c r="I16" s="965">
        <f>IFERROR(DataEntry[[#This Row],[G-G08]]*CO2pergasMMBtu,"-")</f>
        <v>0</v>
      </c>
      <c r="J16" s="965">
        <f>IFERROR(DataEntry[[#This Row],[E-E06]]*MMBTUperMWH, "-")</f>
        <v>0</v>
      </c>
      <c r="K16" s="965">
        <f>IFERROR(DataEntry[[#This Row],[E-E08]]*MMBTUperMWH, "-")</f>
        <v>0</v>
      </c>
      <c r="L16" s="965">
        <f>IFERROR(DataEntry[[#This Row],[G-G06]], "-")</f>
        <v>0</v>
      </c>
      <c r="M16" s="965">
        <f>IFERROR(DataEntry[[#This Row],[G-G08]], "-")</f>
        <v>0</v>
      </c>
      <c r="N16" s="965">
        <f t="shared" si="0"/>
        <v>0</v>
      </c>
      <c r="O16" s="965">
        <f t="shared" si="1"/>
        <v>0</v>
      </c>
      <c r="P16" s="965">
        <f>IFERROR(DataEntry[[#This Row],[S-P04]]/DataEntry[[#This Row],[S-P01]],"-")</f>
        <v>0</v>
      </c>
      <c r="Q16" s="965">
        <f>IFERROR(DataEntry[[#This Row],[E-E06]]/DataEntry[[#This Row],[E-E01]],"-")</f>
        <v>0</v>
      </c>
      <c r="R16" s="965" t="str">
        <f>IFERROR(DataEntry[[#This Row],[G-G06]]/DataEntry[[#This Row],[G-G01]], "-")</f>
        <v>-</v>
      </c>
      <c r="S16" s="966" t="str">
        <f>IFERROR((DataEntry[[#This Row],[S-B04]]/DataEntry[[#This Row],[S-P04]]), "-")</f>
        <v>-</v>
      </c>
      <c r="T16" s="965" t="str">
        <f>IFERROR(DataEntry[[#This Row],[E-E06]]/DataEntry[[#This Row],[S-P04]],"-")</f>
        <v>-</v>
      </c>
      <c r="U16" s="965" t="str">
        <f>IFERROR(DataEntry[[#This Row],[E-E08]]/DataEntry[[#This Row],[S-P04]],"-")</f>
        <v>-</v>
      </c>
      <c r="V16" s="965" t="str">
        <f>IFERROR(DataEntry[[#This Row],[G-G06]]/DataEntry[[#This Row],[S-P04]],"-")</f>
        <v>-</v>
      </c>
      <c r="W16" s="965" t="str">
        <f>IFERROR(DataEntry[[#This Row],[G-G08]]/DataEntry[[#This Row],[S-P04]],"-")</f>
        <v>-</v>
      </c>
      <c r="X16" s="966" t="str">
        <f>IFERROR(DataEntry[[#This Row],[S-B04]]/DataEntry[[#This Row],[E-E06]],"-")</f>
        <v>-</v>
      </c>
      <c r="Y16" s="966" t="str">
        <f>IFERROR(DataEntry[[#This Row],[S-B04]]/DataEntry[[#This Row],[E-E08]],"-")</f>
        <v>-</v>
      </c>
      <c r="Z16" s="966" t="str">
        <f>IFERROR(DataEntry[[#This Row],[S-B04]]/(L16+J16),"-")</f>
        <v>-</v>
      </c>
      <c r="AA16" s="967" t="str">
        <f>IFERROR(DataEntry[[#This Row],[S-B04]]/(M16+K16),"-")</f>
        <v>-</v>
      </c>
    </row>
    <row r="17" spans="1:27">
      <c r="A17" s="969" t="s">
        <v>522</v>
      </c>
      <c r="B17" s="272" t="s">
        <v>628</v>
      </c>
      <c r="C17" s="272" t="s">
        <v>625</v>
      </c>
      <c r="D17" s="970" t="s">
        <v>29</v>
      </c>
      <c r="E17" s="272" t="s">
        <v>29</v>
      </c>
      <c r="F17" s="965" t="str">
        <f ca="1">IFERROR(DataEntry[[#This Row],[E-E03]]*AVERAGE(OFFSET(OFFSET(H_Factors!$B$2,1,MATCH(RECO!$E$1,H_Factors!$C$2:$L$2)), 0, 0, ROUND(DataEntry[[#This Row],[E-E03]]/DataEntry[[#This Row],[E-E02]],0), 1)), "-")</f>
        <v>-</v>
      </c>
      <c r="G17" s="965" t="str">
        <f ca="1">IFERROR(DataEntry[[#This Row],[E-E08]]*AVERAGE(OFFSET(OFFSET(H_Factors!$B$2,1,MATCH(RECO!$E$1,H_Factors!$C$2:$L$2)), 0, 0, ROUND(DataEntry[[#This Row],[E-E08]]/DataEntry[[#This Row],[E-E06]],0), 1)), "-")</f>
        <v>-</v>
      </c>
      <c r="H17" s="965">
        <f>IFERROR(DataEntry[[#This Row],[G-G03]]*CO2pergasMMBtu,"-")</f>
        <v>0</v>
      </c>
      <c r="I17" s="965">
        <f>IFERROR(DataEntry[[#This Row],[G-G08]]*CO2pergasMMBtu,"-")</f>
        <v>0</v>
      </c>
      <c r="J17" s="965">
        <f>IFERROR(DataEntry[[#This Row],[E-E06]]*MMBTUperMWH, "-")</f>
        <v>0</v>
      </c>
      <c r="K17" s="965">
        <f>IFERROR(DataEntry[[#This Row],[E-E08]]*MMBTUperMWH, "-")</f>
        <v>0</v>
      </c>
      <c r="L17" s="965">
        <f>IFERROR(DataEntry[[#This Row],[G-G06]], "-")</f>
        <v>0</v>
      </c>
      <c r="M17" s="965">
        <f>IFERROR(DataEntry[[#This Row],[G-G08]], "-")</f>
        <v>0</v>
      </c>
      <c r="N17" s="965">
        <f t="shared" si="0"/>
        <v>0</v>
      </c>
      <c r="O17" s="965">
        <f t="shared" si="1"/>
        <v>0</v>
      </c>
      <c r="P17" s="965">
        <f>IFERROR(DataEntry[[#This Row],[S-P04]]/DataEntry[[#This Row],[S-P01]],"-")</f>
        <v>0</v>
      </c>
      <c r="Q17" s="965">
        <f>IFERROR(DataEntry[[#This Row],[E-E06]]/DataEntry[[#This Row],[E-E01]],"-")</f>
        <v>0</v>
      </c>
      <c r="R17" s="965" t="str">
        <f>IFERROR(DataEntry[[#This Row],[G-G06]]/DataEntry[[#This Row],[G-G01]], "-")</f>
        <v>-</v>
      </c>
      <c r="S17" s="966" t="str">
        <f>IFERROR((DataEntry[[#This Row],[S-B04]]/DataEntry[[#This Row],[S-P04]]), "-")</f>
        <v>-</v>
      </c>
      <c r="T17" s="965" t="str">
        <f>IFERROR(DataEntry[[#This Row],[E-E06]]/DataEntry[[#This Row],[S-P04]],"-")</f>
        <v>-</v>
      </c>
      <c r="U17" s="965" t="str">
        <f>IFERROR(DataEntry[[#This Row],[E-E08]]/DataEntry[[#This Row],[S-P04]],"-")</f>
        <v>-</v>
      </c>
      <c r="V17" s="965" t="str">
        <f>IFERROR(DataEntry[[#This Row],[G-G06]]/DataEntry[[#This Row],[S-P04]],"-")</f>
        <v>-</v>
      </c>
      <c r="W17" s="965" t="str">
        <f>IFERROR(DataEntry[[#This Row],[G-G08]]/DataEntry[[#This Row],[S-P04]],"-")</f>
        <v>-</v>
      </c>
      <c r="X17" s="966" t="str">
        <f>IFERROR(DataEntry[[#This Row],[S-B04]]/DataEntry[[#This Row],[E-E06]],"-")</f>
        <v>-</v>
      </c>
      <c r="Y17" s="966" t="str">
        <f>IFERROR(DataEntry[[#This Row],[S-B04]]/DataEntry[[#This Row],[E-E08]],"-")</f>
        <v>-</v>
      </c>
      <c r="Z17" s="966" t="str">
        <f>IFERROR(DataEntry[[#This Row],[S-B04]]/(L17+J17),"-")</f>
        <v>-</v>
      </c>
      <c r="AA17" s="967" t="str">
        <f>IFERROR(DataEntry[[#This Row],[S-B04]]/(M17+K17),"-")</f>
        <v>-</v>
      </c>
    </row>
    <row r="18" spans="1:27">
      <c r="A18" s="969" t="s">
        <v>522</v>
      </c>
      <c r="B18" s="272" t="s">
        <v>628</v>
      </c>
      <c r="C18" s="272" t="s">
        <v>625</v>
      </c>
      <c r="D18" s="970" t="s">
        <v>29</v>
      </c>
      <c r="E18" s="272" t="s">
        <v>963</v>
      </c>
      <c r="F18" s="965" t="str">
        <f ca="1">IFERROR(DataEntry[[#This Row],[E-E03]]*AVERAGE(OFFSET(OFFSET(H_Factors!$B$2,1,MATCH(RECO!$E$1,H_Factors!$C$2:$L$2)), 0, 0, ROUND(DataEntry[[#This Row],[E-E03]]/DataEntry[[#This Row],[E-E02]],0), 1)), "-")</f>
        <v>-</v>
      </c>
      <c r="G18" s="965" t="str">
        <f ca="1">IFERROR(DataEntry[[#This Row],[E-E08]]*AVERAGE(OFFSET(OFFSET(H_Factors!$B$2,1,MATCH(RECO!$E$1,H_Factors!$C$2:$L$2)), 0, 0, ROUND(DataEntry[[#This Row],[E-E08]]/DataEntry[[#This Row],[E-E06]],0), 1)), "-")</f>
        <v>-</v>
      </c>
      <c r="H18" s="965">
        <f>IFERROR(DataEntry[[#This Row],[G-G03]]*CO2pergasMMBtu,"-")</f>
        <v>0</v>
      </c>
      <c r="I18" s="965">
        <f>IFERROR(DataEntry[[#This Row],[G-G08]]*CO2pergasMMBtu,"-")</f>
        <v>0</v>
      </c>
      <c r="J18" s="965">
        <f>IFERROR(DataEntry[[#This Row],[E-E06]]*MMBTUperMWH, "-")</f>
        <v>0</v>
      </c>
      <c r="K18" s="965">
        <f>IFERROR(DataEntry[[#This Row],[E-E08]]*MMBTUperMWH, "-")</f>
        <v>0</v>
      </c>
      <c r="L18" s="965">
        <f>IFERROR(DataEntry[[#This Row],[G-G06]], "-")</f>
        <v>0</v>
      </c>
      <c r="M18" s="965">
        <f>IFERROR(DataEntry[[#This Row],[G-G08]], "-")</f>
        <v>0</v>
      </c>
      <c r="N18" s="965">
        <f t="shared" si="0"/>
        <v>0</v>
      </c>
      <c r="O18" s="965">
        <f t="shared" si="1"/>
        <v>0</v>
      </c>
      <c r="P18" s="965" t="str">
        <f>IFERROR(DataEntry[[#This Row],[S-P04]]/DataEntry[[#This Row],[S-P01]],"-")</f>
        <v>-</v>
      </c>
      <c r="Q18" s="965" t="str">
        <f>IFERROR(DataEntry[[#This Row],[E-E06]]/DataEntry[[#This Row],[E-E01]],"-")</f>
        <v>-</v>
      </c>
      <c r="R18" s="965" t="str">
        <f>IFERROR(DataEntry[[#This Row],[G-G06]]/DataEntry[[#This Row],[G-G01]], "-")</f>
        <v>-</v>
      </c>
      <c r="S18" s="966" t="str">
        <f>IFERROR((DataEntry[[#This Row],[S-B04]]/DataEntry[[#This Row],[S-P04]]), "-")</f>
        <v>-</v>
      </c>
      <c r="T18" s="965" t="str">
        <f>IFERROR(DataEntry[[#This Row],[E-E06]]/DataEntry[[#This Row],[S-P04]],"-")</f>
        <v>-</v>
      </c>
      <c r="U18" s="965" t="str">
        <f>IFERROR(DataEntry[[#This Row],[E-E08]]/DataEntry[[#This Row],[S-P04]],"-")</f>
        <v>-</v>
      </c>
      <c r="V18" s="965" t="str">
        <f>IFERROR(DataEntry[[#This Row],[G-G06]]/DataEntry[[#This Row],[S-P04]],"-")</f>
        <v>-</v>
      </c>
      <c r="W18" s="965" t="str">
        <f>IFERROR(DataEntry[[#This Row],[G-G08]]/DataEntry[[#This Row],[S-P04]],"-")</f>
        <v>-</v>
      </c>
      <c r="X18" s="966" t="str">
        <f>IFERROR(DataEntry[[#This Row],[S-B04]]/DataEntry[[#This Row],[E-E06]],"-")</f>
        <v>-</v>
      </c>
      <c r="Y18" s="966" t="str">
        <f>IFERROR(DataEntry[[#This Row],[S-B04]]/DataEntry[[#This Row],[E-E08]],"-")</f>
        <v>-</v>
      </c>
      <c r="Z18" s="966" t="str">
        <f>IFERROR(DataEntry[[#This Row],[S-B04]]/(L18+J18),"-")</f>
        <v>-</v>
      </c>
      <c r="AA18" s="967" t="str">
        <f>IFERROR(DataEntry[[#This Row],[S-B04]]/(M18+K18),"-")</f>
        <v>-</v>
      </c>
    </row>
    <row r="19" spans="1:27">
      <c r="A19" s="969" t="s">
        <v>522</v>
      </c>
      <c r="B19" s="272" t="s">
        <v>628</v>
      </c>
      <c r="C19" s="272" t="s">
        <v>625</v>
      </c>
      <c r="D19" s="970" t="s">
        <v>29</v>
      </c>
      <c r="E19" s="272" t="s">
        <v>964</v>
      </c>
      <c r="F19" s="965" t="str">
        <f ca="1">IFERROR(DataEntry[[#This Row],[E-E03]]*AVERAGE(OFFSET(OFFSET(H_Factors!$B$2,1,MATCH(RECO!$E$1,H_Factors!$C$2:$L$2)), 0, 0, ROUND(DataEntry[[#This Row],[E-E03]]/DataEntry[[#This Row],[E-E02]],0), 1)), "-")</f>
        <v>-</v>
      </c>
      <c r="G19" s="965" t="str">
        <f ca="1">IFERROR(DataEntry[[#This Row],[E-E08]]*AVERAGE(OFFSET(OFFSET(H_Factors!$B$2,1,MATCH(RECO!$E$1,H_Factors!$C$2:$L$2)), 0, 0, ROUND(DataEntry[[#This Row],[E-E08]]/DataEntry[[#This Row],[E-E06]],0), 1)), "-")</f>
        <v>-</v>
      </c>
      <c r="H19" s="965">
        <f>IFERROR(DataEntry[[#This Row],[G-G03]]*CO2pergasMMBtu,"-")</f>
        <v>0</v>
      </c>
      <c r="I19" s="965">
        <f>IFERROR(DataEntry[[#This Row],[G-G08]]*CO2pergasMMBtu,"-")</f>
        <v>0</v>
      </c>
      <c r="J19" s="965">
        <f>IFERROR(DataEntry[[#This Row],[E-E06]]*MMBTUperMWH, "-")</f>
        <v>0</v>
      </c>
      <c r="K19" s="965">
        <f>IFERROR(DataEntry[[#This Row],[E-E08]]*MMBTUperMWH, "-")</f>
        <v>0</v>
      </c>
      <c r="L19" s="965">
        <f>IFERROR(DataEntry[[#This Row],[G-G06]], "-")</f>
        <v>0</v>
      </c>
      <c r="M19" s="965">
        <f>IFERROR(DataEntry[[#This Row],[G-G08]], "-")</f>
        <v>0</v>
      </c>
      <c r="N19" s="965">
        <f t="shared" si="0"/>
        <v>0</v>
      </c>
      <c r="O19" s="965">
        <f t="shared" si="1"/>
        <v>0</v>
      </c>
      <c r="P19" s="965" t="str">
        <f>IFERROR(DataEntry[[#This Row],[S-P04]]/DataEntry[[#This Row],[S-P01]],"-")</f>
        <v>-</v>
      </c>
      <c r="Q19" s="965" t="str">
        <f>IFERROR(DataEntry[[#This Row],[E-E06]]/DataEntry[[#This Row],[E-E01]],"-")</f>
        <v>-</v>
      </c>
      <c r="R19" s="965" t="str">
        <f>IFERROR(DataEntry[[#This Row],[G-G06]]/DataEntry[[#This Row],[G-G01]], "-")</f>
        <v>-</v>
      </c>
      <c r="S19" s="966" t="str">
        <f>IFERROR((DataEntry[[#This Row],[S-B04]]/DataEntry[[#This Row],[S-P04]]), "-")</f>
        <v>-</v>
      </c>
      <c r="T19" s="965" t="str">
        <f>IFERROR(DataEntry[[#This Row],[E-E06]]/DataEntry[[#This Row],[S-P04]],"-")</f>
        <v>-</v>
      </c>
      <c r="U19" s="965" t="str">
        <f>IFERROR(DataEntry[[#This Row],[E-E08]]/DataEntry[[#This Row],[S-P04]],"-")</f>
        <v>-</v>
      </c>
      <c r="V19" s="965" t="str">
        <f>IFERROR(DataEntry[[#This Row],[G-G06]]/DataEntry[[#This Row],[S-P04]],"-")</f>
        <v>-</v>
      </c>
      <c r="W19" s="965" t="str">
        <f>IFERROR(DataEntry[[#This Row],[G-G08]]/DataEntry[[#This Row],[S-P04]],"-")</f>
        <v>-</v>
      </c>
      <c r="X19" s="966" t="str">
        <f>IFERROR(DataEntry[[#This Row],[S-B04]]/DataEntry[[#This Row],[E-E06]],"-")</f>
        <v>-</v>
      </c>
      <c r="Y19" s="966" t="str">
        <f>IFERROR(DataEntry[[#This Row],[S-B04]]/DataEntry[[#This Row],[E-E08]],"-")</f>
        <v>-</v>
      </c>
      <c r="Z19" s="966" t="str">
        <f>IFERROR(DataEntry[[#This Row],[S-B04]]/(L19+J19),"-")</f>
        <v>-</v>
      </c>
      <c r="AA19" s="967" t="str">
        <f>IFERROR(DataEntry[[#This Row],[S-B04]]/(M19+K19),"-")</f>
        <v>-</v>
      </c>
    </row>
    <row r="20" spans="1:27">
      <c r="A20" s="969" t="s">
        <v>522</v>
      </c>
      <c r="B20" s="272" t="s">
        <v>628</v>
      </c>
      <c r="C20" s="272" t="s">
        <v>625</v>
      </c>
      <c r="D20" s="272" t="s">
        <v>30</v>
      </c>
      <c r="E20" s="272" t="s">
        <v>30</v>
      </c>
      <c r="F20" s="965" t="str">
        <f ca="1">IFERROR(DataEntry[[#This Row],[E-E03]]*AVERAGE(OFFSET(OFFSET(H_Factors!$B$2,1,MATCH(RECO!$E$1,H_Factors!$C$2:$L$2)), 0, 0, ROUND(DataEntry[[#This Row],[E-E03]]/DataEntry[[#This Row],[E-E02]],0), 1)), "-")</f>
        <v>-</v>
      </c>
      <c r="G20" s="965" t="str">
        <f ca="1">IFERROR(DataEntry[[#This Row],[E-E08]]*AVERAGE(OFFSET(OFFSET(H_Factors!$B$2,1,MATCH(RECO!$E$1,H_Factors!$C$2:$L$2)), 0, 0, ROUND(DataEntry[[#This Row],[E-E08]]/DataEntry[[#This Row],[E-E06]],0), 1)), "-")</f>
        <v>-</v>
      </c>
      <c r="H20" s="965">
        <f>IFERROR(DataEntry[[#This Row],[G-G03]]*CO2pergasMMBtu,"-")</f>
        <v>0</v>
      </c>
      <c r="I20" s="965">
        <f>IFERROR(DataEntry[[#This Row],[G-G08]]*CO2pergasMMBtu,"-")</f>
        <v>0</v>
      </c>
      <c r="J20" s="965">
        <f>IFERROR(DataEntry[[#This Row],[E-E06]]*MMBTUperMWH, "-")</f>
        <v>0</v>
      </c>
      <c r="K20" s="965">
        <f>IFERROR(DataEntry[[#This Row],[E-E08]]*MMBTUperMWH, "-")</f>
        <v>0</v>
      </c>
      <c r="L20" s="965">
        <f>IFERROR(DataEntry[[#This Row],[G-G06]], "-")</f>
        <v>0</v>
      </c>
      <c r="M20" s="965">
        <f>IFERROR(DataEntry[[#This Row],[G-G08]], "-")</f>
        <v>0</v>
      </c>
      <c r="N20" s="965">
        <f t="shared" si="0"/>
        <v>0</v>
      </c>
      <c r="O20" s="965">
        <f t="shared" si="1"/>
        <v>0</v>
      </c>
      <c r="P20" s="965">
        <f>IFERROR(DataEntry[[#This Row],[S-P04]]/DataEntry[[#This Row],[S-P01]],"-")</f>
        <v>0</v>
      </c>
      <c r="Q20" s="965">
        <f>IFERROR(DataEntry[[#This Row],[E-E06]]/DataEntry[[#This Row],[E-E01]],"-")</f>
        <v>0</v>
      </c>
      <c r="R20" s="965" t="str">
        <f>IFERROR(DataEntry[[#This Row],[G-G06]]/DataEntry[[#This Row],[G-G01]], "-")</f>
        <v>-</v>
      </c>
      <c r="S20" s="966" t="str">
        <f>IFERROR((DataEntry[[#This Row],[S-B04]]/DataEntry[[#This Row],[S-P04]]), "-")</f>
        <v>-</v>
      </c>
      <c r="T20" s="965" t="str">
        <f>IFERROR(DataEntry[[#This Row],[E-E06]]/DataEntry[[#This Row],[S-P04]],"-")</f>
        <v>-</v>
      </c>
      <c r="U20" s="965" t="str">
        <f>IFERROR(DataEntry[[#This Row],[E-E08]]/DataEntry[[#This Row],[S-P04]],"-")</f>
        <v>-</v>
      </c>
      <c r="V20" s="965" t="str">
        <f>IFERROR(DataEntry[[#This Row],[G-G06]]/DataEntry[[#This Row],[S-P04]],"-")</f>
        <v>-</v>
      </c>
      <c r="W20" s="965" t="str">
        <f>IFERROR(DataEntry[[#This Row],[G-G08]]/DataEntry[[#This Row],[S-P04]],"-")</f>
        <v>-</v>
      </c>
      <c r="X20" s="966" t="str">
        <f>IFERROR(DataEntry[[#This Row],[S-B04]]/DataEntry[[#This Row],[E-E06]],"-")</f>
        <v>-</v>
      </c>
      <c r="Y20" s="966" t="str">
        <f>IFERROR(DataEntry[[#This Row],[S-B04]]/DataEntry[[#This Row],[E-E08]],"-")</f>
        <v>-</v>
      </c>
      <c r="Z20" s="966" t="str">
        <f>IFERROR(DataEntry[[#This Row],[S-B04]]/(L20+J20),"-")</f>
        <v>-</v>
      </c>
      <c r="AA20" s="967" t="str">
        <f>IFERROR(DataEntry[[#This Row],[S-B04]]/(M20+K20),"-")</f>
        <v>-</v>
      </c>
    </row>
    <row r="21" spans="1:27">
      <c r="A21" s="971" t="s">
        <v>522</v>
      </c>
      <c r="B21" s="972" t="s">
        <v>131</v>
      </c>
      <c r="C21" s="972" t="s">
        <v>625</v>
      </c>
      <c r="D21" s="972" t="s">
        <v>131</v>
      </c>
      <c r="E21" s="972" t="s">
        <v>629</v>
      </c>
      <c r="F21" s="973" t="str">
        <f ca="1">IFERROR(DataEntry[[#This Row],[E-E03]]*AVERAGE(OFFSET(OFFSET(H_Factors!$B$2,1,MATCH(RECO!$E$1,H_Factors!$C$2:$L$2)), 0, 0, ROUND(DataEntry[[#This Row],[E-E03]]/DataEntry[[#This Row],[E-E02]],0), 1)), "-")</f>
        <v>-</v>
      </c>
      <c r="G21" s="973" t="str">
        <f ca="1">IFERROR(DataEntry[[#This Row],[E-E08]]*AVERAGE(OFFSET(OFFSET(H_Factors!$B$2,1,MATCH(RECO!$E$1,H_Factors!$C$2:$L$2)), 0, 0, ROUND(DataEntry[[#This Row],[E-E08]]/DataEntry[[#This Row],[E-E06]],0), 1)), "-")</f>
        <v>-</v>
      </c>
      <c r="H21" s="973">
        <f>IFERROR(DataEntry[[#This Row],[G-G03]]*CO2pergasMMBtu,"-")</f>
        <v>0</v>
      </c>
      <c r="I21" s="973">
        <f>IFERROR(DataEntry[[#This Row],[G-G08]]*CO2pergasMMBtu,"-")</f>
        <v>0</v>
      </c>
      <c r="J21" s="973">
        <f>IFERROR(DataEntry[[#This Row],[E-E06]]*MMBTUperMWH, "-")</f>
        <v>0</v>
      </c>
      <c r="K21" s="973">
        <f>IFERROR(DataEntry[[#This Row],[E-E08]]*MMBTUperMWH, "-")</f>
        <v>0</v>
      </c>
      <c r="L21" s="973">
        <f>IFERROR(DataEntry[[#This Row],[G-G06]], "-")</f>
        <v>0</v>
      </c>
      <c r="M21" s="973">
        <f>IFERROR(DataEntry[[#This Row],[G-G08]], "-")</f>
        <v>0</v>
      </c>
      <c r="N21" s="973">
        <f t="shared" si="0"/>
        <v>0</v>
      </c>
      <c r="O21" s="973">
        <f t="shared" si="1"/>
        <v>0</v>
      </c>
      <c r="P21" s="973" t="str">
        <f>IFERROR(DataEntry[[#This Row],[S-P04]]/DataEntry[[#This Row],[S-P01]],"-")</f>
        <v>-</v>
      </c>
      <c r="Q21" s="973" t="str">
        <f>IFERROR(DataEntry[[#This Row],[E-E06]]/DataEntry[[#This Row],[E-E01]],"-")</f>
        <v>-</v>
      </c>
      <c r="R21" s="973" t="str">
        <f>IFERROR(DataEntry[[#This Row],[G-G06]]/DataEntry[[#This Row],[G-G01]], "-")</f>
        <v>-</v>
      </c>
      <c r="S21" s="974" t="str">
        <f>IFERROR((DataEntry[[#This Row],[S-B04]]/DataEntry[[#This Row],[S-P04]]), "-")</f>
        <v>-</v>
      </c>
      <c r="T21" s="973" t="str">
        <f>IFERROR(DataEntry[[#This Row],[E-E06]]/DataEntry[[#This Row],[S-P04]],"-")</f>
        <v>-</v>
      </c>
      <c r="U21" s="973" t="str">
        <f>IFERROR(DataEntry[[#This Row],[E-E08]]/DataEntry[[#This Row],[S-P04]],"-")</f>
        <v>-</v>
      </c>
      <c r="V21" s="973" t="str">
        <f>IFERROR(DataEntry[[#This Row],[G-G06]]/DataEntry[[#This Row],[S-P04]],"-")</f>
        <v>-</v>
      </c>
      <c r="W21" s="973" t="str">
        <f>IFERROR(DataEntry[[#This Row],[G-G08]]/DataEntry[[#This Row],[S-P04]],"-")</f>
        <v>-</v>
      </c>
      <c r="X21" s="974" t="str">
        <f>IFERROR(DataEntry[[#This Row],[S-B04]]/DataEntry[[#This Row],[E-E06]],"-")</f>
        <v>-</v>
      </c>
      <c r="Y21" s="974" t="str">
        <f>IFERROR(DataEntry[[#This Row],[S-B04]]/DataEntry[[#This Row],[E-E08]],"-")</f>
        <v>-</v>
      </c>
      <c r="Z21" s="974" t="str">
        <f>IFERROR(DataEntry[[#This Row],[S-B04]]/(L21+J21),"-")</f>
        <v>-</v>
      </c>
      <c r="AA21" s="975" t="str">
        <f>IFERROR(DataEntry[[#This Row],[S-B04]]/(M21+K21),"-")</f>
        <v>-</v>
      </c>
    </row>
    <row r="22" spans="1:27">
      <c r="A22" s="971" t="s">
        <v>522</v>
      </c>
      <c r="B22" s="972" t="s">
        <v>131</v>
      </c>
      <c r="C22" s="972" t="s">
        <v>625</v>
      </c>
      <c r="D22" s="972" t="s">
        <v>131</v>
      </c>
      <c r="E22" s="972" t="s">
        <v>29</v>
      </c>
      <c r="F22" s="973" t="str">
        <f ca="1">IFERROR(DataEntry[[#This Row],[E-E03]]*AVERAGE(OFFSET(OFFSET(H_Factors!$B$2,1,MATCH(RECO!$E$1,H_Factors!$C$2:$L$2)), 0, 0, ROUND(DataEntry[[#This Row],[E-E03]]/DataEntry[[#This Row],[E-E02]],0), 1)), "-")</f>
        <v>-</v>
      </c>
      <c r="G22" s="973" t="str">
        <f ca="1">IFERROR(DataEntry[[#This Row],[E-E08]]*AVERAGE(OFFSET(OFFSET(H_Factors!$B$2,1,MATCH(RECO!$E$1,H_Factors!$C$2:$L$2)), 0, 0, ROUND(DataEntry[[#This Row],[E-E08]]/DataEntry[[#This Row],[E-E06]],0), 1)), "-")</f>
        <v>-</v>
      </c>
      <c r="H22" s="973">
        <f>IFERROR(DataEntry[[#This Row],[G-G03]]*CO2pergasMMBtu,"-")</f>
        <v>0</v>
      </c>
      <c r="I22" s="973">
        <f>IFERROR(DataEntry[[#This Row],[G-G08]]*CO2pergasMMBtu,"-")</f>
        <v>0</v>
      </c>
      <c r="J22" s="973">
        <f>IFERROR(DataEntry[[#This Row],[E-E06]]*MMBTUperMWH, "-")</f>
        <v>0</v>
      </c>
      <c r="K22" s="973">
        <f>IFERROR(DataEntry[[#This Row],[E-E08]]*MMBTUperMWH, "-")</f>
        <v>0</v>
      </c>
      <c r="L22" s="973">
        <f>IFERROR(DataEntry[[#This Row],[G-G06]], "-")</f>
        <v>0</v>
      </c>
      <c r="M22" s="973">
        <f>IFERROR(DataEntry[[#This Row],[G-G08]], "-")</f>
        <v>0</v>
      </c>
      <c r="N22" s="973">
        <f t="shared" si="0"/>
        <v>0</v>
      </c>
      <c r="O22" s="973">
        <f t="shared" si="1"/>
        <v>0</v>
      </c>
      <c r="P22" s="973" t="str">
        <f>IFERROR(DataEntry[[#This Row],[S-P04]]/DataEntry[[#This Row],[S-P01]],"-")</f>
        <v>-</v>
      </c>
      <c r="Q22" s="973" t="str">
        <f>IFERROR(DataEntry[[#This Row],[E-E06]]/DataEntry[[#This Row],[E-E01]],"-")</f>
        <v>-</v>
      </c>
      <c r="R22" s="973" t="str">
        <f>IFERROR(DataEntry[[#This Row],[G-G06]]/DataEntry[[#This Row],[G-G01]], "-")</f>
        <v>-</v>
      </c>
      <c r="S22" s="974" t="str">
        <f>IFERROR((DataEntry[[#This Row],[S-B04]]/DataEntry[[#This Row],[S-P04]]), "-")</f>
        <v>-</v>
      </c>
      <c r="T22" s="973" t="str">
        <f>IFERROR(DataEntry[[#This Row],[E-E06]]/DataEntry[[#This Row],[S-P04]],"-")</f>
        <v>-</v>
      </c>
      <c r="U22" s="973" t="str">
        <f>IFERROR(DataEntry[[#This Row],[E-E08]]/DataEntry[[#This Row],[S-P04]],"-")</f>
        <v>-</v>
      </c>
      <c r="V22" s="973" t="str">
        <f>IFERROR(DataEntry[[#This Row],[G-G06]]/DataEntry[[#This Row],[S-P04]],"-")</f>
        <v>-</v>
      </c>
      <c r="W22" s="973" t="str">
        <f>IFERROR(DataEntry[[#This Row],[G-G08]]/DataEntry[[#This Row],[S-P04]],"-")</f>
        <v>-</v>
      </c>
      <c r="X22" s="974" t="str">
        <f>IFERROR(DataEntry[[#This Row],[S-B04]]/DataEntry[[#This Row],[E-E06]],"-")</f>
        <v>-</v>
      </c>
      <c r="Y22" s="974" t="str">
        <f>IFERROR(DataEntry[[#This Row],[S-B04]]/DataEntry[[#This Row],[E-E08]],"-")</f>
        <v>-</v>
      </c>
      <c r="Z22" s="974" t="str">
        <f>IFERROR(DataEntry[[#This Row],[S-B04]]/(L22+J22),"-")</f>
        <v>-</v>
      </c>
      <c r="AA22" s="975" t="str">
        <f>IFERROR(DataEntry[[#This Row],[S-B04]]/(M22+K22),"-")</f>
        <v>-</v>
      </c>
    </row>
    <row r="23" spans="1:27">
      <c r="A23" s="637" t="s">
        <v>522</v>
      </c>
      <c r="B23" s="638" t="s">
        <v>131</v>
      </c>
      <c r="C23" s="638" t="s">
        <v>625</v>
      </c>
      <c r="D23" s="638" t="s">
        <v>131</v>
      </c>
      <c r="E23" s="638"/>
      <c r="F23" s="214" t="str">
        <f ca="1">IFERROR(DataEntry[[#This Row],[E-E03]]*AVERAGE(OFFSET(OFFSET(H_Factors!$B$2,1,MATCH(RECO!$E$1,H_Factors!$C$2:$L$2)), 0, 0, ROUND(DataEntry[[#This Row],[E-E03]]/DataEntry[[#This Row],[E-E02]],0), 1)), "-")</f>
        <v>-</v>
      </c>
      <c r="G23" s="214" t="str">
        <f ca="1">IFERROR(DataEntry[[#This Row],[E-E08]]*AVERAGE(OFFSET(OFFSET(H_Factors!$B$2,1,MATCH(RECO!$E$1,H_Factors!$C$2:$L$2)), 0, 0, ROUND(DataEntry[[#This Row],[E-E08]]/DataEntry[[#This Row],[E-E06]],0), 1)), "-")</f>
        <v>-</v>
      </c>
      <c r="H23" s="214">
        <f>IFERROR(DataEntry[[#This Row],[G-G03]]*CO2pergasMMBtu,"-")</f>
        <v>0</v>
      </c>
      <c r="I23" s="214">
        <f>IFERROR(DataEntry[[#This Row],[G-G08]]*CO2pergasMMBtu,"-")</f>
        <v>0</v>
      </c>
      <c r="J23" s="214">
        <f>IFERROR(DataEntry[[#This Row],[E-E06]]*MMBTUperMWH, "-")</f>
        <v>0</v>
      </c>
      <c r="K23" s="214">
        <f>IFERROR(DataEntry[[#This Row],[E-E08]]*MMBTUperMWH, "-")</f>
        <v>0</v>
      </c>
      <c r="L23" s="214">
        <f>IFERROR(DataEntry[[#This Row],[G-G06]], "-")</f>
        <v>0</v>
      </c>
      <c r="M23" s="214">
        <f>IFERROR(DataEntry[[#This Row],[G-G08]], "-")</f>
        <v>0</v>
      </c>
      <c r="N23" s="214">
        <f t="shared" si="0"/>
        <v>0</v>
      </c>
      <c r="O23" s="214">
        <f t="shared" si="1"/>
        <v>0</v>
      </c>
      <c r="P23" s="214">
        <f>IFERROR(DataEntry[[#This Row],[S-P04]]/DataEntry[[#This Row],[S-P01]],"-")</f>
        <v>0</v>
      </c>
      <c r="Q23" s="214">
        <f>IFERROR(DataEntry[[#This Row],[E-E06]]/DataEntry[[#This Row],[E-E01]],"-")</f>
        <v>0</v>
      </c>
      <c r="R23" s="214" t="str">
        <f>IFERROR(DataEntry[[#This Row],[G-G06]]/DataEntry[[#This Row],[G-G01]], "-")</f>
        <v>-</v>
      </c>
      <c r="S23" s="640" t="str">
        <f>IFERROR((DataEntry[[#This Row],[S-B04]]/DataEntry[[#This Row],[S-P04]]), "-")</f>
        <v>-</v>
      </c>
      <c r="T23" s="214" t="str">
        <f>IFERROR(DataEntry[[#This Row],[E-E06]]/DataEntry[[#This Row],[S-P04]],"-")</f>
        <v>-</v>
      </c>
      <c r="U23" s="214" t="str">
        <f>IFERROR(DataEntry[[#This Row],[E-E08]]/DataEntry[[#This Row],[S-P04]],"-")</f>
        <v>-</v>
      </c>
      <c r="V23" s="214" t="str">
        <f>IFERROR(DataEntry[[#This Row],[G-G06]]/DataEntry[[#This Row],[S-P04]],"-")</f>
        <v>-</v>
      </c>
      <c r="W23" s="214" t="str">
        <f>IFERROR(DataEntry[[#This Row],[G-G08]]/DataEntry[[#This Row],[S-P04]],"-")</f>
        <v>-</v>
      </c>
      <c r="X23" s="640" t="str">
        <f>IFERROR(DataEntry[[#This Row],[S-B04]]/DataEntry[[#This Row],[E-E06]],"-")</f>
        <v>-</v>
      </c>
      <c r="Y23" s="640" t="str">
        <f>IFERROR(DataEntry[[#This Row],[S-B04]]/DataEntry[[#This Row],[E-E08]],"-")</f>
        <v>-</v>
      </c>
      <c r="Z23" s="640" t="str">
        <f>IFERROR(DataEntry[[#This Row],[S-B04]]/(L23+J23),"-")</f>
        <v>-</v>
      </c>
      <c r="AA23" s="688" t="str">
        <f>IFERROR(DataEntry[[#This Row],[S-B04]]/(M23+K23),"-")</f>
        <v>-</v>
      </c>
    </row>
    <row r="24" spans="1:27">
      <c r="A24" s="969" t="s">
        <v>522</v>
      </c>
      <c r="B24" s="272" t="s">
        <v>90</v>
      </c>
      <c r="C24" s="272" t="s">
        <v>625</v>
      </c>
      <c r="D24" s="968" t="s">
        <v>965</v>
      </c>
      <c r="E24" s="968" t="s">
        <v>966</v>
      </c>
      <c r="F24" s="965" t="str">
        <f ca="1">IFERROR(DataEntry[[#This Row],[E-E03]]*AVERAGE(OFFSET(OFFSET(H_Factors!$B$2,1,MATCH(RECO!$E$1,H_Factors!$C$2:$L$2)), 0, 0, ROUND(DataEntry[[#This Row],[E-E03]]/DataEntry[[#This Row],[E-E02]],0), 1)), "-")</f>
        <v>-</v>
      </c>
      <c r="G24" s="965" t="str">
        <f ca="1">IFERROR(DataEntry[[#This Row],[E-E08]]*AVERAGE(OFFSET(OFFSET(H_Factors!$B$2,1,MATCH(RECO!$E$1,H_Factors!$C$2:$L$2)), 0, 0, ROUND(DataEntry[[#This Row],[E-E08]]/DataEntry[[#This Row],[E-E06]],0), 1)), "-")</f>
        <v>-</v>
      </c>
      <c r="H24" s="965">
        <f>IFERROR(DataEntry[[#This Row],[G-G03]]*CO2pergasMMBtu,"-")</f>
        <v>0</v>
      </c>
      <c r="I24" s="965">
        <f>IFERROR(DataEntry[[#This Row],[G-G08]]*CO2pergasMMBtu,"-")</f>
        <v>0</v>
      </c>
      <c r="J24" s="965">
        <f>IFERROR(DataEntry[[#This Row],[E-E06]]*MMBTUperMWH, "-")</f>
        <v>0</v>
      </c>
      <c r="K24" s="965">
        <f>IFERROR(DataEntry[[#This Row],[E-E08]]*MMBTUperMWH, "-")</f>
        <v>0</v>
      </c>
      <c r="L24" s="965">
        <f>IFERROR(DataEntry[[#This Row],[G-G06]], "-")</f>
        <v>0</v>
      </c>
      <c r="M24" s="965">
        <f>IFERROR(DataEntry[[#This Row],[G-G08]], "-")</f>
        <v>0</v>
      </c>
      <c r="N24" s="965">
        <f t="shared" si="0"/>
        <v>0</v>
      </c>
      <c r="O24" s="965">
        <f t="shared" si="1"/>
        <v>0</v>
      </c>
      <c r="P24" s="965" t="str">
        <f>IFERROR(DataEntry[[#This Row],[S-P04]]/DataEntry[[#This Row],[S-P01]],"-")</f>
        <v>-</v>
      </c>
      <c r="Q24" s="965" t="str">
        <f>IFERROR(DataEntry[[#This Row],[E-E06]]/DataEntry[[#This Row],[E-E01]],"-")</f>
        <v>-</v>
      </c>
      <c r="R24" s="965" t="str">
        <f>IFERROR(DataEntry[[#This Row],[G-G06]]/DataEntry[[#This Row],[G-G01]], "-")</f>
        <v>-</v>
      </c>
      <c r="S24" s="966">
        <f>IFERROR((DataEntry[[#This Row],[S-B04]]/DataEntry[[#This Row],[S-P04]]), "-")</f>
        <v>3.8606063477025105</v>
      </c>
      <c r="T24" s="965">
        <f>IFERROR(DataEntry[[#This Row],[E-E06]]/DataEntry[[#This Row],[S-P04]],"-")</f>
        <v>0</v>
      </c>
      <c r="U24" s="965">
        <f>IFERROR(DataEntry[[#This Row],[E-E08]]/DataEntry[[#This Row],[S-P04]],"-")</f>
        <v>0</v>
      </c>
      <c r="V24" s="965">
        <f>IFERROR(DataEntry[[#This Row],[G-G06]]/DataEntry[[#This Row],[S-P04]],"-")</f>
        <v>0</v>
      </c>
      <c r="W24" s="965">
        <f>IFERROR(DataEntry[[#This Row],[G-G08]]/DataEntry[[#This Row],[S-P04]],"-")</f>
        <v>0</v>
      </c>
      <c r="X24" s="966" t="str">
        <f>IFERROR(DataEntry[[#This Row],[S-B04]]/DataEntry[[#This Row],[E-E06]],"-")</f>
        <v>-</v>
      </c>
      <c r="Y24" s="966" t="str">
        <f>IFERROR(DataEntry[[#This Row],[S-B04]]/DataEntry[[#This Row],[E-E08]],"-")</f>
        <v>-</v>
      </c>
      <c r="Z24" s="966" t="str">
        <f>IFERROR(DataEntry[[#This Row],[S-B04]]/(L24+J24),"-")</f>
        <v>-</v>
      </c>
      <c r="AA24" s="967" t="str">
        <f>IFERROR(DataEntry[[#This Row],[S-B04]]/(M24+K24),"-")</f>
        <v>-</v>
      </c>
    </row>
    <row r="25" spans="1:27">
      <c r="A25" s="976" t="s">
        <v>522</v>
      </c>
      <c r="B25" s="977" t="s">
        <v>90</v>
      </c>
      <c r="C25" s="977" t="s">
        <v>625</v>
      </c>
      <c r="D25" s="978" t="s">
        <v>965</v>
      </c>
      <c r="E25" s="978" t="s">
        <v>967</v>
      </c>
      <c r="F25" s="965" t="str">
        <f ca="1">IFERROR(DataEntry[[#This Row],[E-E03]]*AVERAGE(OFFSET(OFFSET(H_Factors!$B$2,1,MATCH(RECO!$E$1,H_Factors!$C$2:$L$2)), 0, 0, ROUND(DataEntry[[#This Row],[E-E03]]/DataEntry[[#This Row],[E-E02]],0), 1)), "-")</f>
        <v>-</v>
      </c>
      <c r="G25" s="965" t="str">
        <f ca="1">IFERROR(DataEntry[[#This Row],[E-E08]]*AVERAGE(OFFSET(OFFSET(H_Factors!$B$2,1,MATCH(RECO!$E$1,H_Factors!$C$2:$L$2)), 0, 0, ROUND(DataEntry[[#This Row],[E-E08]]/DataEntry[[#This Row],[E-E06]],0), 1)), "-")</f>
        <v>-</v>
      </c>
      <c r="H25" s="965">
        <f>IFERROR(DataEntry[[#This Row],[G-G03]]*CO2pergasMMBtu,"-")</f>
        <v>0</v>
      </c>
      <c r="I25" s="965">
        <f>IFERROR(DataEntry[[#This Row],[G-G08]]*CO2pergasMMBtu,"-")</f>
        <v>0</v>
      </c>
      <c r="J25" s="965">
        <f>IFERROR(DataEntry[[#This Row],[E-E06]]*MMBTUperMWH, "-")</f>
        <v>0</v>
      </c>
      <c r="K25" s="965">
        <f>IFERROR(DataEntry[[#This Row],[E-E08]]*MMBTUperMWH, "-")</f>
        <v>0</v>
      </c>
      <c r="L25" s="965">
        <f>IFERROR(DataEntry[[#This Row],[G-G06]], "-")</f>
        <v>0</v>
      </c>
      <c r="M25" s="965">
        <f>IFERROR(DataEntry[[#This Row],[G-G08]], "-")</f>
        <v>0</v>
      </c>
      <c r="N25" s="965">
        <f t="shared" si="0"/>
        <v>0</v>
      </c>
      <c r="O25" s="965">
        <f t="shared" si="1"/>
        <v>0</v>
      </c>
      <c r="P25" s="965" t="str">
        <f>IFERROR(DataEntry[[#This Row],[S-P04]]/DataEntry[[#This Row],[S-P01]],"-")</f>
        <v>-</v>
      </c>
      <c r="Q25" s="965" t="str">
        <f>IFERROR(DataEntry[[#This Row],[E-E06]]/DataEntry[[#This Row],[E-E01]],"-")</f>
        <v>-</v>
      </c>
      <c r="R25" s="965" t="str">
        <f>IFERROR(DataEntry[[#This Row],[G-G06]]/DataEntry[[#This Row],[G-G01]], "-")</f>
        <v>-</v>
      </c>
      <c r="S25" s="966" t="str">
        <f>IFERROR((DataEntry[[#This Row],[S-B04]]/DataEntry[[#This Row],[S-P04]]), "-")</f>
        <v>-</v>
      </c>
      <c r="T25" s="965" t="str">
        <f>IFERROR(DataEntry[[#This Row],[E-E06]]/DataEntry[[#This Row],[S-P04]],"-")</f>
        <v>-</v>
      </c>
      <c r="U25" s="965" t="str">
        <f>IFERROR(DataEntry[[#This Row],[E-E08]]/DataEntry[[#This Row],[S-P04]],"-")</f>
        <v>-</v>
      </c>
      <c r="V25" s="965" t="str">
        <f>IFERROR(DataEntry[[#This Row],[G-G06]]/DataEntry[[#This Row],[S-P04]],"-")</f>
        <v>-</v>
      </c>
      <c r="W25" s="965" t="str">
        <f>IFERROR(DataEntry[[#This Row],[G-G08]]/DataEntry[[#This Row],[S-P04]],"-")</f>
        <v>-</v>
      </c>
      <c r="X25" s="966" t="str">
        <f>IFERROR(DataEntry[[#This Row],[S-B04]]/DataEntry[[#This Row],[E-E06]],"-")</f>
        <v>-</v>
      </c>
      <c r="Y25" s="966" t="str">
        <f>IFERROR(DataEntry[[#This Row],[S-B04]]/DataEntry[[#This Row],[E-E08]],"-")</f>
        <v>-</v>
      </c>
      <c r="Z25" s="966" t="str">
        <f>IFERROR(DataEntry[[#This Row],[S-B04]]/(L25+J25),"-")</f>
        <v>-</v>
      </c>
      <c r="AA25" s="967" t="str">
        <f>IFERROR(DataEntry[[#This Row],[S-B04]]/(M25+K25),"-")</f>
        <v>-</v>
      </c>
    </row>
    <row r="26" spans="1:27" ht="15" thickBot="1">
      <c r="A26" s="979" t="s">
        <v>522</v>
      </c>
      <c r="B26" s="980" t="s">
        <v>86</v>
      </c>
      <c r="C26" s="980" t="s">
        <v>625</v>
      </c>
      <c r="D26" s="981" t="s">
        <v>91</v>
      </c>
      <c r="E26" s="982" t="s">
        <v>91</v>
      </c>
      <c r="F26" s="983">
        <f ca="1">IFERROR(DataEntry[[#This Row],[E-E03]]*AVERAGE(OFFSET(OFFSET(H_Factors!$B$2,1,MATCH(RECO!$E$1,H_Factors!$C$2:$L$2)), 0, 0, ROUND(DataEntry[[#This Row],[E-E03]]/DataEntry[[#This Row],[E-E02]],0), 1)), "-")</f>
        <v>85.858007165336005</v>
      </c>
      <c r="G26" s="983">
        <f ca="1">IFERROR(DataEntry[[#This Row],[E-E08]]*AVERAGE(OFFSET(OFFSET(H_Factors!$B$2,1,MATCH(RECO!$E$1,H_Factors!$C$2:$L$2)), 0, 0, ROUND(DataEntry[[#This Row],[E-E08]]/DataEntry[[#This Row],[E-E06]],0), 1)), "-")</f>
        <v>85.858007165336005</v>
      </c>
      <c r="H26" s="983">
        <f>IFERROR(DataEntry[[#This Row],[G-G03]]*CO2pergasMMBtu,"-")</f>
        <v>0</v>
      </c>
      <c r="I26" s="983">
        <f>IFERROR(DataEntry[[#This Row],[G-G08]]*CO2pergasMMBtu,"-")</f>
        <v>0</v>
      </c>
      <c r="J26" s="983">
        <f>IFERROR(DataEntry[[#This Row],[E-E06]]*MMBTUperMWH, "-")</f>
        <v>46.379399999999997</v>
      </c>
      <c r="K26" s="983">
        <f>IFERROR(DataEntry[[#This Row],[E-E08]]*MMBTUperMWH, "-")</f>
        <v>699.04340000000002</v>
      </c>
      <c r="L26" s="983">
        <f>IFERROR(DataEntry[[#This Row],[G-G06]], "-")</f>
        <v>0</v>
      </c>
      <c r="M26" s="983">
        <f>IFERROR(DataEntry[[#This Row],[G-G08]], "-")</f>
        <v>0</v>
      </c>
      <c r="N26" s="983">
        <f t="shared" si="0"/>
        <v>46.379399999999997</v>
      </c>
      <c r="O26" s="983">
        <f t="shared" si="1"/>
        <v>699.04340000000002</v>
      </c>
      <c r="P26" s="983">
        <f>IFERROR(DataEntry[[#This Row],[S-P04]]/DataEntry[[#This Row],[S-P01]],"-")</f>
        <v>0.42307692307692307</v>
      </c>
      <c r="Q26" s="983">
        <f>IFERROR(DataEntry[[#This Row],[E-E06]]/DataEntry[[#This Row],[E-E01]],"-")</f>
        <v>0.85706207589846695</v>
      </c>
      <c r="R26" s="983" t="str">
        <f>IFERROR(DataEntry[[#This Row],[G-G06]]/DataEntry[[#This Row],[G-G01]], "-")</f>
        <v>-</v>
      </c>
      <c r="S26" s="984">
        <f>IFERROR((DataEntry[[#This Row],[S-B04]]/DataEntry[[#This Row],[S-P04]]), "-")</f>
        <v>5362.3109090909093</v>
      </c>
      <c r="T26" s="983">
        <f>IFERROR(DataEntry[[#This Row],[E-E06]]/DataEntry[[#This Row],[S-P04]],"-")</f>
        <v>1.2400909090909091</v>
      </c>
      <c r="U26" s="983">
        <f>IFERROR(DataEntry[[#This Row],[E-E08]]/DataEntry[[#This Row],[S-P04]],"-")</f>
        <v>18.690999999999999</v>
      </c>
      <c r="V26" s="983">
        <f>IFERROR(DataEntry[[#This Row],[G-G06]]/DataEntry[[#This Row],[S-P04]],"-")</f>
        <v>0</v>
      </c>
      <c r="W26" s="983">
        <f>IFERROR(DataEntry[[#This Row],[G-G08]]/DataEntry[[#This Row],[S-P04]],"-")</f>
        <v>0</v>
      </c>
      <c r="X26" s="984">
        <f>IFERROR(DataEntry[[#This Row],[S-B04]]/DataEntry[[#This Row],[E-E06]],"-")</f>
        <v>4324.1272633971112</v>
      </c>
      <c r="Y26" s="984">
        <f>IFERROR(DataEntry[[#This Row],[S-B04]]/DataEntry[[#This Row],[E-E08]],"-")</f>
        <v>286.89267075549242</v>
      </c>
      <c r="Z26" s="984">
        <f>IFERROR(DataEntry[[#This Row],[S-B04]]/(L26+J26),"-")</f>
        <v>1271.8021362932682</v>
      </c>
      <c r="AA26" s="985">
        <f>IFERROR(DataEntry[[#This Row],[S-B04]]/(M26+K26),"-")</f>
        <v>84.380197281027179</v>
      </c>
    </row>
    <row r="27" spans="1:27">
      <c r="A27" s="986" t="s">
        <v>522</v>
      </c>
      <c r="B27" s="986" t="s">
        <v>86</v>
      </c>
      <c r="C27" s="987" t="s">
        <v>630</v>
      </c>
      <c r="D27" s="986" t="s">
        <v>631</v>
      </c>
      <c r="E27" s="988" t="s">
        <v>964</v>
      </c>
      <c r="F27" s="989">
        <f ca="1">IFERROR(DataEntry[[#This Row],[E-E03]]*AVERAGE(OFFSET(OFFSET(H_Factors!$B$2,1,MATCH(RECO!$E$1,H_Factors!$C$2:$L$2)), 0, 0, ROUND(DataEntry[[#This Row],[E-E03]]/DataEntry[[#This Row],[E-E02]],0), 1)), "-")</f>
        <v>32.70819475883556</v>
      </c>
      <c r="G27" s="989">
        <f ca="1">IFERROR(DataEntry[[#This Row],[E-E08]]*AVERAGE(OFFSET(OFFSET(H_Factors!$B$2,1,MATCH(RECO!$E$1,H_Factors!$C$2:$L$2)), 0, 0, ROUND(DataEntry[[#This Row],[E-E08]]/DataEntry[[#This Row],[E-E06]],0), 1)), "-")</f>
        <v>32.70819475883556</v>
      </c>
      <c r="H27" s="989">
        <f>IFERROR(DataEntry[[#This Row],[G-G03]]*CO2pergasMMBtu,"-")</f>
        <v>0</v>
      </c>
      <c r="I27" s="989">
        <f>IFERROR(DataEntry[[#This Row],[G-G08]]*CO2pergasMMBtu,"-")</f>
        <v>0</v>
      </c>
      <c r="J27" s="989">
        <f>IFERROR(DataEntry[[#This Row],[E-E06]]*MMBTUperMWH, "-")</f>
        <v>16.887799999999999</v>
      </c>
      <c r="K27" s="989">
        <f>IFERROR(DataEntry[[#This Row],[E-E08]]*MMBTUperMWH, "-")</f>
        <v>269.21199999999999</v>
      </c>
      <c r="L27" s="989">
        <f>IFERROR(DataEntry[[#This Row],[G-G06]], "-")</f>
        <v>0</v>
      </c>
      <c r="M27" s="989">
        <f>IFERROR(DataEntry[[#This Row],[G-G08]], "-")</f>
        <v>0</v>
      </c>
      <c r="N27" s="989">
        <f t="shared" si="0"/>
        <v>16.887799999999999</v>
      </c>
      <c r="O27" s="989">
        <f t="shared" si="1"/>
        <v>269.21199999999999</v>
      </c>
      <c r="P27" s="989" t="str">
        <f>IFERROR(DataEntry[[#This Row],[S-P04]]/DataEntry[[#This Row],[S-P01]],"-")</f>
        <v>-</v>
      </c>
      <c r="Q27" s="989" t="str">
        <f>IFERROR(DataEntry[[#This Row],[E-E06]]/DataEntry[[#This Row],[E-E01]],"-")</f>
        <v>-</v>
      </c>
      <c r="R27" s="989" t="str">
        <f>IFERROR(DataEntry[[#This Row],[G-G06]]/DataEntry[[#This Row],[G-G01]], "-")</f>
        <v>-</v>
      </c>
      <c r="S27" s="990">
        <f>IFERROR((DataEntry[[#This Row],[S-B04]]/DataEntry[[#This Row],[S-P04]]), "-")</f>
        <v>2789.7809999999999</v>
      </c>
      <c r="T27" s="989">
        <f>IFERROR(DataEntry[[#This Row],[E-E06]]/DataEntry[[#This Row],[S-P04]],"-")</f>
        <v>0.49669999999999997</v>
      </c>
      <c r="U27" s="989">
        <f>IFERROR(DataEntry[[#This Row],[E-E08]]/DataEntry[[#This Row],[S-P04]],"-")</f>
        <v>7.918000000000001</v>
      </c>
      <c r="V27" s="989">
        <f>IFERROR(DataEntry[[#This Row],[G-G06]]/DataEntry[[#This Row],[S-P04]],"-")</f>
        <v>0</v>
      </c>
      <c r="W27" s="989">
        <f>IFERROR(DataEntry[[#This Row],[G-G08]]/DataEntry[[#This Row],[S-P04]],"-")</f>
        <v>0</v>
      </c>
      <c r="X27" s="990">
        <f>IFERROR(DataEntry[[#This Row],[S-B04]]/DataEntry[[#This Row],[E-E06]],"-")</f>
        <v>5616.6317696798878</v>
      </c>
      <c r="Y27" s="990">
        <f>IFERROR(DataEntry[[#This Row],[S-B04]]/DataEntry[[#This Row],[E-E08]],"-")</f>
        <v>352.33404900227328</v>
      </c>
      <c r="Z27" s="990">
        <f>IFERROR(DataEntry[[#This Row],[S-B04]]/(L27+J27),"-")</f>
        <v>1651.9505204940847</v>
      </c>
      <c r="AA27" s="991">
        <f>IFERROR(DataEntry[[#This Row],[S-B04]]/(M27+K27),"-")</f>
        <v>103.62766147125686</v>
      </c>
    </row>
    <row r="28" spans="1:27">
      <c r="A28" s="237" t="s">
        <v>522</v>
      </c>
      <c r="B28" s="237" t="s">
        <v>86</v>
      </c>
      <c r="C28" s="413" t="s">
        <v>630</v>
      </c>
      <c r="D28" s="237" t="s">
        <v>631</v>
      </c>
      <c r="E28" s="239" t="s">
        <v>153</v>
      </c>
      <c r="F28" s="965">
        <f ca="1">IFERROR(DataEntry[[#This Row],[E-E03]]*AVERAGE(OFFSET(OFFSET(H_Factors!$B$2,1,MATCH(RECO!$E$1,H_Factors!$C$2:$L$2)), 0, 0, ROUND(DataEntry[[#This Row],[E-E03]]/DataEntry[[#This Row],[E-E02]],0), 1)), "-")</f>
        <v>18.52999803385395</v>
      </c>
      <c r="G28" s="965">
        <f ca="1">IFERROR(DataEntry[[#This Row],[E-E08]]*AVERAGE(OFFSET(OFFSET(H_Factors!$B$2,1,MATCH(RECO!$E$1,H_Factors!$C$2:$L$2)), 0, 0, ROUND(DataEntry[[#This Row],[E-E08]]/DataEntry[[#This Row],[E-E06]],0), 1)), "-")</f>
        <v>18.52999803385395</v>
      </c>
      <c r="H28" s="965">
        <f>IFERROR(DataEntry[[#This Row],[G-G03]]*CO2pergasMMBtu,"-")</f>
        <v>0</v>
      </c>
      <c r="I28" s="965">
        <f>IFERROR(DataEntry[[#This Row],[G-G08]]*CO2pergasMMBtu,"-")</f>
        <v>0</v>
      </c>
      <c r="J28" s="965">
        <f>IFERROR(DataEntry[[#This Row],[E-E06]]*MMBTUperMWH, "-")</f>
        <v>14.103199999999999</v>
      </c>
      <c r="K28" s="965">
        <f>IFERROR(DataEntry[[#This Row],[E-E08]]*MMBTUperMWH, "-")</f>
        <v>143.03800000000001</v>
      </c>
      <c r="L28" s="965">
        <f>IFERROR(DataEntry[[#This Row],[G-G06]], "-")</f>
        <v>0</v>
      </c>
      <c r="M28" s="965">
        <f>IFERROR(DataEntry[[#This Row],[G-G08]], "-")</f>
        <v>0</v>
      </c>
      <c r="N28" s="965">
        <f t="shared" si="0"/>
        <v>14.103199999999999</v>
      </c>
      <c r="O28" s="965">
        <f t="shared" si="1"/>
        <v>143.03800000000001</v>
      </c>
      <c r="P28" s="965" t="str">
        <f>IFERROR(DataEntry[[#This Row],[S-P04]]/DataEntry[[#This Row],[S-P01]],"-")</f>
        <v>-</v>
      </c>
      <c r="Q28" s="965" t="str">
        <f>IFERROR(DataEntry[[#This Row],[E-E06]]/DataEntry[[#This Row],[E-E01]],"-")</f>
        <v>-</v>
      </c>
      <c r="R28" s="965" t="str">
        <f>IFERROR(DataEntry[[#This Row],[G-G06]]/DataEntry[[#This Row],[G-G01]], "-")</f>
        <v>-</v>
      </c>
      <c r="S28" s="966">
        <f>IFERROR((DataEntry[[#This Row],[S-B04]]/DataEntry[[#This Row],[S-P04]]), "-")</f>
        <v>65.217391304347828</v>
      </c>
      <c r="T28" s="965">
        <f>IFERROR(DataEntry[[#This Row],[E-E06]]/DataEntry[[#This Row],[S-P04]],"-")</f>
        <v>9.0173913043478257E-2</v>
      </c>
      <c r="U28" s="965">
        <f>IFERROR(DataEntry[[#This Row],[E-E08]]/DataEntry[[#This Row],[S-P04]],"-")</f>
        <v>0.91456521739130436</v>
      </c>
      <c r="V28" s="965">
        <f>IFERROR(DataEntry[[#This Row],[G-G06]]/DataEntry[[#This Row],[S-P04]],"-")</f>
        <v>0</v>
      </c>
      <c r="W28" s="965">
        <f>IFERROR(DataEntry[[#This Row],[G-G08]]/DataEntry[[#This Row],[S-P04]],"-")</f>
        <v>0</v>
      </c>
      <c r="X28" s="966">
        <f>IFERROR(DataEntry[[#This Row],[S-B04]]/DataEntry[[#This Row],[E-E06]],"-")</f>
        <v>723.24011571841856</v>
      </c>
      <c r="Y28" s="966">
        <f>IFERROR(DataEntry[[#This Row],[S-B04]]/DataEntry[[#This Row],[E-E08]],"-")</f>
        <v>71.309721892084625</v>
      </c>
      <c r="Z28" s="966">
        <f>IFERROR(DataEntry[[#This Row],[S-B04]]/(L28+J28),"-")</f>
        <v>212.71768109365252</v>
      </c>
      <c r="AA28" s="966">
        <f>IFERROR(DataEntry[[#This Row],[S-B04]]/(M28+K28),"-")</f>
        <v>20.973447615319003</v>
      </c>
    </row>
    <row r="29" spans="1:27">
      <c r="A29" s="237" t="s">
        <v>522</v>
      </c>
      <c r="B29" s="237" t="s">
        <v>86</v>
      </c>
      <c r="C29" s="413" t="s">
        <v>630</v>
      </c>
      <c r="D29" s="237" t="s">
        <v>631</v>
      </c>
      <c r="E29" s="239" t="s">
        <v>962</v>
      </c>
      <c r="F29" s="989">
        <f ca="1">IFERROR(DataEntry[[#This Row],[E-E03]]*AVERAGE(OFFSET(OFFSET(H_Factors!$B$2,1,MATCH(RECO!$E$1,H_Factors!$C$2:$L$2)), 0, 0, ROUND(DataEntry[[#This Row],[E-E03]]/DataEntry[[#This Row],[E-E02]],0), 1)), "-")</f>
        <v>4.7582474368629812</v>
      </c>
      <c r="G29" s="989">
        <f ca="1">IFERROR(DataEntry[[#This Row],[E-E08]]*AVERAGE(OFFSET(OFFSET(H_Factors!$B$2,1,MATCH(RECO!$E$1,H_Factors!$C$2:$L$2)), 0, 0, ROUND(DataEntry[[#This Row],[E-E08]]/DataEntry[[#This Row],[E-E06]],0), 1)), "-")</f>
        <v>4.7582474368629812</v>
      </c>
      <c r="H29" s="989">
        <f>IFERROR(DataEntry[[#This Row],[G-G03]]*CO2pergasMMBtu,"-")</f>
        <v>0</v>
      </c>
      <c r="I29" s="989">
        <f>IFERROR(DataEntry[[#This Row],[G-G08]]*CO2pergasMMBtu,"-")</f>
        <v>0</v>
      </c>
      <c r="J29" s="989">
        <f>IFERROR(DataEntry[[#This Row],[E-E06]]*MMBTUperMWH, "-")</f>
        <v>3.4781999999999997</v>
      </c>
      <c r="K29" s="989">
        <f>IFERROR(DataEntry[[#This Row],[E-E08]]*MMBTUperMWH, "-")</f>
        <v>37.107599999999998</v>
      </c>
      <c r="L29" s="989">
        <f>IFERROR(DataEntry[[#This Row],[G-G06]], "-")</f>
        <v>0</v>
      </c>
      <c r="M29" s="989">
        <f>IFERROR(DataEntry[[#This Row],[G-G08]], "-")</f>
        <v>0</v>
      </c>
      <c r="N29" s="989">
        <f t="shared" si="0"/>
        <v>3.4781999999999997</v>
      </c>
      <c r="O29" s="989">
        <f t="shared" si="1"/>
        <v>37.107599999999998</v>
      </c>
      <c r="P29" s="989" t="str">
        <f>IFERROR(DataEntry[[#This Row],[S-P04]]/DataEntry[[#This Row],[S-P01]],"-")</f>
        <v>-</v>
      </c>
      <c r="Q29" s="989" t="str">
        <f>IFERROR(DataEntry[[#This Row],[E-E06]]/DataEntry[[#This Row],[E-E01]],"-")</f>
        <v>-</v>
      </c>
      <c r="R29" s="989" t="str">
        <f>IFERROR(DataEntry[[#This Row],[G-G06]]/DataEntry[[#This Row],[G-G01]], "-")</f>
        <v>-</v>
      </c>
      <c r="S29" s="990">
        <f>IFERROR((DataEntry[[#This Row],[S-B04]]/DataEntry[[#This Row],[S-P04]]), "-")</f>
        <v>29.25</v>
      </c>
      <c r="T29" s="989">
        <f>IFERROR(DataEntry[[#This Row],[E-E06]]/DataEntry[[#This Row],[S-P04]],"-")</f>
        <v>0.12787499999999999</v>
      </c>
      <c r="U29" s="989">
        <f>IFERROR(DataEntry[[#This Row],[E-E08]]/DataEntry[[#This Row],[S-P04]],"-")</f>
        <v>1.36425</v>
      </c>
      <c r="V29" s="989">
        <f>IFERROR(DataEntry[[#This Row],[G-G06]]/DataEntry[[#This Row],[S-P04]],"-")</f>
        <v>0</v>
      </c>
      <c r="W29" s="989">
        <f>IFERROR(DataEntry[[#This Row],[G-G08]]/DataEntry[[#This Row],[S-P04]],"-")</f>
        <v>0</v>
      </c>
      <c r="X29" s="990">
        <f>IFERROR(DataEntry[[#This Row],[S-B04]]/DataEntry[[#This Row],[E-E06]],"-")</f>
        <v>228.73900293255133</v>
      </c>
      <c r="Y29" s="990">
        <f>IFERROR(DataEntry[[#This Row],[S-B04]]/DataEntry[[#This Row],[E-E08]],"-")</f>
        <v>21.440351841671248</v>
      </c>
      <c r="Z29" s="990">
        <f>IFERROR(DataEntry[[#This Row],[S-B04]]/(L29+J29),"-")</f>
        <v>67.276177333103334</v>
      </c>
      <c r="AA29" s="991">
        <f>IFERROR(DataEntry[[#This Row],[S-B04]]/(M29+K29),"-")</f>
        <v>6.3059858357856617</v>
      </c>
    </row>
    <row r="30" spans="1:27">
      <c r="A30" s="237" t="s">
        <v>522</v>
      </c>
      <c r="B30" s="237" t="s">
        <v>86</v>
      </c>
      <c r="C30" s="413" t="s">
        <v>630</v>
      </c>
      <c r="D30" s="237" t="s">
        <v>631</v>
      </c>
      <c r="E30" s="239" t="s">
        <v>13</v>
      </c>
      <c r="F30" s="965">
        <f ca="1">IFERROR(DataEntry[[#This Row],[E-E03]]*AVERAGE(OFFSET(OFFSET(H_Factors!$B$2,1,MATCH(RECO!$E$1,H_Factors!$C$2:$L$2)), 0, 0, ROUND(DataEntry[[#This Row],[E-E03]]/DataEntry[[#This Row],[E-E02]],0), 1)), "-")</f>
        <v>25.096761539599811</v>
      </c>
      <c r="G30" s="965">
        <f ca="1">IFERROR(DataEntry[[#This Row],[E-E08]]*AVERAGE(OFFSET(OFFSET(H_Factors!$B$2,1,MATCH(RECO!$E$1,H_Factors!$C$2:$L$2)), 0, 0, ROUND(DataEntry[[#This Row],[E-E08]]/DataEntry[[#This Row],[E-E06]],0), 1)), "-")</f>
        <v>25.096761539599811</v>
      </c>
      <c r="H30" s="965">
        <f>IFERROR(DataEntry[[#This Row],[G-G03]]*CO2pergasMMBtu,"-")</f>
        <v>0</v>
      </c>
      <c r="I30" s="965">
        <f>IFERROR(DataEntry[[#This Row],[G-G08]]*CO2pergasMMBtu,"-")</f>
        <v>0</v>
      </c>
      <c r="J30" s="965">
        <f>IFERROR(DataEntry[[#This Row],[E-E06]]*MMBTUperMWH, "-")</f>
        <v>19.305199999999999</v>
      </c>
      <c r="K30" s="965">
        <f>IFERROR(DataEntry[[#This Row],[E-E08]]*MMBTUperMWH, "-")</f>
        <v>193.7286</v>
      </c>
      <c r="L30" s="965">
        <f>IFERROR(DataEntry[[#This Row],[G-G06]], "-")</f>
        <v>0</v>
      </c>
      <c r="M30" s="965">
        <f>IFERROR(DataEntry[[#This Row],[G-G08]], "-")</f>
        <v>0</v>
      </c>
      <c r="N30" s="965">
        <f t="shared" si="0"/>
        <v>19.305199999999999</v>
      </c>
      <c r="O30" s="965">
        <f t="shared" si="1"/>
        <v>193.7286</v>
      </c>
      <c r="P30" s="965" t="str">
        <f>IFERROR(DataEntry[[#This Row],[S-P04]]/DataEntry[[#This Row],[S-P01]],"-")</f>
        <v>-</v>
      </c>
      <c r="Q30" s="965" t="str">
        <f>IFERROR(DataEntry[[#This Row],[E-E06]]/DataEntry[[#This Row],[E-E01]],"-")</f>
        <v>-</v>
      </c>
      <c r="R30" s="965" t="str">
        <f>IFERROR(DataEntry[[#This Row],[G-G06]]/DataEntry[[#This Row],[G-G01]], "-")</f>
        <v>-</v>
      </c>
      <c r="S30" s="966">
        <f>IFERROR((DataEntry[[#This Row],[S-B04]]/DataEntry[[#This Row],[S-P04]]), "-")</f>
        <v>47.99132075471698</v>
      </c>
      <c r="T30" s="965">
        <f>IFERROR(DataEntry[[#This Row],[E-E06]]/DataEntry[[#This Row],[S-P04]],"-")</f>
        <v>0.10713207547169812</v>
      </c>
      <c r="U30" s="965">
        <f>IFERROR(DataEntry[[#This Row],[E-E08]]/DataEntry[[#This Row],[S-P04]],"-")</f>
        <v>1.0750754716981132</v>
      </c>
      <c r="V30" s="965">
        <f>IFERROR(DataEntry[[#This Row],[G-G06]]/DataEntry[[#This Row],[S-P04]],"-")</f>
        <v>0</v>
      </c>
      <c r="W30" s="965">
        <f>IFERROR(DataEntry[[#This Row],[G-G08]]/DataEntry[[#This Row],[S-P04]],"-")</f>
        <v>0</v>
      </c>
      <c r="X30" s="966">
        <f>IFERROR(DataEntry[[#This Row],[S-B04]]/DataEntry[[#This Row],[E-E06]],"-")</f>
        <v>447.96407185628743</v>
      </c>
      <c r="Y30" s="966">
        <f>IFERROR(DataEntry[[#This Row],[S-B04]]/DataEntry[[#This Row],[E-E08]],"-")</f>
        <v>44.639955071166568</v>
      </c>
      <c r="Z30" s="966">
        <f>IFERROR(DataEntry[[#This Row],[S-B04]]/(L30+J30),"-")</f>
        <v>131.75413878126102</v>
      </c>
      <c r="AA30" s="967">
        <f>IFERROR(DataEntry[[#This Row],[S-B04]]/(M30+K30),"-")</f>
        <v>13.129398550343108</v>
      </c>
    </row>
    <row r="31" spans="1:27">
      <c r="A31" s="992" t="s">
        <v>522</v>
      </c>
      <c r="B31" s="992" t="s">
        <v>86</v>
      </c>
      <c r="C31" s="993" t="s">
        <v>630</v>
      </c>
      <c r="D31" s="992" t="s">
        <v>631</v>
      </c>
      <c r="E31" s="994"/>
      <c r="F31" s="995" t="str">
        <f ca="1">IFERROR(DataEntry[[#This Row],[E-E03]]*AVERAGE(OFFSET(OFFSET(H_Factors!$B$2,1,MATCH(RECO!$E$1,H_Factors!$C$2:$L$2)), 0, 0, ROUND(DataEntry[[#This Row],[E-E03]]/DataEntry[[#This Row],[E-E02]],0), 1)), "-")</f>
        <v>-</v>
      </c>
      <c r="G31" s="995" t="str">
        <f ca="1">IFERROR(DataEntry[[#This Row],[E-E08]]*AVERAGE(OFFSET(OFFSET(H_Factors!$B$2,1,MATCH(RECO!$E$1,H_Factors!$C$2:$L$2)), 0, 0, ROUND(DataEntry[[#This Row],[E-E08]]/DataEntry[[#This Row],[E-E06]],0), 1)), "-")</f>
        <v>-</v>
      </c>
      <c r="H31" s="995">
        <f>IFERROR(DataEntry[[#This Row],[G-G03]]*CO2pergasMMBtu,"-")</f>
        <v>0</v>
      </c>
      <c r="I31" s="995">
        <f>IFERROR(DataEntry[[#This Row],[G-G08]]*CO2pergasMMBtu,"-")</f>
        <v>0</v>
      </c>
      <c r="J31" s="995">
        <f>IFERROR(DataEntry[[#This Row],[E-E06]]*MMBTUperMWH, "-")</f>
        <v>0</v>
      </c>
      <c r="K31" s="995">
        <f>IFERROR(DataEntry[[#This Row],[E-E08]]*MMBTUperMWH, "-")</f>
        <v>0</v>
      </c>
      <c r="L31" s="995">
        <f>IFERROR(DataEntry[[#This Row],[G-G06]], "-")</f>
        <v>0</v>
      </c>
      <c r="M31" s="995">
        <f>IFERROR(DataEntry[[#This Row],[G-G08]], "-")</f>
        <v>0</v>
      </c>
      <c r="N31" s="995">
        <f t="shared" si="0"/>
        <v>0</v>
      </c>
      <c r="O31" s="995">
        <f t="shared" si="1"/>
        <v>0</v>
      </c>
      <c r="P31" s="995" t="str">
        <f>IFERROR(DataEntry[[#This Row],[S-P04]]/DataEntry[[#This Row],[S-P01]],"-")</f>
        <v>-</v>
      </c>
      <c r="Q31" s="995" t="str">
        <f>IFERROR(DataEntry[[#This Row],[E-E06]]/DataEntry[[#This Row],[E-E01]],"-")</f>
        <v>-</v>
      </c>
      <c r="R31" s="995" t="str">
        <f>IFERROR(DataEntry[[#This Row],[G-G06]]/DataEntry[[#This Row],[G-G01]], "-")</f>
        <v>-</v>
      </c>
      <c r="S31" s="996" t="str">
        <f>IFERROR((DataEntry[[#This Row],[S-B04]]/DataEntry[[#This Row],[S-P04]]), "-")</f>
        <v>-</v>
      </c>
      <c r="T31" s="995" t="str">
        <f>IFERROR(DataEntry[[#This Row],[E-E06]]/DataEntry[[#This Row],[S-P04]],"-")</f>
        <v>-</v>
      </c>
      <c r="U31" s="995" t="str">
        <f>IFERROR(DataEntry[[#This Row],[E-E08]]/DataEntry[[#This Row],[S-P04]],"-")</f>
        <v>-</v>
      </c>
      <c r="V31" s="995" t="str">
        <f>IFERROR(DataEntry[[#This Row],[G-G06]]/DataEntry[[#This Row],[S-P04]],"-")</f>
        <v>-</v>
      </c>
      <c r="W31" s="995" t="str">
        <f>IFERROR(DataEntry[[#This Row],[G-G08]]/DataEntry[[#This Row],[S-P04]],"-")</f>
        <v>-</v>
      </c>
      <c r="X31" s="996" t="str">
        <f>IFERROR(DataEntry[[#This Row],[S-B04]]/DataEntry[[#This Row],[E-E06]],"-")</f>
        <v>-</v>
      </c>
      <c r="Y31" s="996" t="str">
        <f>IFERROR(DataEntry[[#This Row],[S-B04]]/DataEntry[[#This Row],[E-E08]],"-")</f>
        <v>-</v>
      </c>
      <c r="Z31" s="996" t="str">
        <f>IFERROR(DataEntry[[#This Row],[S-B04]]/(L31+J31),"-")</f>
        <v>-</v>
      </c>
      <c r="AA31" s="997" t="str">
        <f>IFERROR(DataEntry[[#This Row],[S-B04]]/(M31+K31),"-")</f>
        <v>-</v>
      </c>
    </row>
    <row r="32" spans="1:27">
      <c r="A32" s="234" t="s">
        <v>522</v>
      </c>
      <c r="B32" s="234" t="s">
        <v>86</v>
      </c>
      <c r="C32" s="37" t="s">
        <v>630</v>
      </c>
      <c r="D32" s="234" t="s">
        <v>633</v>
      </c>
      <c r="E32" s="204" t="s">
        <v>634</v>
      </c>
      <c r="F32" s="214">
        <f ca="1">IFERROR(DataEntry[[#This Row],[E-E03]]*AVERAGE(OFFSET(OFFSET(H_Factors!$B$2,1,MATCH(RECO!$E$1,H_Factors!$C$2:$L$2)), 0, 0, ROUND(DataEntry[[#This Row],[E-E03]]/DataEntry[[#This Row],[E-E02]],0), 1)), "-")</f>
        <v>2.3185209475390347</v>
      </c>
      <c r="G32" s="214">
        <f ca="1">IFERROR(DataEntry[[#This Row],[E-E08]]*AVERAGE(OFFSET(OFFSET(H_Factors!$B$2,1,MATCH(RECO!$E$1,H_Factors!$C$2:$L$2)), 0, 0, ROUND(DataEntry[[#This Row],[E-E08]]/DataEntry[[#This Row],[E-E06]],0), 1)), "-")</f>
        <v>2.3185209475390347</v>
      </c>
      <c r="H32" s="214">
        <f>IFERROR(DataEntry[[#This Row],[G-G03]]*CO2pergasMMBtu,"-")</f>
        <v>0</v>
      </c>
      <c r="I32" s="214">
        <f>IFERROR(DataEntry[[#This Row],[G-G08]]*CO2pergasMMBtu,"-")</f>
        <v>0</v>
      </c>
      <c r="J32" s="214">
        <f>IFERROR(DataEntry[[#This Row],[E-E06]]*MMBTUperMWH, "-")</f>
        <v>0.76500000000000001</v>
      </c>
      <c r="K32" s="214">
        <f>IFERROR(DataEntry[[#This Row],[E-E08]]*MMBTUperMWH, "-")</f>
        <v>22.276799999999998</v>
      </c>
      <c r="L32" s="214">
        <f>IFERROR(DataEntry[[#This Row],[G-G06]], "-")</f>
        <v>0</v>
      </c>
      <c r="M32" s="214">
        <f>IFERROR(DataEntry[[#This Row],[G-G08]], "-")</f>
        <v>0</v>
      </c>
      <c r="N32" s="214">
        <f t="shared" si="0"/>
        <v>0.76500000000000001</v>
      </c>
      <c r="O32" s="214">
        <f t="shared" si="1"/>
        <v>22.276799999999998</v>
      </c>
      <c r="P32" s="214" t="str">
        <f>IFERROR(DataEntry[[#This Row],[S-P04]]/DataEntry[[#This Row],[S-P01]],"-")</f>
        <v>-</v>
      </c>
      <c r="Q32" s="214" t="str">
        <f>IFERROR(DataEntry[[#This Row],[E-E06]]/DataEntry[[#This Row],[E-E01]],"-")</f>
        <v>-</v>
      </c>
      <c r="R32" s="214" t="str">
        <f>IFERROR(DataEntry[[#This Row],[G-G06]]/DataEntry[[#This Row],[G-G01]], "-")</f>
        <v>-</v>
      </c>
      <c r="S32" s="640">
        <f>IFERROR((DataEntry[[#This Row],[S-B04]]/DataEntry[[#This Row],[S-P04]]), "-")</f>
        <v>10492.04</v>
      </c>
      <c r="T32" s="214">
        <f>IFERROR(DataEntry[[#This Row],[E-E06]]/DataEntry[[#This Row],[S-P04]],"-")</f>
        <v>0.22500000000000001</v>
      </c>
      <c r="U32" s="214">
        <f>IFERROR(DataEntry[[#This Row],[E-E08]]/DataEntry[[#This Row],[S-P04]],"-")</f>
        <v>6.5519999999999996</v>
      </c>
      <c r="V32" s="214">
        <f>IFERROR(DataEntry[[#This Row],[G-G06]]/DataEntry[[#This Row],[S-P04]],"-")</f>
        <v>0</v>
      </c>
      <c r="W32" s="214">
        <f>IFERROR(DataEntry[[#This Row],[G-G08]]/DataEntry[[#This Row],[S-P04]],"-")</f>
        <v>0</v>
      </c>
      <c r="X32" s="640">
        <f>IFERROR(DataEntry[[#This Row],[S-B04]]/DataEntry[[#This Row],[E-E06]],"-")</f>
        <v>46631.288888888892</v>
      </c>
      <c r="Y32" s="640">
        <f>IFERROR(DataEntry[[#This Row],[S-B04]]/DataEntry[[#This Row],[E-E08]],"-")</f>
        <v>1601.3492063492065</v>
      </c>
      <c r="Z32" s="640">
        <f>IFERROR(DataEntry[[#This Row],[S-B04]]/(L32+J32),"-")</f>
        <v>13715.084967320263</v>
      </c>
      <c r="AA32" s="688">
        <f>IFERROR(DataEntry[[#This Row],[S-B04]]/(M32+K32),"-")</f>
        <v>470.9850606909431</v>
      </c>
    </row>
    <row r="33" spans="1:27">
      <c r="A33" s="234" t="s">
        <v>522</v>
      </c>
      <c r="B33" s="234" t="s">
        <v>86</v>
      </c>
      <c r="C33" s="37" t="s">
        <v>630</v>
      </c>
      <c r="D33" s="234" t="s">
        <v>633</v>
      </c>
      <c r="E33" s="204" t="s">
        <v>249</v>
      </c>
      <c r="F33" s="214" t="str">
        <f ca="1">IFERROR(DataEntry[[#This Row],[E-E03]]*AVERAGE(OFFSET(OFFSET(H_Factors!$B$2,1,MATCH(RECO!$E$1,H_Factors!$C$2:$L$2)), 0, 0, ROUND(DataEntry[[#This Row],[E-E03]]/DataEntry[[#This Row],[E-E02]],0), 1)), "-")</f>
        <v>-</v>
      </c>
      <c r="G33" s="214" t="str">
        <f ca="1">IFERROR(DataEntry[[#This Row],[E-E08]]*AVERAGE(OFFSET(OFFSET(H_Factors!$B$2,1,MATCH(RECO!$E$1,H_Factors!$C$2:$L$2)), 0, 0, ROUND(DataEntry[[#This Row],[E-E08]]/DataEntry[[#This Row],[E-E06]],0), 1)), "-")</f>
        <v>-</v>
      </c>
      <c r="H33" s="214">
        <f>IFERROR(DataEntry[[#This Row],[G-G03]]*CO2pergasMMBtu,"-")</f>
        <v>0</v>
      </c>
      <c r="I33" s="214">
        <f>IFERROR(DataEntry[[#This Row],[G-G08]]*CO2pergasMMBtu,"-")</f>
        <v>0</v>
      </c>
      <c r="J33" s="214">
        <f>IFERROR(DataEntry[[#This Row],[E-E06]]*MMBTUperMWH, "-")</f>
        <v>0</v>
      </c>
      <c r="K33" s="214">
        <f>IFERROR(DataEntry[[#This Row],[E-E08]]*MMBTUperMWH, "-")</f>
        <v>0</v>
      </c>
      <c r="L33" s="214">
        <f>IFERROR(DataEntry[[#This Row],[G-G06]], "-")</f>
        <v>0</v>
      </c>
      <c r="M33" s="214">
        <f>IFERROR(DataEntry[[#This Row],[G-G08]], "-")</f>
        <v>0</v>
      </c>
      <c r="N33" s="214">
        <f t="shared" si="0"/>
        <v>0</v>
      </c>
      <c r="O33" s="214">
        <f t="shared" si="1"/>
        <v>0</v>
      </c>
      <c r="P33" s="214" t="str">
        <f>IFERROR(DataEntry[[#This Row],[S-P04]]/DataEntry[[#This Row],[S-P01]],"-")</f>
        <v>-</v>
      </c>
      <c r="Q33" s="214" t="str">
        <f>IFERROR(DataEntry[[#This Row],[E-E06]]/DataEntry[[#This Row],[E-E01]],"-")</f>
        <v>-</v>
      </c>
      <c r="R33" s="214" t="str">
        <f>IFERROR(DataEntry[[#This Row],[G-G06]]/DataEntry[[#This Row],[G-G01]], "-")</f>
        <v>-</v>
      </c>
      <c r="S33" s="640" t="str">
        <f>IFERROR((DataEntry[[#This Row],[S-B04]]/DataEntry[[#This Row],[S-P04]]), "-")</f>
        <v>-</v>
      </c>
      <c r="T33" s="214" t="str">
        <f>IFERROR(DataEntry[[#This Row],[E-E06]]/DataEntry[[#This Row],[S-P04]],"-")</f>
        <v>-</v>
      </c>
      <c r="U33" s="214" t="str">
        <f>IFERROR(DataEntry[[#This Row],[E-E08]]/DataEntry[[#This Row],[S-P04]],"-")</f>
        <v>-</v>
      </c>
      <c r="V33" s="214" t="str">
        <f>IFERROR(DataEntry[[#This Row],[G-G06]]/DataEntry[[#This Row],[S-P04]],"-")</f>
        <v>-</v>
      </c>
      <c r="W33" s="214" t="str">
        <f>IFERROR(DataEntry[[#This Row],[G-G08]]/DataEntry[[#This Row],[S-P04]],"-")</f>
        <v>-</v>
      </c>
      <c r="X33" s="640" t="str">
        <f>IFERROR(DataEntry[[#This Row],[S-B04]]/DataEntry[[#This Row],[E-E06]],"-")</f>
        <v>-</v>
      </c>
      <c r="Y33" s="640" t="str">
        <f>IFERROR(DataEntry[[#This Row],[S-B04]]/DataEntry[[#This Row],[E-E08]],"-")</f>
        <v>-</v>
      </c>
      <c r="Z33" s="640" t="str">
        <f>IFERROR(DataEntry[[#This Row],[S-B04]]/(L33+J33),"-")</f>
        <v>-</v>
      </c>
      <c r="AA33" s="688" t="str">
        <f>IFERROR(DataEntry[[#This Row],[S-B04]]/(M33+K33),"-")</f>
        <v>-</v>
      </c>
    </row>
    <row r="34" spans="1:27" ht="29">
      <c r="A34" s="234" t="s">
        <v>522</v>
      </c>
      <c r="B34" s="234" t="s">
        <v>86</v>
      </c>
      <c r="C34" s="37" t="s">
        <v>630</v>
      </c>
      <c r="D34" s="234" t="s">
        <v>633</v>
      </c>
      <c r="E34" s="204" t="s">
        <v>156</v>
      </c>
      <c r="F34" s="214" t="str">
        <f ca="1">IFERROR(DataEntry[[#This Row],[E-E03]]*AVERAGE(OFFSET(OFFSET(H_Factors!$B$2,1,MATCH(RECO!$E$1,H_Factors!$C$2:$L$2)), 0, 0, ROUND(DataEntry[[#This Row],[E-E03]]/DataEntry[[#This Row],[E-E02]],0), 1)), "-")</f>
        <v>-</v>
      </c>
      <c r="G34" s="214" t="str">
        <f ca="1">IFERROR(DataEntry[[#This Row],[E-E08]]*AVERAGE(OFFSET(OFFSET(H_Factors!$B$2,1,MATCH(RECO!$E$1,H_Factors!$C$2:$L$2)), 0, 0, ROUND(DataEntry[[#This Row],[E-E08]]/DataEntry[[#This Row],[E-E06]],0), 1)), "-")</f>
        <v>-</v>
      </c>
      <c r="H34" s="214">
        <f>IFERROR(DataEntry[[#This Row],[G-G03]]*CO2pergasMMBtu,"-")</f>
        <v>0</v>
      </c>
      <c r="I34" s="214">
        <f>IFERROR(DataEntry[[#This Row],[G-G08]]*CO2pergasMMBtu,"-")</f>
        <v>0</v>
      </c>
      <c r="J34" s="214">
        <f>IFERROR(DataEntry[[#This Row],[E-E06]]*MMBTUperMWH, "-")</f>
        <v>0</v>
      </c>
      <c r="K34" s="214">
        <f>IFERROR(DataEntry[[#This Row],[E-E08]]*MMBTUperMWH, "-")</f>
        <v>0</v>
      </c>
      <c r="L34" s="214">
        <f>IFERROR(DataEntry[[#This Row],[G-G06]], "-")</f>
        <v>0</v>
      </c>
      <c r="M34" s="214">
        <f>IFERROR(DataEntry[[#This Row],[G-G08]], "-")</f>
        <v>0</v>
      </c>
      <c r="N34" s="214">
        <f t="shared" si="0"/>
        <v>0</v>
      </c>
      <c r="O34" s="214">
        <f t="shared" si="1"/>
        <v>0</v>
      </c>
      <c r="P34" s="214" t="str">
        <f>IFERROR(DataEntry[[#This Row],[S-P04]]/DataEntry[[#This Row],[S-P01]],"-")</f>
        <v>-</v>
      </c>
      <c r="Q34" s="214" t="str">
        <f>IFERROR(DataEntry[[#This Row],[E-E06]]/DataEntry[[#This Row],[E-E01]],"-")</f>
        <v>-</v>
      </c>
      <c r="R34" s="214" t="str">
        <f>IFERROR(DataEntry[[#This Row],[G-G06]]/DataEntry[[#This Row],[G-G01]], "-")</f>
        <v>-</v>
      </c>
      <c r="S34" s="640" t="str">
        <f>IFERROR((DataEntry[[#This Row],[S-B04]]/DataEntry[[#This Row],[S-P04]]), "-")</f>
        <v>-</v>
      </c>
      <c r="T34" s="214" t="str">
        <f>IFERROR(DataEntry[[#This Row],[E-E06]]/DataEntry[[#This Row],[S-P04]],"-")</f>
        <v>-</v>
      </c>
      <c r="U34" s="214" t="str">
        <f>IFERROR(DataEntry[[#This Row],[E-E08]]/DataEntry[[#This Row],[S-P04]],"-")</f>
        <v>-</v>
      </c>
      <c r="V34" s="214" t="str">
        <f>IFERROR(DataEntry[[#This Row],[G-G06]]/DataEntry[[#This Row],[S-P04]],"-")</f>
        <v>-</v>
      </c>
      <c r="W34" s="214" t="str">
        <f>IFERROR(DataEntry[[#This Row],[G-G08]]/DataEntry[[#This Row],[S-P04]],"-")</f>
        <v>-</v>
      </c>
      <c r="X34" s="640" t="str">
        <f>IFERROR(DataEntry[[#This Row],[S-B04]]/DataEntry[[#This Row],[E-E06]],"-")</f>
        <v>-</v>
      </c>
      <c r="Y34" s="640" t="str">
        <f>IFERROR(DataEntry[[#This Row],[S-B04]]/DataEntry[[#This Row],[E-E08]],"-")</f>
        <v>-</v>
      </c>
      <c r="Z34" s="640" t="str">
        <f>IFERROR(DataEntry[[#This Row],[S-B04]]/(L34+J34),"-")</f>
        <v>-</v>
      </c>
      <c r="AA34" s="688" t="str">
        <f>IFERROR(DataEntry[[#This Row],[S-B04]]/(M34+K34),"-")</f>
        <v>-</v>
      </c>
    </row>
    <row r="35" spans="1:27">
      <c r="A35" s="992" t="s">
        <v>522</v>
      </c>
      <c r="B35" s="992" t="s">
        <v>86</v>
      </c>
      <c r="C35" s="993" t="s">
        <v>630</v>
      </c>
      <c r="D35" s="992" t="s">
        <v>633</v>
      </c>
      <c r="E35" s="994"/>
      <c r="F35" s="995" t="str">
        <f ca="1">IFERROR(DataEntry[[#This Row],[E-E03]]*AVERAGE(OFFSET(OFFSET(H_Factors!$B$2,1,MATCH(RECO!$E$1,H_Factors!$C$2:$L$2)), 0, 0, ROUND(DataEntry[[#This Row],[E-E03]]/DataEntry[[#This Row],[E-E02]],0), 1)), "-")</f>
        <v>-</v>
      </c>
      <c r="G35" s="995" t="str">
        <f ca="1">IFERROR(DataEntry[[#This Row],[E-E08]]*AVERAGE(OFFSET(OFFSET(H_Factors!$B$2,1,MATCH(RECO!$E$1,H_Factors!$C$2:$L$2)), 0, 0, ROUND(DataEntry[[#This Row],[E-E08]]/DataEntry[[#This Row],[E-E06]],0), 1)), "-")</f>
        <v>-</v>
      </c>
      <c r="H35" s="995">
        <f>IFERROR(DataEntry[[#This Row],[G-G03]]*CO2pergasMMBtu,"-")</f>
        <v>0</v>
      </c>
      <c r="I35" s="995">
        <f>IFERROR(DataEntry[[#This Row],[G-G08]]*CO2pergasMMBtu,"-")</f>
        <v>0</v>
      </c>
      <c r="J35" s="995">
        <f>IFERROR(DataEntry[[#This Row],[E-E06]]*MMBTUperMWH, "-")</f>
        <v>0</v>
      </c>
      <c r="K35" s="995">
        <f>IFERROR(DataEntry[[#This Row],[E-E08]]*MMBTUperMWH, "-")</f>
        <v>0</v>
      </c>
      <c r="L35" s="995">
        <f>IFERROR(DataEntry[[#This Row],[G-G06]], "-")</f>
        <v>0</v>
      </c>
      <c r="M35" s="995">
        <f>IFERROR(DataEntry[[#This Row],[G-G08]], "-")</f>
        <v>0</v>
      </c>
      <c r="N35" s="995">
        <f>SUM(J35,L35)</f>
        <v>0</v>
      </c>
      <c r="O35" s="995">
        <f>SUM(K35,M35)</f>
        <v>0</v>
      </c>
      <c r="P35" s="995" t="str">
        <f>IFERROR(DataEntry[[#This Row],[S-P04]]/DataEntry[[#This Row],[S-P01]],"-")</f>
        <v>-</v>
      </c>
      <c r="Q35" s="995" t="str">
        <f>IFERROR(DataEntry[[#This Row],[E-E06]]/DataEntry[[#This Row],[E-E01]],"-")</f>
        <v>-</v>
      </c>
      <c r="R35" s="995" t="str">
        <f>IFERROR(DataEntry[[#This Row],[G-G06]]/DataEntry[[#This Row],[G-G01]], "-")</f>
        <v>-</v>
      </c>
      <c r="S35" s="996" t="str">
        <f>IFERROR((DataEntry[[#This Row],[S-B04]]/DataEntry[[#This Row],[S-P04]]), "-")</f>
        <v>-</v>
      </c>
      <c r="T35" s="995" t="str">
        <f>IFERROR(DataEntry[[#This Row],[E-E06]]/DataEntry[[#This Row],[S-P04]],"-")</f>
        <v>-</v>
      </c>
      <c r="U35" s="995" t="str">
        <f>IFERROR(DataEntry[[#This Row],[E-E08]]/DataEntry[[#This Row],[S-P04]],"-")</f>
        <v>-</v>
      </c>
      <c r="V35" s="995" t="str">
        <f>IFERROR(DataEntry[[#This Row],[G-G06]]/DataEntry[[#This Row],[S-P04]],"-")</f>
        <v>-</v>
      </c>
      <c r="W35" s="995" t="str">
        <f>IFERROR(DataEntry[[#This Row],[G-G08]]/DataEntry[[#This Row],[S-P04]],"-")</f>
        <v>-</v>
      </c>
      <c r="X35" s="996" t="str">
        <f>IFERROR(DataEntry[[#This Row],[S-B04]]/DataEntry[[#This Row],[E-E06]],"-")</f>
        <v>-</v>
      </c>
      <c r="Y35" s="996" t="str">
        <f>IFERROR(DataEntry[[#This Row],[S-B04]]/DataEntry[[#This Row],[E-E08]],"-")</f>
        <v>-</v>
      </c>
      <c r="Z35" s="996" t="str">
        <f>IFERROR(DataEntry[[#This Row],[S-B04]]/(L35+J35),"-")</f>
        <v>-</v>
      </c>
      <c r="AA35" s="997" t="str">
        <f>IFERROR(DataEntry[[#This Row],[S-B04]]/(M35+K35),"-")</f>
        <v>-</v>
      </c>
    </row>
    <row r="36" spans="1:27">
      <c r="A36" s="237" t="s">
        <v>522</v>
      </c>
      <c r="B36" s="237" t="s">
        <v>628</v>
      </c>
      <c r="C36" s="413" t="s">
        <v>630</v>
      </c>
      <c r="D36" s="237" t="s">
        <v>27</v>
      </c>
      <c r="E36" s="239" t="s">
        <v>27</v>
      </c>
      <c r="F36" s="965">
        <f ca="1">IFERROR(DataEntry[[#This Row],[E-E03]]*AVERAGE(OFFSET(OFFSET(H_Factors!$B$2,1,MATCH(RECO!$E$1,H_Factors!$C$2:$L$2)), 0, 0, ROUND(DataEntry[[#This Row],[E-E03]]/DataEntry[[#This Row],[E-E02]],0), 1)), "-")</f>
        <v>1461.0623211255474</v>
      </c>
      <c r="G36" s="965">
        <f ca="1">IFERROR(DataEntry[[#This Row],[E-E08]]*AVERAGE(OFFSET(OFFSET(H_Factors!$B$2,1,MATCH(RECO!$E$1,H_Factors!$C$2:$L$2)), 0, 0, ROUND(DataEntry[[#This Row],[E-E08]]/DataEntry[[#This Row],[E-E06]],0), 1)), "-")</f>
        <v>1461.0623211255474</v>
      </c>
      <c r="H36" s="965">
        <f>IFERROR(DataEntry[[#This Row],[G-G03]]*CO2pergasMMBtu,"-")</f>
        <v>0</v>
      </c>
      <c r="I36" s="965">
        <f>IFERROR(DataEntry[[#This Row],[G-G08]]*CO2pergasMMBtu,"-")</f>
        <v>0</v>
      </c>
      <c r="J36" s="965">
        <f>IFERROR(DataEntry[[#This Row],[E-E06]]*MMBTUperMWH, "-")</f>
        <v>795.10019999999997</v>
      </c>
      <c r="K36" s="965">
        <f>IFERROR(DataEntry[[#This Row],[E-E08]]*MMBTUperMWH, "-")</f>
        <v>11895.756799999999</v>
      </c>
      <c r="L36" s="965">
        <f>IFERROR(DataEntry[[#This Row],[G-G06]], "-")</f>
        <v>0</v>
      </c>
      <c r="M36" s="965">
        <f>IFERROR(DataEntry[[#This Row],[G-G08]], "-")</f>
        <v>0</v>
      </c>
      <c r="N36" s="965">
        <f t="shared" si="0"/>
        <v>795.10019999999997</v>
      </c>
      <c r="O36" s="965">
        <f t="shared" si="1"/>
        <v>11895.756799999999</v>
      </c>
      <c r="P36" s="965" t="str">
        <f>IFERROR(DataEntry[[#This Row],[S-P04]]/DataEntry[[#This Row],[S-P01]],"-")</f>
        <v>-</v>
      </c>
      <c r="Q36" s="965" t="str">
        <f>IFERROR(DataEntry[[#This Row],[E-E06]]/DataEntry[[#This Row],[E-E01]],"-")</f>
        <v>-</v>
      </c>
      <c r="R36" s="965" t="str">
        <f>IFERROR(DataEntry[[#This Row],[G-G06]]/DataEntry[[#This Row],[G-G01]], "-")</f>
        <v>-</v>
      </c>
      <c r="S36" s="966">
        <f>IFERROR((DataEntry[[#This Row],[S-B04]]/DataEntry[[#This Row],[S-P04]]), "-")</f>
        <v>35872.109375</v>
      </c>
      <c r="T36" s="965">
        <f>IFERROR(DataEntry[[#This Row],[E-E06]]/DataEntry[[#This Row],[S-P04]],"-")</f>
        <v>14.615812500000001</v>
      </c>
      <c r="U36" s="965">
        <f>IFERROR(DataEntry[[#This Row],[E-E08]]/DataEntry[[#This Row],[S-P04]],"-")</f>
        <v>218.672</v>
      </c>
      <c r="V36" s="965">
        <f>IFERROR(DataEntry[[#This Row],[G-G06]]/DataEntry[[#This Row],[S-P04]],"-")</f>
        <v>0</v>
      </c>
      <c r="W36" s="965">
        <f>IFERROR(DataEntry[[#This Row],[G-G08]]/DataEntry[[#This Row],[S-P04]],"-")</f>
        <v>0</v>
      </c>
      <c r="X36" s="966">
        <f>IFERROR(DataEntry[[#This Row],[S-B04]]/DataEntry[[#This Row],[E-E06]],"-")</f>
        <v>2454.3356296476845</v>
      </c>
      <c r="Y36" s="966">
        <f>IFERROR(DataEntry[[#This Row],[S-B04]]/DataEntry[[#This Row],[E-E08]],"-")</f>
        <v>164.0452795739738</v>
      </c>
      <c r="Z36" s="966">
        <f>IFERROR(DataEntry[[#This Row],[S-B04]]/(L36+J36),"-")</f>
        <v>721.86342048461313</v>
      </c>
      <c r="AA36" s="967">
        <f>IFERROR(DataEntry[[#This Row],[S-B04]]/(M36+K36),"-")</f>
        <v>48.248611639404061</v>
      </c>
    </row>
    <row r="37" spans="1:27">
      <c r="A37" s="237" t="s">
        <v>522</v>
      </c>
      <c r="B37" s="237" t="s">
        <v>628</v>
      </c>
      <c r="C37" s="413" t="s">
        <v>630</v>
      </c>
      <c r="D37" s="237" t="s">
        <v>636</v>
      </c>
      <c r="E37" s="239" t="s">
        <v>29</v>
      </c>
      <c r="F37" s="965">
        <f ca="1">IFERROR(DataEntry[[#This Row],[E-E03]]*AVERAGE(OFFSET(OFFSET(H_Factors!$B$2,1,MATCH(RECO!$E$1,H_Factors!$C$2:$L$2)), 0, 0, ROUND(DataEntry[[#This Row],[E-E03]]/DataEntry[[#This Row],[E-E02]],0), 1)), "-")</f>
        <v>2092.6192243731512</v>
      </c>
      <c r="G37" s="965">
        <f ca="1">IFERROR(DataEntry[[#This Row],[E-E08]]*AVERAGE(OFFSET(OFFSET(H_Factors!$B$2,1,MATCH(RECO!$E$1,H_Factors!$C$2:$L$2)), 0, 0, ROUND(DataEntry[[#This Row],[E-E08]]/DataEntry[[#This Row],[E-E06]],0), 1)), "-")</f>
        <v>2092.6192243731512</v>
      </c>
      <c r="H37" s="965">
        <f>IFERROR(DataEntry[[#This Row],[G-G03]]*CO2pergasMMBtu,"-")</f>
        <v>0</v>
      </c>
      <c r="I37" s="965">
        <f>IFERROR(DataEntry[[#This Row],[G-G08]]*CO2pergasMMBtu,"-")</f>
        <v>0</v>
      </c>
      <c r="J37" s="965">
        <f>IFERROR(DataEntry[[#This Row],[E-E06]]*MMBTUperMWH, "-")</f>
        <v>1162.4191999999998</v>
      </c>
      <c r="K37" s="965">
        <f>IFERROR(DataEntry[[#This Row],[E-E08]]*MMBTUperMWH, "-")</f>
        <v>17037.801200000002</v>
      </c>
      <c r="L37" s="965">
        <f>IFERROR(DataEntry[[#This Row],[G-G06]], "-")</f>
        <v>0</v>
      </c>
      <c r="M37" s="965">
        <f>IFERROR(DataEntry[[#This Row],[G-G08]], "-")</f>
        <v>0</v>
      </c>
      <c r="N37" s="965">
        <f t="shared" si="0"/>
        <v>1162.4191999999998</v>
      </c>
      <c r="O37" s="965">
        <f t="shared" si="1"/>
        <v>17037.801200000002</v>
      </c>
      <c r="P37" s="965" t="str">
        <f>IFERROR(DataEntry[[#This Row],[S-P04]]/DataEntry[[#This Row],[S-P01]],"-")</f>
        <v>-</v>
      </c>
      <c r="Q37" s="965" t="str">
        <f>IFERROR(DataEntry[[#This Row],[E-E06]]/DataEntry[[#This Row],[E-E01]],"-")</f>
        <v>-</v>
      </c>
      <c r="R37" s="965" t="str">
        <f>IFERROR(DataEntry[[#This Row],[G-G06]]/DataEntry[[#This Row],[G-G01]], "-")</f>
        <v>-</v>
      </c>
      <c r="S37" s="966">
        <f>IFERROR((DataEntry[[#This Row],[S-B04]]/DataEntry[[#This Row],[S-P04]]), "-")</f>
        <v>6157.9139999999998</v>
      </c>
      <c r="T37" s="965">
        <f>IFERROR(DataEntry[[#This Row],[E-E06]]/DataEntry[[#This Row],[S-P04]],"-")</f>
        <v>68.377600000000001</v>
      </c>
      <c r="U37" s="965">
        <f>IFERROR(DataEntry[[#This Row],[E-E08]]/DataEntry[[#This Row],[S-P04]],"-")</f>
        <v>1002.2236</v>
      </c>
      <c r="V37" s="965">
        <f>IFERROR(DataEntry[[#This Row],[G-G06]]/DataEntry[[#This Row],[S-P04]],"-")</f>
        <v>0</v>
      </c>
      <c r="W37" s="965">
        <f>IFERROR(DataEntry[[#This Row],[G-G08]]/DataEntry[[#This Row],[S-P04]],"-")</f>
        <v>0</v>
      </c>
      <c r="X37" s="966">
        <f>IFERROR(DataEntry[[#This Row],[S-B04]]/DataEntry[[#This Row],[E-E06]],"-")</f>
        <v>90.057474962560846</v>
      </c>
      <c r="Y37" s="966">
        <f>IFERROR(DataEntry[[#This Row],[S-B04]]/DataEntry[[#This Row],[E-E08]],"-")</f>
        <v>6.1442516420487401</v>
      </c>
      <c r="Z37" s="966">
        <f>IFERROR(DataEntry[[#This Row],[S-B04]]/(L37+J37),"-")</f>
        <v>26.48749263604731</v>
      </c>
      <c r="AA37" s="967">
        <f>IFERROR(DataEntry[[#This Row],[S-B04]]/(M37+K37),"-")</f>
        <v>1.8071328358966883</v>
      </c>
    </row>
    <row r="38" spans="1:27">
      <c r="A38" s="237" t="s">
        <v>522</v>
      </c>
      <c r="B38" s="237" t="s">
        <v>628</v>
      </c>
      <c r="C38" s="413" t="s">
        <v>630</v>
      </c>
      <c r="D38" s="237" t="s">
        <v>636</v>
      </c>
      <c r="E38" s="239" t="s">
        <v>963</v>
      </c>
      <c r="F38" s="965">
        <f ca="1">IFERROR(DataEntry[[#This Row],[E-E03]]*AVERAGE(OFFSET(OFFSET(H_Factors!$B$2,1,MATCH(RECO!$E$1,H_Factors!$C$2:$L$2)), 0, 0, ROUND(DataEntry[[#This Row],[E-E03]]/DataEntry[[#This Row],[E-E02]],0), 1)), "-")</f>
        <v>1853.0414714691738</v>
      </c>
      <c r="G38" s="965">
        <f ca="1">IFERROR(DataEntry[[#This Row],[E-E08]]*AVERAGE(OFFSET(OFFSET(H_Factors!$B$2,1,MATCH(RECO!$E$1,H_Factors!$C$2:$L$2)), 0, 0, ROUND(DataEntry[[#This Row],[E-E08]]/DataEntry[[#This Row],[E-E06]],0), 1)), "-")</f>
        <v>1853.0414714691738</v>
      </c>
      <c r="H38" s="965">
        <f>IFERROR(DataEntry[[#This Row],[G-G03]]*CO2pergasMMBtu,"-")</f>
        <v>0</v>
      </c>
      <c r="I38" s="965">
        <f>IFERROR(DataEntry[[#This Row],[G-G08]]*CO2pergasMMBtu,"-")</f>
        <v>0</v>
      </c>
      <c r="J38" s="965">
        <f>IFERROR(DataEntry[[#This Row],[E-E06]]*MMBTUperMWH, "-")</f>
        <v>1005.8117999999999</v>
      </c>
      <c r="K38" s="965">
        <f>IFERROR(DataEntry[[#This Row],[E-E08]]*MMBTUperMWH, "-")</f>
        <v>15087.194</v>
      </c>
      <c r="L38" s="965">
        <f>IFERROR(DataEntry[[#This Row],[G-G06]], "-")</f>
        <v>0</v>
      </c>
      <c r="M38" s="965">
        <f>IFERROR(DataEntry[[#This Row],[G-G08]], "-")</f>
        <v>0</v>
      </c>
      <c r="N38" s="965">
        <f t="shared" si="0"/>
        <v>1005.8117999999999</v>
      </c>
      <c r="O38" s="965">
        <f t="shared" si="1"/>
        <v>15087.194</v>
      </c>
      <c r="P38" s="965" t="str">
        <f>IFERROR(DataEntry[[#This Row],[S-P04]]/DataEntry[[#This Row],[S-P01]],"-")</f>
        <v>-</v>
      </c>
      <c r="Q38" s="965" t="str">
        <f>IFERROR(DataEntry[[#This Row],[E-E06]]/DataEntry[[#This Row],[E-E01]],"-")</f>
        <v>-</v>
      </c>
      <c r="R38" s="965" t="str">
        <f>IFERROR(DataEntry[[#This Row],[G-G06]]/DataEntry[[#This Row],[G-G01]], "-")</f>
        <v>-</v>
      </c>
      <c r="S38" s="966">
        <f>IFERROR((DataEntry[[#This Row],[S-B04]]/DataEntry[[#This Row],[S-P04]]), "-")</f>
        <v>12112.5</v>
      </c>
      <c r="T38" s="965">
        <f>IFERROR(DataEntry[[#This Row],[E-E06]]/DataEntry[[#This Row],[S-P04]],"-")</f>
        <v>147.9135</v>
      </c>
      <c r="U38" s="965">
        <f>IFERROR(DataEntry[[#This Row],[E-E08]]/DataEntry[[#This Row],[S-P04]],"-")</f>
        <v>2218.7049999999999</v>
      </c>
      <c r="V38" s="965">
        <f>IFERROR(DataEntry[[#This Row],[G-G06]]/DataEntry[[#This Row],[S-P04]],"-")</f>
        <v>0</v>
      </c>
      <c r="W38" s="965">
        <f>IFERROR(DataEntry[[#This Row],[G-G08]]/DataEntry[[#This Row],[S-P04]],"-")</f>
        <v>0</v>
      </c>
      <c r="X38" s="966">
        <f>IFERROR(DataEntry[[#This Row],[S-B04]]/DataEntry[[#This Row],[E-E06]],"-")</f>
        <v>81.889077061931474</v>
      </c>
      <c r="Y38" s="966">
        <f>IFERROR(DataEntry[[#This Row],[S-B04]]/DataEntry[[#This Row],[E-E08]],"-")</f>
        <v>5.4592656527118297</v>
      </c>
      <c r="Z38" s="966">
        <f>IFERROR(DataEntry[[#This Row],[S-B04]]/(L38+J38),"-")</f>
        <v>24.085022665273961</v>
      </c>
      <c r="AA38" s="967">
        <f>IFERROR(DataEntry[[#This Row],[S-B04]]/(M38+K38),"-")</f>
        <v>1.6056663684446559</v>
      </c>
    </row>
    <row r="39" spans="1:27">
      <c r="A39" s="992" t="s">
        <v>522</v>
      </c>
      <c r="B39" s="992" t="s">
        <v>628</v>
      </c>
      <c r="C39" s="993" t="s">
        <v>630</v>
      </c>
      <c r="D39" s="992" t="s">
        <v>636</v>
      </c>
      <c r="E39" s="994"/>
      <c r="F39" s="995" t="str">
        <f ca="1">IFERROR(DataEntry[[#This Row],[E-E03]]*AVERAGE(OFFSET(OFFSET(H_Factors!$B$2,1,MATCH(RECO!$E$1,H_Factors!$C$2:$L$2)), 0, 0, ROUND(DataEntry[[#This Row],[E-E03]]/DataEntry[[#This Row],[E-E02]],0), 1)), "-")</f>
        <v>-</v>
      </c>
      <c r="G39" s="995" t="str">
        <f ca="1">IFERROR(DataEntry[[#This Row],[E-E08]]*AVERAGE(OFFSET(OFFSET(H_Factors!$B$2,1,MATCH(RECO!$E$1,H_Factors!$C$2:$L$2)), 0, 0, ROUND(DataEntry[[#This Row],[E-E08]]/DataEntry[[#This Row],[E-E06]],0), 1)), "-")</f>
        <v>-</v>
      </c>
      <c r="H39" s="995">
        <f>IFERROR(DataEntry[[#This Row],[G-G03]]*CO2pergasMMBtu,"-")</f>
        <v>0</v>
      </c>
      <c r="I39" s="995">
        <f>IFERROR(DataEntry[[#This Row],[G-G08]]*CO2pergasMMBtu,"-")</f>
        <v>0</v>
      </c>
      <c r="J39" s="995">
        <f>IFERROR(DataEntry[[#This Row],[E-E06]]*MMBTUperMWH, "-")</f>
        <v>0</v>
      </c>
      <c r="K39" s="995">
        <f>IFERROR(DataEntry[[#This Row],[E-E08]]*MMBTUperMWH, "-")</f>
        <v>0</v>
      </c>
      <c r="L39" s="995">
        <f>IFERROR(DataEntry[[#This Row],[G-G06]], "-")</f>
        <v>0</v>
      </c>
      <c r="M39" s="995">
        <f>IFERROR(DataEntry[[#This Row],[G-G08]], "-")</f>
        <v>0</v>
      </c>
      <c r="N39" s="995">
        <f t="shared" si="0"/>
        <v>0</v>
      </c>
      <c r="O39" s="995">
        <f t="shared" si="1"/>
        <v>0</v>
      </c>
      <c r="P39" s="995" t="str">
        <f>IFERROR(DataEntry[[#This Row],[S-P04]]/DataEntry[[#This Row],[S-P01]],"-")</f>
        <v>-</v>
      </c>
      <c r="Q39" s="995" t="str">
        <f>IFERROR(DataEntry[[#This Row],[E-E06]]/DataEntry[[#This Row],[E-E01]],"-")</f>
        <v>-</v>
      </c>
      <c r="R39" s="995" t="str">
        <f>IFERROR(DataEntry[[#This Row],[G-G06]]/DataEntry[[#This Row],[G-G01]], "-")</f>
        <v>-</v>
      </c>
      <c r="S39" s="996" t="str">
        <f>IFERROR((DataEntry[[#This Row],[S-B04]]/DataEntry[[#This Row],[S-P04]]), "-")</f>
        <v>-</v>
      </c>
      <c r="T39" s="995" t="str">
        <f>IFERROR(DataEntry[[#This Row],[E-E06]]/DataEntry[[#This Row],[S-P04]],"-")</f>
        <v>-</v>
      </c>
      <c r="U39" s="995" t="str">
        <f>IFERROR(DataEntry[[#This Row],[E-E08]]/DataEntry[[#This Row],[S-P04]],"-")</f>
        <v>-</v>
      </c>
      <c r="V39" s="995" t="str">
        <f>IFERROR(DataEntry[[#This Row],[G-G06]]/DataEntry[[#This Row],[S-P04]],"-")</f>
        <v>-</v>
      </c>
      <c r="W39" s="995" t="str">
        <f>IFERROR(DataEntry[[#This Row],[G-G08]]/DataEntry[[#This Row],[S-P04]],"-")</f>
        <v>-</v>
      </c>
      <c r="X39" s="996" t="str">
        <f>IFERROR(DataEntry[[#This Row],[S-B04]]/DataEntry[[#This Row],[E-E06]],"-")</f>
        <v>-</v>
      </c>
      <c r="Y39" s="996" t="str">
        <f>IFERROR(DataEntry[[#This Row],[S-B04]]/DataEntry[[#This Row],[E-E08]],"-")</f>
        <v>-</v>
      </c>
      <c r="Z39" s="996" t="str">
        <f>IFERROR(DataEntry[[#This Row],[S-B04]]/(L39+J39),"-")</f>
        <v>-</v>
      </c>
      <c r="AA39" s="997" t="str">
        <f>IFERROR(DataEntry[[#This Row],[S-B04]]/(M39+K39),"-")</f>
        <v>-</v>
      </c>
    </row>
    <row r="40" spans="1:27">
      <c r="A40" s="234" t="s">
        <v>522</v>
      </c>
      <c r="B40" s="234" t="s">
        <v>131</v>
      </c>
      <c r="C40" s="37" t="s">
        <v>630</v>
      </c>
      <c r="D40" s="234" t="s">
        <v>131</v>
      </c>
      <c r="E40" s="204" t="s">
        <v>27</v>
      </c>
      <c r="F40" s="214" t="str">
        <f ca="1">IFERROR(DataEntry[[#This Row],[E-E03]]*AVERAGE(OFFSET(OFFSET(H_Factors!$B$2,1,MATCH(RECO!$E$1,H_Factors!$C$2:$L$2)), 0, 0, ROUND(DataEntry[[#This Row],[E-E03]]/DataEntry[[#This Row],[E-E02]],0), 1)), "-")</f>
        <v>-</v>
      </c>
      <c r="G40" s="214" t="str">
        <f ca="1">IFERROR(DataEntry[[#This Row],[E-E08]]*AVERAGE(OFFSET(OFFSET(H_Factors!$B$2,1,MATCH(RECO!$E$1,H_Factors!$C$2:$L$2)), 0, 0, ROUND(DataEntry[[#This Row],[E-E08]]/DataEntry[[#This Row],[E-E06]],0), 1)), "-")</f>
        <v>-</v>
      </c>
      <c r="H40" s="214">
        <f>IFERROR(DataEntry[[#This Row],[G-G03]]*CO2pergasMMBtu,"-")</f>
        <v>0</v>
      </c>
      <c r="I40" s="214">
        <f>IFERROR(DataEntry[[#This Row],[G-G08]]*CO2pergasMMBtu,"-")</f>
        <v>0</v>
      </c>
      <c r="J40" s="214">
        <f>IFERROR(DataEntry[[#This Row],[E-E06]]*MMBTUperMWH, "-")</f>
        <v>0</v>
      </c>
      <c r="K40" s="214">
        <f>IFERROR(DataEntry[[#This Row],[E-E08]]*MMBTUperMWH, "-")</f>
        <v>0</v>
      </c>
      <c r="L40" s="214">
        <f>IFERROR(DataEntry[[#This Row],[G-G06]], "-")</f>
        <v>0</v>
      </c>
      <c r="M40" s="214">
        <f>IFERROR(DataEntry[[#This Row],[G-G08]], "-")</f>
        <v>0</v>
      </c>
      <c r="N40" s="214">
        <f t="shared" si="0"/>
        <v>0</v>
      </c>
      <c r="O40" s="214">
        <f t="shared" si="1"/>
        <v>0</v>
      </c>
      <c r="P40" s="214" t="str">
        <f>IFERROR(DataEntry[[#This Row],[S-P04]]/DataEntry[[#This Row],[S-P01]],"-")</f>
        <v>-</v>
      </c>
      <c r="Q40" s="214" t="str">
        <f>IFERROR(DataEntry[[#This Row],[E-E06]]/DataEntry[[#This Row],[E-E01]],"-")</f>
        <v>-</v>
      </c>
      <c r="R40" s="214" t="str">
        <f>IFERROR(DataEntry[[#This Row],[G-G06]]/DataEntry[[#This Row],[G-G01]], "-")</f>
        <v>-</v>
      </c>
      <c r="S40" s="640" t="str">
        <f>IFERROR((DataEntry[[#This Row],[S-B04]]/DataEntry[[#This Row],[S-P04]]), "-")</f>
        <v>-</v>
      </c>
      <c r="T40" s="214" t="str">
        <f>IFERROR(DataEntry[[#This Row],[E-E06]]/DataEntry[[#This Row],[S-P04]],"-")</f>
        <v>-</v>
      </c>
      <c r="U40" s="214" t="str">
        <f>IFERROR(DataEntry[[#This Row],[E-E08]]/DataEntry[[#This Row],[S-P04]],"-")</f>
        <v>-</v>
      </c>
      <c r="V40" s="214" t="str">
        <f>IFERROR(DataEntry[[#This Row],[G-G06]]/DataEntry[[#This Row],[S-P04]],"-")</f>
        <v>-</v>
      </c>
      <c r="W40" s="214" t="str">
        <f>IFERROR(DataEntry[[#This Row],[G-G08]]/DataEntry[[#This Row],[S-P04]],"-")</f>
        <v>-</v>
      </c>
      <c r="X40" s="640" t="str">
        <f>IFERROR(DataEntry[[#This Row],[S-B04]]/DataEntry[[#This Row],[E-E06]],"-")</f>
        <v>-</v>
      </c>
      <c r="Y40" s="640" t="str">
        <f>IFERROR(DataEntry[[#This Row],[S-B04]]/DataEntry[[#This Row],[E-E08]],"-")</f>
        <v>-</v>
      </c>
      <c r="Z40" s="640" t="str">
        <f>IFERROR(DataEntry[[#This Row],[S-B04]]/(L40+J40),"-")</f>
        <v>-</v>
      </c>
      <c r="AA40" s="688" t="str">
        <f>IFERROR(DataEntry[[#This Row],[S-B04]]/(M40+K40),"-")</f>
        <v>-</v>
      </c>
    </row>
    <row r="41" spans="1:27">
      <c r="A41" s="237" t="s">
        <v>522</v>
      </c>
      <c r="B41" s="237" t="s">
        <v>90</v>
      </c>
      <c r="C41" s="413" t="s">
        <v>630</v>
      </c>
      <c r="D41" s="237" t="s">
        <v>968</v>
      </c>
      <c r="E41" s="239" t="s">
        <v>29</v>
      </c>
      <c r="F41" s="965" t="str">
        <f ca="1">IFERROR(DataEntry[[#This Row],[E-E03]]*AVERAGE(OFFSET(OFFSET(H_Factors!$B$2,1,MATCH(RECO!$E$1,H_Factors!$C$2:$L$2)), 0, 0, ROUND(DataEntry[[#This Row],[E-E03]]/DataEntry[[#This Row],[E-E02]],0), 1)), "-")</f>
        <v>-</v>
      </c>
      <c r="G41" s="965" t="str">
        <f ca="1">IFERROR(DataEntry[[#This Row],[E-E08]]*AVERAGE(OFFSET(OFFSET(H_Factors!$B$2,1,MATCH(RECO!$E$1,H_Factors!$C$2:$L$2)), 0, 0, ROUND(DataEntry[[#This Row],[E-E08]]/DataEntry[[#This Row],[E-E06]],0), 1)), "-")</f>
        <v>-</v>
      </c>
      <c r="H41" s="965" t="str">
        <f>IFERROR(DataEntry[[#This Row],[G-G03]]*CO2pergasMMBtu,"-")</f>
        <v>-</v>
      </c>
      <c r="I41" s="965" t="str">
        <f>IFERROR(DataEntry[[#This Row],[G-G08]]*CO2pergasMMBtu,"-")</f>
        <v>-</v>
      </c>
      <c r="J41" s="965" t="str">
        <f>IFERROR(DataEntry[[#This Row],[E-E06]]*MMBTUperMWH, "-")</f>
        <v>-</v>
      </c>
      <c r="K41" s="965" t="str">
        <f>IFERROR(DataEntry[[#This Row],[E-E08]]*MMBTUperMWH, "-")</f>
        <v>-</v>
      </c>
      <c r="L41" s="965" t="str">
        <f>IFERROR(DataEntry[[#This Row],[G-G06]], "-")</f>
        <v>-</v>
      </c>
      <c r="M41" s="965" t="str">
        <f>IFERROR(DataEntry[[#This Row],[G-G08]], "-")</f>
        <v>-</v>
      </c>
      <c r="N41" s="965">
        <f t="shared" si="0"/>
        <v>0</v>
      </c>
      <c r="O41" s="965">
        <f t="shared" si="1"/>
        <v>0</v>
      </c>
      <c r="P41" s="965" t="str">
        <f>IFERROR(DataEntry[[#This Row],[S-P04]]/DataEntry[[#This Row],[S-P01]],"-")</f>
        <v>-</v>
      </c>
      <c r="Q41" s="965" t="str">
        <f>IFERROR(DataEntry[[#This Row],[E-E06]]/DataEntry[[#This Row],[E-E01]],"-")</f>
        <v>-</v>
      </c>
      <c r="R41" s="965" t="str">
        <f>IFERROR(DataEntry[[#This Row],[G-G06]]/DataEntry[[#This Row],[G-G01]], "-")</f>
        <v>-</v>
      </c>
      <c r="S41" s="966" t="str">
        <f>IFERROR((DataEntry[[#This Row],[S-B04]]/DataEntry[[#This Row],[S-P04]]), "-")</f>
        <v>-</v>
      </c>
      <c r="T41" s="965" t="str">
        <f>IFERROR(DataEntry[[#This Row],[E-E06]]/DataEntry[[#This Row],[S-P04]],"-")</f>
        <v>-</v>
      </c>
      <c r="U41" s="965" t="str">
        <f>IFERROR(DataEntry[[#This Row],[E-E08]]/DataEntry[[#This Row],[S-P04]],"-")</f>
        <v>-</v>
      </c>
      <c r="V41" s="965" t="str">
        <f>IFERROR(DataEntry[[#This Row],[G-G06]]/DataEntry[[#This Row],[S-P04]],"-")</f>
        <v>-</v>
      </c>
      <c r="W41" s="965" t="str">
        <f>IFERROR(DataEntry[[#This Row],[G-G08]]/DataEntry[[#This Row],[S-P04]],"-")</f>
        <v>-</v>
      </c>
      <c r="X41" s="966" t="str">
        <f>IFERROR(DataEntry[[#This Row],[S-B04]]/DataEntry[[#This Row],[E-E06]],"-")</f>
        <v>-</v>
      </c>
      <c r="Y41" s="966" t="str">
        <f>IFERROR(DataEntry[[#This Row],[S-B04]]/DataEntry[[#This Row],[E-E08]],"-")</f>
        <v>-</v>
      </c>
      <c r="Z41" s="966" t="str">
        <f>IFERROR(DataEntry[[#This Row],[S-B04]]/(L41+J41),"-")</f>
        <v>-</v>
      </c>
      <c r="AA41" s="967" t="str">
        <f>IFERROR(DataEntry[[#This Row],[S-B04]]/(M41+K41),"-")</f>
        <v>-</v>
      </c>
    </row>
  </sheetData>
  <phoneticPr fontId="50" type="noConversion"/>
  <pageMargins left="0.7" right="0.7" top="0.75" bottom="0.75" header="0.3" footer="0.3"/>
  <headerFooter>
    <oddFooter>&amp;C_x000D_&amp;1#&amp;"Calibri"&amp;22&amp;K0073CF INTERNAL</oddFooter>
  </headerFooter>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B3AC7-51F4-4641-9529-E50C0E32A447}">
  <sheetPr codeName="Sheet22"/>
  <dimension ref="A1:M81"/>
  <sheetViews>
    <sheetView workbookViewId="0">
      <selection activeCell="P27" sqref="P27"/>
    </sheetView>
  </sheetViews>
  <sheetFormatPr defaultRowHeight="14.5"/>
  <cols>
    <col min="3" max="3" width="21.1796875" customWidth="1"/>
    <col min="4" max="7" width="13" customWidth="1"/>
  </cols>
  <sheetData>
    <row r="1" spans="2:13">
      <c r="B1" t="s">
        <v>804</v>
      </c>
    </row>
    <row r="2" spans="2:13" ht="29">
      <c r="B2" s="212" t="s">
        <v>805</v>
      </c>
      <c r="C2" s="212" t="s">
        <v>806</v>
      </c>
      <c r="D2" s="212" t="s">
        <v>807</v>
      </c>
      <c r="E2" s="213">
        <v>2022</v>
      </c>
      <c r="F2" s="213">
        <v>2023</v>
      </c>
      <c r="G2" s="213">
        <v>2024</v>
      </c>
      <c r="H2" s="213">
        <v>2025</v>
      </c>
      <c r="I2" s="212">
        <v>2026</v>
      </c>
      <c r="J2" s="213">
        <v>2027</v>
      </c>
      <c r="K2" s="212">
        <v>2028</v>
      </c>
      <c r="L2" s="213">
        <v>2029</v>
      </c>
      <c r="M2" s="212">
        <v>2030</v>
      </c>
    </row>
    <row r="3" spans="2:13">
      <c r="B3" s="37">
        <v>2022</v>
      </c>
      <c r="C3" s="37">
        <v>1</v>
      </c>
      <c r="D3" s="214">
        <f>0.5*1.01604691</f>
        <v>0.50802345500000001</v>
      </c>
      <c r="E3" s="215">
        <f ca="1">OFFSET($D:$D,$B3-2020,0,1,1)</f>
        <v>0.50802345500000001</v>
      </c>
      <c r="F3" s="215">
        <f ca="1">OFFSET($D:$D,$B3-2019,0,1,1)</f>
        <v>0.4978629859</v>
      </c>
      <c r="G3" s="215">
        <f ca="1">OFFSET($D:$D,$B3-2018,0,1,1)</f>
        <v>0.48770251679999999</v>
      </c>
      <c r="H3" s="215">
        <f t="shared" ref="H3:H67" ca="1" si="0">OFFSET($D:$D,$B3-2017,0,1,1)</f>
        <v>0.48262228224999998</v>
      </c>
      <c r="I3" s="215">
        <f t="shared" ref="I3:I67" ca="1" si="1">OFFSET($D:$D,$B3-2016,0,1,1)</f>
        <v>0.47246181315000002</v>
      </c>
      <c r="J3" s="215">
        <f ca="1">OFFSET($D:$D,$B3-2015,0,1,1)</f>
        <v>0.46230134405000001</v>
      </c>
      <c r="K3" s="215">
        <f ca="1">OFFSET($D:$D,$B3-2014,0,1,1)</f>
        <v>0.45214087494999999</v>
      </c>
      <c r="L3" s="215">
        <f ca="1">OFFSET($D:$D,$B3-2013,0,1,1)</f>
        <v>0.44706064039999999</v>
      </c>
      <c r="M3" s="215">
        <f ca="1">OFFSET($D:$D,$B3-2012,0,1,1)</f>
        <v>0.43690017130000003</v>
      </c>
    </row>
    <row r="4" spans="2:13">
      <c r="B4" s="37">
        <v>2023</v>
      </c>
      <c r="C4" s="37">
        <v>0.98</v>
      </c>
      <c r="D4" s="214">
        <f>$D$3*C4</f>
        <v>0.4978629859</v>
      </c>
      <c r="E4" s="215">
        <f t="shared" ref="E4:E67" ca="1" si="2">OFFSET($D:$D,$B4-2020,0,1,1)</f>
        <v>0.4978629859</v>
      </c>
      <c r="F4" s="215">
        <f t="shared" ref="F4:F67" ca="1" si="3">OFFSET($D:$D,$B4-2019,0,1,1)</f>
        <v>0.48770251679999999</v>
      </c>
      <c r="G4" s="215">
        <f ca="1">OFFSET($D:$D,$B4-2018,0,1,1)</f>
        <v>0.48262228224999998</v>
      </c>
      <c r="H4" s="215">
        <f t="shared" ca="1" si="0"/>
        <v>0.47246181315000002</v>
      </c>
      <c r="I4" s="215">
        <f t="shared" ca="1" si="1"/>
        <v>0.46230134405000001</v>
      </c>
      <c r="J4" s="215">
        <f t="shared" ref="J4:J67" ca="1" si="4">OFFSET($D:$D,$B4-2015,0,1,1)</f>
        <v>0.45214087494999999</v>
      </c>
      <c r="K4" s="215">
        <f t="shared" ref="K4:K67" ca="1" si="5">OFFSET($D:$D,$B4-2014,0,1,1)</f>
        <v>0.44706064039999999</v>
      </c>
      <c r="L4" s="215">
        <f t="shared" ref="L4:L67" ca="1" si="6">OFFSET($D:$D,$B4-2013,0,1,1)</f>
        <v>0.43690017130000003</v>
      </c>
      <c r="M4" s="215">
        <f t="shared" ref="M4:M67" ca="1" si="7">OFFSET($D:$D,$B4-2012,0,1,1)</f>
        <v>0.42673970220000002</v>
      </c>
    </row>
    <row r="5" spans="2:13">
      <c r="B5" s="37">
        <v>2024</v>
      </c>
      <c r="C5" s="37">
        <v>0.96</v>
      </c>
      <c r="D5" s="214">
        <f t="shared" ref="D5:D68" si="8">$D$3*C5</f>
        <v>0.48770251679999999</v>
      </c>
      <c r="E5" s="215">
        <f t="shared" ca="1" si="2"/>
        <v>0.48770251679999999</v>
      </c>
      <c r="F5" s="215">
        <f t="shared" ca="1" si="3"/>
        <v>0.48262228224999998</v>
      </c>
      <c r="G5" s="215">
        <f t="shared" ref="G5:G68" ca="1" si="9">OFFSET($D:$D,$B5-2018,0,1,1)</f>
        <v>0.47246181315000002</v>
      </c>
      <c r="H5" s="215">
        <f t="shared" ca="1" si="0"/>
        <v>0.46230134405000001</v>
      </c>
      <c r="I5" s="215">
        <f t="shared" ca="1" si="1"/>
        <v>0.45214087494999999</v>
      </c>
      <c r="J5" s="215">
        <f t="shared" ca="1" si="4"/>
        <v>0.44706064039999999</v>
      </c>
      <c r="K5" s="215">
        <f t="shared" ca="1" si="5"/>
        <v>0.43690017130000003</v>
      </c>
      <c r="L5" s="215">
        <f t="shared" ca="1" si="6"/>
        <v>0.42673970220000002</v>
      </c>
      <c r="M5" s="215">
        <f t="shared" ca="1" si="7"/>
        <v>0.4165792331</v>
      </c>
    </row>
    <row r="6" spans="2:13">
      <c r="B6" s="37">
        <v>2025</v>
      </c>
      <c r="C6" s="37">
        <v>0.95</v>
      </c>
      <c r="D6" s="214">
        <f t="shared" si="8"/>
        <v>0.48262228224999998</v>
      </c>
      <c r="E6" s="215">
        <f t="shared" ca="1" si="2"/>
        <v>0.48262228224999998</v>
      </c>
      <c r="F6" s="215">
        <f t="shared" ca="1" si="3"/>
        <v>0.47246181315000002</v>
      </c>
      <c r="G6" s="215">
        <f t="shared" ca="1" si="9"/>
        <v>0.46230134405000001</v>
      </c>
      <c r="H6" s="215">
        <f t="shared" ca="1" si="0"/>
        <v>0.45214087494999999</v>
      </c>
      <c r="I6" s="215">
        <f t="shared" ca="1" si="1"/>
        <v>0.44706064039999999</v>
      </c>
      <c r="J6" s="215">
        <f t="shared" ca="1" si="4"/>
        <v>0.43690017130000003</v>
      </c>
      <c r="K6" s="215">
        <f t="shared" ca="1" si="5"/>
        <v>0.42673970220000002</v>
      </c>
      <c r="L6" s="215">
        <f t="shared" ca="1" si="6"/>
        <v>0.4165792331</v>
      </c>
      <c r="M6" s="215">
        <f t="shared" ca="1" si="7"/>
        <v>0.40641876400000004</v>
      </c>
    </row>
    <row r="7" spans="2:13">
      <c r="B7" s="37">
        <v>2026</v>
      </c>
      <c r="C7" s="37">
        <v>0.93</v>
      </c>
      <c r="D7" s="214">
        <f t="shared" si="8"/>
        <v>0.47246181315000002</v>
      </c>
      <c r="E7" s="215">
        <f t="shared" ca="1" si="2"/>
        <v>0.47246181315000002</v>
      </c>
      <c r="F7" s="215">
        <f t="shared" ca="1" si="3"/>
        <v>0.46230134405000001</v>
      </c>
      <c r="G7" s="215">
        <f t="shared" ca="1" si="9"/>
        <v>0.45214087494999999</v>
      </c>
      <c r="H7" s="215">
        <f t="shared" ca="1" si="0"/>
        <v>0.44706064039999999</v>
      </c>
      <c r="I7" s="215">
        <f t="shared" ca="1" si="1"/>
        <v>0.43690017130000003</v>
      </c>
      <c r="J7" s="215">
        <f t="shared" ca="1" si="4"/>
        <v>0.42673970220000002</v>
      </c>
      <c r="K7" s="215">
        <f t="shared" ca="1" si="5"/>
        <v>0.4165792331</v>
      </c>
      <c r="L7" s="215">
        <f t="shared" ca="1" si="6"/>
        <v>0.40641876400000004</v>
      </c>
      <c r="M7" s="215">
        <f t="shared" ca="1" si="7"/>
        <v>0.40133852945000004</v>
      </c>
    </row>
    <row r="8" spans="2:13">
      <c r="B8" s="37">
        <v>2027</v>
      </c>
      <c r="C8" s="37">
        <v>0.91</v>
      </c>
      <c r="D8" s="214">
        <f t="shared" si="8"/>
        <v>0.46230134405000001</v>
      </c>
      <c r="E8" s="215">
        <f t="shared" ca="1" si="2"/>
        <v>0.46230134405000001</v>
      </c>
      <c r="F8" s="215">
        <f t="shared" ca="1" si="3"/>
        <v>0.45214087494999999</v>
      </c>
      <c r="G8" s="215">
        <f t="shared" ca="1" si="9"/>
        <v>0.44706064039999999</v>
      </c>
      <c r="H8" s="215">
        <f t="shared" ca="1" si="0"/>
        <v>0.43690017130000003</v>
      </c>
      <c r="I8" s="215">
        <f t="shared" ca="1" si="1"/>
        <v>0.42673970220000002</v>
      </c>
      <c r="J8" s="215">
        <f t="shared" ca="1" si="4"/>
        <v>0.4165792331</v>
      </c>
      <c r="K8" s="215">
        <f t="shared" ca="1" si="5"/>
        <v>0.40641876400000004</v>
      </c>
      <c r="L8" s="215">
        <f t="shared" ca="1" si="6"/>
        <v>0.40133852945000004</v>
      </c>
      <c r="M8" s="215">
        <f t="shared" ca="1" si="7"/>
        <v>0.39117806035000002</v>
      </c>
    </row>
    <row r="9" spans="2:13">
      <c r="B9" s="37">
        <v>2028</v>
      </c>
      <c r="C9" s="37">
        <v>0.89</v>
      </c>
      <c r="D9" s="214">
        <f t="shared" si="8"/>
        <v>0.45214087494999999</v>
      </c>
      <c r="E9" s="215">
        <f t="shared" ca="1" si="2"/>
        <v>0.45214087494999999</v>
      </c>
      <c r="F9" s="215">
        <f t="shared" ca="1" si="3"/>
        <v>0.44706064039999999</v>
      </c>
      <c r="G9" s="215">
        <f t="shared" ca="1" si="9"/>
        <v>0.43690017130000003</v>
      </c>
      <c r="H9" s="215">
        <f t="shared" ca="1" si="0"/>
        <v>0.42673970220000002</v>
      </c>
      <c r="I9" s="215">
        <f t="shared" ca="1" si="1"/>
        <v>0.4165792331</v>
      </c>
      <c r="J9" s="215">
        <f t="shared" ca="1" si="4"/>
        <v>0.40641876400000004</v>
      </c>
      <c r="K9" s="215">
        <f t="shared" ca="1" si="5"/>
        <v>0.40133852945000004</v>
      </c>
      <c r="L9" s="215">
        <f t="shared" ca="1" si="6"/>
        <v>0.39117806035000002</v>
      </c>
      <c r="M9" s="215">
        <f t="shared" ca="1" si="7"/>
        <v>0.38101759125000001</v>
      </c>
    </row>
    <row r="10" spans="2:13">
      <c r="B10" s="37">
        <v>2029</v>
      </c>
      <c r="C10" s="37">
        <v>0.88</v>
      </c>
      <c r="D10" s="214">
        <f t="shared" si="8"/>
        <v>0.44706064039999999</v>
      </c>
      <c r="E10" s="215">
        <f t="shared" ca="1" si="2"/>
        <v>0.44706064039999999</v>
      </c>
      <c r="F10" s="215">
        <f t="shared" ca="1" si="3"/>
        <v>0.43690017130000003</v>
      </c>
      <c r="G10" s="215">
        <f t="shared" ca="1" si="9"/>
        <v>0.42673970220000002</v>
      </c>
      <c r="H10" s="215">
        <f t="shared" ca="1" si="0"/>
        <v>0.4165792331</v>
      </c>
      <c r="I10" s="215">
        <f t="shared" ca="1" si="1"/>
        <v>0.40641876400000004</v>
      </c>
      <c r="J10" s="215">
        <f t="shared" ca="1" si="4"/>
        <v>0.40133852945000004</v>
      </c>
      <c r="K10" s="215">
        <f t="shared" ca="1" si="5"/>
        <v>0.39117806035000002</v>
      </c>
      <c r="L10" s="215">
        <f t="shared" ca="1" si="6"/>
        <v>0.38101759125000001</v>
      </c>
      <c r="M10" s="215">
        <f t="shared" ca="1" si="7"/>
        <v>0.37085712215</v>
      </c>
    </row>
    <row r="11" spans="2:13">
      <c r="B11" s="37">
        <v>2030</v>
      </c>
      <c r="C11" s="37">
        <v>0.86</v>
      </c>
      <c r="D11" s="214">
        <f t="shared" si="8"/>
        <v>0.43690017130000003</v>
      </c>
      <c r="E11" s="215">
        <f t="shared" ca="1" si="2"/>
        <v>0.43690017130000003</v>
      </c>
      <c r="F11" s="215">
        <f t="shared" ca="1" si="3"/>
        <v>0.42673970220000002</v>
      </c>
      <c r="G11" s="215">
        <f t="shared" ca="1" si="9"/>
        <v>0.4165792331</v>
      </c>
      <c r="H11" s="215">
        <f t="shared" ca="1" si="0"/>
        <v>0.40641876400000004</v>
      </c>
      <c r="I11" s="215">
        <f t="shared" ca="1" si="1"/>
        <v>0.40133852945000004</v>
      </c>
      <c r="J11" s="215">
        <f t="shared" ca="1" si="4"/>
        <v>0.39117806035000002</v>
      </c>
      <c r="K11" s="215">
        <f t="shared" ca="1" si="5"/>
        <v>0.38101759125000001</v>
      </c>
      <c r="L11" s="215">
        <f t="shared" ca="1" si="6"/>
        <v>0.37085712215</v>
      </c>
      <c r="M11" s="215">
        <f t="shared" ca="1" si="7"/>
        <v>0.36069665304999998</v>
      </c>
    </row>
    <row r="12" spans="2:13">
      <c r="B12" s="37">
        <v>2031</v>
      </c>
      <c r="C12" s="37">
        <v>0.84</v>
      </c>
      <c r="D12" s="214">
        <f t="shared" si="8"/>
        <v>0.42673970220000002</v>
      </c>
      <c r="E12" s="215">
        <f t="shared" ca="1" si="2"/>
        <v>0.42673970220000002</v>
      </c>
      <c r="F12" s="215">
        <f t="shared" ca="1" si="3"/>
        <v>0.4165792331</v>
      </c>
      <c r="G12" s="215">
        <f t="shared" ca="1" si="9"/>
        <v>0.40641876400000004</v>
      </c>
      <c r="H12" s="215">
        <f t="shared" ca="1" si="0"/>
        <v>0.40133852945000004</v>
      </c>
      <c r="I12" s="215">
        <f t="shared" ca="1" si="1"/>
        <v>0.39117806035000002</v>
      </c>
      <c r="J12" s="215">
        <f t="shared" ca="1" si="4"/>
        <v>0.38101759125000001</v>
      </c>
      <c r="K12" s="215">
        <f t="shared" ca="1" si="5"/>
        <v>0.37085712215</v>
      </c>
      <c r="L12" s="215">
        <f t="shared" ca="1" si="6"/>
        <v>0.36069665304999998</v>
      </c>
      <c r="M12" s="215">
        <f t="shared" ca="1" si="7"/>
        <v>0.35561641849999998</v>
      </c>
    </row>
    <row r="13" spans="2:13">
      <c r="B13" s="37">
        <v>2032</v>
      </c>
      <c r="C13" s="37">
        <v>0.82</v>
      </c>
      <c r="D13" s="214">
        <f t="shared" si="8"/>
        <v>0.4165792331</v>
      </c>
      <c r="E13" s="215">
        <f t="shared" ca="1" si="2"/>
        <v>0.4165792331</v>
      </c>
      <c r="F13" s="215">
        <f t="shared" ca="1" si="3"/>
        <v>0.40641876400000004</v>
      </c>
      <c r="G13" s="215">
        <f t="shared" ca="1" si="9"/>
        <v>0.40133852945000004</v>
      </c>
      <c r="H13" s="215">
        <f t="shared" ca="1" si="0"/>
        <v>0.39117806035000002</v>
      </c>
      <c r="I13" s="215">
        <f t="shared" ca="1" si="1"/>
        <v>0.38101759125000001</v>
      </c>
      <c r="J13" s="215">
        <f t="shared" ca="1" si="4"/>
        <v>0.37085712215</v>
      </c>
      <c r="K13" s="215">
        <f t="shared" ca="1" si="5"/>
        <v>0.36069665304999998</v>
      </c>
      <c r="L13" s="215">
        <f t="shared" ca="1" si="6"/>
        <v>0.35561641849999998</v>
      </c>
      <c r="M13" s="215">
        <f t="shared" ca="1" si="7"/>
        <v>0.34545594940000002</v>
      </c>
    </row>
    <row r="14" spans="2:13">
      <c r="B14" s="37">
        <v>2033</v>
      </c>
      <c r="C14" s="37">
        <v>0.8</v>
      </c>
      <c r="D14" s="214">
        <f t="shared" si="8"/>
        <v>0.40641876400000004</v>
      </c>
      <c r="E14" s="215">
        <f t="shared" ca="1" si="2"/>
        <v>0.40641876400000004</v>
      </c>
      <c r="F14" s="215">
        <f t="shared" ca="1" si="3"/>
        <v>0.40133852945000004</v>
      </c>
      <c r="G14" s="215">
        <f t="shared" ca="1" si="9"/>
        <v>0.39117806035000002</v>
      </c>
      <c r="H14" s="215">
        <f t="shared" ca="1" si="0"/>
        <v>0.38101759125000001</v>
      </c>
      <c r="I14" s="215">
        <f t="shared" ca="1" si="1"/>
        <v>0.37085712215</v>
      </c>
      <c r="J14" s="215">
        <f t="shared" ca="1" si="4"/>
        <v>0.36069665304999998</v>
      </c>
      <c r="K14" s="215">
        <f t="shared" ca="1" si="5"/>
        <v>0.35561641849999998</v>
      </c>
      <c r="L14" s="215">
        <f t="shared" ca="1" si="6"/>
        <v>0.34545594940000002</v>
      </c>
      <c r="M14" s="215">
        <f t="shared" ca="1" si="7"/>
        <v>0.3352954803</v>
      </c>
    </row>
    <row r="15" spans="2:13">
      <c r="B15" s="37">
        <v>2034</v>
      </c>
      <c r="C15" s="37">
        <v>0.79</v>
      </c>
      <c r="D15" s="214">
        <f t="shared" si="8"/>
        <v>0.40133852945000004</v>
      </c>
      <c r="E15" s="215">
        <f t="shared" ca="1" si="2"/>
        <v>0.40133852945000004</v>
      </c>
      <c r="F15" s="215">
        <f t="shared" ca="1" si="3"/>
        <v>0.39117806035000002</v>
      </c>
      <c r="G15" s="215">
        <f t="shared" ca="1" si="9"/>
        <v>0.38101759125000001</v>
      </c>
      <c r="H15" s="215">
        <f t="shared" ca="1" si="0"/>
        <v>0.37085712215</v>
      </c>
      <c r="I15" s="215">
        <f t="shared" ca="1" si="1"/>
        <v>0.36069665304999998</v>
      </c>
      <c r="J15" s="215">
        <f t="shared" ca="1" si="4"/>
        <v>0.35561641849999998</v>
      </c>
      <c r="K15" s="215">
        <f t="shared" ca="1" si="5"/>
        <v>0.34545594940000002</v>
      </c>
      <c r="L15" s="215">
        <f t="shared" ca="1" si="6"/>
        <v>0.3352954803</v>
      </c>
      <c r="M15" s="215">
        <f t="shared" ca="1" si="7"/>
        <v>0.32513501119999999</v>
      </c>
    </row>
    <row r="16" spans="2:13">
      <c r="B16" s="37">
        <v>2035</v>
      </c>
      <c r="C16" s="37">
        <v>0.77</v>
      </c>
      <c r="D16" s="214">
        <f t="shared" si="8"/>
        <v>0.39117806035000002</v>
      </c>
      <c r="E16" s="215">
        <f t="shared" ca="1" si="2"/>
        <v>0.39117806035000002</v>
      </c>
      <c r="F16" s="215">
        <f t="shared" ca="1" si="3"/>
        <v>0.38101759125000001</v>
      </c>
      <c r="G16" s="215">
        <f t="shared" ca="1" si="9"/>
        <v>0.37085712215</v>
      </c>
      <c r="H16" s="215">
        <f t="shared" ca="1" si="0"/>
        <v>0.36069665304999998</v>
      </c>
      <c r="I16" s="215">
        <f t="shared" ca="1" si="1"/>
        <v>0.35561641849999998</v>
      </c>
      <c r="J16" s="215">
        <f t="shared" ca="1" si="4"/>
        <v>0.34545594940000002</v>
      </c>
      <c r="K16" s="215">
        <f t="shared" ca="1" si="5"/>
        <v>0.3352954803</v>
      </c>
      <c r="L16" s="215">
        <f t="shared" ca="1" si="6"/>
        <v>0.32513501119999999</v>
      </c>
      <c r="M16" s="215">
        <f t="shared" ca="1" si="7"/>
        <v>0.31497454210000003</v>
      </c>
    </row>
    <row r="17" spans="2:13">
      <c r="B17" s="37">
        <v>2036</v>
      </c>
      <c r="C17" s="37">
        <v>0.75</v>
      </c>
      <c r="D17" s="214">
        <f t="shared" si="8"/>
        <v>0.38101759125000001</v>
      </c>
      <c r="E17" s="215">
        <f t="shared" ca="1" si="2"/>
        <v>0.38101759125000001</v>
      </c>
      <c r="F17" s="215">
        <f t="shared" ca="1" si="3"/>
        <v>0.37085712215</v>
      </c>
      <c r="G17" s="215">
        <f t="shared" ca="1" si="9"/>
        <v>0.36069665304999998</v>
      </c>
      <c r="H17" s="215">
        <f t="shared" ca="1" si="0"/>
        <v>0.35561641849999998</v>
      </c>
      <c r="I17" s="215">
        <f t="shared" ca="1" si="1"/>
        <v>0.34545594940000002</v>
      </c>
      <c r="J17" s="215">
        <f t="shared" ca="1" si="4"/>
        <v>0.3352954803</v>
      </c>
      <c r="K17" s="215">
        <f t="shared" ca="1" si="5"/>
        <v>0.32513501119999999</v>
      </c>
      <c r="L17" s="215">
        <f t="shared" ca="1" si="6"/>
        <v>0.31497454210000003</v>
      </c>
      <c r="M17" s="215">
        <f t="shared" ca="1" si="7"/>
        <v>0.30989430755000003</v>
      </c>
    </row>
    <row r="18" spans="2:13">
      <c r="B18" s="37">
        <v>2037</v>
      </c>
      <c r="C18" s="37">
        <v>0.73</v>
      </c>
      <c r="D18" s="214">
        <f t="shared" si="8"/>
        <v>0.37085712215</v>
      </c>
      <c r="E18" s="215">
        <f t="shared" ca="1" si="2"/>
        <v>0.37085712215</v>
      </c>
      <c r="F18" s="215">
        <f t="shared" ca="1" si="3"/>
        <v>0.36069665304999998</v>
      </c>
      <c r="G18" s="215">
        <f t="shared" ca="1" si="9"/>
        <v>0.35561641849999998</v>
      </c>
      <c r="H18" s="215">
        <f t="shared" ca="1" si="0"/>
        <v>0.34545594940000002</v>
      </c>
      <c r="I18" s="215">
        <f t="shared" ca="1" si="1"/>
        <v>0.3352954803</v>
      </c>
      <c r="J18" s="215">
        <f t="shared" ca="1" si="4"/>
        <v>0.32513501119999999</v>
      </c>
      <c r="K18" s="215">
        <f t="shared" ca="1" si="5"/>
        <v>0.31497454210000003</v>
      </c>
      <c r="L18" s="215">
        <f t="shared" ca="1" si="6"/>
        <v>0.30989430755000003</v>
      </c>
      <c r="M18" s="215">
        <f t="shared" ca="1" si="7"/>
        <v>0.29973383845000001</v>
      </c>
    </row>
    <row r="19" spans="2:13">
      <c r="B19" s="37">
        <v>2038</v>
      </c>
      <c r="C19" s="37">
        <v>0.71</v>
      </c>
      <c r="D19" s="214">
        <f t="shared" si="8"/>
        <v>0.36069665304999998</v>
      </c>
      <c r="E19" s="215">
        <f t="shared" ca="1" si="2"/>
        <v>0.36069665304999998</v>
      </c>
      <c r="F19" s="215">
        <f t="shared" ca="1" si="3"/>
        <v>0.35561641849999998</v>
      </c>
      <c r="G19" s="215">
        <f t="shared" ca="1" si="9"/>
        <v>0.34545594940000002</v>
      </c>
      <c r="H19" s="215">
        <f t="shared" ca="1" si="0"/>
        <v>0.3352954803</v>
      </c>
      <c r="I19" s="215">
        <f t="shared" ca="1" si="1"/>
        <v>0.32513501119999999</v>
      </c>
      <c r="J19" s="215">
        <f t="shared" ca="1" si="4"/>
        <v>0.31497454210000003</v>
      </c>
      <c r="K19" s="215">
        <f t="shared" ca="1" si="5"/>
        <v>0.30989430755000003</v>
      </c>
      <c r="L19" s="215">
        <f t="shared" ca="1" si="6"/>
        <v>0.29973383845000001</v>
      </c>
      <c r="M19" s="215">
        <f t="shared" ca="1" si="7"/>
        <v>0.28957336935</v>
      </c>
    </row>
    <row r="20" spans="2:13">
      <c r="B20" s="37">
        <v>2039</v>
      </c>
      <c r="C20" s="37">
        <v>0.7</v>
      </c>
      <c r="D20" s="214">
        <f t="shared" si="8"/>
        <v>0.35561641849999998</v>
      </c>
      <c r="E20" s="215">
        <f t="shared" ca="1" si="2"/>
        <v>0.35561641849999998</v>
      </c>
      <c r="F20" s="215">
        <f t="shared" ca="1" si="3"/>
        <v>0.34545594940000002</v>
      </c>
      <c r="G20" s="215">
        <f t="shared" ca="1" si="9"/>
        <v>0.3352954803</v>
      </c>
      <c r="H20" s="215">
        <f t="shared" ca="1" si="0"/>
        <v>0.32513501119999999</v>
      </c>
      <c r="I20" s="215">
        <f t="shared" ca="1" si="1"/>
        <v>0.31497454210000003</v>
      </c>
      <c r="J20" s="215">
        <f t="shared" ca="1" si="4"/>
        <v>0.30989430755000003</v>
      </c>
      <c r="K20" s="215">
        <f t="shared" ca="1" si="5"/>
        <v>0.29973383845000001</v>
      </c>
      <c r="L20" s="215">
        <f t="shared" ca="1" si="6"/>
        <v>0.28957336935</v>
      </c>
      <c r="M20" s="215">
        <f t="shared" ca="1" si="7"/>
        <v>0.27941290025000004</v>
      </c>
    </row>
    <row r="21" spans="2:13">
      <c r="B21" s="37">
        <v>2040</v>
      </c>
      <c r="C21" s="37">
        <v>0.68</v>
      </c>
      <c r="D21" s="214">
        <f t="shared" si="8"/>
        <v>0.34545594940000002</v>
      </c>
      <c r="E21" s="215">
        <f t="shared" ca="1" si="2"/>
        <v>0.34545594940000002</v>
      </c>
      <c r="F21" s="215">
        <f t="shared" ca="1" si="3"/>
        <v>0.3352954803</v>
      </c>
      <c r="G21" s="215">
        <f t="shared" ca="1" si="9"/>
        <v>0.32513501119999999</v>
      </c>
      <c r="H21" s="215">
        <f t="shared" ca="1" si="0"/>
        <v>0.31497454210000003</v>
      </c>
      <c r="I21" s="215">
        <f t="shared" ca="1" si="1"/>
        <v>0.30989430755000003</v>
      </c>
      <c r="J21" s="215">
        <f t="shared" ca="1" si="4"/>
        <v>0.29973383845000001</v>
      </c>
      <c r="K21" s="215">
        <f t="shared" ca="1" si="5"/>
        <v>0.28957336935</v>
      </c>
      <c r="L21" s="215">
        <f t="shared" ca="1" si="6"/>
        <v>0.27941290025000004</v>
      </c>
      <c r="M21" s="215">
        <f t="shared" ca="1" si="7"/>
        <v>0.27433266570000003</v>
      </c>
    </row>
    <row r="22" spans="2:13">
      <c r="B22" s="37">
        <v>2041</v>
      </c>
      <c r="C22" s="37">
        <v>0.66</v>
      </c>
      <c r="D22" s="214">
        <f t="shared" si="8"/>
        <v>0.3352954803</v>
      </c>
      <c r="E22" s="215">
        <f t="shared" ca="1" si="2"/>
        <v>0.3352954803</v>
      </c>
      <c r="F22" s="215">
        <f t="shared" ca="1" si="3"/>
        <v>0.32513501119999999</v>
      </c>
      <c r="G22" s="215">
        <f t="shared" ca="1" si="9"/>
        <v>0.31497454210000003</v>
      </c>
      <c r="H22" s="215">
        <f t="shared" ca="1" si="0"/>
        <v>0.30989430755000003</v>
      </c>
      <c r="I22" s="215">
        <f t="shared" ca="1" si="1"/>
        <v>0.29973383845000001</v>
      </c>
      <c r="J22" s="215">
        <f t="shared" ca="1" si="4"/>
        <v>0.28957336935</v>
      </c>
      <c r="K22" s="215">
        <f t="shared" ca="1" si="5"/>
        <v>0.27941290025000004</v>
      </c>
      <c r="L22" s="215">
        <f t="shared" ca="1" si="6"/>
        <v>0.27433266570000003</v>
      </c>
      <c r="M22" s="215">
        <f t="shared" ca="1" si="7"/>
        <v>0.26417219660000002</v>
      </c>
    </row>
    <row r="23" spans="2:13">
      <c r="B23" s="37">
        <v>2042</v>
      </c>
      <c r="C23" s="37">
        <v>0.64</v>
      </c>
      <c r="D23" s="214">
        <f t="shared" si="8"/>
        <v>0.32513501119999999</v>
      </c>
      <c r="E23" s="215">
        <f t="shared" ca="1" si="2"/>
        <v>0.32513501119999999</v>
      </c>
      <c r="F23" s="215">
        <f t="shared" ca="1" si="3"/>
        <v>0.31497454210000003</v>
      </c>
      <c r="G23" s="215">
        <f t="shared" ca="1" si="9"/>
        <v>0.30989430755000003</v>
      </c>
      <c r="H23" s="215">
        <f t="shared" ca="1" si="0"/>
        <v>0.29973383845000001</v>
      </c>
      <c r="I23" s="215">
        <f t="shared" ca="1" si="1"/>
        <v>0.28957336935</v>
      </c>
      <c r="J23" s="215">
        <f t="shared" ca="1" si="4"/>
        <v>0.27941290025000004</v>
      </c>
      <c r="K23" s="215">
        <f t="shared" ca="1" si="5"/>
        <v>0.27433266570000003</v>
      </c>
      <c r="L23" s="215">
        <f t="shared" ca="1" si="6"/>
        <v>0.26417219660000002</v>
      </c>
      <c r="M23" s="215">
        <f t="shared" ca="1" si="7"/>
        <v>0.25401172750000001</v>
      </c>
    </row>
    <row r="24" spans="2:13">
      <c r="B24" s="37">
        <v>2043</v>
      </c>
      <c r="C24" s="37">
        <v>0.62</v>
      </c>
      <c r="D24" s="214">
        <f t="shared" si="8"/>
        <v>0.31497454210000003</v>
      </c>
      <c r="E24" s="215">
        <f t="shared" ca="1" si="2"/>
        <v>0.31497454210000003</v>
      </c>
      <c r="F24" s="215">
        <f t="shared" ca="1" si="3"/>
        <v>0.30989430755000003</v>
      </c>
      <c r="G24" s="215">
        <f t="shared" ca="1" si="9"/>
        <v>0.29973383845000001</v>
      </c>
      <c r="H24" s="215">
        <f t="shared" ca="1" si="0"/>
        <v>0.28957336935</v>
      </c>
      <c r="I24" s="215">
        <f t="shared" ca="1" si="1"/>
        <v>0.27941290025000004</v>
      </c>
      <c r="J24" s="215">
        <f t="shared" ca="1" si="4"/>
        <v>0.27433266570000003</v>
      </c>
      <c r="K24" s="215">
        <f t="shared" ca="1" si="5"/>
        <v>0.26417219660000002</v>
      </c>
      <c r="L24" s="215">
        <f t="shared" ca="1" si="6"/>
        <v>0.25401172750000001</v>
      </c>
      <c r="M24" s="215">
        <f t="shared" ca="1" si="7"/>
        <v>0.24385125839999999</v>
      </c>
    </row>
    <row r="25" spans="2:13">
      <c r="B25" s="37">
        <v>2044</v>
      </c>
      <c r="C25" s="37">
        <v>0.61</v>
      </c>
      <c r="D25" s="214">
        <f t="shared" si="8"/>
        <v>0.30989430755000003</v>
      </c>
      <c r="E25" s="215">
        <f t="shared" ca="1" si="2"/>
        <v>0.30989430755000003</v>
      </c>
      <c r="F25" s="215">
        <f t="shared" ca="1" si="3"/>
        <v>0.29973383845000001</v>
      </c>
      <c r="G25" s="215">
        <f t="shared" ca="1" si="9"/>
        <v>0.28957336935</v>
      </c>
      <c r="H25" s="215">
        <f t="shared" ca="1" si="0"/>
        <v>0.27941290025000004</v>
      </c>
      <c r="I25" s="215">
        <f t="shared" ca="1" si="1"/>
        <v>0.27433266570000003</v>
      </c>
      <c r="J25" s="215">
        <f t="shared" ca="1" si="4"/>
        <v>0.26417219660000002</v>
      </c>
      <c r="K25" s="215">
        <f t="shared" ca="1" si="5"/>
        <v>0.25401172750000001</v>
      </c>
      <c r="L25" s="215">
        <f t="shared" ca="1" si="6"/>
        <v>0.24385125839999999</v>
      </c>
      <c r="M25" s="215">
        <f t="shared" ca="1" si="7"/>
        <v>0.23369078930000001</v>
      </c>
    </row>
    <row r="26" spans="2:13">
      <c r="B26" s="37">
        <v>2045</v>
      </c>
      <c r="C26" s="37">
        <v>0.59</v>
      </c>
      <c r="D26" s="214">
        <f t="shared" si="8"/>
        <v>0.29973383845000001</v>
      </c>
      <c r="E26" s="215">
        <f t="shared" ca="1" si="2"/>
        <v>0.29973383845000001</v>
      </c>
      <c r="F26" s="215">
        <f t="shared" ca="1" si="3"/>
        <v>0.28957336935</v>
      </c>
      <c r="G26" s="215">
        <f t="shared" ca="1" si="9"/>
        <v>0.27941290025000004</v>
      </c>
      <c r="H26" s="215">
        <f t="shared" ca="1" si="0"/>
        <v>0.27433266570000003</v>
      </c>
      <c r="I26" s="215">
        <f t="shared" ca="1" si="1"/>
        <v>0.26417219660000002</v>
      </c>
      <c r="J26" s="215">
        <f t="shared" ca="1" si="4"/>
        <v>0.25401172750000001</v>
      </c>
      <c r="K26" s="215">
        <f t="shared" ca="1" si="5"/>
        <v>0.24385125839999999</v>
      </c>
      <c r="L26" s="215">
        <f t="shared" ca="1" si="6"/>
        <v>0.23369078930000001</v>
      </c>
      <c r="M26" s="215">
        <f t="shared" ca="1" si="7"/>
        <v>0.22861055475</v>
      </c>
    </row>
    <row r="27" spans="2:13">
      <c r="B27" s="37">
        <v>2046</v>
      </c>
      <c r="C27" s="37">
        <v>0.56999999999999995</v>
      </c>
      <c r="D27" s="214">
        <f t="shared" si="8"/>
        <v>0.28957336935</v>
      </c>
      <c r="E27" s="215">
        <f t="shared" ca="1" si="2"/>
        <v>0.28957336935</v>
      </c>
      <c r="F27" s="215">
        <f t="shared" ca="1" si="3"/>
        <v>0.27941290025000004</v>
      </c>
      <c r="G27" s="215">
        <f t="shared" ca="1" si="9"/>
        <v>0.27433266570000003</v>
      </c>
      <c r="H27" s="215">
        <f t="shared" ca="1" si="0"/>
        <v>0.26417219660000002</v>
      </c>
      <c r="I27" s="215">
        <f t="shared" ca="1" si="1"/>
        <v>0.25401172750000001</v>
      </c>
      <c r="J27" s="215">
        <f t="shared" ca="1" si="4"/>
        <v>0.24385125839999999</v>
      </c>
      <c r="K27" s="215">
        <f t="shared" ca="1" si="5"/>
        <v>0.23369078930000001</v>
      </c>
      <c r="L27" s="215">
        <f t="shared" ca="1" si="6"/>
        <v>0.22861055475</v>
      </c>
      <c r="M27" s="215">
        <f t="shared" ca="1" si="7"/>
        <v>0.21845008565000001</v>
      </c>
    </row>
    <row r="28" spans="2:13">
      <c r="B28" s="37">
        <v>2047</v>
      </c>
      <c r="C28" s="37">
        <v>0.55000000000000004</v>
      </c>
      <c r="D28" s="214">
        <f t="shared" si="8"/>
        <v>0.27941290025000004</v>
      </c>
      <c r="E28" s="215">
        <f t="shared" ca="1" si="2"/>
        <v>0.27941290025000004</v>
      </c>
      <c r="F28" s="215">
        <f t="shared" ca="1" si="3"/>
        <v>0.27433266570000003</v>
      </c>
      <c r="G28" s="215">
        <f t="shared" ca="1" si="9"/>
        <v>0.26417219660000002</v>
      </c>
      <c r="H28" s="215">
        <f t="shared" ca="1" si="0"/>
        <v>0.25401172750000001</v>
      </c>
      <c r="I28" s="215">
        <f t="shared" ca="1" si="1"/>
        <v>0.24385125839999999</v>
      </c>
      <c r="J28" s="215">
        <f t="shared" ca="1" si="4"/>
        <v>0.23369078930000001</v>
      </c>
      <c r="K28" s="215">
        <f t="shared" ca="1" si="5"/>
        <v>0.22861055475</v>
      </c>
      <c r="L28" s="215">
        <f t="shared" ca="1" si="6"/>
        <v>0.21845008565000001</v>
      </c>
      <c r="M28" s="215">
        <f t="shared" ca="1" si="7"/>
        <v>0.20828961655</v>
      </c>
    </row>
    <row r="29" spans="2:13">
      <c r="B29" s="37">
        <v>2048</v>
      </c>
      <c r="C29" s="37">
        <v>0.54</v>
      </c>
      <c r="D29" s="214">
        <f t="shared" si="8"/>
        <v>0.27433266570000003</v>
      </c>
      <c r="E29" s="215">
        <f t="shared" ca="1" si="2"/>
        <v>0.27433266570000003</v>
      </c>
      <c r="F29" s="215">
        <f t="shared" ca="1" si="3"/>
        <v>0.26417219660000002</v>
      </c>
      <c r="G29" s="215">
        <f t="shared" ca="1" si="9"/>
        <v>0.25401172750000001</v>
      </c>
      <c r="H29" s="215">
        <f t="shared" ca="1" si="0"/>
        <v>0.24385125839999999</v>
      </c>
      <c r="I29" s="215">
        <f t="shared" ca="1" si="1"/>
        <v>0.23369078930000001</v>
      </c>
      <c r="J29" s="215">
        <f t="shared" ca="1" si="4"/>
        <v>0.22861055475</v>
      </c>
      <c r="K29" s="215">
        <f t="shared" ca="1" si="5"/>
        <v>0.21845008565000001</v>
      </c>
      <c r="L29" s="215">
        <f t="shared" ca="1" si="6"/>
        <v>0.20828961655</v>
      </c>
      <c r="M29" s="215">
        <f t="shared" ca="1" si="7"/>
        <v>0.19812914745000001</v>
      </c>
    </row>
    <row r="30" spans="2:13">
      <c r="B30" s="37">
        <v>2049</v>
      </c>
      <c r="C30" s="37">
        <v>0.52</v>
      </c>
      <c r="D30" s="214">
        <f t="shared" si="8"/>
        <v>0.26417219660000002</v>
      </c>
      <c r="E30" s="215">
        <f t="shared" ca="1" si="2"/>
        <v>0.26417219660000002</v>
      </c>
      <c r="F30" s="215">
        <f t="shared" ca="1" si="3"/>
        <v>0.25401172750000001</v>
      </c>
      <c r="G30" s="215">
        <f t="shared" ca="1" si="9"/>
        <v>0.24385125839999999</v>
      </c>
      <c r="H30" s="215">
        <f t="shared" ca="1" si="0"/>
        <v>0.23369078930000001</v>
      </c>
      <c r="I30" s="215">
        <f t="shared" ca="1" si="1"/>
        <v>0.22861055475</v>
      </c>
      <c r="J30" s="215">
        <f t="shared" ca="1" si="4"/>
        <v>0.21845008565000001</v>
      </c>
      <c r="K30" s="215">
        <f t="shared" ca="1" si="5"/>
        <v>0.20828961655</v>
      </c>
      <c r="L30" s="215">
        <f t="shared" ca="1" si="6"/>
        <v>0.19812914745000001</v>
      </c>
      <c r="M30" s="215">
        <f t="shared" ca="1" si="7"/>
        <v>0.18796867835</v>
      </c>
    </row>
    <row r="31" spans="2:13">
      <c r="B31" s="37">
        <v>2050</v>
      </c>
      <c r="C31" s="37">
        <v>0.5</v>
      </c>
      <c r="D31" s="214">
        <f t="shared" si="8"/>
        <v>0.25401172750000001</v>
      </c>
      <c r="E31" s="215">
        <f t="shared" ca="1" si="2"/>
        <v>0.25401172750000001</v>
      </c>
      <c r="F31" s="215">
        <f t="shared" ca="1" si="3"/>
        <v>0.24385125839999999</v>
      </c>
      <c r="G31" s="215">
        <f t="shared" ca="1" si="9"/>
        <v>0.23369078930000001</v>
      </c>
      <c r="H31" s="215">
        <f t="shared" ca="1" si="0"/>
        <v>0.22861055475</v>
      </c>
      <c r="I31" s="215">
        <f t="shared" ca="1" si="1"/>
        <v>0.21845008565000001</v>
      </c>
      <c r="J31" s="215">
        <f t="shared" ca="1" si="4"/>
        <v>0.20828961655</v>
      </c>
      <c r="K31" s="215">
        <f t="shared" ca="1" si="5"/>
        <v>0.19812914745000001</v>
      </c>
      <c r="L31" s="215">
        <f t="shared" ca="1" si="6"/>
        <v>0.18796867835</v>
      </c>
      <c r="M31" s="215">
        <f t="shared" ca="1" si="7"/>
        <v>0.18288844379999999</v>
      </c>
    </row>
    <row r="32" spans="2:13">
      <c r="B32" s="37">
        <v>2051</v>
      </c>
      <c r="C32" s="37">
        <v>0.48</v>
      </c>
      <c r="D32" s="214">
        <f t="shared" si="8"/>
        <v>0.24385125839999999</v>
      </c>
      <c r="E32" s="215">
        <f t="shared" ca="1" si="2"/>
        <v>0.24385125839999999</v>
      </c>
      <c r="F32" s="215">
        <f t="shared" ca="1" si="3"/>
        <v>0.23369078930000001</v>
      </c>
      <c r="G32" s="215">
        <f t="shared" ca="1" si="9"/>
        <v>0.22861055475</v>
      </c>
      <c r="H32" s="215">
        <f t="shared" ca="1" si="0"/>
        <v>0.21845008565000001</v>
      </c>
      <c r="I32" s="215">
        <f t="shared" ca="1" si="1"/>
        <v>0.20828961655</v>
      </c>
      <c r="J32" s="215">
        <f t="shared" ca="1" si="4"/>
        <v>0.19812914745000001</v>
      </c>
      <c r="K32" s="215">
        <f t="shared" ca="1" si="5"/>
        <v>0.18796867835</v>
      </c>
      <c r="L32" s="215">
        <f t="shared" ca="1" si="6"/>
        <v>0.18288844379999999</v>
      </c>
      <c r="M32" s="215">
        <f t="shared" ca="1" si="7"/>
        <v>0.17272797470000001</v>
      </c>
    </row>
    <row r="33" spans="1:13">
      <c r="B33" s="37">
        <v>2052</v>
      </c>
      <c r="C33" s="37">
        <v>0.46</v>
      </c>
      <c r="D33" s="214">
        <f t="shared" si="8"/>
        <v>0.23369078930000001</v>
      </c>
      <c r="E33" s="215">
        <f t="shared" ca="1" si="2"/>
        <v>0.23369078930000001</v>
      </c>
      <c r="F33" s="215">
        <f t="shared" ca="1" si="3"/>
        <v>0.22861055475</v>
      </c>
      <c r="G33" s="215">
        <f t="shared" ca="1" si="9"/>
        <v>0.21845008565000001</v>
      </c>
      <c r="H33" s="215">
        <f t="shared" ca="1" si="0"/>
        <v>0.20828961655</v>
      </c>
      <c r="I33" s="215">
        <f t="shared" ca="1" si="1"/>
        <v>0.19812914745000001</v>
      </c>
      <c r="J33" s="215">
        <f t="shared" ca="1" si="4"/>
        <v>0.18796867835</v>
      </c>
      <c r="K33" s="215">
        <f t="shared" ca="1" si="5"/>
        <v>0.18288844379999999</v>
      </c>
      <c r="L33" s="215">
        <f t="shared" ca="1" si="6"/>
        <v>0.17272797470000001</v>
      </c>
      <c r="M33" s="215">
        <f t="shared" ca="1" si="7"/>
        <v>0.1625675056</v>
      </c>
    </row>
    <row r="34" spans="1:13">
      <c r="B34" s="37">
        <v>2053</v>
      </c>
      <c r="C34" s="37">
        <v>0.45</v>
      </c>
      <c r="D34" s="214">
        <f t="shared" si="8"/>
        <v>0.22861055475</v>
      </c>
      <c r="E34" s="215">
        <f t="shared" ca="1" si="2"/>
        <v>0.22861055475</v>
      </c>
      <c r="F34" s="215">
        <f t="shared" ca="1" si="3"/>
        <v>0.21845008565000001</v>
      </c>
      <c r="G34" s="215">
        <f t="shared" ca="1" si="9"/>
        <v>0.20828961655</v>
      </c>
      <c r="H34" s="215">
        <f t="shared" ca="1" si="0"/>
        <v>0.19812914745000001</v>
      </c>
      <c r="I34" s="215">
        <f t="shared" ca="1" si="1"/>
        <v>0.18796867835</v>
      </c>
      <c r="J34" s="215">
        <f t="shared" ca="1" si="4"/>
        <v>0.18288844379999999</v>
      </c>
      <c r="K34" s="215">
        <f t="shared" ca="1" si="5"/>
        <v>0.17272797470000001</v>
      </c>
      <c r="L34" s="215">
        <f t="shared" ca="1" si="6"/>
        <v>0.1625675056</v>
      </c>
      <c r="M34" s="215">
        <f t="shared" ca="1" si="7"/>
        <v>0.1625675056</v>
      </c>
    </row>
    <row r="35" spans="1:13">
      <c r="B35" s="37">
        <v>2054</v>
      </c>
      <c r="C35" s="37">
        <v>0.43</v>
      </c>
      <c r="D35" s="214">
        <f t="shared" si="8"/>
        <v>0.21845008565000001</v>
      </c>
      <c r="E35" s="215">
        <f t="shared" ca="1" si="2"/>
        <v>0.21845008565000001</v>
      </c>
      <c r="F35" s="215">
        <f t="shared" ca="1" si="3"/>
        <v>0.20828961655</v>
      </c>
      <c r="G35" s="215">
        <f t="shared" ca="1" si="9"/>
        <v>0.19812914745000001</v>
      </c>
      <c r="H35" s="215">
        <f t="shared" ca="1" si="0"/>
        <v>0.18796867835</v>
      </c>
      <c r="I35" s="215">
        <f t="shared" ca="1" si="1"/>
        <v>0.18288844379999999</v>
      </c>
      <c r="J35" s="215">
        <f t="shared" ca="1" si="4"/>
        <v>0.17272797470000001</v>
      </c>
      <c r="K35" s="215">
        <f t="shared" ca="1" si="5"/>
        <v>0.1625675056</v>
      </c>
      <c r="L35" s="215">
        <f t="shared" ca="1" si="6"/>
        <v>0.1625675056</v>
      </c>
      <c r="M35" s="215">
        <f t="shared" ca="1" si="7"/>
        <v>0.1625675056</v>
      </c>
    </row>
    <row r="36" spans="1:13">
      <c r="B36" s="37">
        <v>2055</v>
      </c>
      <c r="C36" s="37">
        <v>0.41</v>
      </c>
      <c r="D36" s="214">
        <f t="shared" si="8"/>
        <v>0.20828961655</v>
      </c>
      <c r="E36" s="215">
        <f t="shared" ca="1" si="2"/>
        <v>0.20828961655</v>
      </c>
      <c r="F36" s="215">
        <f t="shared" ca="1" si="3"/>
        <v>0.19812914745000001</v>
      </c>
      <c r="G36" s="215">
        <f t="shared" ca="1" si="9"/>
        <v>0.18796867835</v>
      </c>
      <c r="H36" s="215">
        <f t="shared" ca="1" si="0"/>
        <v>0.18288844379999999</v>
      </c>
      <c r="I36" s="215">
        <f t="shared" ca="1" si="1"/>
        <v>0.17272797470000001</v>
      </c>
      <c r="J36" s="215">
        <f t="shared" ca="1" si="4"/>
        <v>0.1625675056</v>
      </c>
      <c r="K36" s="215">
        <f t="shared" ca="1" si="5"/>
        <v>0.1625675056</v>
      </c>
      <c r="L36" s="215">
        <f t="shared" ca="1" si="6"/>
        <v>0.1625675056</v>
      </c>
      <c r="M36" s="215">
        <f t="shared" ca="1" si="7"/>
        <v>0.1625675056</v>
      </c>
    </row>
    <row r="37" spans="1:13">
      <c r="B37" s="37">
        <v>2056</v>
      </c>
      <c r="C37" s="37">
        <v>0.39</v>
      </c>
      <c r="D37" s="214">
        <f t="shared" si="8"/>
        <v>0.19812914745000001</v>
      </c>
      <c r="E37" s="215">
        <f t="shared" ca="1" si="2"/>
        <v>0.19812914745000001</v>
      </c>
      <c r="F37" s="215">
        <f t="shared" ca="1" si="3"/>
        <v>0.18796867835</v>
      </c>
      <c r="G37" s="215">
        <f t="shared" ca="1" si="9"/>
        <v>0.18288844379999999</v>
      </c>
      <c r="H37" s="215">
        <f t="shared" ca="1" si="0"/>
        <v>0.17272797470000001</v>
      </c>
      <c r="I37" s="215">
        <f t="shared" ca="1" si="1"/>
        <v>0.1625675056</v>
      </c>
      <c r="J37" s="215">
        <f t="shared" ca="1" si="4"/>
        <v>0.1625675056</v>
      </c>
      <c r="K37" s="215">
        <f t="shared" ca="1" si="5"/>
        <v>0.1625675056</v>
      </c>
      <c r="L37" s="215">
        <f t="shared" ca="1" si="6"/>
        <v>0.1625675056</v>
      </c>
      <c r="M37" s="215">
        <f t="shared" ca="1" si="7"/>
        <v>0.1625675056</v>
      </c>
    </row>
    <row r="38" spans="1:13">
      <c r="B38" s="37">
        <v>2057</v>
      </c>
      <c r="C38" s="37">
        <v>0.37</v>
      </c>
      <c r="D38" s="214">
        <f t="shared" si="8"/>
        <v>0.18796867835</v>
      </c>
      <c r="E38" s="215">
        <f t="shared" ca="1" si="2"/>
        <v>0.18796867835</v>
      </c>
      <c r="F38" s="215">
        <f t="shared" ca="1" si="3"/>
        <v>0.18288844379999999</v>
      </c>
      <c r="G38" s="215">
        <f t="shared" ca="1" si="9"/>
        <v>0.17272797470000001</v>
      </c>
      <c r="H38" s="215">
        <f t="shared" ca="1" si="0"/>
        <v>0.1625675056</v>
      </c>
      <c r="I38" s="215">
        <f t="shared" ca="1" si="1"/>
        <v>0.1625675056</v>
      </c>
      <c r="J38" s="215">
        <f t="shared" ca="1" si="4"/>
        <v>0.1625675056</v>
      </c>
      <c r="K38" s="215">
        <f t="shared" ca="1" si="5"/>
        <v>0.1625675056</v>
      </c>
      <c r="L38" s="215">
        <f t="shared" ca="1" si="6"/>
        <v>0.1625675056</v>
      </c>
      <c r="M38" s="215">
        <f t="shared" ca="1" si="7"/>
        <v>0.1625675056</v>
      </c>
    </row>
    <row r="39" spans="1:13">
      <c r="B39" s="37">
        <v>2058</v>
      </c>
      <c r="C39" s="37">
        <v>0.36</v>
      </c>
      <c r="D39" s="214">
        <f t="shared" si="8"/>
        <v>0.18288844379999999</v>
      </c>
      <c r="E39" s="215">
        <f t="shared" ca="1" si="2"/>
        <v>0.18288844379999999</v>
      </c>
      <c r="F39" s="215">
        <f t="shared" ca="1" si="3"/>
        <v>0.17272797470000001</v>
      </c>
      <c r="G39" s="215">
        <f t="shared" ca="1" si="9"/>
        <v>0.1625675056</v>
      </c>
      <c r="H39" s="215">
        <f t="shared" ca="1" si="0"/>
        <v>0.1625675056</v>
      </c>
      <c r="I39" s="215">
        <f t="shared" ca="1" si="1"/>
        <v>0.1625675056</v>
      </c>
      <c r="J39" s="215">
        <f t="shared" ca="1" si="4"/>
        <v>0.1625675056</v>
      </c>
      <c r="K39" s="215">
        <f t="shared" ca="1" si="5"/>
        <v>0.1625675056</v>
      </c>
      <c r="L39" s="215">
        <f t="shared" ca="1" si="6"/>
        <v>0.1625675056</v>
      </c>
      <c r="M39" s="215">
        <f t="shared" ca="1" si="7"/>
        <v>0.1625675056</v>
      </c>
    </row>
    <row r="40" spans="1:13">
      <c r="B40" s="37">
        <v>2059</v>
      </c>
      <c r="C40" s="37">
        <v>0.34</v>
      </c>
      <c r="D40" s="214">
        <f t="shared" si="8"/>
        <v>0.17272797470000001</v>
      </c>
      <c r="E40" s="215">
        <f t="shared" ca="1" si="2"/>
        <v>0.17272797470000001</v>
      </c>
      <c r="F40" s="215">
        <f t="shared" ca="1" si="3"/>
        <v>0.1625675056</v>
      </c>
      <c r="G40" s="215">
        <f t="shared" ca="1" si="9"/>
        <v>0.1625675056</v>
      </c>
      <c r="H40" s="215">
        <f t="shared" ca="1" si="0"/>
        <v>0.1625675056</v>
      </c>
      <c r="I40" s="215">
        <f t="shared" ca="1" si="1"/>
        <v>0.1625675056</v>
      </c>
      <c r="J40" s="215">
        <f t="shared" ca="1" si="4"/>
        <v>0.1625675056</v>
      </c>
      <c r="K40" s="215">
        <f t="shared" ca="1" si="5"/>
        <v>0.1625675056</v>
      </c>
      <c r="L40" s="215">
        <f t="shared" ca="1" si="6"/>
        <v>0.1625675056</v>
      </c>
      <c r="M40" s="215">
        <f t="shared" ca="1" si="7"/>
        <v>0.1625675056</v>
      </c>
    </row>
    <row r="41" spans="1:13">
      <c r="B41" s="37">
        <v>2060</v>
      </c>
      <c r="C41" s="37">
        <v>0.32</v>
      </c>
      <c r="D41" s="214">
        <f t="shared" si="8"/>
        <v>0.1625675056</v>
      </c>
      <c r="E41" s="215">
        <f t="shared" ca="1" si="2"/>
        <v>0.1625675056</v>
      </c>
      <c r="F41" s="215">
        <f t="shared" ca="1" si="3"/>
        <v>0.1625675056</v>
      </c>
      <c r="G41" s="215">
        <f t="shared" ca="1" si="9"/>
        <v>0.1625675056</v>
      </c>
      <c r="H41" s="215">
        <f t="shared" ca="1" si="0"/>
        <v>0.1625675056</v>
      </c>
      <c r="I41" s="215">
        <f t="shared" ca="1" si="1"/>
        <v>0.1625675056</v>
      </c>
      <c r="J41" s="215">
        <f t="shared" ca="1" si="4"/>
        <v>0.1625675056</v>
      </c>
      <c r="K41" s="215">
        <f t="shared" ca="1" si="5"/>
        <v>0.1625675056</v>
      </c>
      <c r="L41" s="215">
        <f t="shared" ca="1" si="6"/>
        <v>0.1625675056</v>
      </c>
      <c r="M41" s="215">
        <f t="shared" ca="1" si="7"/>
        <v>0.1625675056</v>
      </c>
    </row>
    <row r="42" spans="1:13">
      <c r="A42" t="s">
        <v>808</v>
      </c>
      <c r="B42" s="216">
        <v>2061</v>
      </c>
      <c r="C42" s="216">
        <v>0.32</v>
      </c>
      <c r="D42" s="216">
        <f t="shared" si="8"/>
        <v>0.1625675056</v>
      </c>
      <c r="E42" s="217">
        <f t="shared" ca="1" si="2"/>
        <v>0.1625675056</v>
      </c>
      <c r="F42" s="217">
        <f t="shared" ca="1" si="3"/>
        <v>0.1625675056</v>
      </c>
      <c r="G42" s="217">
        <f t="shared" ca="1" si="9"/>
        <v>0.1625675056</v>
      </c>
      <c r="H42" s="217">
        <f t="shared" ca="1" si="0"/>
        <v>0.1625675056</v>
      </c>
      <c r="I42" s="217">
        <f t="shared" ca="1" si="1"/>
        <v>0.1625675056</v>
      </c>
      <c r="J42" s="217">
        <f t="shared" ca="1" si="4"/>
        <v>0.1625675056</v>
      </c>
      <c r="K42" s="217">
        <f t="shared" ca="1" si="5"/>
        <v>0.1625675056</v>
      </c>
      <c r="L42" s="217">
        <f t="shared" ca="1" si="6"/>
        <v>0.1625675056</v>
      </c>
      <c r="M42" s="217">
        <f t="shared" ca="1" si="7"/>
        <v>0.1625675056</v>
      </c>
    </row>
    <row r="43" spans="1:13">
      <c r="B43" s="216">
        <v>2062</v>
      </c>
      <c r="C43" s="216">
        <v>0.32</v>
      </c>
      <c r="D43" s="216">
        <f t="shared" si="8"/>
        <v>0.1625675056</v>
      </c>
      <c r="E43" s="217">
        <f t="shared" ca="1" si="2"/>
        <v>0.1625675056</v>
      </c>
      <c r="F43" s="217">
        <f t="shared" ca="1" si="3"/>
        <v>0.1625675056</v>
      </c>
      <c r="G43" s="217">
        <f t="shared" ca="1" si="9"/>
        <v>0.1625675056</v>
      </c>
      <c r="H43" s="217">
        <f t="shared" ca="1" si="0"/>
        <v>0.1625675056</v>
      </c>
      <c r="I43" s="217">
        <f t="shared" ca="1" si="1"/>
        <v>0.1625675056</v>
      </c>
      <c r="J43" s="217">
        <f t="shared" ca="1" si="4"/>
        <v>0.1625675056</v>
      </c>
      <c r="K43" s="217">
        <f t="shared" ca="1" si="5"/>
        <v>0.1625675056</v>
      </c>
      <c r="L43" s="217">
        <f t="shared" ca="1" si="6"/>
        <v>0.1625675056</v>
      </c>
      <c r="M43" s="217">
        <f t="shared" ca="1" si="7"/>
        <v>0.1625675056</v>
      </c>
    </row>
    <row r="44" spans="1:13">
      <c r="B44" s="216">
        <v>2063</v>
      </c>
      <c r="C44" s="216">
        <v>0.32</v>
      </c>
      <c r="D44" s="216">
        <f t="shared" si="8"/>
        <v>0.1625675056</v>
      </c>
      <c r="E44" s="217">
        <f t="shared" ca="1" si="2"/>
        <v>0.1625675056</v>
      </c>
      <c r="F44" s="217">
        <f t="shared" ca="1" si="3"/>
        <v>0.1625675056</v>
      </c>
      <c r="G44" s="217">
        <f t="shared" ca="1" si="9"/>
        <v>0.1625675056</v>
      </c>
      <c r="H44" s="217">
        <f t="shared" ca="1" si="0"/>
        <v>0.1625675056</v>
      </c>
      <c r="I44" s="217">
        <f t="shared" ca="1" si="1"/>
        <v>0.1625675056</v>
      </c>
      <c r="J44" s="217">
        <f t="shared" ca="1" si="4"/>
        <v>0.1625675056</v>
      </c>
      <c r="K44" s="217">
        <f t="shared" ca="1" si="5"/>
        <v>0.1625675056</v>
      </c>
      <c r="L44" s="217">
        <f t="shared" ca="1" si="6"/>
        <v>0.1625675056</v>
      </c>
      <c r="M44" s="217">
        <f t="shared" ca="1" si="7"/>
        <v>0.1625675056</v>
      </c>
    </row>
    <row r="45" spans="1:13">
      <c r="B45" s="216">
        <v>2064</v>
      </c>
      <c r="C45" s="216">
        <v>0.32</v>
      </c>
      <c r="D45" s="216">
        <f t="shared" si="8"/>
        <v>0.1625675056</v>
      </c>
      <c r="E45" s="217">
        <f t="shared" ca="1" si="2"/>
        <v>0.1625675056</v>
      </c>
      <c r="F45" s="217">
        <f t="shared" ca="1" si="3"/>
        <v>0.1625675056</v>
      </c>
      <c r="G45" s="217">
        <f t="shared" ca="1" si="9"/>
        <v>0.1625675056</v>
      </c>
      <c r="H45" s="217">
        <f t="shared" ca="1" si="0"/>
        <v>0.1625675056</v>
      </c>
      <c r="I45" s="217">
        <f t="shared" ca="1" si="1"/>
        <v>0.1625675056</v>
      </c>
      <c r="J45" s="217">
        <f t="shared" ca="1" si="4"/>
        <v>0.1625675056</v>
      </c>
      <c r="K45" s="217">
        <f t="shared" ca="1" si="5"/>
        <v>0.1625675056</v>
      </c>
      <c r="L45" s="217">
        <f t="shared" ca="1" si="6"/>
        <v>0.1625675056</v>
      </c>
      <c r="M45" s="217">
        <f t="shared" ca="1" si="7"/>
        <v>0.1625675056</v>
      </c>
    </row>
    <row r="46" spans="1:13">
      <c r="B46" s="216">
        <v>2065</v>
      </c>
      <c r="C46" s="216">
        <v>0.32</v>
      </c>
      <c r="D46" s="216">
        <f t="shared" si="8"/>
        <v>0.1625675056</v>
      </c>
      <c r="E46" s="217">
        <f t="shared" ca="1" si="2"/>
        <v>0.1625675056</v>
      </c>
      <c r="F46" s="217">
        <f t="shared" ca="1" si="3"/>
        <v>0.1625675056</v>
      </c>
      <c r="G46" s="217">
        <f t="shared" ca="1" si="9"/>
        <v>0.1625675056</v>
      </c>
      <c r="H46" s="217">
        <f t="shared" ca="1" si="0"/>
        <v>0.1625675056</v>
      </c>
      <c r="I46" s="217">
        <f t="shared" ca="1" si="1"/>
        <v>0.1625675056</v>
      </c>
      <c r="J46" s="217">
        <f t="shared" ca="1" si="4"/>
        <v>0.1625675056</v>
      </c>
      <c r="K46" s="217">
        <f t="shared" ca="1" si="5"/>
        <v>0.1625675056</v>
      </c>
      <c r="L46" s="217">
        <f t="shared" ca="1" si="6"/>
        <v>0.1625675056</v>
      </c>
      <c r="M46" s="217">
        <f t="shared" ca="1" si="7"/>
        <v>0.1625675056</v>
      </c>
    </row>
    <row r="47" spans="1:13">
      <c r="B47" s="216">
        <v>2066</v>
      </c>
      <c r="C47" s="216">
        <v>0.32</v>
      </c>
      <c r="D47" s="216">
        <f t="shared" si="8"/>
        <v>0.1625675056</v>
      </c>
      <c r="E47" s="217">
        <f t="shared" ca="1" si="2"/>
        <v>0.1625675056</v>
      </c>
      <c r="F47" s="217">
        <f t="shared" ca="1" si="3"/>
        <v>0.1625675056</v>
      </c>
      <c r="G47" s="217">
        <f t="shared" ca="1" si="9"/>
        <v>0.1625675056</v>
      </c>
      <c r="H47" s="217">
        <f t="shared" ca="1" si="0"/>
        <v>0.1625675056</v>
      </c>
      <c r="I47" s="217">
        <f t="shared" ca="1" si="1"/>
        <v>0.1625675056</v>
      </c>
      <c r="J47" s="217">
        <f t="shared" ca="1" si="4"/>
        <v>0.1625675056</v>
      </c>
      <c r="K47" s="217">
        <f t="shared" ca="1" si="5"/>
        <v>0.1625675056</v>
      </c>
      <c r="L47" s="217">
        <f t="shared" ca="1" si="6"/>
        <v>0.1625675056</v>
      </c>
      <c r="M47" s="217">
        <f t="shared" ca="1" si="7"/>
        <v>0.1625675056</v>
      </c>
    </row>
    <row r="48" spans="1:13">
      <c r="B48" s="216">
        <v>2067</v>
      </c>
      <c r="C48" s="216">
        <v>0.32</v>
      </c>
      <c r="D48" s="216">
        <f t="shared" si="8"/>
        <v>0.1625675056</v>
      </c>
      <c r="E48" s="217">
        <f t="shared" ca="1" si="2"/>
        <v>0.1625675056</v>
      </c>
      <c r="F48" s="217">
        <f t="shared" ca="1" si="3"/>
        <v>0.1625675056</v>
      </c>
      <c r="G48" s="217">
        <f t="shared" ca="1" si="9"/>
        <v>0.1625675056</v>
      </c>
      <c r="H48" s="217">
        <f t="shared" ca="1" si="0"/>
        <v>0.1625675056</v>
      </c>
      <c r="I48" s="217">
        <f t="shared" ca="1" si="1"/>
        <v>0.1625675056</v>
      </c>
      <c r="J48" s="217">
        <f t="shared" ca="1" si="4"/>
        <v>0.1625675056</v>
      </c>
      <c r="K48" s="217">
        <f t="shared" ca="1" si="5"/>
        <v>0.1625675056</v>
      </c>
      <c r="L48" s="217">
        <f t="shared" ca="1" si="6"/>
        <v>0.1625675056</v>
      </c>
      <c r="M48" s="217">
        <f t="shared" ca="1" si="7"/>
        <v>0.1625675056</v>
      </c>
    </row>
    <row r="49" spans="2:13">
      <c r="B49" s="216">
        <v>2068</v>
      </c>
      <c r="C49" s="216">
        <v>0.32</v>
      </c>
      <c r="D49" s="216">
        <f t="shared" si="8"/>
        <v>0.1625675056</v>
      </c>
      <c r="E49" s="217">
        <f t="shared" ca="1" si="2"/>
        <v>0.1625675056</v>
      </c>
      <c r="F49" s="217">
        <f t="shared" ca="1" si="3"/>
        <v>0.1625675056</v>
      </c>
      <c r="G49" s="217">
        <f t="shared" ca="1" si="9"/>
        <v>0.1625675056</v>
      </c>
      <c r="H49" s="217">
        <f t="shared" ca="1" si="0"/>
        <v>0.1625675056</v>
      </c>
      <c r="I49" s="217">
        <f t="shared" ca="1" si="1"/>
        <v>0.1625675056</v>
      </c>
      <c r="J49" s="217">
        <f t="shared" ca="1" si="4"/>
        <v>0.1625675056</v>
      </c>
      <c r="K49" s="217">
        <f t="shared" ca="1" si="5"/>
        <v>0.1625675056</v>
      </c>
      <c r="L49" s="217">
        <f t="shared" ca="1" si="6"/>
        <v>0.1625675056</v>
      </c>
      <c r="M49" s="217">
        <f t="shared" ca="1" si="7"/>
        <v>0.1625675056</v>
      </c>
    </row>
    <row r="50" spans="2:13">
      <c r="B50" s="216">
        <v>2069</v>
      </c>
      <c r="C50" s="216">
        <v>0.32</v>
      </c>
      <c r="D50" s="216">
        <f t="shared" si="8"/>
        <v>0.1625675056</v>
      </c>
      <c r="E50" s="217">
        <f t="shared" ca="1" si="2"/>
        <v>0.1625675056</v>
      </c>
      <c r="F50" s="217">
        <f t="shared" ca="1" si="3"/>
        <v>0.1625675056</v>
      </c>
      <c r="G50" s="217">
        <f t="shared" ca="1" si="9"/>
        <v>0.1625675056</v>
      </c>
      <c r="H50" s="217">
        <f t="shared" ca="1" si="0"/>
        <v>0.1625675056</v>
      </c>
      <c r="I50" s="217">
        <f t="shared" ca="1" si="1"/>
        <v>0.1625675056</v>
      </c>
      <c r="J50" s="217">
        <f t="shared" ca="1" si="4"/>
        <v>0.1625675056</v>
      </c>
      <c r="K50" s="217">
        <f t="shared" ca="1" si="5"/>
        <v>0.1625675056</v>
      </c>
      <c r="L50" s="217">
        <f t="shared" ca="1" si="6"/>
        <v>0.1625675056</v>
      </c>
      <c r="M50" s="217">
        <f t="shared" ca="1" si="7"/>
        <v>0.1625675056</v>
      </c>
    </row>
    <row r="51" spans="2:13">
      <c r="B51" s="216">
        <v>2070</v>
      </c>
      <c r="C51" s="216">
        <v>0.32</v>
      </c>
      <c r="D51" s="216">
        <f t="shared" si="8"/>
        <v>0.1625675056</v>
      </c>
      <c r="E51" s="217">
        <f t="shared" ca="1" si="2"/>
        <v>0.1625675056</v>
      </c>
      <c r="F51" s="217">
        <f t="shared" ca="1" si="3"/>
        <v>0.1625675056</v>
      </c>
      <c r="G51" s="217">
        <f t="shared" ca="1" si="9"/>
        <v>0.1625675056</v>
      </c>
      <c r="H51" s="217">
        <f t="shared" ca="1" si="0"/>
        <v>0.1625675056</v>
      </c>
      <c r="I51" s="217">
        <f t="shared" ca="1" si="1"/>
        <v>0.1625675056</v>
      </c>
      <c r="J51" s="217">
        <f t="shared" ca="1" si="4"/>
        <v>0.1625675056</v>
      </c>
      <c r="K51" s="217">
        <f t="shared" ca="1" si="5"/>
        <v>0.1625675056</v>
      </c>
      <c r="L51" s="217">
        <f t="shared" ca="1" si="6"/>
        <v>0.1625675056</v>
      </c>
      <c r="M51" s="217">
        <f t="shared" ca="1" si="7"/>
        <v>0.1625675056</v>
      </c>
    </row>
    <row r="52" spans="2:13">
      <c r="B52" s="216">
        <v>2071</v>
      </c>
      <c r="C52" s="216">
        <v>0.32</v>
      </c>
      <c r="D52" s="216">
        <f t="shared" si="8"/>
        <v>0.1625675056</v>
      </c>
      <c r="E52" s="217">
        <f t="shared" ca="1" si="2"/>
        <v>0.1625675056</v>
      </c>
      <c r="F52" s="217">
        <f t="shared" ca="1" si="3"/>
        <v>0.1625675056</v>
      </c>
      <c r="G52" s="217">
        <f t="shared" ca="1" si="9"/>
        <v>0.1625675056</v>
      </c>
      <c r="H52" s="217">
        <f t="shared" ca="1" si="0"/>
        <v>0.1625675056</v>
      </c>
      <c r="I52" s="217">
        <f t="shared" ca="1" si="1"/>
        <v>0.1625675056</v>
      </c>
      <c r="J52" s="217">
        <f t="shared" ca="1" si="4"/>
        <v>0.1625675056</v>
      </c>
      <c r="K52" s="217">
        <f t="shared" ca="1" si="5"/>
        <v>0.1625675056</v>
      </c>
      <c r="L52" s="217">
        <f t="shared" ca="1" si="6"/>
        <v>0.1625675056</v>
      </c>
      <c r="M52" s="217">
        <f t="shared" ca="1" si="7"/>
        <v>0.1625675056</v>
      </c>
    </row>
    <row r="53" spans="2:13">
      <c r="B53" s="216">
        <v>2072</v>
      </c>
      <c r="C53" s="216">
        <v>0.32</v>
      </c>
      <c r="D53" s="216">
        <f t="shared" si="8"/>
        <v>0.1625675056</v>
      </c>
      <c r="E53" s="217">
        <f t="shared" ca="1" si="2"/>
        <v>0.1625675056</v>
      </c>
      <c r="F53" s="217">
        <f t="shared" ca="1" si="3"/>
        <v>0.1625675056</v>
      </c>
      <c r="G53" s="217">
        <f t="shared" ca="1" si="9"/>
        <v>0.1625675056</v>
      </c>
      <c r="H53" s="217">
        <f t="shared" ca="1" si="0"/>
        <v>0.1625675056</v>
      </c>
      <c r="I53" s="217">
        <f t="shared" ca="1" si="1"/>
        <v>0.1625675056</v>
      </c>
      <c r="J53" s="217">
        <f t="shared" ca="1" si="4"/>
        <v>0.1625675056</v>
      </c>
      <c r="K53" s="217">
        <f t="shared" ca="1" si="5"/>
        <v>0.1625675056</v>
      </c>
      <c r="L53" s="217">
        <f t="shared" ca="1" si="6"/>
        <v>0.1625675056</v>
      </c>
      <c r="M53" s="217">
        <f t="shared" ca="1" si="7"/>
        <v>0.1625675056</v>
      </c>
    </row>
    <row r="54" spans="2:13">
      <c r="B54" s="216">
        <v>2073</v>
      </c>
      <c r="C54" s="216">
        <v>0.32</v>
      </c>
      <c r="D54" s="216">
        <f t="shared" si="8"/>
        <v>0.1625675056</v>
      </c>
      <c r="E54" s="217">
        <f t="shared" ca="1" si="2"/>
        <v>0.1625675056</v>
      </c>
      <c r="F54" s="217">
        <f t="shared" ca="1" si="3"/>
        <v>0.1625675056</v>
      </c>
      <c r="G54" s="217">
        <f t="shared" ca="1" si="9"/>
        <v>0.1625675056</v>
      </c>
      <c r="H54" s="217">
        <f t="shared" ca="1" si="0"/>
        <v>0.1625675056</v>
      </c>
      <c r="I54" s="217">
        <f t="shared" ca="1" si="1"/>
        <v>0.1625675056</v>
      </c>
      <c r="J54" s="217">
        <f t="shared" ca="1" si="4"/>
        <v>0.1625675056</v>
      </c>
      <c r="K54" s="217">
        <f t="shared" ca="1" si="5"/>
        <v>0.1625675056</v>
      </c>
      <c r="L54" s="217">
        <f t="shared" ca="1" si="6"/>
        <v>0.1625675056</v>
      </c>
      <c r="M54" s="217">
        <f t="shared" ca="1" si="7"/>
        <v>0.1625675056</v>
      </c>
    </row>
    <row r="55" spans="2:13">
      <c r="B55" s="216">
        <v>2074</v>
      </c>
      <c r="C55" s="216">
        <v>0.32</v>
      </c>
      <c r="D55" s="216">
        <f t="shared" si="8"/>
        <v>0.1625675056</v>
      </c>
      <c r="E55" s="217">
        <f t="shared" ca="1" si="2"/>
        <v>0.1625675056</v>
      </c>
      <c r="F55" s="217">
        <f t="shared" ca="1" si="3"/>
        <v>0.1625675056</v>
      </c>
      <c r="G55" s="217">
        <f t="shared" ca="1" si="9"/>
        <v>0.1625675056</v>
      </c>
      <c r="H55" s="217">
        <f t="shared" ca="1" si="0"/>
        <v>0.1625675056</v>
      </c>
      <c r="I55" s="217">
        <f t="shared" ca="1" si="1"/>
        <v>0.1625675056</v>
      </c>
      <c r="J55" s="217">
        <f t="shared" ca="1" si="4"/>
        <v>0.1625675056</v>
      </c>
      <c r="K55" s="217">
        <f t="shared" ca="1" si="5"/>
        <v>0.1625675056</v>
      </c>
      <c r="L55" s="217">
        <f t="shared" ca="1" si="6"/>
        <v>0.1625675056</v>
      </c>
      <c r="M55" s="217">
        <f t="shared" ca="1" si="7"/>
        <v>0.1625675056</v>
      </c>
    </row>
    <row r="56" spans="2:13">
      <c r="B56" s="216">
        <v>2075</v>
      </c>
      <c r="C56" s="216">
        <v>0.32</v>
      </c>
      <c r="D56" s="216">
        <f t="shared" si="8"/>
        <v>0.1625675056</v>
      </c>
      <c r="E56" s="217">
        <f t="shared" ca="1" si="2"/>
        <v>0.1625675056</v>
      </c>
      <c r="F56" s="217">
        <f t="shared" ca="1" si="3"/>
        <v>0.1625675056</v>
      </c>
      <c r="G56" s="217">
        <f t="shared" ca="1" si="9"/>
        <v>0.1625675056</v>
      </c>
      <c r="H56" s="217">
        <f t="shared" ca="1" si="0"/>
        <v>0.1625675056</v>
      </c>
      <c r="I56" s="217">
        <f t="shared" ca="1" si="1"/>
        <v>0.1625675056</v>
      </c>
      <c r="J56" s="217">
        <f t="shared" ca="1" si="4"/>
        <v>0.1625675056</v>
      </c>
      <c r="K56" s="217">
        <f t="shared" ca="1" si="5"/>
        <v>0.1625675056</v>
      </c>
      <c r="L56" s="217">
        <f t="shared" ca="1" si="6"/>
        <v>0.1625675056</v>
      </c>
      <c r="M56" s="217">
        <f t="shared" ca="1" si="7"/>
        <v>0.1625675056</v>
      </c>
    </row>
    <row r="57" spans="2:13">
      <c r="B57" s="216">
        <v>2076</v>
      </c>
      <c r="C57" s="216">
        <v>0.32</v>
      </c>
      <c r="D57" s="216">
        <f t="shared" si="8"/>
        <v>0.1625675056</v>
      </c>
      <c r="E57" s="217">
        <f t="shared" ca="1" si="2"/>
        <v>0.1625675056</v>
      </c>
      <c r="F57" s="217">
        <f t="shared" ca="1" si="3"/>
        <v>0.1625675056</v>
      </c>
      <c r="G57" s="217">
        <f t="shared" ca="1" si="9"/>
        <v>0.1625675056</v>
      </c>
      <c r="H57" s="217">
        <f t="shared" ca="1" si="0"/>
        <v>0.1625675056</v>
      </c>
      <c r="I57" s="217">
        <f t="shared" ca="1" si="1"/>
        <v>0.1625675056</v>
      </c>
      <c r="J57" s="217">
        <f t="shared" ca="1" si="4"/>
        <v>0.1625675056</v>
      </c>
      <c r="K57" s="217">
        <f t="shared" ca="1" si="5"/>
        <v>0.1625675056</v>
      </c>
      <c r="L57" s="217">
        <f t="shared" ca="1" si="6"/>
        <v>0.1625675056</v>
      </c>
      <c r="M57" s="217">
        <f t="shared" ca="1" si="7"/>
        <v>0.1625675056</v>
      </c>
    </row>
    <row r="58" spans="2:13">
      <c r="B58" s="216">
        <v>2077</v>
      </c>
      <c r="C58" s="216">
        <v>0.32</v>
      </c>
      <c r="D58" s="216">
        <f t="shared" si="8"/>
        <v>0.1625675056</v>
      </c>
      <c r="E58" s="217">
        <f t="shared" ca="1" si="2"/>
        <v>0.1625675056</v>
      </c>
      <c r="F58" s="217">
        <f t="shared" ca="1" si="3"/>
        <v>0.1625675056</v>
      </c>
      <c r="G58" s="217">
        <f t="shared" ca="1" si="9"/>
        <v>0.1625675056</v>
      </c>
      <c r="H58" s="217">
        <f t="shared" ca="1" si="0"/>
        <v>0.1625675056</v>
      </c>
      <c r="I58" s="217">
        <f t="shared" ca="1" si="1"/>
        <v>0.1625675056</v>
      </c>
      <c r="J58" s="217">
        <f t="shared" ca="1" si="4"/>
        <v>0.1625675056</v>
      </c>
      <c r="K58" s="217">
        <f t="shared" ca="1" si="5"/>
        <v>0.1625675056</v>
      </c>
      <c r="L58" s="217">
        <f t="shared" ca="1" si="6"/>
        <v>0.1625675056</v>
      </c>
      <c r="M58" s="217">
        <f t="shared" ca="1" si="7"/>
        <v>0.1625675056</v>
      </c>
    </row>
    <row r="59" spans="2:13">
      <c r="B59" s="216">
        <v>2078</v>
      </c>
      <c r="C59" s="216">
        <v>0.32</v>
      </c>
      <c r="D59" s="216">
        <f t="shared" si="8"/>
        <v>0.1625675056</v>
      </c>
      <c r="E59" s="217">
        <f t="shared" ca="1" si="2"/>
        <v>0.1625675056</v>
      </c>
      <c r="F59" s="217">
        <f t="shared" ca="1" si="3"/>
        <v>0.1625675056</v>
      </c>
      <c r="G59" s="217">
        <f t="shared" ca="1" si="9"/>
        <v>0.1625675056</v>
      </c>
      <c r="H59" s="217">
        <f t="shared" ca="1" si="0"/>
        <v>0.1625675056</v>
      </c>
      <c r="I59" s="217">
        <f t="shared" ca="1" si="1"/>
        <v>0.1625675056</v>
      </c>
      <c r="J59" s="217">
        <f t="shared" ca="1" si="4"/>
        <v>0.1625675056</v>
      </c>
      <c r="K59" s="217">
        <f t="shared" ca="1" si="5"/>
        <v>0.1625675056</v>
      </c>
      <c r="L59" s="217">
        <f t="shared" ca="1" si="6"/>
        <v>0.1625675056</v>
      </c>
      <c r="M59" s="217">
        <f t="shared" ca="1" si="7"/>
        <v>0.1625675056</v>
      </c>
    </row>
    <row r="60" spans="2:13">
      <c r="B60" s="216">
        <v>2079</v>
      </c>
      <c r="C60" s="216">
        <v>0.32</v>
      </c>
      <c r="D60" s="216">
        <f t="shared" si="8"/>
        <v>0.1625675056</v>
      </c>
      <c r="E60" s="217">
        <f t="shared" ca="1" si="2"/>
        <v>0.1625675056</v>
      </c>
      <c r="F60" s="217">
        <f t="shared" ca="1" si="3"/>
        <v>0.1625675056</v>
      </c>
      <c r="G60" s="217">
        <f t="shared" ca="1" si="9"/>
        <v>0.1625675056</v>
      </c>
      <c r="H60" s="217">
        <f t="shared" ca="1" si="0"/>
        <v>0.1625675056</v>
      </c>
      <c r="I60" s="217">
        <f t="shared" ca="1" si="1"/>
        <v>0.1625675056</v>
      </c>
      <c r="J60" s="217">
        <f t="shared" ca="1" si="4"/>
        <v>0.1625675056</v>
      </c>
      <c r="K60" s="217">
        <f t="shared" ca="1" si="5"/>
        <v>0.1625675056</v>
      </c>
      <c r="L60" s="217">
        <f t="shared" ca="1" si="6"/>
        <v>0.1625675056</v>
      </c>
      <c r="M60" s="217">
        <f t="shared" ca="1" si="7"/>
        <v>0.1625675056</v>
      </c>
    </row>
    <row r="61" spans="2:13">
      <c r="B61" s="216">
        <v>2080</v>
      </c>
      <c r="C61" s="216">
        <v>0.32</v>
      </c>
      <c r="D61" s="216">
        <f t="shared" si="8"/>
        <v>0.1625675056</v>
      </c>
      <c r="E61" s="217">
        <f t="shared" ca="1" si="2"/>
        <v>0.1625675056</v>
      </c>
      <c r="F61" s="217">
        <f t="shared" ca="1" si="3"/>
        <v>0.1625675056</v>
      </c>
      <c r="G61" s="217">
        <f t="shared" ca="1" si="9"/>
        <v>0.1625675056</v>
      </c>
      <c r="H61" s="217">
        <f t="shared" ca="1" si="0"/>
        <v>0.1625675056</v>
      </c>
      <c r="I61" s="217">
        <f t="shared" ca="1" si="1"/>
        <v>0.1625675056</v>
      </c>
      <c r="J61" s="217">
        <f t="shared" ca="1" si="4"/>
        <v>0.1625675056</v>
      </c>
      <c r="K61" s="217">
        <f t="shared" ca="1" si="5"/>
        <v>0.1625675056</v>
      </c>
      <c r="L61" s="217">
        <f t="shared" ca="1" si="6"/>
        <v>0.1625675056</v>
      </c>
      <c r="M61" s="217">
        <f t="shared" ca="1" si="7"/>
        <v>0.1625675056</v>
      </c>
    </row>
    <row r="62" spans="2:13">
      <c r="B62" s="216">
        <v>2081</v>
      </c>
      <c r="C62" s="216">
        <v>0.32</v>
      </c>
      <c r="D62" s="216">
        <f t="shared" si="8"/>
        <v>0.1625675056</v>
      </c>
      <c r="E62" s="217">
        <f t="shared" ca="1" si="2"/>
        <v>0.1625675056</v>
      </c>
      <c r="F62" s="217">
        <f t="shared" ca="1" si="3"/>
        <v>0.1625675056</v>
      </c>
      <c r="G62" s="217">
        <f t="shared" ca="1" si="9"/>
        <v>0.1625675056</v>
      </c>
      <c r="H62" s="217">
        <f t="shared" ca="1" si="0"/>
        <v>0.1625675056</v>
      </c>
      <c r="I62" s="217">
        <f t="shared" ca="1" si="1"/>
        <v>0.1625675056</v>
      </c>
      <c r="J62" s="217">
        <f t="shared" ca="1" si="4"/>
        <v>0.1625675056</v>
      </c>
      <c r="K62" s="217">
        <f t="shared" ca="1" si="5"/>
        <v>0.1625675056</v>
      </c>
      <c r="L62" s="217">
        <f t="shared" ca="1" si="6"/>
        <v>0.1625675056</v>
      </c>
      <c r="M62" s="217">
        <f t="shared" ca="1" si="7"/>
        <v>0.1625675056</v>
      </c>
    </row>
    <row r="63" spans="2:13">
      <c r="B63" s="216">
        <v>2082</v>
      </c>
      <c r="C63" s="216">
        <v>0.32</v>
      </c>
      <c r="D63" s="216">
        <f t="shared" si="8"/>
        <v>0.1625675056</v>
      </c>
      <c r="E63" s="217">
        <f t="shared" ca="1" si="2"/>
        <v>0.1625675056</v>
      </c>
      <c r="F63" s="217">
        <f t="shared" ca="1" si="3"/>
        <v>0.1625675056</v>
      </c>
      <c r="G63" s="217">
        <f t="shared" ca="1" si="9"/>
        <v>0.1625675056</v>
      </c>
      <c r="H63" s="217">
        <f t="shared" ca="1" si="0"/>
        <v>0.1625675056</v>
      </c>
      <c r="I63" s="217">
        <f t="shared" ca="1" si="1"/>
        <v>0.1625675056</v>
      </c>
      <c r="J63" s="217">
        <f t="shared" ca="1" si="4"/>
        <v>0.1625675056</v>
      </c>
      <c r="K63" s="217">
        <f t="shared" ca="1" si="5"/>
        <v>0.1625675056</v>
      </c>
      <c r="L63" s="217">
        <f t="shared" ca="1" si="6"/>
        <v>0.1625675056</v>
      </c>
      <c r="M63" s="217">
        <f t="shared" ca="1" si="7"/>
        <v>0.1625675056</v>
      </c>
    </row>
    <row r="64" spans="2:13">
      <c r="B64" s="216">
        <v>2083</v>
      </c>
      <c r="C64" s="216">
        <v>0.32</v>
      </c>
      <c r="D64" s="216">
        <f t="shared" si="8"/>
        <v>0.1625675056</v>
      </c>
      <c r="E64" s="217">
        <f t="shared" ca="1" si="2"/>
        <v>0.1625675056</v>
      </c>
      <c r="F64" s="217">
        <f t="shared" ca="1" si="3"/>
        <v>0.1625675056</v>
      </c>
      <c r="G64" s="217">
        <f t="shared" ca="1" si="9"/>
        <v>0.1625675056</v>
      </c>
      <c r="H64" s="217">
        <f t="shared" ca="1" si="0"/>
        <v>0.1625675056</v>
      </c>
      <c r="I64" s="217">
        <f t="shared" ca="1" si="1"/>
        <v>0.1625675056</v>
      </c>
      <c r="J64" s="217">
        <f t="shared" ca="1" si="4"/>
        <v>0.1625675056</v>
      </c>
      <c r="K64" s="217">
        <f t="shared" ca="1" si="5"/>
        <v>0.1625675056</v>
      </c>
      <c r="L64" s="217">
        <f t="shared" ca="1" si="6"/>
        <v>0.1625675056</v>
      </c>
      <c r="M64" s="217">
        <f t="shared" ca="1" si="7"/>
        <v>0.1625675056</v>
      </c>
    </row>
    <row r="65" spans="2:13">
      <c r="B65" s="216">
        <v>2084</v>
      </c>
      <c r="C65" s="216">
        <v>0.32</v>
      </c>
      <c r="D65" s="216">
        <f t="shared" si="8"/>
        <v>0.1625675056</v>
      </c>
      <c r="E65" s="217">
        <f t="shared" ca="1" si="2"/>
        <v>0.1625675056</v>
      </c>
      <c r="F65" s="217">
        <f t="shared" ca="1" si="3"/>
        <v>0.1625675056</v>
      </c>
      <c r="G65" s="217">
        <f t="shared" ca="1" si="9"/>
        <v>0.1625675056</v>
      </c>
      <c r="H65" s="217">
        <f t="shared" ca="1" si="0"/>
        <v>0.1625675056</v>
      </c>
      <c r="I65" s="217">
        <f t="shared" ca="1" si="1"/>
        <v>0.1625675056</v>
      </c>
      <c r="J65" s="217">
        <f t="shared" ca="1" si="4"/>
        <v>0.1625675056</v>
      </c>
      <c r="K65" s="217">
        <f t="shared" ca="1" si="5"/>
        <v>0.1625675056</v>
      </c>
      <c r="L65" s="217">
        <f t="shared" ca="1" si="6"/>
        <v>0.1625675056</v>
      </c>
      <c r="M65" s="217">
        <f t="shared" ca="1" si="7"/>
        <v>0.1625675056</v>
      </c>
    </row>
    <row r="66" spans="2:13">
      <c r="B66" s="216">
        <v>2085</v>
      </c>
      <c r="C66" s="216">
        <v>0.32</v>
      </c>
      <c r="D66" s="216">
        <f t="shared" si="8"/>
        <v>0.1625675056</v>
      </c>
      <c r="E66" s="217">
        <f t="shared" ca="1" si="2"/>
        <v>0.1625675056</v>
      </c>
      <c r="F66" s="217">
        <f t="shared" ca="1" si="3"/>
        <v>0.1625675056</v>
      </c>
      <c r="G66" s="217">
        <f t="shared" ca="1" si="9"/>
        <v>0.1625675056</v>
      </c>
      <c r="H66" s="217">
        <f t="shared" ca="1" si="0"/>
        <v>0.1625675056</v>
      </c>
      <c r="I66" s="217">
        <f t="shared" ca="1" si="1"/>
        <v>0.1625675056</v>
      </c>
      <c r="J66" s="217">
        <f t="shared" ca="1" si="4"/>
        <v>0.1625675056</v>
      </c>
      <c r="K66" s="217">
        <f t="shared" ca="1" si="5"/>
        <v>0.1625675056</v>
      </c>
      <c r="L66" s="217">
        <f t="shared" ca="1" si="6"/>
        <v>0.1625675056</v>
      </c>
      <c r="M66" s="217">
        <f t="shared" ca="1" si="7"/>
        <v>0.1625675056</v>
      </c>
    </row>
    <row r="67" spans="2:13">
      <c r="B67" s="216">
        <v>2086</v>
      </c>
      <c r="C67" s="216">
        <v>0.32</v>
      </c>
      <c r="D67" s="216">
        <f t="shared" si="8"/>
        <v>0.1625675056</v>
      </c>
      <c r="E67" s="217">
        <f t="shared" ca="1" si="2"/>
        <v>0.1625675056</v>
      </c>
      <c r="F67" s="217">
        <f t="shared" ca="1" si="3"/>
        <v>0.1625675056</v>
      </c>
      <c r="G67" s="217">
        <f t="shared" ca="1" si="9"/>
        <v>0.1625675056</v>
      </c>
      <c r="H67" s="217">
        <f t="shared" ca="1" si="0"/>
        <v>0.1625675056</v>
      </c>
      <c r="I67" s="217">
        <f t="shared" ca="1" si="1"/>
        <v>0.1625675056</v>
      </c>
      <c r="J67" s="217">
        <f t="shared" ca="1" si="4"/>
        <v>0.1625675056</v>
      </c>
      <c r="K67" s="217">
        <f t="shared" ca="1" si="5"/>
        <v>0.1625675056</v>
      </c>
      <c r="L67" s="217">
        <f t="shared" ca="1" si="6"/>
        <v>0.1625675056</v>
      </c>
      <c r="M67" s="217">
        <f t="shared" ca="1" si="7"/>
        <v>0.1625675056</v>
      </c>
    </row>
    <row r="68" spans="2:13">
      <c r="B68" s="216">
        <v>2087</v>
      </c>
      <c r="C68" s="216">
        <v>0.32</v>
      </c>
      <c r="D68" s="216">
        <f t="shared" si="8"/>
        <v>0.1625675056</v>
      </c>
      <c r="E68" s="217">
        <f t="shared" ref="E68:E81" ca="1" si="10">OFFSET($D:$D,$B68-2020,0,1,1)</f>
        <v>0.1625675056</v>
      </c>
      <c r="F68" s="217">
        <f t="shared" ref="F68:F81" ca="1" si="11">OFFSET($D:$D,$B68-2019,0,1,1)</f>
        <v>0.1625675056</v>
      </c>
      <c r="G68" s="217">
        <f t="shared" ca="1" si="9"/>
        <v>0.1625675056</v>
      </c>
      <c r="H68" s="217">
        <f t="shared" ref="H68:H81" ca="1" si="12">OFFSET($D:$D,$B68-2017,0,1,1)</f>
        <v>0.1625675056</v>
      </c>
      <c r="I68" s="217">
        <f t="shared" ref="I68:I81" ca="1" si="13">OFFSET($D:$D,$B68-2016,0,1,1)</f>
        <v>0.1625675056</v>
      </c>
      <c r="J68" s="217">
        <f t="shared" ref="J68:J81" ca="1" si="14">OFFSET($D:$D,$B68-2015,0,1,1)</f>
        <v>0.1625675056</v>
      </c>
      <c r="K68" s="217">
        <f t="shared" ref="K68:K81" ca="1" si="15">OFFSET($D:$D,$B68-2014,0,1,1)</f>
        <v>0.1625675056</v>
      </c>
      <c r="L68" s="217">
        <f t="shared" ref="L68:L81" ca="1" si="16">OFFSET($D:$D,$B68-2013,0,1,1)</f>
        <v>0.1625675056</v>
      </c>
      <c r="M68" s="217">
        <f t="shared" ref="M68:M81" ca="1" si="17">OFFSET($D:$D,$B68-2012,0,1,1)</f>
        <v>0.1625675056</v>
      </c>
    </row>
    <row r="69" spans="2:13">
      <c r="B69" s="216">
        <v>2088</v>
      </c>
      <c r="C69" s="216">
        <v>0.32</v>
      </c>
      <c r="D69" s="216">
        <f t="shared" ref="D69:D81" si="18">$D$3*C69</f>
        <v>0.1625675056</v>
      </c>
      <c r="E69" s="217">
        <f t="shared" ca="1" si="10"/>
        <v>0.1625675056</v>
      </c>
      <c r="F69" s="217">
        <f t="shared" ca="1" si="11"/>
        <v>0.1625675056</v>
      </c>
      <c r="G69" s="217">
        <f t="shared" ref="G69:G81" ca="1" si="19">OFFSET($D:$D,$B69-2018,0,1,1)</f>
        <v>0.1625675056</v>
      </c>
      <c r="H69" s="217">
        <f t="shared" ca="1" si="12"/>
        <v>0.1625675056</v>
      </c>
      <c r="I69" s="217">
        <f t="shared" ca="1" si="13"/>
        <v>0.1625675056</v>
      </c>
      <c r="J69" s="217">
        <f t="shared" ca="1" si="14"/>
        <v>0.1625675056</v>
      </c>
      <c r="K69" s="217">
        <f t="shared" ca="1" si="15"/>
        <v>0.1625675056</v>
      </c>
      <c r="L69" s="217">
        <f t="shared" ca="1" si="16"/>
        <v>0.1625675056</v>
      </c>
      <c r="M69" s="217">
        <f t="shared" ca="1" si="17"/>
        <v>0.1625675056</v>
      </c>
    </row>
    <row r="70" spans="2:13">
      <c r="B70" s="216">
        <v>2089</v>
      </c>
      <c r="C70" s="216">
        <v>0.32</v>
      </c>
      <c r="D70" s="216">
        <f t="shared" si="18"/>
        <v>0.1625675056</v>
      </c>
      <c r="E70" s="217">
        <f t="shared" ca="1" si="10"/>
        <v>0.1625675056</v>
      </c>
      <c r="F70" s="217">
        <f t="shared" ca="1" si="11"/>
        <v>0.1625675056</v>
      </c>
      <c r="G70" s="217">
        <f t="shared" ca="1" si="19"/>
        <v>0.1625675056</v>
      </c>
      <c r="H70" s="217">
        <f t="shared" ca="1" si="12"/>
        <v>0.1625675056</v>
      </c>
      <c r="I70" s="217">
        <f t="shared" ca="1" si="13"/>
        <v>0.1625675056</v>
      </c>
      <c r="J70" s="217">
        <f t="shared" ca="1" si="14"/>
        <v>0.1625675056</v>
      </c>
      <c r="K70" s="217">
        <f t="shared" ca="1" si="15"/>
        <v>0.1625675056</v>
      </c>
      <c r="L70" s="217">
        <f t="shared" ca="1" si="16"/>
        <v>0.1625675056</v>
      </c>
      <c r="M70" s="217">
        <f t="shared" ca="1" si="17"/>
        <v>0.1625675056</v>
      </c>
    </row>
    <row r="71" spans="2:13">
      <c r="B71" s="216">
        <v>2090</v>
      </c>
      <c r="C71" s="216">
        <v>0.32</v>
      </c>
      <c r="D71" s="216">
        <f t="shared" si="18"/>
        <v>0.1625675056</v>
      </c>
      <c r="E71" s="217">
        <f t="shared" ca="1" si="10"/>
        <v>0.1625675056</v>
      </c>
      <c r="F71" s="217">
        <f t="shared" ca="1" si="11"/>
        <v>0.1625675056</v>
      </c>
      <c r="G71" s="217">
        <f t="shared" ca="1" si="19"/>
        <v>0.1625675056</v>
      </c>
      <c r="H71" s="217">
        <f t="shared" ca="1" si="12"/>
        <v>0.1625675056</v>
      </c>
      <c r="I71" s="217">
        <f t="shared" ca="1" si="13"/>
        <v>0.1625675056</v>
      </c>
      <c r="J71" s="217">
        <f t="shared" ca="1" si="14"/>
        <v>0.1625675056</v>
      </c>
      <c r="K71" s="217">
        <f t="shared" ca="1" si="15"/>
        <v>0.1625675056</v>
      </c>
      <c r="L71" s="217">
        <f t="shared" ca="1" si="16"/>
        <v>0.1625675056</v>
      </c>
      <c r="M71" s="217">
        <f t="shared" ca="1" si="17"/>
        <v>0.1625675056</v>
      </c>
    </row>
    <row r="72" spans="2:13">
      <c r="B72" s="216">
        <v>2091</v>
      </c>
      <c r="C72" s="216">
        <v>0.32</v>
      </c>
      <c r="D72" s="216">
        <f t="shared" si="18"/>
        <v>0.1625675056</v>
      </c>
      <c r="E72" s="217">
        <f t="shared" ca="1" si="10"/>
        <v>0.1625675056</v>
      </c>
      <c r="F72" s="217">
        <f t="shared" ca="1" si="11"/>
        <v>0.1625675056</v>
      </c>
      <c r="G72" s="217">
        <f t="shared" ca="1" si="19"/>
        <v>0.1625675056</v>
      </c>
      <c r="H72" s="217">
        <f t="shared" ca="1" si="12"/>
        <v>0.1625675056</v>
      </c>
      <c r="I72" s="217">
        <f t="shared" ca="1" si="13"/>
        <v>0.1625675056</v>
      </c>
      <c r="J72" s="217">
        <f t="shared" ca="1" si="14"/>
        <v>0.1625675056</v>
      </c>
      <c r="K72" s="217">
        <f t="shared" ca="1" si="15"/>
        <v>0.1625675056</v>
      </c>
      <c r="L72" s="217">
        <f t="shared" ca="1" si="16"/>
        <v>0.1625675056</v>
      </c>
      <c r="M72" s="217">
        <f t="shared" ca="1" si="17"/>
        <v>0.1625675056</v>
      </c>
    </row>
    <row r="73" spans="2:13">
      <c r="B73" s="216">
        <v>2092</v>
      </c>
      <c r="C73" s="216">
        <v>0.32</v>
      </c>
      <c r="D73" s="216">
        <f t="shared" si="18"/>
        <v>0.1625675056</v>
      </c>
      <c r="E73" s="217">
        <f t="shared" ca="1" si="10"/>
        <v>0.1625675056</v>
      </c>
      <c r="F73" s="217">
        <f t="shared" ca="1" si="11"/>
        <v>0.1625675056</v>
      </c>
      <c r="G73" s="217">
        <f t="shared" ca="1" si="19"/>
        <v>0.1625675056</v>
      </c>
      <c r="H73" s="217">
        <f t="shared" ca="1" si="12"/>
        <v>0.1625675056</v>
      </c>
      <c r="I73" s="217">
        <f t="shared" ca="1" si="13"/>
        <v>0.1625675056</v>
      </c>
      <c r="J73" s="217">
        <f t="shared" ca="1" si="14"/>
        <v>0.1625675056</v>
      </c>
      <c r="K73" s="217">
        <f t="shared" ca="1" si="15"/>
        <v>0.1625675056</v>
      </c>
      <c r="L73" s="217">
        <f t="shared" ca="1" si="16"/>
        <v>0.1625675056</v>
      </c>
      <c r="M73" s="217">
        <f t="shared" ca="1" si="17"/>
        <v>0.1625675056</v>
      </c>
    </row>
    <row r="74" spans="2:13">
      <c r="B74" s="216">
        <v>2093</v>
      </c>
      <c r="C74" s="216">
        <v>0.32</v>
      </c>
      <c r="D74" s="216">
        <f t="shared" si="18"/>
        <v>0.1625675056</v>
      </c>
      <c r="E74" s="217">
        <f t="shared" ca="1" si="10"/>
        <v>0.1625675056</v>
      </c>
      <c r="F74" s="217">
        <f t="shared" ca="1" si="11"/>
        <v>0.1625675056</v>
      </c>
      <c r="G74" s="217">
        <f t="shared" ca="1" si="19"/>
        <v>0.1625675056</v>
      </c>
      <c r="H74" s="217">
        <f t="shared" ca="1" si="12"/>
        <v>0.1625675056</v>
      </c>
      <c r="I74" s="217">
        <f t="shared" ca="1" si="13"/>
        <v>0.1625675056</v>
      </c>
      <c r="J74" s="217">
        <f t="shared" ca="1" si="14"/>
        <v>0.1625675056</v>
      </c>
      <c r="K74" s="217">
        <f t="shared" ca="1" si="15"/>
        <v>0.1625675056</v>
      </c>
      <c r="L74" s="217">
        <f t="shared" ca="1" si="16"/>
        <v>0.1625675056</v>
      </c>
      <c r="M74" s="217">
        <f t="shared" ca="1" si="17"/>
        <v>0</v>
      </c>
    </row>
    <row r="75" spans="2:13">
      <c r="B75" s="216">
        <v>2094</v>
      </c>
      <c r="C75" s="216">
        <v>0.32</v>
      </c>
      <c r="D75" s="216">
        <f t="shared" si="18"/>
        <v>0.1625675056</v>
      </c>
      <c r="E75" s="217">
        <f t="shared" ca="1" si="10"/>
        <v>0.1625675056</v>
      </c>
      <c r="F75" s="217">
        <f t="shared" ca="1" si="11"/>
        <v>0.1625675056</v>
      </c>
      <c r="G75" s="217">
        <f t="shared" ca="1" si="19"/>
        <v>0.1625675056</v>
      </c>
      <c r="H75" s="217">
        <f t="shared" ca="1" si="12"/>
        <v>0.1625675056</v>
      </c>
      <c r="I75" s="217">
        <f t="shared" ca="1" si="13"/>
        <v>0.1625675056</v>
      </c>
      <c r="J75" s="217">
        <f t="shared" ca="1" si="14"/>
        <v>0.1625675056</v>
      </c>
      <c r="K75" s="217">
        <f t="shared" ca="1" si="15"/>
        <v>0.1625675056</v>
      </c>
      <c r="L75" s="217">
        <f t="shared" ca="1" si="16"/>
        <v>0</v>
      </c>
      <c r="M75" s="217">
        <f t="shared" ca="1" si="17"/>
        <v>0</v>
      </c>
    </row>
    <row r="76" spans="2:13">
      <c r="B76" s="216">
        <v>2095</v>
      </c>
      <c r="C76" s="216">
        <v>0.32</v>
      </c>
      <c r="D76" s="216">
        <f t="shared" si="18"/>
        <v>0.1625675056</v>
      </c>
      <c r="E76" s="217">
        <f t="shared" ca="1" si="10"/>
        <v>0.1625675056</v>
      </c>
      <c r="F76" s="217">
        <f t="shared" ca="1" si="11"/>
        <v>0.1625675056</v>
      </c>
      <c r="G76" s="217">
        <f t="shared" ca="1" si="19"/>
        <v>0.1625675056</v>
      </c>
      <c r="H76" s="217">
        <f t="shared" ca="1" si="12"/>
        <v>0.1625675056</v>
      </c>
      <c r="I76" s="217">
        <f t="shared" ca="1" si="13"/>
        <v>0.1625675056</v>
      </c>
      <c r="J76" s="217">
        <f t="shared" ca="1" si="14"/>
        <v>0.1625675056</v>
      </c>
      <c r="K76" s="217">
        <f t="shared" ca="1" si="15"/>
        <v>0</v>
      </c>
      <c r="L76" s="217">
        <f t="shared" ca="1" si="16"/>
        <v>0</v>
      </c>
      <c r="M76" s="217">
        <f t="shared" ca="1" si="17"/>
        <v>0</v>
      </c>
    </row>
    <row r="77" spans="2:13">
      <c r="B77" s="216">
        <v>2096</v>
      </c>
      <c r="C77" s="216">
        <v>0.32</v>
      </c>
      <c r="D77" s="216">
        <f t="shared" si="18"/>
        <v>0.1625675056</v>
      </c>
      <c r="E77" s="217">
        <f t="shared" ca="1" si="10"/>
        <v>0.1625675056</v>
      </c>
      <c r="F77" s="217">
        <f t="shared" ca="1" si="11"/>
        <v>0.1625675056</v>
      </c>
      <c r="G77" s="217">
        <f t="shared" ca="1" si="19"/>
        <v>0.1625675056</v>
      </c>
      <c r="H77" s="217">
        <f t="shared" ca="1" si="12"/>
        <v>0.1625675056</v>
      </c>
      <c r="I77" s="217">
        <f t="shared" ca="1" si="13"/>
        <v>0.1625675056</v>
      </c>
      <c r="J77" s="217">
        <f t="shared" ca="1" si="14"/>
        <v>0</v>
      </c>
      <c r="K77" s="217">
        <f t="shared" ca="1" si="15"/>
        <v>0</v>
      </c>
      <c r="L77" s="217">
        <f t="shared" ca="1" si="16"/>
        <v>0</v>
      </c>
      <c r="M77" s="217">
        <f t="shared" ca="1" si="17"/>
        <v>0</v>
      </c>
    </row>
    <row r="78" spans="2:13">
      <c r="B78" s="216">
        <v>2097</v>
      </c>
      <c r="C78" s="216">
        <v>0.32</v>
      </c>
      <c r="D78" s="216">
        <f t="shared" si="18"/>
        <v>0.1625675056</v>
      </c>
      <c r="E78" s="217">
        <f t="shared" ca="1" si="10"/>
        <v>0.1625675056</v>
      </c>
      <c r="F78" s="217">
        <f t="shared" ca="1" si="11"/>
        <v>0.1625675056</v>
      </c>
      <c r="G78" s="217">
        <f t="shared" ca="1" si="19"/>
        <v>0.1625675056</v>
      </c>
      <c r="H78" s="217">
        <f t="shared" ca="1" si="12"/>
        <v>0.1625675056</v>
      </c>
      <c r="I78" s="217">
        <f t="shared" ca="1" si="13"/>
        <v>0</v>
      </c>
      <c r="J78" s="217">
        <f t="shared" ca="1" si="14"/>
        <v>0</v>
      </c>
      <c r="K78" s="217">
        <f t="shared" ca="1" si="15"/>
        <v>0</v>
      </c>
      <c r="L78" s="217">
        <f t="shared" ca="1" si="16"/>
        <v>0</v>
      </c>
      <c r="M78" s="217">
        <f t="shared" ca="1" si="17"/>
        <v>0</v>
      </c>
    </row>
    <row r="79" spans="2:13">
      <c r="B79" s="216">
        <v>2098</v>
      </c>
      <c r="C79" s="216">
        <v>0.32</v>
      </c>
      <c r="D79" s="216">
        <f t="shared" si="18"/>
        <v>0.1625675056</v>
      </c>
      <c r="E79" s="217">
        <f t="shared" ca="1" si="10"/>
        <v>0.1625675056</v>
      </c>
      <c r="F79" s="217">
        <f t="shared" ca="1" si="11"/>
        <v>0.1625675056</v>
      </c>
      <c r="G79" s="217">
        <f t="shared" ca="1" si="19"/>
        <v>0.1625675056</v>
      </c>
      <c r="H79" s="217">
        <f t="shared" ca="1" si="12"/>
        <v>0</v>
      </c>
      <c r="I79" s="217">
        <f t="shared" ca="1" si="13"/>
        <v>0</v>
      </c>
      <c r="J79" s="217">
        <f t="shared" ca="1" si="14"/>
        <v>0</v>
      </c>
      <c r="K79" s="217">
        <f t="shared" ca="1" si="15"/>
        <v>0</v>
      </c>
      <c r="L79" s="217">
        <f t="shared" ca="1" si="16"/>
        <v>0</v>
      </c>
      <c r="M79" s="217">
        <f t="shared" ca="1" si="17"/>
        <v>0</v>
      </c>
    </row>
    <row r="80" spans="2:13">
      <c r="B80" s="216">
        <v>2099</v>
      </c>
      <c r="C80" s="216">
        <v>0.32</v>
      </c>
      <c r="D80" s="216">
        <f t="shared" si="18"/>
        <v>0.1625675056</v>
      </c>
      <c r="E80" s="217">
        <f t="shared" ca="1" si="10"/>
        <v>0.1625675056</v>
      </c>
      <c r="F80" s="217">
        <f t="shared" ca="1" si="11"/>
        <v>0.1625675056</v>
      </c>
      <c r="G80" s="217">
        <f t="shared" ca="1" si="19"/>
        <v>0</v>
      </c>
      <c r="H80" s="217">
        <f t="shared" ca="1" si="12"/>
        <v>0</v>
      </c>
      <c r="I80" s="217">
        <f t="shared" ca="1" si="13"/>
        <v>0</v>
      </c>
      <c r="J80" s="217">
        <f t="shared" ca="1" si="14"/>
        <v>0</v>
      </c>
      <c r="K80" s="217">
        <f t="shared" ca="1" si="15"/>
        <v>0</v>
      </c>
      <c r="L80" s="217">
        <f t="shared" ca="1" si="16"/>
        <v>0</v>
      </c>
      <c r="M80" s="217">
        <f t="shared" ca="1" si="17"/>
        <v>0</v>
      </c>
    </row>
    <row r="81" spans="2:13">
      <c r="B81" s="216">
        <v>2100</v>
      </c>
      <c r="C81" s="216">
        <v>0.32</v>
      </c>
      <c r="D81" s="216">
        <f t="shared" si="18"/>
        <v>0.1625675056</v>
      </c>
      <c r="E81" s="217">
        <f t="shared" ca="1" si="10"/>
        <v>0.1625675056</v>
      </c>
      <c r="F81" s="217">
        <f t="shared" ca="1" si="11"/>
        <v>0</v>
      </c>
      <c r="G81" s="217">
        <f t="shared" ca="1" si="19"/>
        <v>0</v>
      </c>
      <c r="H81" s="217">
        <f t="shared" ca="1" si="12"/>
        <v>0</v>
      </c>
      <c r="I81" s="217">
        <f t="shared" ca="1" si="13"/>
        <v>0</v>
      </c>
      <c r="J81" s="217">
        <f t="shared" ca="1" si="14"/>
        <v>0</v>
      </c>
      <c r="K81" s="217">
        <f t="shared" ca="1" si="15"/>
        <v>0</v>
      </c>
      <c r="L81" s="217">
        <f t="shared" ca="1" si="16"/>
        <v>0</v>
      </c>
      <c r="M81" s="217">
        <f t="shared" ca="1" si="17"/>
        <v>0</v>
      </c>
    </row>
  </sheetData>
  <pageMargins left="0.7" right="0.7" top="0.75" bottom="0.75" header="0.3" footer="0.3"/>
  <headerFooter>
    <oddFooter>&amp;C_x000D_&amp;1#&amp;"Calibri"&amp;22&amp;K0073CF INTERNAL</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6C2F9-2188-4761-9804-3E3EFDB234DD}">
  <sheetPr codeName="Sheet23"/>
  <dimension ref="A1:H39"/>
  <sheetViews>
    <sheetView workbookViewId="0">
      <selection activeCell="F30" sqref="F30"/>
    </sheetView>
  </sheetViews>
  <sheetFormatPr defaultRowHeight="14.5"/>
  <cols>
    <col min="1" max="1" width="51.81640625" bestFit="1" customWidth="1"/>
    <col min="3" max="3" width="7.453125" bestFit="1" customWidth="1"/>
    <col min="5" max="5" width="36.81640625" customWidth="1"/>
    <col min="6" max="6" width="40.54296875" customWidth="1"/>
    <col min="7" max="7" width="29.1796875" customWidth="1"/>
    <col min="8" max="8" width="34.453125" customWidth="1"/>
  </cols>
  <sheetData>
    <row r="1" spans="1:8">
      <c r="A1" s="208" t="s">
        <v>83</v>
      </c>
      <c r="E1" s="208" t="s">
        <v>809</v>
      </c>
      <c r="F1" s="208" t="s">
        <v>810</v>
      </c>
      <c r="G1" s="208" t="s">
        <v>811</v>
      </c>
      <c r="H1" s="208" t="s">
        <v>812</v>
      </c>
    </row>
    <row r="2" spans="1:8">
      <c r="A2" s="37" t="s">
        <v>86</v>
      </c>
      <c r="E2" s="37" t="s">
        <v>813</v>
      </c>
      <c r="F2" s="319" t="s">
        <v>814</v>
      </c>
      <c r="G2" s="475" t="s">
        <v>815</v>
      </c>
      <c r="H2" s="319" t="s">
        <v>54</v>
      </c>
    </row>
    <row r="3" spans="1:8">
      <c r="A3" s="37" t="s">
        <v>628</v>
      </c>
      <c r="E3" s="37" t="s">
        <v>909</v>
      </c>
      <c r="F3" s="319" t="s">
        <v>910</v>
      </c>
      <c r="G3" s="319" t="s">
        <v>203</v>
      </c>
      <c r="H3" s="319" t="s">
        <v>816</v>
      </c>
    </row>
    <row r="4" spans="1:8">
      <c r="A4" s="37" t="s">
        <v>131</v>
      </c>
      <c r="E4" s="37" t="s">
        <v>908</v>
      </c>
      <c r="F4" s="319" t="s">
        <v>817</v>
      </c>
      <c r="G4" s="475" t="s">
        <v>818</v>
      </c>
      <c r="H4" s="319" t="s">
        <v>54</v>
      </c>
    </row>
    <row r="5" spans="1:8">
      <c r="A5" s="37" t="s">
        <v>638</v>
      </c>
      <c r="E5" s="37" t="s">
        <v>819</v>
      </c>
      <c r="F5" s="319" t="s">
        <v>820</v>
      </c>
      <c r="G5" s="475" t="s">
        <v>821</v>
      </c>
      <c r="H5" s="319" t="s">
        <v>822</v>
      </c>
    </row>
    <row r="6" spans="1:8">
      <c r="E6" s="37" t="s">
        <v>823</v>
      </c>
      <c r="F6" s="319" t="s">
        <v>824</v>
      </c>
      <c r="G6" s="319" t="s">
        <v>203</v>
      </c>
      <c r="H6" s="319" t="s">
        <v>816</v>
      </c>
    </row>
    <row r="7" spans="1:8">
      <c r="A7" s="208" t="s">
        <v>1</v>
      </c>
      <c r="E7" s="37" t="s">
        <v>825</v>
      </c>
      <c r="F7" s="319" t="s">
        <v>826</v>
      </c>
      <c r="G7" s="319" t="s">
        <v>203</v>
      </c>
      <c r="H7" s="319" t="s">
        <v>827</v>
      </c>
    </row>
    <row r="8" spans="1:8">
      <c r="A8" s="37" t="s">
        <v>631</v>
      </c>
      <c r="E8" s="37" t="s">
        <v>828</v>
      </c>
      <c r="F8" s="319" t="s">
        <v>829</v>
      </c>
      <c r="G8" s="475" t="s">
        <v>815</v>
      </c>
      <c r="H8" s="319" t="s">
        <v>54</v>
      </c>
    </row>
    <row r="9" spans="1:8">
      <c r="A9" s="37" t="s">
        <v>27</v>
      </c>
      <c r="E9" s="37" t="s">
        <v>830</v>
      </c>
      <c r="F9" s="319" t="s">
        <v>831</v>
      </c>
      <c r="G9" s="475" t="s">
        <v>815</v>
      </c>
      <c r="H9" s="319" t="s">
        <v>54</v>
      </c>
    </row>
    <row r="10" spans="1:8" ht="29">
      <c r="A10" s="37" t="s">
        <v>131</v>
      </c>
      <c r="E10" s="37" t="s">
        <v>832</v>
      </c>
      <c r="F10" s="319" t="s">
        <v>833</v>
      </c>
      <c r="G10" s="475" t="s">
        <v>815</v>
      </c>
      <c r="H10" s="319" t="s">
        <v>54</v>
      </c>
    </row>
    <row r="11" spans="1:8">
      <c r="E11" s="37" t="s">
        <v>834</v>
      </c>
      <c r="F11" s="319" t="s">
        <v>835</v>
      </c>
      <c r="G11" s="319" t="s">
        <v>203</v>
      </c>
      <c r="H11" s="319" t="s">
        <v>816</v>
      </c>
    </row>
    <row r="12" spans="1:8">
      <c r="A12" s="208" t="s">
        <v>2</v>
      </c>
      <c r="E12" s="37" t="s">
        <v>836</v>
      </c>
      <c r="F12" s="319" t="s">
        <v>846</v>
      </c>
      <c r="G12" s="319" t="s">
        <v>203</v>
      </c>
      <c r="H12" s="319" t="s">
        <v>54</v>
      </c>
    </row>
    <row r="13" spans="1:8" ht="29">
      <c r="A13" s="37" t="s">
        <v>634</v>
      </c>
      <c r="E13" s="37" t="s">
        <v>907</v>
      </c>
      <c r="F13" s="319" t="s">
        <v>837</v>
      </c>
      <c r="G13" s="319" t="s">
        <v>203</v>
      </c>
      <c r="H13" s="319" t="s">
        <v>816</v>
      </c>
    </row>
    <row r="14" spans="1:8">
      <c r="A14" s="37" t="s">
        <v>29</v>
      </c>
      <c r="E14" s="37" t="s">
        <v>839</v>
      </c>
      <c r="F14" s="319" t="s">
        <v>838</v>
      </c>
      <c r="G14" s="319" t="s">
        <v>203</v>
      </c>
      <c r="H14" s="319" t="s">
        <v>816</v>
      </c>
    </row>
    <row r="15" spans="1:8">
      <c r="A15" s="37" t="s">
        <v>27</v>
      </c>
      <c r="E15" s="37" t="s">
        <v>842</v>
      </c>
      <c r="F15" s="319" t="s">
        <v>840</v>
      </c>
      <c r="G15" s="319" t="s">
        <v>203</v>
      </c>
      <c r="H15" s="319" t="s">
        <v>841</v>
      </c>
    </row>
    <row r="16" spans="1:8">
      <c r="E16" s="37" t="s">
        <v>845</v>
      </c>
      <c r="F16" s="319" t="s">
        <v>843</v>
      </c>
      <c r="G16" s="319" t="s">
        <v>203</v>
      </c>
      <c r="H16" s="319" t="s">
        <v>816</v>
      </c>
    </row>
    <row r="17" spans="1:8">
      <c r="A17" s="208" t="s">
        <v>844</v>
      </c>
      <c r="E17" s="37" t="s">
        <v>522</v>
      </c>
      <c r="F17" s="319" t="s">
        <v>847</v>
      </c>
      <c r="G17" s="475" t="s">
        <v>815</v>
      </c>
      <c r="H17" s="319" t="s">
        <v>54</v>
      </c>
    </row>
    <row r="18" spans="1:8">
      <c r="A18" s="209" t="s">
        <v>520</v>
      </c>
      <c r="E18" s="37" t="s">
        <v>969</v>
      </c>
      <c r="F18" s="319" t="s">
        <v>847</v>
      </c>
      <c r="G18" s="475" t="s">
        <v>815</v>
      </c>
      <c r="H18" s="319" t="s">
        <v>54</v>
      </c>
    </row>
    <row r="19" spans="1:8" ht="29">
      <c r="A19" s="209" t="s">
        <v>515</v>
      </c>
      <c r="E19" s="37" t="s">
        <v>848</v>
      </c>
      <c r="F19" s="319" t="s">
        <v>849</v>
      </c>
      <c r="G19" s="319" t="s">
        <v>203</v>
      </c>
      <c r="H19" s="319" t="s">
        <v>827</v>
      </c>
    </row>
    <row r="20" spans="1:8">
      <c r="A20" s="209" t="s">
        <v>521</v>
      </c>
    </row>
    <row r="21" spans="1:8">
      <c r="A21" s="209" t="s">
        <v>514</v>
      </c>
    </row>
    <row r="22" spans="1:8">
      <c r="A22" s="209" t="s">
        <v>850</v>
      </c>
      <c r="E22" t="s">
        <v>851</v>
      </c>
    </row>
    <row r="23" spans="1:8">
      <c r="A23" s="209" t="s">
        <v>522</v>
      </c>
    </row>
    <row r="24" spans="1:8">
      <c r="A24" s="209" t="s">
        <v>517</v>
      </c>
    </row>
    <row r="27" spans="1:8">
      <c r="A27" s="210" t="s">
        <v>852</v>
      </c>
    </row>
    <row r="28" spans="1:8">
      <c r="A28" s="211" t="s">
        <v>853</v>
      </c>
    </row>
    <row r="29" spans="1:8">
      <c r="A29" s="211" t="s">
        <v>854</v>
      </c>
    </row>
    <row r="30" spans="1:8">
      <c r="A30" s="211" t="s">
        <v>855</v>
      </c>
    </row>
    <row r="31" spans="1:8">
      <c r="A31" s="211" t="s">
        <v>856</v>
      </c>
    </row>
    <row r="32" spans="1:8">
      <c r="A32" s="211" t="s">
        <v>857</v>
      </c>
    </row>
    <row r="33" spans="1:1">
      <c r="A33" s="211" t="s">
        <v>858</v>
      </c>
    </row>
    <row r="34" spans="1:1">
      <c r="A34" s="211" t="s">
        <v>859</v>
      </c>
    </row>
    <row r="35" spans="1:1">
      <c r="A35" s="211" t="s">
        <v>860</v>
      </c>
    </row>
    <row r="36" spans="1:1">
      <c r="A36" s="211" t="s">
        <v>861</v>
      </c>
    </row>
    <row r="37" spans="1:1">
      <c r="A37" s="211" t="s">
        <v>862</v>
      </c>
    </row>
    <row r="38" spans="1:1">
      <c r="A38" s="211" t="s">
        <v>863</v>
      </c>
    </row>
    <row r="39" spans="1:1">
      <c r="A39" s="211" t="s">
        <v>864</v>
      </c>
    </row>
  </sheetData>
  <pageMargins left="0.7" right="0.7" top="0.75" bottom="0.75" header="0.3" footer="0.3"/>
  <headerFooter>
    <oddFooter>&amp;C_x000D_&amp;1#&amp;"Calibri"&amp;22&amp;K0073CF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ED961-7483-4119-B48A-E4B56CB8BA96}">
  <sheetPr codeName="Sheet9"/>
  <dimension ref="A1:F12"/>
  <sheetViews>
    <sheetView workbookViewId="0">
      <selection activeCell="C7" sqref="C7"/>
    </sheetView>
  </sheetViews>
  <sheetFormatPr defaultRowHeight="14.5"/>
  <cols>
    <col min="1" max="1" width="35.54296875" customWidth="1"/>
    <col min="2" max="2" width="36.81640625" customWidth="1"/>
    <col min="3" max="3" width="19.81640625" customWidth="1"/>
    <col min="4" max="4" width="23.1796875" customWidth="1"/>
    <col min="6" max="6" width="30" customWidth="1"/>
  </cols>
  <sheetData>
    <row r="1" spans="1:6" ht="23.65" customHeight="1" thickBot="1">
      <c r="A1" s="780" t="s">
        <v>62</v>
      </c>
    </row>
    <row r="2" spans="1:6" ht="58">
      <c r="A2" s="310"/>
      <c r="B2" s="1299" t="s">
        <v>63</v>
      </c>
      <c r="C2" s="1300"/>
      <c r="D2" s="1301"/>
      <c r="F2" s="497" t="s">
        <v>64</v>
      </c>
    </row>
    <row r="3" spans="1:6">
      <c r="A3" s="315"/>
      <c r="B3" s="308" t="s">
        <v>65</v>
      </c>
      <c r="C3" s="325" t="s">
        <v>66</v>
      </c>
      <c r="D3" s="311" t="s">
        <v>67</v>
      </c>
    </row>
    <row r="4" spans="1:6" ht="43.5">
      <c r="A4" s="309" t="s">
        <v>68</v>
      </c>
      <c r="B4" s="327" t="s">
        <v>69</v>
      </c>
      <c r="C4" s="394">
        <v>0.3</v>
      </c>
      <c r="D4" s="390" t="s">
        <v>70</v>
      </c>
      <c r="F4" s="482"/>
    </row>
    <row r="5" spans="1:6" ht="43.5">
      <c r="A5" s="309" t="s">
        <v>71</v>
      </c>
      <c r="B5" s="327" t="s">
        <v>72</v>
      </c>
      <c r="C5" s="393">
        <v>0.1</v>
      </c>
      <c r="D5" s="390" t="s">
        <v>70</v>
      </c>
    </row>
    <row r="6" spans="1:6" ht="43.5">
      <c r="A6" s="328" t="s">
        <v>73</v>
      </c>
      <c r="B6" s="327" t="s">
        <v>74</v>
      </c>
      <c r="C6" s="393">
        <v>0.2</v>
      </c>
      <c r="D6" s="390" t="s">
        <v>70</v>
      </c>
    </row>
    <row r="7" spans="1:6" ht="58">
      <c r="A7" s="309" t="s">
        <v>75</v>
      </c>
      <c r="B7" s="327" t="s">
        <v>76</v>
      </c>
      <c r="C7" s="393">
        <v>0.1</v>
      </c>
      <c r="D7" s="390" t="s">
        <v>70</v>
      </c>
    </row>
    <row r="8" spans="1:6" ht="58">
      <c r="A8" s="309" t="s">
        <v>77</v>
      </c>
      <c r="B8" s="327" t="s">
        <v>78</v>
      </c>
      <c r="C8" s="393">
        <v>0.1</v>
      </c>
      <c r="D8" s="390" t="s">
        <v>70</v>
      </c>
    </row>
    <row r="9" spans="1:6" ht="43.5">
      <c r="A9" s="391" t="s">
        <v>79</v>
      </c>
      <c r="B9" s="392" t="s">
        <v>80</v>
      </c>
      <c r="C9" s="501">
        <v>0.2</v>
      </c>
      <c r="D9" s="390" t="s">
        <v>70</v>
      </c>
    </row>
    <row r="10" spans="1:6">
      <c r="A10" s="319" t="s">
        <v>81</v>
      </c>
      <c r="B10" s="502"/>
      <c r="C10" s="502"/>
      <c r="D10" s="390">
        <f>SUMPRODUCT($C$4:$C$9,$D$4:$D$9)</f>
        <v>0</v>
      </c>
    </row>
    <row r="11" spans="1:6">
      <c r="A11" s="320"/>
      <c r="B11" s="389"/>
      <c r="C11" s="389"/>
      <c r="D11" s="389"/>
    </row>
    <row r="12" spans="1:6">
      <c r="A12" s="320"/>
      <c r="B12" s="389"/>
      <c r="C12" s="389"/>
      <c r="D12" s="389"/>
    </row>
  </sheetData>
  <mergeCells count="1">
    <mergeCell ref="B2:D2"/>
  </mergeCells>
  <pageMargins left="0.7" right="0.7" top="0.75" bottom="0.75" header="0.3" footer="0.3"/>
  <headerFooter>
    <oddFooter>&amp;C_x000D_&amp;1#&amp;"Calibri"&amp;22&amp;K0073CF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22455-DA17-4BDC-B191-134554B3202A}">
  <sheetPr codeName="Sheet10">
    <tabColor rgb="FFFFFF00"/>
  </sheetPr>
  <dimension ref="A1:O75"/>
  <sheetViews>
    <sheetView topLeftCell="A53" zoomScaleNormal="100" workbookViewId="0">
      <selection activeCell="H29" sqref="H29"/>
    </sheetView>
  </sheetViews>
  <sheetFormatPr defaultRowHeight="14.5"/>
  <cols>
    <col min="1" max="1" width="42.7265625" customWidth="1"/>
    <col min="2" max="2" width="26.7265625" customWidth="1"/>
    <col min="3" max="4" width="13.453125" customWidth="1"/>
    <col min="5" max="5" width="28" customWidth="1"/>
    <col min="6" max="6" width="22.81640625" customWidth="1"/>
    <col min="7" max="7" width="19.81640625" customWidth="1"/>
    <col min="8" max="9" width="11.54296875" customWidth="1"/>
    <col min="10" max="10" width="19.453125" customWidth="1"/>
    <col min="11" max="11" width="32.7265625" customWidth="1"/>
    <col min="12" max="12" width="14" customWidth="1"/>
    <col min="13" max="13" width="13.7265625" customWidth="1"/>
    <col min="14" max="14" width="15.7265625" customWidth="1"/>
    <col min="15" max="15" width="9.1796875" customWidth="1"/>
  </cols>
  <sheetData>
    <row r="1" spans="1:15">
      <c r="G1" s="326"/>
    </row>
    <row r="3" spans="1:15" ht="13" customHeight="1" thickBot="1">
      <c r="A3" s="780" t="s">
        <v>82</v>
      </c>
      <c r="K3" s="780" t="s">
        <v>903</v>
      </c>
    </row>
    <row r="4" spans="1:15" ht="46.5" customHeight="1" thickBot="1">
      <c r="A4" s="853" t="s">
        <v>192</v>
      </c>
      <c r="B4" s="806" t="s">
        <v>895</v>
      </c>
      <c r="C4" s="806" t="s">
        <v>865</v>
      </c>
      <c r="D4" s="806" t="s">
        <v>866</v>
      </c>
      <c r="E4" s="806" t="s">
        <v>896</v>
      </c>
      <c r="F4" s="806" t="s">
        <v>867</v>
      </c>
      <c r="G4" s="806" t="s">
        <v>868</v>
      </c>
      <c r="H4" s="806" t="s">
        <v>84</v>
      </c>
      <c r="I4" s="807" t="s">
        <v>85</v>
      </c>
      <c r="K4" s="805" t="s">
        <v>83</v>
      </c>
      <c r="L4" s="806" t="s">
        <v>866</v>
      </c>
      <c r="M4" s="806" t="s">
        <v>868</v>
      </c>
      <c r="N4" s="806" t="s">
        <v>84</v>
      </c>
      <c r="O4" s="807" t="s">
        <v>85</v>
      </c>
    </row>
    <row r="5" spans="1:15">
      <c r="A5" s="329" t="s">
        <v>86</v>
      </c>
      <c r="B5" s="330" cm="1">
        <f t="array" ref="B5">SUMPRODUCT(DataEntry[S-P02],(DataEntry[S-U03]="Tri 1") * (DataEntry[S-U02]="Residential") * (DataEntry[S-U05]&lt;&gt;""))</f>
        <v>118</v>
      </c>
      <c r="C5" s="330" cm="1">
        <f t="array" ref="C5">SUMPRODUCT(DataEntry[S-P02],(DataEntry[S-U03]="Tri 2") * (DataEntry[S-U02]="Residential") * (DataEntry[S-U05]&lt;&gt;""))</f>
        <v>32047</v>
      </c>
      <c r="D5" s="330">
        <f>SUM(B5:C5)</f>
        <v>32165</v>
      </c>
      <c r="E5" s="330" cm="1">
        <f t="array" ref="E5">SUMPRODUCT(DataEntry[S-P04],(DataEntry[S-U03]="Tri 1") * (DataEntry[S-U02]="Residential") * (DataEntry[S-U05]&lt;&gt;""))</f>
        <v>118</v>
      </c>
      <c r="F5" s="330" cm="1">
        <f t="array" ref="F5">SUMPRODUCT(DataEntry[S-P04],(DataEntry[S-U03]="Tri 2") * (DataEntry[S-U02]="Residential") * (DataEntry[S-U05]&lt;&gt;""))</f>
        <v>32047</v>
      </c>
      <c r="G5" s="330">
        <f>SUM(E5:F5)</f>
        <v>32165</v>
      </c>
      <c r="H5" s="331">
        <f>SUM(RECO!F10:F15)</f>
        <v>24753</v>
      </c>
      <c r="I5" s="819">
        <f>IFERROR(G5/H5, 0)</f>
        <v>1.2994384519048197</v>
      </c>
      <c r="K5" s="329" t="s">
        <v>92</v>
      </c>
      <c r="L5" s="330">
        <f>D11</f>
        <v>34310</v>
      </c>
      <c r="M5" s="330">
        <f>G11</f>
        <v>34310</v>
      </c>
      <c r="N5" s="330">
        <f>H11</f>
        <v>25089</v>
      </c>
      <c r="O5" s="820">
        <f>I11</f>
        <v>1.367531587548328</v>
      </c>
    </row>
    <row r="6" spans="1:15">
      <c r="A6" s="333" t="s">
        <v>87</v>
      </c>
      <c r="B6" s="334" cm="1">
        <f t="array" ref="B6">SUMPRODUCT(DataEntry[S-P02],(DataEntry[S-U03]="Tri 1") * (DataEntry[S-U02]="Multi-family") * (DataEntry[S-U05]&lt;&gt;""))</f>
        <v>0</v>
      </c>
      <c r="C6" s="334" cm="1">
        <f t="array" ref="C6">SUMPRODUCT(DataEntry[S-P02],(DataEntry[S-U03]="Tri 2") * (DataEntry[S-U02]="Multi-family") * (DataEntry[S-U05]&lt;&gt;""))</f>
        <v>0</v>
      </c>
      <c r="D6" s="334">
        <f>SUM(B6:C6)</f>
        <v>0</v>
      </c>
      <c r="E6" s="334" cm="1">
        <f t="array" ref="E6">SUMPRODUCT(DataEntry[S-P04],(DataEntry[S-U03]="Tri 1") * (DataEntry[S-U02]="Multi-Family") * (DataEntry[S-U05]&lt;&gt;""))</f>
        <v>0</v>
      </c>
      <c r="F6" s="334" cm="1">
        <f t="array" ref="F6">SUMPRODUCT(DataEntry[S-P04],(DataEntry[S-U03]="Tri 2") * (DataEntry[S-U02]="Multi-Family") * (DataEntry[S-U05]&lt;&gt;""))</f>
        <v>0</v>
      </c>
      <c r="G6" s="334">
        <f>SUM(E6:F6)</f>
        <v>0</v>
      </c>
      <c r="H6" s="335">
        <f>RECO!F23</f>
        <v>141</v>
      </c>
      <c r="I6" s="820">
        <f t="shared" ref="I6:I11" si="0">IFERROR(G6/H6, 0)</f>
        <v>0</v>
      </c>
      <c r="K6" s="333" t="s">
        <v>132</v>
      </c>
      <c r="L6" s="334" cm="1">
        <f t="array" ref="L6">SUMPRODUCT(DataEntryBD[S-P02],(DataEntryBD[S-U03]&lt;&gt;"") * (DataEntryBD[S-U04]="Building Decarbonization") * (DataEntryBD[S-U05]&lt;&gt;""))</f>
        <v>4</v>
      </c>
      <c r="M6" s="334" cm="1">
        <f t="array" ref="M6">SUMPRODUCT(DataEntryBD[S-P04],(DataEntryBD[S-U03]&lt;&gt;"") * (DataEntryBD[S-U04]="Building Decarbonization") * (DataEntryBD[S-U05]&lt;&gt;""))</f>
        <v>4</v>
      </c>
      <c r="N6" s="335" cm="1">
        <f t="array" ref="N6">SUMPRODUCT(DataEntryBD[S-P01], (DataEntryBD[S-U03]="Tri 2") * (DataEntryBD[S-U04]="Building Decarbonization") * (DataEntryBD[S-U05]&lt;&gt;""))</f>
        <v>56</v>
      </c>
      <c r="O6" s="820">
        <f t="shared" ref="O6" si="1">IFERROR(M6/N6, 0)</f>
        <v>7.1428571428571425E-2</v>
      </c>
    </row>
    <row r="7" spans="1:15">
      <c r="A7" s="333" t="s">
        <v>88</v>
      </c>
      <c r="B7" s="334" cm="1">
        <f t="array" ref="B7">SUMPRODUCT(DataEntry[S-P02],(DataEntry[S-U03]="Tri 1") * (DataEntry[S-U02]="Commercial") * (DataEntry[S-U05]&lt;&gt;""))</f>
        <v>23</v>
      </c>
      <c r="C7" s="334" cm="1">
        <f t="array" ref="C7">SUMPRODUCT(DataEntry[S-P02],(DataEntry[S-U03]="Tri 2") * (DataEntry[S-U02]="Commercial") * (DataEntry[S-U05]&lt;&gt;""))</f>
        <v>0</v>
      </c>
      <c r="D7" s="334">
        <f>SUM(B7:C7)</f>
        <v>23</v>
      </c>
      <c r="E7" s="334" cm="1">
        <f t="array" ref="E7">SUMPRODUCT(DataEntry[S-P04],(DataEntry[S-U03]="Tri 1") * (DataEntry[S-U02]="Commercial") * (DataEntry[S-U05]&lt;&gt;""))</f>
        <v>23</v>
      </c>
      <c r="F7" s="334" cm="1">
        <f t="array" ref="F7">SUMPRODUCT(DataEntry[S-P04],(DataEntry[S-U03]="Tri 2") * (DataEntry[S-U02]="Commercial") * (DataEntry[S-U05]&lt;&gt;""))</f>
        <v>0</v>
      </c>
      <c r="G7" s="334">
        <f>SUM(E7:F7)</f>
        <v>23</v>
      </c>
      <c r="H7" s="335" cm="1">
        <f t="array" ref="H7">SUMPRODUCT(DataEntry[S-P01], (DataEntry[S-U02]="Commercial") * (DataEntry[S-U05]&lt;&gt;""))</f>
        <v>169</v>
      </c>
      <c r="I7" s="820">
        <f t="shared" si="0"/>
        <v>0.13609467455621302</v>
      </c>
      <c r="K7" s="339" t="s">
        <v>902</v>
      </c>
      <c r="L7" s="340">
        <f t="shared" ref="L7" si="2">SUM(L5:L6)</f>
        <v>34314</v>
      </c>
      <c r="M7" s="340">
        <f>SUM(M5:M6)</f>
        <v>34314</v>
      </c>
      <c r="N7" s="341">
        <f>SUM(N5:N6)</f>
        <v>25145</v>
      </c>
      <c r="O7" s="821">
        <f>IFERROR(M7/N7, 0)</f>
        <v>1.3646450586597734</v>
      </c>
    </row>
    <row r="8" spans="1:15">
      <c r="A8" s="339" t="s">
        <v>89</v>
      </c>
      <c r="B8" s="340">
        <f t="shared" ref="B8:G8" si="3">SUM(B5:B7)</f>
        <v>141</v>
      </c>
      <c r="C8" s="340">
        <f t="shared" si="3"/>
        <v>32047</v>
      </c>
      <c r="D8" s="340">
        <f t="shared" si="3"/>
        <v>32188</v>
      </c>
      <c r="E8" s="340">
        <f t="shared" si="3"/>
        <v>141</v>
      </c>
      <c r="F8" s="340">
        <f t="shared" si="3"/>
        <v>32047</v>
      </c>
      <c r="G8" s="340">
        <f t="shared" si="3"/>
        <v>32188</v>
      </c>
      <c r="H8" s="341">
        <f>SUM(H5:H7)</f>
        <v>25063</v>
      </c>
      <c r="I8" s="821">
        <f t="shared" si="0"/>
        <v>1.2842836053146072</v>
      </c>
      <c r="K8" s="844" t="s">
        <v>911</v>
      </c>
    </row>
    <row r="9" spans="1:15">
      <c r="A9" s="343" t="s">
        <v>104</v>
      </c>
      <c r="B9" s="337" cm="1">
        <f t="array" ref="B9">SUMPRODUCT(DataEntry[S-P02],(DataEntry[S-U03]="Tri 1") * (DataEntry[S-U02]="Pilot Program"))</f>
        <v>0</v>
      </c>
      <c r="C9" s="337" cm="1">
        <f t="array" ref="C9">SUMPRODUCT(DataEntry[S-P02],(DataEntry[S-U03]="Tri 2") * (DataEntry[S-U02]="Additional"))</f>
        <v>2111</v>
      </c>
      <c r="D9" s="337">
        <f>SUM(B9:C9)</f>
        <v>2111</v>
      </c>
      <c r="E9" s="337" cm="1">
        <f t="array" ref="E9">SUMPRODUCT(DataEntry[S-P04],(DataEntry[S-U03]="Tri 2") * (DataEntry[S-U02]="Pilot Program"))</f>
        <v>0</v>
      </c>
      <c r="F9" s="337" cm="1">
        <f t="array" ref="F9">SUMPRODUCT(DataEntry[S-P04],(DataEntry[S-U03]="Tri 2") * (DataEntry[S-U02]="Additional"))</f>
        <v>2111</v>
      </c>
      <c r="G9" s="337">
        <f>SUM(E9:F9)</f>
        <v>2111</v>
      </c>
      <c r="H9" s="338" cm="1">
        <f t="array" ref="H9">SUMPRODUCT(DataEntry[S-P01],(DataEntry[S-U03]="Tri 2") * (DataEntry[S-U02]="Additional"))</f>
        <v>0</v>
      </c>
      <c r="I9" s="820">
        <f t="shared" si="0"/>
        <v>0</v>
      </c>
    </row>
    <row r="10" spans="1:15" ht="15" thickBot="1">
      <c r="A10" s="343" t="s">
        <v>91</v>
      </c>
      <c r="B10" s="334" cm="1">
        <f t="array" ref="B10">SUMPRODUCT(DataEntry[S-P02],(DataEntry[S-U03]="Tri 1") * (DataEntry[S-U04]="Comfort Partners"))</f>
        <v>0</v>
      </c>
      <c r="C10" s="334" cm="1">
        <f t="array" ref="C10">SUMPRODUCT(DataEntry[S-P02],(DataEntry[S-U03]="Tri 2") * (DataEntry[S-U04]="Comfort Partners"))</f>
        <v>11</v>
      </c>
      <c r="D10" s="337">
        <f>SUM(B10:C10)</f>
        <v>11</v>
      </c>
      <c r="E10" s="334" cm="1">
        <f t="array" ref="E10">SUMPRODUCT(DataEntry[S-P04],(DataEntry[S-U03]="Tri 1") * (DataEntry[S-U04]="Comfort Partners"))</f>
        <v>0</v>
      </c>
      <c r="F10" s="334" cm="1">
        <f t="array" ref="F10">SUMPRODUCT(DataEntry[S-P04],(DataEntry[S-U03]="Tri 2") * (DataEntry[S-U04]="Comfort Partners"))</f>
        <v>11</v>
      </c>
      <c r="G10" s="334">
        <f>SUM(E10:F10)</f>
        <v>11</v>
      </c>
      <c r="H10" s="344" cm="1">
        <f t="array" ref="H10">SUMPRODUCT(DataEntry[S-P01],(DataEntry[S-U03]="Tri 2") * (DataEntry[S-U04]="Comfort Partners"))</f>
        <v>26</v>
      </c>
      <c r="I10" s="822">
        <f t="shared" si="0"/>
        <v>0.42307692307692307</v>
      </c>
    </row>
    <row r="11" spans="1:15" ht="15" thickBot="1">
      <c r="A11" s="346" t="s">
        <v>92</v>
      </c>
      <c r="B11" s="347">
        <f>SUM(B8:B10)</f>
        <v>141</v>
      </c>
      <c r="C11" s="347">
        <f t="shared" ref="C11:H11" si="4">SUM(C8:C10)</f>
        <v>34169</v>
      </c>
      <c r="D11" s="347">
        <f t="shared" si="4"/>
        <v>34310</v>
      </c>
      <c r="E11" s="347">
        <f t="shared" si="4"/>
        <v>141</v>
      </c>
      <c r="F11" s="347">
        <f t="shared" si="4"/>
        <v>34169</v>
      </c>
      <c r="G11" s="347">
        <f t="shared" si="4"/>
        <v>34310</v>
      </c>
      <c r="H11" s="347">
        <f t="shared" si="4"/>
        <v>25089</v>
      </c>
      <c r="I11" s="823">
        <f t="shared" si="0"/>
        <v>1.367531587548328</v>
      </c>
    </row>
    <row r="12" spans="1:15">
      <c r="A12" s="844" t="s">
        <v>911</v>
      </c>
    </row>
    <row r="14" spans="1:15" ht="16" thickBot="1">
      <c r="A14" s="780" t="s">
        <v>93</v>
      </c>
      <c r="K14" s="780" t="s">
        <v>904</v>
      </c>
    </row>
    <row r="15" spans="1:15" ht="56.5" thickBot="1">
      <c r="A15" s="349" t="s">
        <v>94</v>
      </c>
      <c r="B15" s="349" t="s">
        <v>885</v>
      </c>
      <c r="C15" s="349" t="s">
        <v>869</v>
      </c>
      <c r="D15" s="349" t="s">
        <v>870</v>
      </c>
      <c r="E15" s="349" t="s">
        <v>877</v>
      </c>
      <c r="F15" s="349" t="s">
        <v>882</v>
      </c>
      <c r="G15" s="349" t="s">
        <v>871</v>
      </c>
      <c r="H15" s="349" t="s">
        <v>95</v>
      </c>
      <c r="I15" s="350" t="s">
        <v>96</v>
      </c>
      <c r="K15" s="349" t="s">
        <v>94</v>
      </c>
      <c r="L15" s="349" t="s">
        <v>870</v>
      </c>
      <c r="M15" s="349" t="s">
        <v>871</v>
      </c>
      <c r="N15" s="349" t="s">
        <v>95</v>
      </c>
      <c r="O15" s="350" t="s">
        <v>96</v>
      </c>
    </row>
    <row r="16" spans="1:15">
      <c r="A16" s="333" t="s">
        <v>97</v>
      </c>
      <c r="B16" s="809"/>
      <c r="C16" s="809" cm="1">
        <f t="array" ref="C16">SUMPRODUCT(DataEntry[S-B02],(DataEntry[S-U03]="Tri 2") * (DataEntry[S-U02]="Residential") * (DataEntry[S-U05]&lt;&gt;""))/1000</f>
        <v>116.85921999999999</v>
      </c>
      <c r="D16" s="809">
        <f>SUM(B16:C16)</f>
        <v>116.85921999999999</v>
      </c>
      <c r="E16" s="809"/>
      <c r="F16" s="809" cm="1">
        <f t="array" ref="F16">(SUMPRODUCT(DataEntry[S-B04],(DataEntry[S-U03]="Tri 2") * (DataEntry[S-U02]="Residential") * (DataEntry[S-U05]&lt;&gt;"")))/1000</f>
        <v>116.85921999999999</v>
      </c>
      <c r="G16" s="809">
        <f>SUM(E16:F16)</f>
        <v>116.85921999999999</v>
      </c>
      <c r="H16" s="810">
        <f>SUM(RECO!AL10:AL15)/1000</f>
        <v>3576.3240000000001</v>
      </c>
      <c r="I16" s="819">
        <f t="shared" ref="I16:I22" si="5">IFERROR(G16/H16, 0)</f>
        <v>3.2675792238063439E-2</v>
      </c>
      <c r="K16" s="333" t="s">
        <v>92</v>
      </c>
      <c r="L16" s="809">
        <f>D22</f>
        <v>305.87690999999995</v>
      </c>
      <c r="M16" s="809">
        <f>G22</f>
        <v>305.87690999999995</v>
      </c>
      <c r="N16" s="809">
        <f>H22</f>
        <v>9354.1889100000008</v>
      </c>
      <c r="O16" s="820">
        <f>I22</f>
        <v>3.2699458279381692E-2</v>
      </c>
    </row>
    <row r="17" spans="1:15">
      <c r="A17" s="333" t="s">
        <v>98</v>
      </c>
      <c r="B17" s="811"/>
      <c r="C17" s="811" cm="1">
        <f t="array" ref="C17">SUMPRODUCT(DataEntry[S-B02],(DataEntry[S-U03]="Tri 2") * (DataEntry[S-U02]="Multi-family") * (DataEntry[S-U05]&lt;&gt;""))/1000</f>
        <v>1.17831</v>
      </c>
      <c r="D17" s="811">
        <f>SUM(B17:C17)</f>
        <v>1.17831</v>
      </c>
      <c r="E17" s="811"/>
      <c r="F17" s="811" cm="1">
        <f t="array" ref="F17">SUMPRODUCT(DataEntry[S-B04],(DataEntry[S-U03]="Tri 2") * (DataEntry[S-U02]="Multi-Family") * (DataEntry[S-U05]&lt;&gt;""))/1000</f>
        <v>1.17831</v>
      </c>
      <c r="G17" s="811">
        <f>SUM(E17:F17)</f>
        <v>1.17831</v>
      </c>
      <c r="H17" s="812">
        <f>RECO!AL23/1000</f>
        <v>163.79400000000001</v>
      </c>
      <c r="I17" s="820">
        <f t="shared" si="5"/>
        <v>7.1938532546979737E-3</v>
      </c>
      <c r="K17" s="333" t="s">
        <v>132</v>
      </c>
      <c r="L17" s="811" cm="1">
        <f t="array" ref="L17">(SUMPRODUCT(DataEntryBD[S-B02],(DataEntryBD[S-U03]="Tri 2") * (DataEntryBD[S-U04]="Building Decarbonization") * (DataEntryBD[S-U05]&lt;&gt;""))+SUMPRODUCT(DataEntryBD[S-B03],(DataEntryBD[S-U03]="Tri 1") * (DataEntryBD[S-U04]="Building Decarbonization") * (DataEntryBD[S-U05]&lt;&gt;"")))/1000</f>
        <v>32.832419999999999</v>
      </c>
      <c r="M17" s="811" cm="1">
        <f t="array" ref="M17">(SUMPRODUCT(DataEntryBD[S-B04],(DataEntryBD[S-U03]="Tri 2") * (DataEntryBD[S-U04]="Building Decarbonization") * (DataEntryBD[S-U05]&lt;&gt;""))+SUMPRODUCT(DataEntryBD[S-B05],(DataEntryBD[S-U03]="Tri 1") * (DataEntryBD[S-U04]="Building Decarbonization") * (DataEntryBD[S-U05]&lt;&gt;"")))/1000</f>
        <v>32.832419999999999</v>
      </c>
      <c r="N17" s="812" cm="1">
        <f t="array" ref="N17">SUMPRODUCT(DataEntryBD[S-B01], (DataEntryBD[S-U03]="Tri 2") * (DataEntryBD[S-U04]="Building Decarbonization") * (DataEntryBD[S-U05]&lt;&gt;""))/1000</f>
        <v>691.83199999999999</v>
      </c>
      <c r="O17" s="820">
        <f>IFERROR(M17/N17, 0)</f>
        <v>4.7457215046427456E-2</v>
      </c>
    </row>
    <row r="18" spans="1:15">
      <c r="A18" s="333" t="s">
        <v>88</v>
      </c>
      <c r="B18" s="811"/>
      <c r="C18" s="811" cm="1">
        <f t="array" ref="C18">SUMPRODUCT(DataEntry[S-B02],(DataEntry[S-U03]="Tri 2") * (DataEntry[S-U02]="Commercial") * (DataEntry[S-U05]&lt;&gt;""))/1000</f>
        <v>120.70421999999999</v>
      </c>
      <c r="D18" s="811">
        <f>SUM(B18:C18)</f>
        <v>120.70421999999999</v>
      </c>
      <c r="E18" s="811"/>
      <c r="F18" s="811" cm="1">
        <f t="array" ref="F18">SUMPRODUCT(DataEntry[S-B04],(DataEntry[S-U03]="Tri 2") * (DataEntry[S-U02]="Commercial") * (DataEntry[S-U05]&lt;&gt;""))/1000</f>
        <v>120.70421999999999</v>
      </c>
      <c r="G18" s="811">
        <f>SUM(E18:F18)</f>
        <v>120.70421999999999</v>
      </c>
      <c r="H18" s="812" cm="1">
        <f t="array" ref="H18">SUMPRODUCT(DataEntry[S-B01], (DataEntry[S-U02]="Commercial") * (DataEntry[S-U05]&lt;&gt;""))/1000</f>
        <v>5390.0460000000003</v>
      </c>
      <c r="I18" s="820">
        <f t="shared" si="5"/>
        <v>2.2393912779223032E-2</v>
      </c>
      <c r="K18" s="339" t="s">
        <v>902</v>
      </c>
      <c r="L18" s="813">
        <f t="shared" ref="L18:N18" si="6">SUM(L16:L17)</f>
        <v>338.70932999999997</v>
      </c>
      <c r="M18" s="813">
        <f t="shared" si="6"/>
        <v>338.70932999999997</v>
      </c>
      <c r="N18" s="814">
        <f t="shared" si="6"/>
        <v>10046.020910000001</v>
      </c>
      <c r="O18" s="821">
        <f>IFERROR(M18/N18, 0)</f>
        <v>3.3715769958515836E-2</v>
      </c>
    </row>
    <row r="19" spans="1:15">
      <c r="A19" s="339" t="s">
        <v>89</v>
      </c>
      <c r="B19" s="813">
        <f t="shared" ref="B19" si="7">SUM(B16:B18)</f>
        <v>0</v>
      </c>
      <c r="C19" s="813">
        <f t="shared" ref="C19" si="8">SUM(C16:C18)</f>
        <v>238.74174999999997</v>
      </c>
      <c r="D19" s="813">
        <f t="shared" ref="D19" si="9">SUM(D16:D18)</f>
        <v>238.74174999999997</v>
      </c>
      <c r="E19" s="813">
        <f t="shared" ref="E19" si="10">SUM(E16:E18)</f>
        <v>0</v>
      </c>
      <c r="F19" s="813">
        <f t="shared" ref="F19" si="11">SUM(F16:F18)</f>
        <v>238.74174999999997</v>
      </c>
      <c r="G19" s="813">
        <f t="shared" ref="G19" si="12">SUM(G16:G18)</f>
        <v>238.74174999999997</v>
      </c>
      <c r="H19" s="814">
        <f>SUM(H16:H18)</f>
        <v>9130.1640000000007</v>
      </c>
      <c r="I19" s="821">
        <f t="shared" si="5"/>
        <v>2.6148681447562164E-2</v>
      </c>
      <c r="K19" s="1302" t="s">
        <v>987</v>
      </c>
      <c r="L19" s="1302"/>
      <c r="M19" s="1302"/>
    </row>
    <row r="20" spans="1:15">
      <c r="A20" s="343" t="s">
        <v>886</v>
      </c>
      <c r="B20" s="815" cm="1">
        <f t="array" ref="B20">SUMPRODUCT(DataEntry[S-B02],(DataEntry[S-U03]="Tri 1") * (DataEntry[S-U02]="Pilot Program"))/1000</f>
        <v>0</v>
      </c>
      <c r="C20" s="815" cm="1">
        <f t="array" ref="C20">(SUMPRODUCT(DataEntry[S-B02],(DataEntry[S-U03]="Tri 2") * (DataEntry[S-U02]="Additional")))/1000</f>
        <v>8.1497399999999995</v>
      </c>
      <c r="D20" s="815">
        <f>SUM(B20:C20)</f>
        <v>8.1497399999999995</v>
      </c>
      <c r="E20" s="815" cm="1">
        <f t="array" ref="E20">SUMPRODUCT(DataEntry[S-B04],(DataEntry[S-U03]="Tri 1") * (DataEntry[S-U02]="Pilot Program"))/1000</f>
        <v>0</v>
      </c>
      <c r="F20" s="815" cm="1">
        <f t="array" ref="F20">(SUMPRODUCT(DataEntry[S-B04],(DataEntry[S-U03]="Tri 2") * (DataEntry[S-U02]="Additional")))/1000</f>
        <v>8.1497399999999995</v>
      </c>
      <c r="G20" s="815">
        <f>SUM(E20:F20)</f>
        <v>8.1497399999999995</v>
      </c>
      <c r="H20" s="816" cm="1">
        <f t="array" ref="H20">SUMPRODUCT(DataEntry[S-B01],(DataEntry[S-U03]="Tri 2") * (DataEntry[S-U02]="Additional"))/1000</f>
        <v>84.421000000000006</v>
      </c>
      <c r="I20" s="820">
        <f t="shared" si="5"/>
        <v>9.6536880633965469E-2</v>
      </c>
      <c r="K20" s="1302"/>
      <c r="L20" s="1302"/>
      <c r="M20" s="1302"/>
    </row>
    <row r="21" spans="1:15" ht="15" thickBot="1">
      <c r="A21" s="351" t="s">
        <v>91</v>
      </c>
      <c r="B21" s="811" cm="1">
        <f t="array" ref="B21">SUMPRODUCT(DataEntry[S-B02],(DataEntry[S-U03]="Tri 1") * (DataEntry[S-U04]="Comfort Partners"))/1000</f>
        <v>0</v>
      </c>
      <c r="C21" s="811" cm="1">
        <f t="array" ref="C21">SUMPRODUCT(DataEntry[S-B02],(DataEntry[S-U03]="Tri 2") * (DataEntry[S-U04]="Comfort Partners"))/1000</f>
        <v>58.985419999999998</v>
      </c>
      <c r="D21" s="815">
        <f>SUM(B21:C21)</f>
        <v>58.985419999999998</v>
      </c>
      <c r="E21" s="811" cm="1">
        <f t="array" ref="E21">SUMPRODUCT(DataEntry[S-B04],(DataEntry[S-U03]="Tri 1") * (DataEntry[S-U04]="Comfort Partners"))/1000</f>
        <v>0</v>
      </c>
      <c r="F21" s="811" cm="1">
        <f t="array" ref="F21">SUMPRODUCT(DataEntry[S-B04],(DataEntry[S-U03]="Tri 2") * (DataEntry[S-U04]="Comfort Partners"))/1000</f>
        <v>58.985419999999998</v>
      </c>
      <c r="G21" s="811">
        <f>SUM(E21:F21)</f>
        <v>58.985419999999998</v>
      </c>
      <c r="H21" s="817" cm="1">
        <f t="array" ref="H21">SUMPRODUCT(DataEntry[S-B01],(DataEntry[S-U03]="Tri 2") * (DataEntry[S-U04]="Comfort Partners"))/1000</f>
        <v>139.60391000000001</v>
      </c>
      <c r="I21" s="822">
        <f t="shared" si="5"/>
        <v>0.42251982770396612</v>
      </c>
    </row>
    <row r="22" spans="1:15" ht="15" thickBot="1">
      <c r="A22" s="346" t="s">
        <v>92</v>
      </c>
      <c r="B22" s="818">
        <f>SUM(B19:B21)</f>
        <v>0</v>
      </c>
      <c r="C22" s="818">
        <f t="shared" ref="C22:H22" si="13">SUM(C19:C21)</f>
        <v>305.87690999999995</v>
      </c>
      <c r="D22" s="818">
        <f t="shared" si="13"/>
        <v>305.87690999999995</v>
      </c>
      <c r="E22" s="818">
        <f t="shared" si="13"/>
        <v>0</v>
      </c>
      <c r="F22" s="818">
        <f t="shared" si="13"/>
        <v>305.87690999999995</v>
      </c>
      <c r="G22" s="818">
        <f t="shared" si="13"/>
        <v>305.87690999999995</v>
      </c>
      <c r="H22" s="818">
        <f t="shared" si="13"/>
        <v>9354.1889100000008</v>
      </c>
      <c r="I22" s="823">
        <f t="shared" si="5"/>
        <v>3.2699458279381692E-2</v>
      </c>
    </row>
    <row r="23" spans="1:15">
      <c r="A23" s="844" t="s">
        <v>980</v>
      </c>
    </row>
    <row r="24" spans="1:15">
      <c r="A24" s="1302" t="s">
        <v>987</v>
      </c>
      <c r="B24" s="1302"/>
      <c r="C24" s="1302"/>
    </row>
    <row r="25" spans="1:15" ht="15.5">
      <c r="A25" s="780" t="s">
        <v>99</v>
      </c>
    </row>
    <row r="26" spans="1:15" ht="16" thickBot="1">
      <c r="A26" s="780" t="s">
        <v>503</v>
      </c>
      <c r="J26" s="353" t="s">
        <v>925</v>
      </c>
    </row>
    <row r="27" spans="1:15" ht="56.5" thickBot="1">
      <c r="A27" s="349" t="s">
        <v>100</v>
      </c>
      <c r="B27" s="349" t="s">
        <v>897</v>
      </c>
      <c r="C27" s="349" t="s">
        <v>872</v>
      </c>
      <c r="D27" s="349" t="s">
        <v>873</v>
      </c>
      <c r="E27" s="349" t="s">
        <v>898</v>
      </c>
      <c r="F27" s="349" t="s">
        <v>874</v>
      </c>
      <c r="G27" s="349" t="s">
        <v>875</v>
      </c>
      <c r="H27" s="349" t="s">
        <v>101</v>
      </c>
      <c r="I27" s="349" t="s">
        <v>102</v>
      </c>
      <c r="J27" s="998" t="s">
        <v>938</v>
      </c>
    </row>
    <row r="28" spans="1:15">
      <c r="A28" s="333" t="s">
        <v>97</v>
      </c>
      <c r="B28" s="330" cm="1">
        <f t="array" ref="B28">SUMPRODUCT(DataEntry[E-E02],(DataEntry[S-U03]="Tri 1") * (DataEntry[S-U02]="Residential") * (DataEntry[S-U05]&lt;&gt;""))</f>
        <v>16.041</v>
      </c>
      <c r="C28" s="330" cm="1">
        <f t="array" ref="C28">SUMPRODUCT(DataEntry[E-E02],(DataEntry[S-U03]="Tri 2") * (DataEntry[S-U02]="Residential") * (DataEntry[S-U05]&lt;&gt;""))</f>
        <v>519.15300000000002</v>
      </c>
      <c r="D28" s="330">
        <f>SUM(B28:C28)</f>
        <v>535.19400000000007</v>
      </c>
      <c r="E28" s="330" cm="1">
        <f t="array" ref="E28">SUMPRODUCT(DataEntry[E-E06],(DataEntry[S-U03]="Tri 1") * (DataEntry[S-U02]="Residential") * (DataEntry[S-U05]&lt;&gt;""))</f>
        <v>16.041</v>
      </c>
      <c r="F28" s="330" cm="1">
        <f t="array" ref="F28">SUMPRODUCT(DataEntry[E-E06],(DataEntry[S-U03]="Tri 2") * (DataEntry[S-U02]="Residential") * (DataEntry[S-U05]&lt;&gt;""))</f>
        <v>519.15300000000002</v>
      </c>
      <c r="G28" s="330">
        <f>SUM(E28:F28)</f>
        <v>535.19400000000007</v>
      </c>
      <c r="H28" s="331">
        <f>SUM(RECO!M10:M15)</f>
        <v>2657.4679999999998</v>
      </c>
      <c r="I28" s="819">
        <f t="shared" ref="I28:I33" si="14">IFERROR(G28/H28, 0)</f>
        <v>0.20139245326754643</v>
      </c>
      <c r="J28" s="1255">
        <v>25.806999999999999</v>
      </c>
    </row>
    <row r="29" spans="1:15">
      <c r="A29" s="333" t="s">
        <v>98</v>
      </c>
      <c r="B29" s="334" cm="1">
        <f t="array" ref="B29">SUMPRODUCT(DataEntry[E-E02],(DataEntry[S-U03]="Tri 1") * (DataEntry[S-U02]="Multi-family") * (DataEntry[S-U05]&lt;&gt;""))</f>
        <v>0</v>
      </c>
      <c r="C29" s="334" cm="1">
        <f t="array" ref="C29">SUMPRODUCT(DataEntry[E-E02],(DataEntry[S-U03]="Tri 2") * (DataEntry[S-U02]="Multi-family") * (DataEntry[S-U05]&lt;&gt;""))</f>
        <v>0</v>
      </c>
      <c r="D29" s="334">
        <f>SUM(B29:C29)</f>
        <v>0</v>
      </c>
      <c r="E29" s="334" cm="1">
        <f t="array" ref="E29">SUMPRODUCT(DataEntry[E-E06],(DataEntry[S-U03]="Tri 1") * (DataEntry[S-U02]="Multi-Family") * (DataEntry[S-U05]&lt;&gt;""))</f>
        <v>0</v>
      </c>
      <c r="F29" s="334" cm="1">
        <f t="array" ref="F29">SUMPRODUCT(DataEntry[E-E06],(DataEntry[S-U03]="Tri 2") * (DataEntry[S-U02]="Multi-Family") * (DataEntry[S-U05]&lt;&gt;""))</f>
        <v>0</v>
      </c>
      <c r="G29" s="334">
        <f>SUM(E29:F29)</f>
        <v>0</v>
      </c>
      <c r="H29" s="335">
        <f>RECO!M23</f>
        <v>52.098999999999997</v>
      </c>
      <c r="I29" s="820">
        <f t="shared" si="14"/>
        <v>0</v>
      </c>
      <c r="J29" s="866"/>
    </row>
    <row r="30" spans="1:15">
      <c r="A30" s="333" t="s">
        <v>103</v>
      </c>
      <c r="B30" s="334" cm="1">
        <f t="array" ref="B30">SUMPRODUCT(DataEntry[E-E02],(DataEntry[S-U03]="Tri 1") * (DataEntry[S-U02]="Commercial") * (DataEntry[S-U05]&lt;&gt;""))</f>
        <v>871.56799999999998</v>
      </c>
      <c r="C30" s="334" cm="1">
        <f t="array" ref="C30">SUMPRODUCT(DataEntry[E-E02],(DataEntry[S-U03]="Tri 2") * (DataEntry[S-U02]="Commercial") * (DataEntry[S-U05]&lt;&gt;""))</f>
        <v>0</v>
      </c>
      <c r="D30" s="334">
        <f>SUM(B30:C30)</f>
        <v>871.56799999999998</v>
      </c>
      <c r="E30" s="334" cm="1">
        <f t="array" ref="E30">SUMPRODUCT(DataEntry[E-E06],(DataEntry[S-U03]="Tri 1") * (DataEntry[S-U02]="Commercial") * (DataEntry[S-U05]&lt;&gt;""))</f>
        <v>871.56799999999998</v>
      </c>
      <c r="F30" s="334" cm="1">
        <f t="array" ref="F30">SUMPRODUCT(DataEntry[E-E06],(DataEntry[S-U03]="Tri 2") * (DataEntry[S-U02]="Commercial") * (DataEntry[S-U05]&lt;&gt;""))</f>
        <v>0</v>
      </c>
      <c r="G30" s="334">
        <f>SUM(E30:F30)</f>
        <v>871.56799999999998</v>
      </c>
      <c r="H30" s="335" cm="1">
        <f t="array" ref="H30">SUMPRODUCT(DataEntry[E-E01], (DataEntry[S-U02]="Commercial") * (DataEntry[S-U05]&lt;&gt;""))</f>
        <v>6500.5559999999996</v>
      </c>
      <c r="I30" s="820">
        <f t="shared" si="14"/>
        <v>0.13407591596780338</v>
      </c>
      <c r="J30" s="866"/>
    </row>
    <row r="31" spans="1:15">
      <c r="A31" s="339" t="s">
        <v>89</v>
      </c>
      <c r="B31" s="340">
        <f t="shared" ref="B31" si="15">SUM(B28:B30)</f>
        <v>887.60900000000004</v>
      </c>
      <c r="C31" s="340">
        <f t="shared" ref="C31" si="16">SUM(C28:C30)</f>
        <v>519.15300000000002</v>
      </c>
      <c r="D31" s="340">
        <f t="shared" ref="D31" si="17">SUM(D28:D30)</f>
        <v>1406.7620000000002</v>
      </c>
      <c r="E31" s="340">
        <f t="shared" ref="E31" si="18">SUM(E28:E30)</f>
        <v>887.60900000000004</v>
      </c>
      <c r="F31" s="340">
        <f t="shared" ref="F31" si="19">SUM(F28:F30)</f>
        <v>519.15300000000002</v>
      </c>
      <c r="G31" s="340">
        <f t="shared" ref="G31" si="20">SUM(G28:G30)</f>
        <v>1406.7620000000002</v>
      </c>
      <c r="H31" s="341">
        <f t="shared" ref="H31" si="21">SUM(H28:H30)</f>
        <v>9210.1229999999996</v>
      </c>
      <c r="I31" s="821">
        <f t="shared" si="14"/>
        <v>0.15274084830354603</v>
      </c>
      <c r="J31" s="866"/>
    </row>
    <row r="32" spans="1:15">
      <c r="A32" s="343" t="s">
        <v>886</v>
      </c>
      <c r="B32" s="337" cm="1">
        <f t="array" ref="B32">SUMPRODUCT(DataEntry[E-E02],(DataEntry[S-U03]="Tri 1") * (DataEntry[S-U02]="Pilot Program"))</f>
        <v>0</v>
      </c>
      <c r="C32" s="337" cm="1">
        <f t="array" ref="C32">SUMPRODUCT(DataEntry[E-E02],(DataEntry[S-U03]="Tri 2") * (DataEntry[S-U02]="Additional"))</f>
        <v>0</v>
      </c>
      <c r="D32" s="337">
        <f>SUM(B32:C32)</f>
        <v>0</v>
      </c>
      <c r="E32" s="337" cm="1">
        <f t="array" ref="E32">SUMPRODUCT(DataEntry[E-E06],(DataEntry[S-U03]="Tri 1") * (DataEntry[S-U02]="Pilot Program"))</f>
        <v>0</v>
      </c>
      <c r="F32" s="337" cm="1">
        <f t="array" ref="F32">SUMPRODUCT(DataEntry[E-E06],(DataEntry[S-U03]="Tri 2") * (DataEntry[S-U02]="Additional"))</f>
        <v>0</v>
      </c>
      <c r="G32" s="337">
        <f>SUM(E32:F32)</f>
        <v>0</v>
      </c>
      <c r="H32" s="338" cm="1">
        <f t="array" ref="H32">SUMPRODUCT(DataEntry[E-E01],(DataEntry[S-U03]="Tri 2") * (DataEntry[S-U02]="Additional"))</f>
        <v>0</v>
      </c>
      <c r="I32" s="820">
        <f t="shared" si="14"/>
        <v>0</v>
      </c>
      <c r="J32" s="866"/>
    </row>
    <row r="33" spans="1:15" ht="15" thickBot="1">
      <c r="A33" s="352" t="s">
        <v>91</v>
      </c>
      <c r="B33" s="334" cm="1">
        <f t="array" ref="B33">SUMPRODUCT(DataEntry[E-E02],(DataEntry[S-U03]="Tri 1") * (DataEntry[S-U04]="Comfort Partners"))</f>
        <v>0</v>
      </c>
      <c r="C33" s="334" cm="1">
        <f t="array" ref="C33">SUMPRODUCT(DataEntry[E-E02],(DataEntry[S-U03]="Tri 2") * (DataEntry[S-U04]="Comfort Partners"))</f>
        <v>13.641</v>
      </c>
      <c r="D33" s="337">
        <f>SUM(B33:C33)</f>
        <v>13.641</v>
      </c>
      <c r="E33" s="334" cm="1">
        <f t="array" ref="E33">SUMPRODUCT(DataEntry[E-E06],(DataEntry[S-U03]="Tri 1") * (DataEntry[S-U04]="Comfort Partners"))</f>
        <v>0</v>
      </c>
      <c r="F33" s="334" cm="1">
        <f t="array" ref="F33">SUMPRODUCT(DataEntry[E-E06],(DataEntry[S-U03]="Tri 2") * (DataEntry[S-U04]="Comfort Partners"))</f>
        <v>13.641</v>
      </c>
      <c r="G33" s="334">
        <f>SUM(E33:F33)</f>
        <v>13.641</v>
      </c>
      <c r="H33" s="344" cm="1">
        <f t="array" ref="H33">SUMPRODUCT(DataEntry[E-E01],(DataEntry[S-U03]="Tri 2") * (DataEntry[S-U04]="Comfort Partners"))</f>
        <v>15.916</v>
      </c>
      <c r="I33" s="822">
        <f t="shared" si="14"/>
        <v>0.85706207589846695</v>
      </c>
      <c r="J33" s="866"/>
    </row>
    <row r="34" spans="1:15" ht="15" thickBot="1">
      <c r="A34" s="346" t="s">
        <v>92</v>
      </c>
      <c r="B34" s="347">
        <f t="shared" ref="B34:H34" si="22">SUM(B31:B33)</f>
        <v>887.60900000000004</v>
      </c>
      <c r="C34" s="347">
        <f t="shared" si="22"/>
        <v>532.79399999999998</v>
      </c>
      <c r="D34" s="347">
        <f t="shared" si="22"/>
        <v>1420.4030000000002</v>
      </c>
      <c r="E34" s="347">
        <f t="shared" si="22"/>
        <v>887.60900000000004</v>
      </c>
      <c r="F34" s="347">
        <f t="shared" si="22"/>
        <v>532.79399999999998</v>
      </c>
      <c r="G34" s="347">
        <f t="shared" si="22"/>
        <v>1420.4030000000002</v>
      </c>
      <c r="H34" s="347">
        <f t="shared" si="22"/>
        <v>9226.0389999999989</v>
      </c>
      <c r="I34" s="823">
        <f>IFERROR(G34/H34, 0)</f>
        <v>0.15395588507700872</v>
      </c>
      <c r="J34" s="1256">
        <f>SUM(J28:J33)</f>
        <v>25.806999999999999</v>
      </c>
    </row>
    <row r="35" spans="1:15">
      <c r="A35" s="844" t="s">
        <v>887</v>
      </c>
      <c r="B35" s="507"/>
      <c r="C35" s="507"/>
      <c r="D35" s="507"/>
      <c r="E35" s="508"/>
    </row>
    <row r="36" spans="1:15">
      <c r="A36" s="844"/>
      <c r="B36" s="507"/>
      <c r="C36" s="507"/>
      <c r="D36" s="507"/>
      <c r="E36" s="508"/>
    </row>
    <row r="37" spans="1:15" ht="16" hidden="1" thickBot="1">
      <c r="A37" s="780" t="s">
        <v>939</v>
      </c>
      <c r="B37" s="507"/>
      <c r="C37" s="507"/>
      <c r="D37" s="507"/>
      <c r="E37" s="508"/>
      <c r="J37" s="353" t="s">
        <v>925</v>
      </c>
    </row>
    <row r="38" spans="1:15" ht="56.5" hidden="1" thickBot="1">
      <c r="A38" s="349" t="s">
        <v>100</v>
      </c>
      <c r="B38" s="349" t="s">
        <v>940</v>
      </c>
      <c r="C38" s="349" t="s">
        <v>941</v>
      </c>
      <c r="D38" s="349" t="s">
        <v>942</v>
      </c>
      <c r="E38" s="349" t="s">
        <v>943</v>
      </c>
      <c r="F38" s="349" t="s">
        <v>944</v>
      </c>
      <c r="G38" s="349" t="s">
        <v>945</v>
      </c>
      <c r="H38" s="349" t="s">
        <v>946</v>
      </c>
      <c r="I38" s="349" t="s">
        <v>102</v>
      </c>
      <c r="J38" s="998" t="s">
        <v>947</v>
      </c>
      <c r="K38" s="844"/>
      <c r="L38" s="507"/>
      <c r="M38" s="507"/>
      <c r="N38" s="507"/>
      <c r="O38" s="508"/>
    </row>
    <row r="39" spans="1:15" hidden="1">
      <c r="A39" s="333" t="s">
        <v>97</v>
      </c>
      <c r="B39" s="330" cm="1">
        <f t="array" ref="B39">SUMPRODUCT(DataEntry[G-G02],(DataEntry[S-U03]="Tri 1") * (DataEntry[S-U02]="Residential") * (DataEntry[S-U05]&lt;&gt;""))</f>
        <v>0</v>
      </c>
      <c r="C39" s="330" cm="1">
        <f t="array" ref="C39">SUMPRODUCT(DataEntry[G-G02],(DataEntry[S-U03]="Tri 2") * (DataEntry[S-U02]="Residential") * (DataEntry[S-U05]&lt;&gt;""))</f>
        <v>0</v>
      </c>
      <c r="D39" s="330">
        <f>SUM(B39:C39)</f>
        <v>0</v>
      </c>
      <c r="E39" s="330" cm="1">
        <f t="array" ref="E39">SUMPRODUCT(DataEntry[G-G06],(DataEntry[S-U03]="Tri 1") * (DataEntry[S-U02]="Residential") * (DataEntry[S-U05]&lt;&gt;""))</f>
        <v>0</v>
      </c>
      <c r="F39" s="330" cm="1">
        <f t="array" ref="F39">SUMPRODUCT(DataEntry[G-G06],(DataEntry[S-U03]="Tri 2") * (DataEntry[S-U02]="Residential") * (DataEntry[S-U05]&lt;&gt;""))</f>
        <v>0</v>
      </c>
      <c r="G39" s="330">
        <f>SUM(E39:F39)</f>
        <v>0</v>
      </c>
      <c r="H39" s="331" cm="1">
        <f t="array" ref="H39">SUMPRODUCT(DataEntry[G-G01], (DataEntry[S-U02]="Residential") * (DataEntry[S-U05]=""))+SUMPRODUCT(DataEntry[G-G01], (DataEntry[S-U02]="Residential") * (DataEntry[S-U04]="Income Qualified"))</f>
        <v>0</v>
      </c>
      <c r="I39" s="332">
        <f t="shared" ref="I39:I44" si="23">IFERROR(G39/H39, 0)</f>
        <v>0</v>
      </c>
      <c r="J39" s="865"/>
      <c r="K39" s="844"/>
      <c r="L39" s="507"/>
      <c r="M39" s="507"/>
      <c r="N39" s="507"/>
      <c r="O39" s="508"/>
    </row>
    <row r="40" spans="1:15" hidden="1">
      <c r="A40" s="333" t="s">
        <v>98</v>
      </c>
      <c r="B40" s="334" cm="1">
        <f t="array" ref="B40">SUMPRODUCT(DataEntry[G-G02],(DataEntry[S-U03]="Tri 1") * (DataEntry[S-U02]="Multi-family") * (DataEntry[S-U05]&lt;&gt;""))</f>
        <v>0</v>
      </c>
      <c r="C40" s="334" cm="1">
        <f t="array" ref="C40">SUMPRODUCT(DataEntry[G-G02],(DataEntry[S-U03]="Tri 2") * (DataEntry[S-U02]="Multi-family") * (DataEntry[S-U05]&lt;&gt;""))</f>
        <v>0</v>
      </c>
      <c r="D40" s="334">
        <f>SUM(B40:C40)</f>
        <v>0</v>
      </c>
      <c r="E40" s="334" cm="1">
        <f t="array" ref="E40">SUMPRODUCT(DataEntry[G-G06],(DataEntry[S-U03]="Tri 1") * (DataEntry[S-U02]="Multi-Family") * (DataEntry[S-U05]&lt;&gt;""))</f>
        <v>0</v>
      </c>
      <c r="F40" s="334" cm="1">
        <f t="array" ref="F40">SUMPRODUCT(DataEntry[G-G06],(DataEntry[S-U03]="Tri 2") * (DataEntry[S-U02]="Multi-Family") * (DataEntry[S-U05]&lt;&gt;""))</f>
        <v>0</v>
      </c>
      <c r="G40" s="334">
        <f>SUM(E40:F40)</f>
        <v>0</v>
      </c>
      <c r="H40" s="335" cm="1">
        <f t="array" ref="H40">SUMPRODUCT(DataEntry[G-G01], (DataEntry[S-U02]="Multi-Family") * (DataEntry[S-U05]=""))</f>
        <v>0</v>
      </c>
      <c r="I40" s="336">
        <f t="shared" si="23"/>
        <v>0</v>
      </c>
      <c r="J40" s="866"/>
      <c r="K40" s="844"/>
      <c r="L40" s="507"/>
      <c r="M40" s="507"/>
      <c r="N40" s="507"/>
      <c r="O40" s="508"/>
    </row>
    <row r="41" spans="1:15" hidden="1">
      <c r="A41" s="333" t="s">
        <v>103</v>
      </c>
      <c r="B41" s="334" cm="1">
        <f t="array" ref="B41">SUMPRODUCT(DataEntry[G-G02],(DataEntry[S-U03]="Tri 1") * (DataEntry[S-U02]="Commercial") * (DataEntry[S-U05]&lt;&gt;""))</f>
        <v>0</v>
      </c>
      <c r="C41" s="334" cm="1">
        <f t="array" ref="C41">SUMPRODUCT(DataEntry[G-G02],(DataEntry[S-U03]="Tri 2") * (DataEntry[S-U02]="Commercial") * (DataEntry[S-U05]&lt;&gt;""))</f>
        <v>0</v>
      </c>
      <c r="D41" s="334">
        <f>SUM(B41:C41)</f>
        <v>0</v>
      </c>
      <c r="E41" s="334" cm="1">
        <f t="array" ref="E41">SUMPRODUCT(DataEntry[G-G06],(DataEntry[S-U03]="Tri 1") * (DataEntry[S-U02]="Commercial") * (DataEntry[S-U05]&lt;&gt;""))</f>
        <v>0</v>
      </c>
      <c r="F41" s="334" cm="1">
        <f t="array" ref="F41">SUMPRODUCT(DataEntry[G-G06],(DataEntry[S-U03]="Tri 2") * (DataEntry[S-U02]="Commercial") * (DataEntry[S-U05]&lt;&gt;""))</f>
        <v>0</v>
      </c>
      <c r="G41" s="334">
        <f>SUM(E41:F41)</f>
        <v>0</v>
      </c>
      <c r="H41" s="335" cm="1">
        <f t="array" ref="H41">SUMPRODUCT(DataEntry[G-G01], (DataEntry[S-U02]="Commercial") * (DataEntry[S-U05]=""))</f>
        <v>0</v>
      </c>
      <c r="I41" s="336">
        <f t="shared" si="23"/>
        <v>0</v>
      </c>
      <c r="J41" s="866"/>
      <c r="K41" s="844"/>
      <c r="L41" s="507"/>
      <c r="M41" s="507"/>
      <c r="N41" s="507"/>
      <c r="O41" s="508"/>
    </row>
    <row r="42" spans="1:15" hidden="1">
      <c r="A42" s="339" t="s">
        <v>89</v>
      </c>
      <c r="B42" s="340">
        <f t="shared" ref="B42:H42" si="24">SUM(B39:B41)</f>
        <v>0</v>
      </c>
      <c r="C42" s="340">
        <f t="shared" si="24"/>
        <v>0</v>
      </c>
      <c r="D42" s="340">
        <f t="shared" si="24"/>
        <v>0</v>
      </c>
      <c r="E42" s="340">
        <f t="shared" si="24"/>
        <v>0</v>
      </c>
      <c r="F42" s="340">
        <f t="shared" si="24"/>
        <v>0</v>
      </c>
      <c r="G42" s="340">
        <f t="shared" si="24"/>
        <v>0</v>
      </c>
      <c r="H42" s="341">
        <f t="shared" si="24"/>
        <v>0</v>
      </c>
      <c r="I42" s="342">
        <f t="shared" si="23"/>
        <v>0</v>
      </c>
      <c r="J42" s="866"/>
      <c r="K42" s="844"/>
      <c r="L42" s="507"/>
      <c r="M42" s="507"/>
      <c r="N42" s="507"/>
      <c r="O42" s="508"/>
    </row>
    <row r="43" spans="1:15" hidden="1">
      <c r="A43" s="343" t="s">
        <v>104</v>
      </c>
      <c r="B43" s="337" cm="1">
        <f t="array" ref="B43">SUMPRODUCT(DataEntry[G-G02],(DataEntry[S-U03]="Tri 1") * (DataEntry[S-U02]="Pilot Program"))</f>
        <v>0</v>
      </c>
      <c r="C43" s="337" cm="1">
        <f t="array" ref="C43">SUMPRODUCT(DataEntry[G-G02],(DataEntry[S-U03]="Tri 2") * (DataEntry[S-U02]="Additional"))</f>
        <v>0</v>
      </c>
      <c r="D43" s="337">
        <f>SUM(B43:C43)</f>
        <v>0</v>
      </c>
      <c r="E43" s="337" cm="1">
        <f t="array" ref="E43">SUMPRODUCT(DataEntry[G-G06],(DataEntry[S-U03]="Tri 1") * (DataEntry[S-U02]="Pilot Program"))</f>
        <v>0</v>
      </c>
      <c r="F43" s="337" cm="1">
        <f t="array" ref="F43">SUMPRODUCT(DataEntry[G-G06],(DataEntry[S-U03]="Tri 2") * (DataEntry[S-U02]="Additional"))</f>
        <v>0</v>
      </c>
      <c r="G43" s="337">
        <f>SUM(E43:F43)</f>
        <v>0</v>
      </c>
      <c r="H43" s="338" cm="1">
        <f t="array" ref="H43">SUMPRODUCT(DataEntry[G-G01],(DataEntry[S-U03]="Tri 2") * (DataEntry[S-U02]="Additional"))</f>
        <v>0</v>
      </c>
      <c r="I43" s="336">
        <f t="shared" si="23"/>
        <v>0</v>
      </c>
      <c r="J43" s="866"/>
      <c r="K43" s="844"/>
      <c r="L43" s="507"/>
      <c r="M43" s="507"/>
      <c r="N43" s="507"/>
      <c r="O43" s="508"/>
    </row>
    <row r="44" spans="1:15" ht="15" hidden="1" thickBot="1">
      <c r="A44" s="352" t="s">
        <v>91</v>
      </c>
      <c r="B44" s="334" cm="1">
        <f t="array" ref="B44">SUMPRODUCT(DataEntry[G-G02],(DataEntry[S-U03]="Tri 1") * (DataEntry[S-U04]="Comfort Partners"))</f>
        <v>0</v>
      </c>
      <c r="C44" s="334" cm="1">
        <f t="array" ref="C44">SUMPRODUCT(DataEntry[G-G02],(DataEntry[S-U03]="Tri 2") * (DataEntry[S-U04]="Comfort Partners"))</f>
        <v>0</v>
      </c>
      <c r="D44" s="337">
        <f>SUM(B44:C44)</f>
        <v>0</v>
      </c>
      <c r="E44" s="334" cm="1">
        <f t="array" ref="E44">SUMPRODUCT(DataEntry[G-G06],(DataEntry[S-U03]="Tri 1") * (DataEntry[S-U04]="Comfort Partners"))</f>
        <v>0</v>
      </c>
      <c r="F44" s="334" cm="1">
        <f t="array" ref="F44">SUMPRODUCT(DataEntry[G-G06],(DataEntry[S-U03]="Tri 2") * (DataEntry[S-U04]="Comfort Partners"))</f>
        <v>0</v>
      </c>
      <c r="G44" s="334">
        <f>SUM(E44:F44)</f>
        <v>0</v>
      </c>
      <c r="H44" s="344" cm="1">
        <f t="array" ref="H44">SUMPRODUCT(DataEntry[G-G01],(DataEntry[S-U03]="Tri 2") * (DataEntry[S-U04]="Comfort Partners"))</f>
        <v>0</v>
      </c>
      <c r="I44" s="345">
        <f t="shared" si="23"/>
        <v>0</v>
      </c>
      <c r="J44" s="866"/>
      <c r="K44" s="844"/>
      <c r="L44" s="507"/>
      <c r="M44" s="507"/>
      <c r="N44" s="507"/>
      <c r="O44" s="508"/>
    </row>
    <row r="45" spans="1:15" ht="15" hidden="1" thickBot="1">
      <c r="A45" s="346" t="s">
        <v>92</v>
      </c>
      <c r="B45" s="347">
        <f t="shared" ref="B45:H45" si="25">SUM(B42:B44)</f>
        <v>0</v>
      </c>
      <c r="C45" s="347">
        <f t="shared" si="25"/>
        <v>0</v>
      </c>
      <c r="D45" s="347">
        <f t="shared" si="25"/>
        <v>0</v>
      </c>
      <c r="E45" s="347">
        <f t="shared" si="25"/>
        <v>0</v>
      </c>
      <c r="F45" s="347">
        <f t="shared" si="25"/>
        <v>0</v>
      </c>
      <c r="G45" s="347">
        <f t="shared" si="25"/>
        <v>0</v>
      </c>
      <c r="H45" s="347">
        <f t="shared" si="25"/>
        <v>0</v>
      </c>
      <c r="I45" s="348">
        <f>IFERROR(G45/H45, 0)</f>
        <v>0</v>
      </c>
      <c r="J45" s="962"/>
    </row>
    <row r="46" spans="1:15" hidden="1">
      <c r="A46" s="844"/>
      <c r="B46" s="507"/>
      <c r="C46" s="507"/>
      <c r="D46" s="507"/>
      <c r="E46" s="508"/>
    </row>
    <row r="47" spans="1:15" hidden="1">
      <c r="A47" s="844"/>
      <c r="B47" s="507"/>
      <c r="C47" s="507"/>
      <c r="D47" s="507"/>
      <c r="E47" s="508"/>
    </row>
    <row r="48" spans="1:15" ht="16" thickBot="1">
      <c r="A48" s="780" t="s">
        <v>899</v>
      </c>
      <c r="F48" s="415"/>
    </row>
    <row r="49" spans="1:7" ht="68.25" customHeight="1" thickBot="1">
      <c r="A49" s="998" t="s">
        <v>105</v>
      </c>
      <c r="B49" s="998" t="s">
        <v>106</v>
      </c>
      <c r="C49" s="998" t="s">
        <v>107</v>
      </c>
      <c r="D49" s="998" t="s">
        <v>108</v>
      </c>
      <c r="E49" s="998" t="s">
        <v>109</v>
      </c>
      <c r="F49" s="349" t="s">
        <v>110</v>
      </c>
      <c r="G49" s="769" t="s">
        <v>111</v>
      </c>
    </row>
    <row r="50" spans="1:7">
      <c r="A50" s="1224" t="s">
        <v>112</v>
      </c>
      <c r="B50" s="354">
        <v>0</v>
      </c>
      <c r="C50" s="355">
        <f>B50</f>
        <v>0</v>
      </c>
      <c r="D50" s="354">
        <v>0</v>
      </c>
      <c r="E50" s="1228">
        <v>0</v>
      </c>
      <c r="F50" s="1232">
        <v>0</v>
      </c>
    </row>
    <row r="51" spans="1:7">
      <c r="A51" s="1225" t="s">
        <v>113</v>
      </c>
      <c r="B51" s="356">
        <v>169688.22</v>
      </c>
      <c r="C51" s="357">
        <f t="shared" ref="C51:C57" si="26">B51</f>
        <v>169688.22</v>
      </c>
      <c r="D51" s="356">
        <v>750000</v>
      </c>
      <c r="E51" s="1229">
        <f>C51/D51</f>
        <v>0.22625096</v>
      </c>
      <c r="F51" s="1232">
        <v>0</v>
      </c>
    </row>
    <row r="52" spans="1:7">
      <c r="A52" s="1225" t="s">
        <v>114</v>
      </c>
      <c r="B52" s="356">
        <v>8061.54</v>
      </c>
      <c r="C52" s="357">
        <f t="shared" si="26"/>
        <v>8061.54</v>
      </c>
      <c r="D52" s="356">
        <v>500000</v>
      </c>
      <c r="E52" s="1229">
        <f t="shared" ref="E52:E56" si="27">C52/D52</f>
        <v>1.6123080000000001E-2</v>
      </c>
      <c r="F52" s="1232">
        <v>0</v>
      </c>
    </row>
    <row r="53" spans="1:7">
      <c r="A53" s="1225" t="s">
        <v>115</v>
      </c>
      <c r="B53" s="356">
        <v>69047.61</v>
      </c>
      <c r="C53" s="357">
        <f t="shared" si="26"/>
        <v>69047.61</v>
      </c>
      <c r="D53" s="356">
        <v>2027949</v>
      </c>
      <c r="E53" s="1229">
        <f t="shared" si="27"/>
        <v>3.4048001207130946E-2</v>
      </c>
      <c r="F53" s="1232">
        <v>0</v>
      </c>
    </row>
    <row r="54" spans="1:7">
      <c r="A54" s="1225" t="s">
        <v>116</v>
      </c>
      <c r="B54" s="1286">
        <v>23816.799999999999</v>
      </c>
      <c r="C54" s="357">
        <f t="shared" si="26"/>
        <v>23816.799999999999</v>
      </c>
      <c r="D54" s="356">
        <v>5428468</v>
      </c>
      <c r="E54" s="1229">
        <f t="shared" si="27"/>
        <v>4.3873888544613323E-3</v>
      </c>
      <c r="F54" s="1232">
        <v>0</v>
      </c>
    </row>
    <row r="55" spans="1:7">
      <c r="A55" s="1225" t="s">
        <v>117</v>
      </c>
      <c r="B55" s="1286">
        <v>0</v>
      </c>
      <c r="C55" s="357">
        <f t="shared" si="26"/>
        <v>0</v>
      </c>
      <c r="D55" s="356">
        <v>700000</v>
      </c>
      <c r="E55" s="1229">
        <f t="shared" si="27"/>
        <v>0</v>
      </c>
      <c r="F55" s="1232">
        <v>0</v>
      </c>
    </row>
    <row r="56" spans="1:7" ht="29">
      <c r="A56" s="1225" t="s">
        <v>118</v>
      </c>
      <c r="B56" s="356">
        <v>15157.43</v>
      </c>
      <c r="C56" s="357">
        <f t="shared" si="26"/>
        <v>15157.43</v>
      </c>
      <c r="D56" s="356">
        <v>400000</v>
      </c>
      <c r="E56" s="1229">
        <f t="shared" si="27"/>
        <v>3.7893574999999999E-2</v>
      </c>
      <c r="F56" s="1232">
        <v>0</v>
      </c>
    </row>
    <row r="57" spans="1:7" ht="15" thickBot="1">
      <c r="A57" s="1226" t="s">
        <v>119</v>
      </c>
      <c r="B57" s="358">
        <v>0</v>
      </c>
      <c r="C57" s="1227">
        <f t="shared" si="26"/>
        <v>0</v>
      </c>
      <c r="D57" s="358">
        <v>100000</v>
      </c>
      <c r="E57" s="1230">
        <f>C57/D57</f>
        <v>0</v>
      </c>
      <c r="F57" s="1233">
        <v>0</v>
      </c>
    </row>
    <row r="58" spans="1:7" ht="15" thickBot="1">
      <c r="A58" s="1223" t="s">
        <v>92</v>
      </c>
      <c r="B58" s="1222">
        <f>SUM(B50:B57)</f>
        <v>285771.59999999998</v>
      </c>
      <c r="C58" s="1222">
        <f>SUM(C50:C57)</f>
        <v>285771.59999999998</v>
      </c>
      <c r="D58" s="1222">
        <f>SUM(D50:D57)</f>
        <v>9906417</v>
      </c>
      <c r="E58" s="1231">
        <f>C58/D58</f>
        <v>2.8847120003125244E-2</v>
      </c>
      <c r="F58" s="1234">
        <v>0</v>
      </c>
    </row>
    <row r="59" spans="1:7">
      <c r="A59" s="844" t="s">
        <v>120</v>
      </c>
    </row>
    <row r="60" spans="1:7">
      <c r="A60" s="1302" t="s">
        <v>988</v>
      </c>
      <c r="B60" s="1302"/>
      <c r="C60" s="1302"/>
    </row>
    <row r="61" spans="1:7" ht="16" thickBot="1">
      <c r="A61" s="780" t="s">
        <v>121</v>
      </c>
      <c r="F61" s="353" t="s">
        <v>122</v>
      </c>
      <c r="G61" s="353" t="s">
        <v>122</v>
      </c>
    </row>
    <row r="62" spans="1:7" ht="42.5" thickBot="1">
      <c r="A62" s="349" t="s">
        <v>105</v>
      </c>
      <c r="B62" s="349" t="s">
        <v>123</v>
      </c>
      <c r="C62" s="349" t="s">
        <v>124</v>
      </c>
      <c r="D62" s="349" t="s">
        <v>125</v>
      </c>
      <c r="E62" s="349" t="s">
        <v>126</v>
      </c>
      <c r="F62" s="770" t="s">
        <v>127</v>
      </c>
      <c r="G62" s="771" t="s">
        <v>128</v>
      </c>
    </row>
    <row r="63" spans="1:7">
      <c r="A63" s="464" t="s">
        <v>4</v>
      </c>
      <c r="B63" s="354">
        <v>77949.08</v>
      </c>
      <c r="C63" s="355">
        <f>B63</f>
        <v>77949.08</v>
      </c>
      <c r="D63" s="1238">
        <v>6</v>
      </c>
      <c r="E63" s="1235">
        <f>D63</f>
        <v>6</v>
      </c>
      <c r="F63" s="673"/>
      <c r="G63" s="673"/>
    </row>
    <row r="64" spans="1:7">
      <c r="A64" s="438" t="s">
        <v>129</v>
      </c>
      <c r="B64" s="356">
        <v>12634</v>
      </c>
      <c r="C64" s="357">
        <f>B64</f>
        <v>12634</v>
      </c>
      <c r="D64" s="1239">
        <v>1</v>
      </c>
      <c r="E64" s="1235">
        <f>D64</f>
        <v>1</v>
      </c>
      <c r="F64" s="673"/>
      <c r="G64" s="673"/>
    </row>
    <row r="65" spans="1:7">
      <c r="A65" s="438" t="s">
        <v>130</v>
      </c>
      <c r="B65" s="465"/>
      <c r="C65" s="466"/>
      <c r="D65" s="1240"/>
      <c r="E65" s="1236"/>
      <c r="F65" s="673"/>
      <c r="G65" s="673"/>
    </row>
    <row r="66" spans="1:7">
      <c r="A66" s="439" t="s">
        <v>24</v>
      </c>
      <c r="B66" s="465"/>
      <c r="C66" s="466"/>
      <c r="D66" s="1240"/>
      <c r="E66" s="1236"/>
      <c r="F66" s="673"/>
      <c r="G66" s="673"/>
    </row>
    <row r="67" spans="1:7">
      <c r="A67" s="464" t="s">
        <v>131</v>
      </c>
      <c r="B67" s="356">
        <v>0</v>
      </c>
      <c r="C67" s="357">
        <f>B67</f>
        <v>0</v>
      </c>
      <c r="D67" s="1239">
        <v>0</v>
      </c>
      <c r="E67" s="1235">
        <f>D67</f>
        <v>0</v>
      </c>
      <c r="F67" s="673"/>
      <c r="G67" s="673"/>
    </row>
    <row r="68" spans="1:7">
      <c r="A68" s="464" t="s">
        <v>27</v>
      </c>
      <c r="B68" s="356">
        <v>8960</v>
      </c>
      <c r="C68" s="357">
        <f t="shared" ref="C68:C71" si="28">B68</f>
        <v>8960</v>
      </c>
      <c r="D68" s="1239">
        <v>1</v>
      </c>
      <c r="E68" s="1235">
        <f t="shared" ref="E68:E71" si="29">D68</f>
        <v>1</v>
      </c>
      <c r="F68" s="673"/>
      <c r="G68" s="673"/>
    </row>
    <row r="69" spans="1:7">
      <c r="A69" s="464" t="s">
        <v>29</v>
      </c>
      <c r="B69" s="356">
        <v>0</v>
      </c>
      <c r="C69" s="357">
        <f t="shared" si="28"/>
        <v>0</v>
      </c>
      <c r="D69" s="1239">
        <v>0</v>
      </c>
      <c r="E69" s="1235">
        <f t="shared" si="29"/>
        <v>0</v>
      </c>
      <c r="F69" s="673"/>
      <c r="G69" s="673"/>
    </row>
    <row r="70" spans="1:7">
      <c r="A70" s="464" t="s">
        <v>30</v>
      </c>
      <c r="B70" s="356">
        <v>0</v>
      </c>
      <c r="C70" s="357">
        <f t="shared" si="28"/>
        <v>0</v>
      </c>
      <c r="D70" s="1239">
        <v>0</v>
      </c>
      <c r="E70" s="1235">
        <f t="shared" si="29"/>
        <v>0</v>
      </c>
      <c r="F70" s="673"/>
      <c r="G70" s="673"/>
    </row>
    <row r="71" spans="1:7">
      <c r="A71" s="464" t="s">
        <v>979</v>
      </c>
      <c r="B71" s="356">
        <v>0</v>
      </c>
      <c r="C71" s="357">
        <f t="shared" si="28"/>
        <v>0</v>
      </c>
      <c r="D71" s="1239">
        <v>0</v>
      </c>
      <c r="E71" s="1235">
        <f t="shared" si="29"/>
        <v>0</v>
      </c>
      <c r="F71" s="673"/>
      <c r="G71" s="673"/>
    </row>
    <row r="72" spans="1:7" ht="15" thickBot="1">
      <c r="A72" s="480" t="s">
        <v>132</v>
      </c>
      <c r="B72" s="356">
        <v>15000</v>
      </c>
      <c r="C72" s="356">
        <f>B72</f>
        <v>15000</v>
      </c>
      <c r="D72" s="1239">
        <v>1</v>
      </c>
      <c r="E72" s="1235">
        <f>D72</f>
        <v>1</v>
      </c>
      <c r="F72" s="674"/>
      <c r="G72" s="674"/>
    </row>
    <row r="73" spans="1:7" ht="15" thickBot="1">
      <c r="A73" s="651" t="s">
        <v>92</v>
      </c>
      <c r="B73" s="652">
        <f>SUM(B63:B72)</f>
        <v>114543.08</v>
      </c>
      <c r="C73" s="652">
        <f>SUM(C63:C72)</f>
        <v>114543.08</v>
      </c>
      <c r="D73" s="1237">
        <f>SUM(D63:D72)</f>
        <v>9</v>
      </c>
      <c r="E73" s="1237">
        <f>SUM(E63:E72)</f>
        <v>9</v>
      </c>
      <c r="F73" s="653"/>
      <c r="G73" s="654"/>
    </row>
    <row r="74" spans="1:7">
      <c r="A74" s="417" t="s">
        <v>133</v>
      </c>
    </row>
    <row r="75" spans="1:7">
      <c r="A75" s="765" t="s">
        <v>134</v>
      </c>
      <c r="B75" s="353"/>
      <c r="C75" s="353"/>
      <c r="D75" s="353"/>
      <c r="E75" s="353"/>
      <c r="F75" s="353"/>
    </row>
  </sheetData>
  <mergeCells count="4">
    <mergeCell ref="A24:C24"/>
    <mergeCell ref="A60:C60"/>
    <mergeCell ref="K20:M20"/>
    <mergeCell ref="K19:M19"/>
  </mergeCells>
  <pageMargins left="0.7" right="0.7" top="0.75" bottom="0.75" header="0.3" footer="0.3"/>
  <headerFooter>
    <oddFooter>&amp;C_x000D_&amp;1#&amp;"Calibri"&amp;22&amp;K0073CF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7C5BA-481F-4F6D-831C-D8E80BD99BFD}">
  <sheetPr codeName="Sheet11"/>
  <dimension ref="A1:W118"/>
  <sheetViews>
    <sheetView topLeftCell="A41" zoomScale="85" zoomScaleNormal="85" workbookViewId="0">
      <selection activeCell="D61" sqref="D61"/>
    </sheetView>
  </sheetViews>
  <sheetFormatPr defaultRowHeight="14.5"/>
  <cols>
    <col min="1" max="1" width="24.81640625" customWidth="1"/>
    <col min="2" max="2" width="32.453125" customWidth="1"/>
    <col min="3" max="3" width="22.453125" customWidth="1"/>
    <col min="4" max="4" width="22.1796875" customWidth="1"/>
    <col min="5" max="9" width="15.81640625" customWidth="1"/>
    <col min="23" max="23" width="10.54296875" bestFit="1" customWidth="1"/>
  </cols>
  <sheetData>
    <row r="1" spans="1:23" ht="15">
      <c r="A1" s="777" t="s">
        <v>876</v>
      </c>
    </row>
    <row r="2" spans="1:23" ht="15" thickBot="1"/>
    <row r="3" spans="1:23" ht="16">
      <c r="A3" s="772" t="s">
        <v>135</v>
      </c>
      <c r="B3" s="773" t="s">
        <v>136</v>
      </c>
      <c r="C3" s="774" t="s">
        <v>137</v>
      </c>
      <c r="D3" s="773" t="s">
        <v>138</v>
      </c>
    </row>
    <row r="4" spans="1:23" ht="18" customHeight="1">
      <c r="A4" s="510" t="s">
        <v>139</v>
      </c>
      <c r="B4" s="511">
        <v>1417</v>
      </c>
      <c r="C4" s="1189">
        <v>64135</v>
      </c>
      <c r="D4" s="1192">
        <v>2.1619749666056499E-2</v>
      </c>
    </row>
    <row r="5" spans="1:23" ht="18" customHeight="1">
      <c r="A5" s="510" t="s">
        <v>141</v>
      </c>
      <c r="B5" s="511">
        <v>314</v>
      </c>
      <c r="C5" s="1190">
        <v>9312</v>
      </c>
      <c r="D5" s="1192">
        <v>3.2635852592129921E-2</v>
      </c>
    </row>
    <row r="6" spans="1:23" ht="25.5" customHeight="1" thickBot="1">
      <c r="A6" s="512" t="s">
        <v>142</v>
      </c>
      <c r="B6" s="513">
        <v>29016.734</v>
      </c>
      <c r="C6" s="1191">
        <v>1556098.2660000001</v>
      </c>
      <c r="D6" s="1192">
        <v>1.830575949049644E-2</v>
      </c>
    </row>
    <row r="8" spans="1:23" ht="15" thickBot="1"/>
    <row r="9" spans="1:23" ht="41.15" customHeight="1" thickBot="1">
      <c r="A9" s="775" t="s">
        <v>143</v>
      </c>
      <c r="B9" s="773" t="s">
        <v>144</v>
      </c>
      <c r="C9" s="774" t="s">
        <v>145</v>
      </c>
      <c r="D9" s="774" t="s">
        <v>146</v>
      </c>
      <c r="E9" s="774" t="s">
        <v>147</v>
      </c>
      <c r="F9" s="776" t="s">
        <v>138</v>
      </c>
      <c r="G9" s="774" t="s">
        <v>148</v>
      </c>
      <c r="H9" s="774" t="s">
        <v>149</v>
      </c>
      <c r="I9" s="776" t="s">
        <v>150</v>
      </c>
    </row>
    <row r="10" spans="1:23" ht="18" customHeight="1" thickBot="1">
      <c r="A10" s="1312" t="s">
        <v>151</v>
      </c>
      <c r="B10" s="1313"/>
      <c r="C10" s="1313"/>
      <c r="D10" s="1313"/>
      <c r="E10" s="1313"/>
      <c r="F10" s="1313"/>
      <c r="G10" s="1313"/>
      <c r="H10" s="1313"/>
      <c r="I10" s="1314"/>
    </row>
    <row r="11" spans="1:23" ht="16.75" customHeight="1">
      <c r="A11" s="1315" t="s">
        <v>4</v>
      </c>
      <c r="B11" s="460" t="s">
        <v>5</v>
      </c>
      <c r="C11" s="461" t="s">
        <v>152</v>
      </c>
      <c r="D11" s="462" cm="1">
        <f t="array" ref="D11">INDEX(DataEntry[S-P03],MATCH(1, (DataEntry[S-U03]="Tri 2") * ($A$11=DataEntry[S-U04])*($B11=DataEntry[S-U05]),0))</f>
        <v>0</v>
      </c>
      <c r="E11" s="274" cm="1">
        <f t="array" ref="E11">(INDEX(DataEntry[S-P02],MATCH(1, ($A$11=DataEntry[S-U04])*($B11=DataEntry[S-U05]),0)))-(INDEX(DataEntry[S-P03],MATCH(1, ($A$11=DataEntry[S-U04])*($B11=DataEntry[S-U05]),0)))</f>
        <v>4</v>
      </c>
      <c r="F11" s="273">
        <f>IFERROR(D11/(D11+E11),"N/A")</f>
        <v>0</v>
      </c>
      <c r="G11" s="274" cm="1">
        <f t="array" ref="G11">INDEX(DataEntry[S-P05],MATCH(1, (DataEntry[S-U03]="Tri 2") * ($A$11=DataEntry[S-U04])*($B11=DataEntry[S-U05]),0))</f>
        <v>0</v>
      </c>
      <c r="H11" s="274" cm="1">
        <f t="array" ref="H11">(INDEX(DataEntry[S-P04],MATCH(1, (DataEntry[S-U03]="Tri 2") * ($A$11=DataEntry[S-U04])*($B11=DataEntry[S-U05]),0)))-(INDEX(DataEntry[S-P05],MATCH(1, (DataEntry[S-U03]="Tri 2") * ($A$11=DataEntry[S-U04])*($B11=DataEntry[S-U05]),0)))</f>
        <v>4</v>
      </c>
      <c r="I11" s="275">
        <f>IFERROR(G11/(G11+H11),"N/A")</f>
        <v>0</v>
      </c>
    </row>
    <row r="12" spans="1:23" ht="16.75" customHeight="1">
      <c r="A12" s="1316"/>
      <c r="B12" s="460" t="s">
        <v>153</v>
      </c>
      <c r="C12" s="461" t="s">
        <v>152</v>
      </c>
      <c r="D12" s="462" cm="1">
        <f t="array" ref="D12">INDEX(DataEntry[S-P03],MATCH(1, (DataEntry[S-U03]="Tri 2") * ($A$11=DataEntry[S-U04])*($B12=DataEntry[S-U05]),0))</f>
        <v>1</v>
      </c>
      <c r="E12" s="274" cm="1">
        <f t="array" ref="E12">(INDEX(DataEntry[S-P02],MATCH(1, ($A$11=DataEntry[S-U04])*($B12=DataEntry[S-U05]),0)))-(INDEX(DataEntry[S-P03],MATCH(1, ($A$11=DataEntry[S-U04])*($B12=DataEntry[S-U05]),0)))</f>
        <v>4</v>
      </c>
      <c r="F12" s="273">
        <f t="shared" ref="F12:F27" si="0">IFERROR(D12/(D12+E12),"N/A")</f>
        <v>0.2</v>
      </c>
      <c r="G12" s="274" cm="1">
        <f t="array" ref="G12">INDEX(DataEntry[S-P05],MATCH(1, (DataEntry[S-U03]="Tri 2") * ($A$11=DataEntry[S-U04])*($B12=DataEntry[S-U05]),0))</f>
        <v>1</v>
      </c>
      <c r="H12" s="274" cm="1">
        <f t="array" ref="H12">(INDEX(DataEntry[S-P04],MATCH(1, (DataEntry[S-U03]="Tri 2") * ($A$11=DataEntry[S-U04])*($B12=DataEntry[S-U05]),0)))-(INDEX(DataEntry[S-P05],MATCH(1, (DataEntry[S-U03]="Tri 2") * ($A$11=DataEntry[S-U04])*($B12=DataEntry[S-U05]),0)))</f>
        <v>4</v>
      </c>
      <c r="I12" s="275">
        <f t="shared" ref="I12:I27" si="1">IFERROR(G12/(G12+H12),"N/A")</f>
        <v>0.2</v>
      </c>
    </row>
    <row r="13" spans="1:23" ht="16.75" customHeight="1">
      <c r="A13" s="1316"/>
      <c r="B13" s="460" t="s">
        <v>626</v>
      </c>
      <c r="C13" s="461" t="s">
        <v>152</v>
      </c>
      <c r="D13" s="462" cm="1">
        <f t="array" ref="D13">INDEX(DataEntry[S-P03],MATCH(1, (DataEntry[S-U03]="Tri 2") * ($A$11=DataEntry[S-U04])*($B13=DataEntry[S-U05]),0))</f>
        <v>0</v>
      </c>
      <c r="E13" s="274" cm="1">
        <f t="array" ref="E13">(INDEX(DataEntry[S-P02],MATCH(1, ($A$11=DataEntry[S-U04])*($B13=DataEntry[S-U05]),0)))-(INDEX(DataEntry[S-P03],MATCH(1, ($A$11=DataEntry[S-U04])*($B13=DataEntry[S-U05]),0)))</f>
        <v>0</v>
      </c>
      <c r="F13" s="273" t="str">
        <f t="shared" si="0"/>
        <v>N/A</v>
      </c>
      <c r="G13" s="274" cm="1">
        <f t="array" ref="G13">INDEX(DataEntry[S-P05],MATCH(1, (DataEntry[S-U03]="Tri 2") * ($A$11=DataEntry[S-U04])*($B13=DataEntry[S-U05]),0))</f>
        <v>0</v>
      </c>
      <c r="H13" s="274" cm="1">
        <f t="array" ref="H13">(INDEX(DataEntry[S-P04],MATCH(1, (DataEntry[S-U03]="Tri 2") * ($A$11=DataEntry[S-U04])*($B13=DataEntry[S-U05]),0)))-(INDEX(DataEntry[S-P05],MATCH(1, (DataEntry[S-U03]="Tri 2") * ($A$11=DataEntry[S-U04])*($B13=DataEntry[S-U05]),0)))</f>
        <v>0</v>
      </c>
      <c r="I13" s="275" t="str">
        <f t="shared" si="1"/>
        <v>N/A</v>
      </c>
    </row>
    <row r="14" spans="1:23" ht="16.75" customHeight="1">
      <c r="A14" s="1316"/>
      <c r="B14" s="460" t="s">
        <v>154</v>
      </c>
      <c r="C14" s="461" t="s">
        <v>152</v>
      </c>
      <c r="D14" s="462" cm="1">
        <f t="array" ref="D14">INDEX(DataEntry[S-P03],MATCH(1, (DataEntry[S-U03]="Tri 2") * ($A$11=DataEntry[S-U04])*($B14=DataEntry[S-U05]),0))</f>
        <v>3</v>
      </c>
      <c r="E14" s="274" cm="1">
        <f t="array" ref="E14">(INDEX(DataEntry[S-P02],MATCH(1, ($A$11=DataEntry[S-U04])*($B14=DataEntry[S-U05]),0)))-(INDEX(DataEntry[S-P03],MATCH(1, ($A$11=DataEntry[S-U04])*($B14=DataEntry[S-U05]),0)))</f>
        <v>62</v>
      </c>
      <c r="F14" s="273">
        <f t="shared" ref="F14" si="2">IFERROR(D14/(D14+E14),"N/A")</f>
        <v>4.6153846153846156E-2</v>
      </c>
      <c r="G14" s="274" cm="1">
        <f t="array" ref="G14">INDEX(DataEntry[S-P05],MATCH(1, (DataEntry[S-U03]="Tri 2") * ($A$11=DataEntry[S-U04])*($B14=DataEntry[S-U05]),0))</f>
        <v>3</v>
      </c>
      <c r="H14" s="274" cm="1">
        <f t="array" ref="H14">(INDEX(DataEntry[S-P04],MATCH(1, (DataEntry[S-U03]="Tri 2") * ($A$11=DataEntry[S-U04])*($B14=DataEntry[S-U05]),0)))-(INDEX(DataEntry[S-P05],MATCH(1, (DataEntry[S-U03]="Tri 2") * ($A$11=DataEntry[S-U04])*($B14=DataEntry[S-U05]),0)))</f>
        <v>62</v>
      </c>
      <c r="I14" s="275">
        <f t="shared" ref="I14" si="3">IFERROR(G14/(G14+H14),"N/A")</f>
        <v>4.6153846153846156E-2</v>
      </c>
    </row>
    <row r="15" spans="1:23" ht="16.75" customHeight="1">
      <c r="A15" s="1317"/>
      <c r="B15" s="460" t="s">
        <v>962</v>
      </c>
      <c r="C15" s="461" t="s">
        <v>152</v>
      </c>
      <c r="D15" s="462" cm="1">
        <f t="array" ref="D15">INDEX(DataEntry[S-P03],MATCH(1, (DataEntry[S-U03]="Tri 2") * ($A$11=DataEntry[S-U04])*($B15=DataEntry[S-U05]),0))</f>
        <v>0</v>
      </c>
      <c r="E15" s="274" cm="1">
        <f t="array" ref="E15">(INDEX(DataEntry[S-P02],MATCH(1, ($A$11=DataEntry[S-U04])*($B15=DataEntry[S-U05]),0)))-(INDEX(DataEntry[S-P03],MATCH(1, ($A$11=DataEntry[S-U04])*($B15=DataEntry[S-U05]),0)))</f>
        <v>0</v>
      </c>
      <c r="F15" s="273" t="str">
        <f t="shared" si="0"/>
        <v>N/A</v>
      </c>
      <c r="G15" s="274" cm="1">
        <f t="array" ref="G15">INDEX(DataEntry[S-P05],MATCH(1, (DataEntry[S-U03]="Tri 2") * ($A$11=DataEntry[S-U04])*($B15=DataEntry[S-U05]),0))</f>
        <v>0</v>
      </c>
      <c r="H15" s="274" cm="1">
        <f t="array" ref="H15">(INDEX(DataEntry[S-P04],MATCH(1, (DataEntry[S-U03]="Tri 2") * ($A$11=DataEntry[S-U04])*($B15=DataEntry[S-U05]),0)))-(INDEX(DataEntry[S-P05],MATCH(1, (DataEntry[S-U03]="Tri 2") * ($A$11=DataEntry[S-U04])*($B15=DataEntry[S-U05]),0)))</f>
        <v>0</v>
      </c>
      <c r="I15" s="275" t="str">
        <f t="shared" si="1"/>
        <v>N/A</v>
      </c>
    </row>
    <row r="16" spans="1:23" ht="16.75" customHeight="1">
      <c r="A16" s="1318" t="s">
        <v>129</v>
      </c>
      <c r="B16" s="463" t="s">
        <v>155</v>
      </c>
      <c r="C16" s="461" t="s">
        <v>152</v>
      </c>
      <c r="D16" s="462" cm="1">
        <f t="array" ref="D16">INDEX(DataEntry[S-P03],MATCH(1, (DataEntry[S-U03]="Tri 2") * ($A$16=DataEntry[S-U04])*($B16=DataEntry[S-U05]),0))</f>
        <v>0</v>
      </c>
      <c r="E16" s="274" cm="1">
        <f t="array" ref="E16">(INDEX(DataEntry[S-P02],MATCH(1, ($A$16=DataEntry[S-U04])*($B16=DataEntry[S-U05]),0)))-(INDEX(DataEntry[S-P03],MATCH(1, ($A$16=DataEntry[S-U04])*($B16=DataEntry[S-U05]),0)))</f>
        <v>0</v>
      </c>
      <c r="F16" s="273" t="str">
        <f t="shared" si="0"/>
        <v>N/A</v>
      </c>
      <c r="G16" s="274" cm="1">
        <f t="array" ref="G16">INDEX(DataEntry[S-P05],MATCH(1, (DataEntry[S-U03]="Tri 2") * ($A$16=DataEntry[S-U04])*($B16=DataEntry[S-U05]),0))</f>
        <v>0</v>
      </c>
      <c r="H16" s="274" cm="1">
        <f t="array" ref="H16">(INDEX(DataEntry[S-P04],MATCH(1, (DataEntry[S-U03]="Tri 2") * ($A$16=DataEntry[S-U04])*($B16=DataEntry[S-U05]),0)))-(INDEX(DataEntry[S-P05],MATCH(1, (DataEntry[S-U03]="Tri 2") * ($A$16=DataEntry[S-U04])*($B16=DataEntry[S-U05]),0)))</f>
        <v>0</v>
      </c>
      <c r="I16" s="275" t="str">
        <f t="shared" si="1"/>
        <v>N/A</v>
      </c>
      <c r="W16" s="276"/>
    </row>
    <row r="17" spans="1:23" ht="16.75" customHeight="1">
      <c r="A17" s="1316"/>
      <c r="B17" s="463" t="s">
        <v>19</v>
      </c>
      <c r="C17" s="461" t="s">
        <v>152</v>
      </c>
      <c r="D17" s="462" cm="1">
        <f t="array" ref="D17">INDEX(DataEntry[S-P03],MATCH(1, (DataEntry[S-U03]="Tri 2") * ($A$16=DataEntry[S-U04])*($B17=DataEntry[S-U05]),0))</f>
        <v>0</v>
      </c>
      <c r="E17" s="274" cm="1">
        <f t="array" ref="E17">(INDEX(DataEntry[S-P02],MATCH(1, ($A$16=DataEntry[S-U04])*($B17=DataEntry[S-U05]),0)))-(INDEX(DataEntry[S-P03],MATCH(1, ($A$16=DataEntry[S-U04])*($B17=DataEntry[S-U05]),0)))</f>
        <v>18</v>
      </c>
      <c r="F17" s="273">
        <f t="shared" si="0"/>
        <v>0</v>
      </c>
      <c r="G17" s="274" cm="1">
        <f t="array" ref="G17">INDEX(DataEntry[S-P05],MATCH(1, (DataEntry[S-U03]="Tri 2") * ($A$16=DataEntry[S-U04])*($B17=DataEntry[S-U05]),0))</f>
        <v>0</v>
      </c>
      <c r="H17" s="274" cm="1">
        <f t="array" ref="H17">(INDEX(DataEntry[S-P04],MATCH(1, (DataEntry[S-U03]="Tri 2") * ($A$16=DataEntry[S-U04])*($B17=DataEntry[S-U05]),0)))-(INDEX(DataEntry[S-P05],MATCH(1, (DataEntry[S-U03]="Tri 2") * ($A$16=DataEntry[S-U04])*($B17=DataEntry[S-U05]),0)))</f>
        <v>18</v>
      </c>
      <c r="I17" s="275">
        <f t="shared" si="1"/>
        <v>0</v>
      </c>
    </row>
    <row r="18" spans="1:23" ht="16.75" customHeight="1">
      <c r="A18" s="1322" t="s">
        <v>130</v>
      </c>
      <c r="B18" s="463" t="s">
        <v>156</v>
      </c>
      <c r="C18" s="461" t="s">
        <v>152</v>
      </c>
      <c r="D18" s="462" cm="1">
        <f t="array" ref="D18">INDEX(DataEntry[S-P03],MATCH(1, (DataEntry[S-U03]="Tri 2") * ($A$18=DataEntry[S-U04])*($B18=DataEntry[S-U05]),0))</f>
        <v>0</v>
      </c>
      <c r="E18" s="274" cm="1">
        <f t="array" ref="E18">(INDEX(DataEntry[S-P02],MATCH(1, ($A$18=DataEntry[S-U04])*($B18=DataEntry[S-U05]),0)))-(INDEX(DataEntry[S-P03],MATCH(1, ($A$18=DataEntry[S-U04])*($B18=DataEntry[S-U05]),0)))</f>
        <v>0</v>
      </c>
      <c r="F18" s="273" t="str">
        <f t="shared" si="0"/>
        <v>N/A</v>
      </c>
      <c r="G18" s="274" cm="1">
        <f t="array" ref="G18">INDEX(DataEntry[S-P05],MATCH(1, (DataEntry[S-U03]="Tri 2") * ($A$18=DataEntry[S-U04])*($B18=DataEntry[S-U05]),0))</f>
        <v>0</v>
      </c>
      <c r="H18" s="274" cm="1">
        <f t="array" ref="H18">(INDEX(DataEntry[S-P04],MATCH(1, (DataEntry[S-U03]="Tri 2") * ($A$18=DataEntry[S-U04])*($B18=DataEntry[S-U05]),0)))-(INDEX(DataEntry[S-P05],MATCH(1, (DataEntry[S-U03]="Tri 2") * ($A$18=DataEntry[S-U04])*($B18=DataEntry[S-U05]),0)))</f>
        <v>0</v>
      </c>
      <c r="I18" s="275" t="str">
        <f t="shared" si="1"/>
        <v>N/A</v>
      </c>
      <c r="W18" s="276"/>
    </row>
    <row r="19" spans="1:23" ht="16.75" customHeight="1">
      <c r="A19" s="1323"/>
      <c r="B19" s="460" t="s">
        <v>154</v>
      </c>
      <c r="C19" s="461" t="s">
        <v>152</v>
      </c>
      <c r="D19" s="462" cm="1">
        <f t="array" ref="D19">INDEX(DataEntry[S-P03],MATCH(1, (DataEntry[S-U03]="Tri 2") * ($A$18=DataEntry[S-U04])*($B19=DataEntry[S-U05]),0))</f>
        <v>0</v>
      </c>
      <c r="E19" s="274" cm="1">
        <f t="array" ref="E19">(INDEX(DataEntry[S-P02],MATCH(1, ($A$18=DataEntry[S-U04])*($B19=DataEntry[S-U05]),0)))-(INDEX(DataEntry[S-P03],MATCH(1, ($A$18=DataEntry[S-U04])*($B19=DataEntry[S-U05]),0)))</f>
        <v>0</v>
      </c>
      <c r="F19" s="273" t="str">
        <f t="shared" ref="F19" si="4">IFERROR(D19/(D19+E19),"N/A")</f>
        <v>N/A</v>
      </c>
      <c r="G19" s="274" cm="1">
        <f t="array" ref="G19">INDEX(DataEntry[S-P05],MATCH(1, (DataEntry[S-U03]="Tri 2") * ($A$18=DataEntry[S-U04])*($B19=DataEntry[S-U05]),0))</f>
        <v>0</v>
      </c>
      <c r="H19" s="274" cm="1">
        <f t="array" ref="H19">(INDEX(DataEntry[S-P04],MATCH(1, (DataEntry[S-U03]="Tri 2") * ($A$18=DataEntry[S-U04])*($B19=DataEntry[S-U05]),0)))-(INDEX(DataEntry[S-P05],MATCH(1, (DataEntry[S-U03]="Tri 2") * ($A$18=DataEntry[S-U04])*($B19=DataEntry[S-U05]),0)))</f>
        <v>0</v>
      </c>
      <c r="I19" s="275" t="str">
        <f t="shared" ref="I19" si="5">IFERROR(G19/(G19+H19),"N/A")</f>
        <v>N/A</v>
      </c>
      <c r="W19" s="276"/>
    </row>
    <row r="20" spans="1:23" ht="16.75" customHeight="1">
      <c r="A20" s="611" t="s">
        <v>183</v>
      </c>
      <c r="B20" s="460" t="s">
        <v>183</v>
      </c>
      <c r="C20" s="461" t="s">
        <v>152</v>
      </c>
      <c r="D20" s="462" cm="1">
        <f t="array" ref="D20">INDEX(DataEntry[S-P03],MATCH(1, (DataEntry[S-U03]="Tri 2") * ($A$20=DataEntry[S-U04])*1,0))</f>
        <v>691</v>
      </c>
      <c r="E20" s="274" cm="1">
        <f t="array" ref="E20">(INDEX(DataEntry[S-P02],MATCH(1, ($A$20=DataEntry[S-U04])*($B20=DataEntry[S-U05]),0)))-(INDEX(DataEntry[S-P03],MATCH(1, ($A$20=DataEntry[S-U04])*($B20=DataEntry[S-U05]),0)))</f>
        <v>31264</v>
      </c>
      <c r="F20" s="273">
        <f t="shared" si="0"/>
        <v>2.1624158973556563E-2</v>
      </c>
      <c r="G20" s="274" cm="1">
        <f t="array" ref="G20">INDEX(DataEntry[S-P05],MATCH(1, (DataEntry[S-U03]="Tri 2") * ($A$20=DataEntry[S-U04])*1,0))</f>
        <v>691</v>
      </c>
      <c r="H20" s="274" cm="1">
        <f t="array" ref="H20">(INDEX(DataEntry[S-P04],MATCH(1, ($A$20=DataEntry[S-U04])*($B20=DataEntry[S-U05]),0)))-(INDEX(DataEntry[S-P05],MATCH(1, ($A$20=DataEntry[S-U04])*($B20=DataEntry[S-U05]),0)))</f>
        <v>31264</v>
      </c>
      <c r="I20" s="275">
        <f t="shared" si="1"/>
        <v>2.1624158973556563E-2</v>
      </c>
    </row>
    <row r="21" spans="1:23" ht="16.75" customHeight="1">
      <c r="A21" s="509" t="s">
        <v>26</v>
      </c>
      <c r="B21" s="460" t="s">
        <v>27</v>
      </c>
      <c r="C21" s="461" t="s">
        <v>152</v>
      </c>
      <c r="D21" s="462" cm="1">
        <f t="array" ref="D21">INDEX(DataEntry[S-P03],MATCH(1, (DataEntry[S-U03]="Tri 2") * (DataEntry[S-U03]="Tri 2")*($B21=DataEntry[S-U04]),0))</f>
        <v>0</v>
      </c>
      <c r="E21" s="274" cm="1">
        <f t="array" ref="E21">(INDEX(DataEntry[S-P02],MATCH(1, (DataEntry[S-U03]="Tri 2")*($B21=DataEntry[S-U04]),0)))-(INDEX(DataEntry[S-P03],MATCH(1, (DataEntry[S-U03]="Tri 2")*($B21=DataEntry[S-U04]),0)))</f>
        <v>0</v>
      </c>
      <c r="F21" s="273" t="str">
        <f t="shared" si="0"/>
        <v>N/A</v>
      </c>
      <c r="G21" s="274" cm="1">
        <f t="array" ref="G21">INDEX(DataEntry[S-P05],MATCH(1, (DataEntry[S-U03]="Tri 2") * (DataEntry[S-U03]="Tri 2")*($B21=DataEntry[S-U04]),0))</f>
        <v>0</v>
      </c>
      <c r="H21" s="274" cm="1">
        <f t="array" ref="H21">(INDEX(DataEntry[S-P04],MATCH(1, (DataEntry[S-U03]="Tri 2")*($B21=DataEntry[S-U04]),0)))-(INDEX(DataEntry[S-P05],MATCH(1, (DataEntry[S-U03]="Tri 2")*($B21=DataEntry[S-U04]),0)))</f>
        <v>0</v>
      </c>
      <c r="I21" s="275" t="str">
        <f t="shared" si="1"/>
        <v>N/A</v>
      </c>
    </row>
    <row r="22" spans="1:23" ht="16.75" customHeight="1">
      <c r="A22" s="611" t="s">
        <v>30</v>
      </c>
      <c r="B22" s="463" t="s">
        <v>30</v>
      </c>
      <c r="C22" s="461" t="s">
        <v>152</v>
      </c>
      <c r="D22" s="462" cm="1">
        <f t="array" ref="D22">INDEX(DataEntry[S-P03],MATCH(1, (DataEntry[S-U03]="Tri 2") * (DataEntry[S-U03]="Tri 2")*($B22=DataEntry[S-U04]),0))</f>
        <v>0</v>
      </c>
      <c r="E22" s="274" cm="1">
        <f t="array" ref="E22">(INDEX(DataEntry[S-P02],MATCH(1, (DataEntry[S-U03]="Tri 2")*($B22=DataEntry[S-U04]),0)))-(INDEX(DataEntry[S-P03],MATCH(1, (DataEntry[S-U03]="Tri 2")*($B22=DataEntry[S-U04]),0)))</f>
        <v>0</v>
      </c>
      <c r="F22" s="273" t="str">
        <f t="shared" si="0"/>
        <v>N/A</v>
      </c>
      <c r="G22" s="274" cm="1">
        <f t="array" ref="G22">INDEX(DataEntry[S-P05],MATCH(1, (DataEntry[S-U03]="Tri 2") * (DataEntry[S-U03]="Tri 2")*($B22=DataEntry[S-U04]),0))</f>
        <v>0</v>
      </c>
      <c r="H22" s="274" cm="1">
        <f t="array" ref="H22">(INDEX(DataEntry[S-P04],MATCH(1, (DataEntry[S-U03]="Tri 2")*($B22=DataEntry[S-U04]),0)))-(INDEX(DataEntry[S-P05],MATCH(1, (DataEntry[S-U03]="Tri 2")*($B22=DataEntry[S-U04]),0)))</f>
        <v>0</v>
      </c>
      <c r="I22" s="275" t="str">
        <f t="shared" si="1"/>
        <v>N/A</v>
      </c>
    </row>
    <row r="23" spans="1:23" ht="16.75" customHeight="1">
      <c r="A23" s="1319" t="s">
        <v>29</v>
      </c>
      <c r="B23" s="460" t="s">
        <v>29</v>
      </c>
      <c r="C23" s="461" t="s">
        <v>152</v>
      </c>
      <c r="D23" s="462" cm="1">
        <f t="array" ref="D23">INDEX(DataEntry[S-P03],MATCH(1, (DataEntry[S-U03]="Tri 2") * ($A$23=DataEntry[S-U04])*($B23=DataEntry[S-U05]),0))</f>
        <v>0</v>
      </c>
      <c r="E23" s="274" cm="1">
        <f t="array" ref="E23">(INDEX(DataEntry[S-P02],MATCH(1, (DataEntry[S-U03]="Tri 2")*($A$23=DataEntry[S-U04])*($B23=DataEntry[S-U05]),0)))-(INDEX(DataEntry[S-P03],MATCH(1, (DataEntry[S-U03]="Tri 2")*($A$23=DataEntry[S-U04])*($B23=DataEntry[S-U05]),0)))</f>
        <v>0</v>
      </c>
      <c r="F23" s="273" t="str">
        <f t="shared" si="0"/>
        <v>N/A</v>
      </c>
      <c r="G23" s="274" cm="1">
        <f t="array" ref="G23">INDEX(DataEntry[S-P05],MATCH(1, (DataEntry[S-U03]="Tri 2") * ($A$23=DataEntry[S-U04])*($B23=DataEntry[S-U05]),0))</f>
        <v>0</v>
      </c>
      <c r="H23" s="274" cm="1">
        <f t="array" ref="H23">(INDEX(DataEntry[S-P04],MATCH(1, (DataEntry[S-U03]="Tri 2") * ($A$23=DataEntry[S-U04])*($B23=DataEntry[S-U05]),0)))-(INDEX(DataEntry[S-P05],MATCH(1, (DataEntry[S-U03]="Tri 2") * ($A$23=DataEntry[S-U04])*($B23=DataEntry[S-U05]),0)))</f>
        <v>0</v>
      </c>
      <c r="I23" s="275" t="str">
        <f t="shared" si="1"/>
        <v>N/A</v>
      </c>
    </row>
    <row r="24" spans="1:23" ht="16.75" customHeight="1">
      <c r="A24" s="1320"/>
      <c r="B24" s="460" t="s">
        <v>963</v>
      </c>
      <c r="C24" s="461" t="s">
        <v>152</v>
      </c>
      <c r="D24" s="462" cm="1">
        <f t="array" ref="D24">INDEX(DataEntry[S-P03],MATCH(1, (DataEntry[S-U03]="Tri 2") * ($A$23=DataEntry[S-U04])*($B24=DataEntry[S-U05]),0))</f>
        <v>0</v>
      </c>
      <c r="E24" s="274" cm="1">
        <f t="array" ref="E24">(INDEX(DataEntry[S-P02],MATCH(1, (DataEntry[S-U03]="Tri 2")*($A$23=DataEntry[S-U04])*($B24=DataEntry[S-U05]),0)))-(INDEX(DataEntry[S-P03],MATCH(1, (DataEntry[S-U03]="Tri 2")*($A$23=DataEntry[S-U04])*($B24=DataEntry[S-U05]),0)))</f>
        <v>0</v>
      </c>
      <c r="F24" s="273" t="str">
        <f t="shared" ref="F24:F25" si="6">IFERROR(D24/(D24+E24),"N/A")</f>
        <v>N/A</v>
      </c>
      <c r="G24" s="274" cm="1">
        <f t="array" ref="G24">INDEX(DataEntry[S-P05],MATCH(1, (DataEntry[S-U03]="Tri 2") * ($A$23=DataEntry[S-U04])*($B24=DataEntry[S-U05]),0))</f>
        <v>0</v>
      </c>
      <c r="H24" s="274" cm="1">
        <f t="array" ref="H24">(INDEX(DataEntry[S-P04],MATCH(1, (DataEntry[S-U03]="Tri 2") * ($A$23=DataEntry[S-U04])*($B24=DataEntry[S-U05]),0)))-(INDEX(DataEntry[S-P05],MATCH(1, (DataEntry[S-U03]="Tri 2") * ($A$23=DataEntry[S-U04])*($B24=DataEntry[S-U05]),0)))</f>
        <v>0</v>
      </c>
      <c r="I24" s="275" t="str">
        <f t="shared" ref="I24:I25" si="7">IFERROR(G24/(G24+H24),"N/A")</f>
        <v>N/A</v>
      </c>
    </row>
    <row r="25" spans="1:23" ht="16.75" customHeight="1">
      <c r="A25" s="1321"/>
      <c r="B25" s="460" t="s">
        <v>964</v>
      </c>
      <c r="C25" s="461" t="s">
        <v>152</v>
      </c>
      <c r="D25" s="462" cm="1">
        <f t="array" ref="D25">INDEX(DataEntry[S-P03],MATCH(1, (DataEntry[S-U03]="Tri 2") * ($A$23=DataEntry[S-U04])*($B25=DataEntry[S-U05]),0))</f>
        <v>0</v>
      </c>
      <c r="E25" s="274" cm="1">
        <f t="array" ref="E25">(INDEX(DataEntry[S-P02],MATCH(1, (DataEntry[S-U03]="Tri 2")*($A$23=DataEntry[S-U04])*($B25=DataEntry[S-U05]),0)))-(INDEX(DataEntry[S-P03],MATCH(1, (DataEntry[S-U03]="Tri 2")*($A$23=DataEntry[S-U04])*($B25=DataEntry[S-U05]),0)))</f>
        <v>0</v>
      </c>
      <c r="F25" s="273" t="str">
        <f t="shared" si="6"/>
        <v>N/A</v>
      </c>
      <c r="G25" s="274" cm="1">
        <f t="array" ref="G25">INDEX(DataEntry[S-P05],MATCH(1, (DataEntry[S-U03]="Tri 2") * ($A$23=DataEntry[S-U04])*($B25=DataEntry[S-U05]),0))</f>
        <v>0</v>
      </c>
      <c r="H25" s="274" cm="1">
        <f t="array" ref="H25">(INDEX(DataEntry[S-P04],MATCH(1, (DataEntry[S-U03]="Tri 2") * ($A$23=DataEntry[S-U04])*($B25=DataEntry[S-U05]),0)))-(INDEX(DataEntry[S-P05],MATCH(1, (DataEntry[S-U03]="Tri 2") * ($A$23=DataEntry[S-U04])*($B25=DataEntry[S-U05]),0)))</f>
        <v>0</v>
      </c>
      <c r="I25" s="275" t="str">
        <f t="shared" si="7"/>
        <v>N/A</v>
      </c>
    </row>
    <row r="26" spans="1:23" ht="16.75" customHeight="1">
      <c r="A26" s="1318" t="s">
        <v>131</v>
      </c>
      <c r="B26" s="460" t="s">
        <v>629</v>
      </c>
      <c r="C26" s="461" t="s">
        <v>157</v>
      </c>
      <c r="D26" s="462" cm="1">
        <f t="array" ref="D26">INDEX(DataEntry[S-P03],MATCH(1, (DataEntry[S-U03]="Tri 2") * ((DataEntry[S-U03]="Tri 2")*($A$26=DataEntry[S-U04])*($B26=DataEntry[S-U05])),0))</f>
        <v>0</v>
      </c>
      <c r="E26" s="274" cm="1">
        <f t="array" ref="E26">(INDEX(DataEntry[S-P02],MATCH(1, ((DataEntry[S-U03]="Tri 2")*($A$26=DataEntry[S-U04])*($B26=DataEntry[S-U05])),0)))-(INDEX(DataEntry[S-P03],MATCH(1, ((DataEntry[S-U03]="Tri 2")*($A$26=DataEntry[S-U04])*($B26=DataEntry[S-U05])),0)))</f>
        <v>0</v>
      </c>
      <c r="F26" s="273" t="str">
        <f t="shared" si="0"/>
        <v>N/A</v>
      </c>
      <c r="G26" s="274" cm="1">
        <f t="array" ref="G26">INDEX(DataEntry[S-P05],MATCH(1, (DataEntry[S-U03]="Tri 2") * ((DataEntry[S-U03]="Tri 2")*($A$26=DataEntry[S-U04])*($B26=DataEntry[S-U05])),0))</f>
        <v>0</v>
      </c>
      <c r="H26" s="274" cm="1">
        <f t="array" ref="H26">(INDEX(DataEntry[S-P04],MATCH(1, ((DataEntry[S-U03]="Tri 2")*($A$26=DataEntry[S-U04])*($B26=DataEntry[S-U05])),0)))-(INDEX(DataEntry[S-P05],MATCH(1, ((DataEntry[S-U03]="Tri 2")*($A$26=DataEntry[S-U04])*($B26=DataEntry[S-U05])),0)))</f>
        <v>0</v>
      </c>
      <c r="I26" s="275" t="str">
        <f t="shared" si="1"/>
        <v>N/A</v>
      </c>
    </row>
    <row r="27" spans="1:23" ht="16.75" customHeight="1">
      <c r="A27" s="1317"/>
      <c r="B27" s="460" t="s">
        <v>29</v>
      </c>
      <c r="C27" s="461" t="s">
        <v>152</v>
      </c>
      <c r="D27" s="462" cm="1">
        <f t="array" ref="D27">INDEX(DataEntry[S-P03],MATCH(1, (DataEntry[S-U03]="Tri 2") * ((DataEntry[S-U03]="Tri 2")*($A$26=DataEntry[S-U04])*($B27=DataEntry[S-U05])),0))</f>
        <v>0</v>
      </c>
      <c r="E27" s="274" cm="1">
        <f t="array" ref="E27">(INDEX(DataEntry[S-P02],MATCH(1, ((DataEntry[S-U03]="Tri 2")*($A$26=DataEntry[S-U04])*($B27=DataEntry[S-U05])),0)))-(INDEX(DataEntry[S-P03],MATCH(1, ((DataEntry[S-U03]="Tri 2")*($A$26=DataEntry[S-U04])*($B27=DataEntry[S-U05])),0)))</f>
        <v>0</v>
      </c>
      <c r="F27" s="273" t="str">
        <f t="shared" si="0"/>
        <v>N/A</v>
      </c>
      <c r="G27" s="274" cm="1">
        <f t="array" ref="G27">INDEX(DataEntry[S-P05],MATCH(1, (DataEntry[S-U03]="Tri 2") * ((DataEntry[S-U03]="Tri 2")*($A$26=DataEntry[S-U04])*($B27=DataEntry[S-U05])),0))</f>
        <v>0</v>
      </c>
      <c r="H27" s="274" cm="1">
        <f t="array" ref="H27">(INDEX(DataEntry[S-P04],MATCH(1, ((DataEntry[S-U03]="Tri 2")*($A$26=DataEntry[S-U04])*($B27=DataEntry[S-U05])),0)))-(INDEX(DataEntry[S-P05],MATCH(1, ((DataEntry[S-U03]="Tri 2")*($A$26=DataEntry[S-U04])*($B27=DataEntry[S-U05])),0)))</f>
        <v>0</v>
      </c>
      <c r="I27" s="275" t="str">
        <f t="shared" si="1"/>
        <v>N/A</v>
      </c>
    </row>
    <row r="28" spans="1:23" ht="16.75" customHeight="1">
      <c r="A28" s="1303" t="s">
        <v>159</v>
      </c>
      <c r="B28" s="1304"/>
      <c r="C28" s="1305"/>
      <c r="D28" s="274">
        <f>IFERROR(SUM(D11:D20,D21:D27),"N/A")</f>
        <v>695</v>
      </c>
      <c r="E28" s="274">
        <f>IFERROR(SUM(E11:E16,E17:E27),"N/A")</f>
        <v>31352</v>
      </c>
      <c r="F28" s="273">
        <f>IFERROR(D28/(D28+E28), "N/A")</f>
        <v>2.1686897369488565E-2</v>
      </c>
      <c r="G28" s="274">
        <f>IFERROR(SUM(G11:G20,G21:G27),"N/A")</f>
        <v>695</v>
      </c>
      <c r="H28" s="274">
        <f>IFERROR(SUM(H11:H16,H17:H27),"N/A")</f>
        <v>31352</v>
      </c>
      <c r="I28" s="275">
        <f>IFERROR(G28/(G28+H28), "N/A")</f>
        <v>2.1686897369488565E-2</v>
      </c>
    </row>
    <row r="29" spans="1:23" ht="16.75" customHeight="1" thickBot="1">
      <c r="A29" s="1309" t="s">
        <v>160</v>
      </c>
      <c r="B29" s="1310"/>
      <c r="C29" s="1311"/>
      <c r="D29" s="278">
        <f>IFERROR(SUM(D28:D28),"N/A")</f>
        <v>695</v>
      </c>
      <c r="E29" s="278">
        <f>IFERROR(SUM(E28:E28),"N/A")</f>
        <v>31352</v>
      </c>
      <c r="F29" s="277">
        <f>IFERROR(D29/(D29+E29), "N/A")</f>
        <v>2.1686897369488565E-2</v>
      </c>
      <c r="G29" s="278">
        <f>IFERROR(SUM(G28:G28),"N/A")</f>
        <v>695</v>
      </c>
      <c r="H29" s="278">
        <f>IFERROR(SUM(H28:H28),"N/A")</f>
        <v>31352</v>
      </c>
      <c r="I29" s="279">
        <f>IFERROR(G29/(G29+H29), "N/A")</f>
        <v>2.1686897369488565E-2</v>
      </c>
    </row>
    <row r="30" spans="1:23" ht="18" customHeight="1" thickBot="1">
      <c r="A30" s="1312" t="s">
        <v>928</v>
      </c>
      <c r="B30" s="1313"/>
      <c r="C30" s="1313"/>
      <c r="D30" s="1313"/>
      <c r="E30" s="1313"/>
      <c r="F30" s="1313"/>
      <c r="G30" s="1313"/>
      <c r="H30" s="1313"/>
      <c r="I30" s="1314"/>
    </row>
    <row r="31" spans="1:23" ht="16.75" customHeight="1">
      <c r="A31" s="1315" t="s">
        <v>4</v>
      </c>
      <c r="B31" s="460" t="s">
        <v>5</v>
      </c>
      <c r="C31" s="461" t="s">
        <v>152</v>
      </c>
      <c r="D31" s="462" cm="1">
        <f t="array" ref="D31">INDEX(DataEntry[E-E04],MATCH(1, ($A$11=DataEntry[S-U04])*($B31=DataEntry[S-U05]),0))</f>
        <v>0</v>
      </c>
      <c r="E31" s="274" cm="1">
        <f t="array" ref="E31">(INDEX(DataEntry[E-E02],MATCH(1, ($A$11=DataEntry[S-U04])*($B31=DataEntry[S-U05]),0)))-(INDEX(DataEntry[E-E04],MATCH(1, ($A$11=DataEntry[S-U04])*($B31=DataEntry[S-U05]),0)))</f>
        <v>1.2589999999999999</v>
      </c>
      <c r="F31" s="273">
        <f>IFERROR(D31/(D31+E31),"N/A")</f>
        <v>0</v>
      </c>
      <c r="G31" s="274" cm="1">
        <f t="array" ref="G31">INDEX(DataEntry[E-E09],MATCH(1, ($A$11=DataEntry[S-U04])*($B31=DataEntry[S-U05]),0))</f>
        <v>0</v>
      </c>
      <c r="H31" s="274" cm="1">
        <f t="array" ref="H31">(INDEX(DataEntry[E-E06],MATCH(1, ($A$11=DataEntry[S-U04])*($B31=DataEntry[S-U05]),0)))-(INDEX(DataEntry[E-E09],MATCH(1, ($A$11=DataEntry[S-U04])*($B31=DataEntry[S-U05]),0)))</f>
        <v>1.2589999999999999</v>
      </c>
      <c r="I31" s="275">
        <f>IFERROR(G31/(G31+H31),"N/A")</f>
        <v>0</v>
      </c>
    </row>
    <row r="32" spans="1:23" ht="16.75" customHeight="1">
      <c r="A32" s="1316"/>
      <c r="B32" s="460" t="s">
        <v>153</v>
      </c>
      <c r="C32" s="461" t="s">
        <v>152</v>
      </c>
      <c r="D32" s="462" cm="1">
        <f t="array" ref="D32">INDEX(DataEntry[E-E04],MATCH(1, ($A$11=DataEntry[S-U04])*($B32=DataEntry[S-U05]),0))</f>
        <v>0.217</v>
      </c>
      <c r="E32" s="274" cm="1">
        <f t="array" ref="E32">(INDEX(DataEntry[E-E02],MATCH(1, ($A$11=DataEntry[S-U04])*($B32=DataEntry[S-U05]),0)))-(INDEX(DataEntry[E-E04],MATCH(1, ($A$11=DataEntry[S-U04])*($B32=DataEntry[S-U05]),0)))</f>
        <v>0.47699999999999998</v>
      </c>
      <c r="F32" s="273">
        <f t="shared" ref="F32:F47" si="8">IFERROR(D32/(D32+E32),"N/A")</f>
        <v>0.31268011527377526</v>
      </c>
      <c r="G32" s="274" cm="1">
        <f t="array" ref="G32">INDEX(DataEntry[E-E09],MATCH(1, ($A$11=DataEntry[S-U04])*($B32=DataEntry[S-U05]),0))</f>
        <v>0.217</v>
      </c>
      <c r="H32" s="274" cm="1">
        <f t="array" ref="H32">(INDEX(DataEntry[E-E06],MATCH(1, ($A$11=DataEntry[S-U04])*($B32=DataEntry[S-U05]),0)))-(INDEX(DataEntry[E-E09],MATCH(1, ($A$11=DataEntry[S-U04])*($B32=DataEntry[S-U05]),0)))</f>
        <v>0.47699999999999998</v>
      </c>
      <c r="I32" s="275">
        <f t="shared" ref="I32:I47" si="9">IFERROR(G32/(G32+H32),"N/A")</f>
        <v>0.31268011527377526</v>
      </c>
    </row>
    <row r="33" spans="1:9" ht="16.75" customHeight="1">
      <c r="A33" s="1316"/>
      <c r="B33" s="460" t="s">
        <v>626</v>
      </c>
      <c r="C33" s="461" t="s">
        <v>152</v>
      </c>
      <c r="D33" s="462" cm="1">
        <f t="array" ref="D33">INDEX(DataEntry[E-E04],MATCH(1, ($A$11=DataEntry[S-U04])*($B33=DataEntry[S-U05]),0))</f>
        <v>0</v>
      </c>
      <c r="E33" s="274" cm="1">
        <f t="array" ref="E33">(INDEX(DataEntry[E-E02],MATCH(1, ($A$11=DataEntry[S-U04])*($B33=DataEntry[S-U05]),0)))-(INDEX(DataEntry[E-E04],MATCH(1, ($A$11=DataEntry[S-U04])*($B33=DataEntry[S-U05]),0)))</f>
        <v>0</v>
      </c>
      <c r="F33" s="273" t="str">
        <f t="shared" si="8"/>
        <v>N/A</v>
      </c>
      <c r="G33" s="274" cm="1">
        <f t="array" ref="G33">INDEX(DataEntry[E-E09],MATCH(1, ($A$11=DataEntry[S-U04])*($B33=DataEntry[S-U05]),0))</f>
        <v>0</v>
      </c>
      <c r="H33" s="274" cm="1">
        <f t="array" ref="H33">(INDEX(DataEntry[E-E06],MATCH(1, ($A$11=DataEntry[S-U04])*($B33=DataEntry[S-U05]),0)))-(INDEX(DataEntry[E-E09],MATCH(1, ($A$11=DataEntry[S-U04])*($B33=DataEntry[S-U05]),0)))</f>
        <v>0</v>
      </c>
      <c r="I33" s="275" t="str">
        <f t="shared" si="9"/>
        <v>N/A</v>
      </c>
    </row>
    <row r="34" spans="1:9" ht="16.75" customHeight="1">
      <c r="A34" s="1316"/>
      <c r="B34" s="460" t="s">
        <v>154</v>
      </c>
      <c r="C34" s="461" t="s">
        <v>152</v>
      </c>
      <c r="D34" s="462" cm="1">
        <f t="array" ref="D34">INDEX(DataEntry[E-E04],MATCH(1, ($A$11=DataEntry[S-U04])*($B34=DataEntry[S-U05]),0))</f>
        <v>0.35099999999999998</v>
      </c>
      <c r="E34" s="274" cm="1">
        <f t="array" ref="E34">(INDEX(DataEntry[E-E02],MATCH(1, ($A$11=DataEntry[S-U04])*($B34=DataEntry[S-U05]),0)))-(INDEX(DataEntry[E-E04],MATCH(1, ($A$11=DataEntry[S-U04])*($B34=DataEntry[S-U05]),0)))</f>
        <v>6.9489999999999998</v>
      </c>
      <c r="F34" s="273">
        <f t="shared" ref="F34" si="10">IFERROR(D34/(D34+E34),"N/A")</f>
        <v>4.8082191780821917E-2</v>
      </c>
      <c r="G34" s="274" cm="1">
        <f t="array" ref="G34">INDEX(DataEntry[E-E09],MATCH(1, ($A$11=DataEntry[S-U04])*($B34=DataEntry[S-U05]),0))</f>
        <v>0.35099999999999998</v>
      </c>
      <c r="H34" s="274" cm="1">
        <f t="array" ref="H34">(INDEX(DataEntry[E-E06],MATCH(1, ($A$11=DataEntry[S-U04])*($B34=DataEntry[S-U05]),0)))-(INDEX(DataEntry[E-E09],MATCH(1, ($A$11=DataEntry[S-U04])*($B34=DataEntry[S-U05]),0)))</f>
        <v>6.9489999999999998</v>
      </c>
      <c r="I34" s="275">
        <f t="shared" ref="I34" si="11">IFERROR(G34/(G34+H34),"N/A")</f>
        <v>4.8082191780821917E-2</v>
      </c>
    </row>
    <row r="35" spans="1:9" ht="16.75" customHeight="1">
      <c r="A35" s="1317"/>
      <c r="B35" s="460" t="s">
        <v>962</v>
      </c>
      <c r="C35" s="461" t="s">
        <v>152</v>
      </c>
      <c r="D35" s="462" cm="1">
        <f t="array" ref="D35">INDEX(DataEntry[E-E04],MATCH(1, ($A$11=DataEntry[S-U04])*($B35=DataEntry[S-U05]),0))</f>
        <v>0</v>
      </c>
      <c r="E35" s="274" cm="1">
        <f t="array" ref="E35">(INDEX(DataEntry[E-E02],MATCH(1, ($A$11=DataEntry[S-U04])*($B35=DataEntry[S-U05]),0)))-(INDEX(DataEntry[E-E04],MATCH(1, ($A$11=DataEntry[S-U04])*($B35=DataEntry[S-U05]),0)))</f>
        <v>0</v>
      </c>
      <c r="F35" s="273" t="str">
        <f t="shared" si="8"/>
        <v>N/A</v>
      </c>
      <c r="G35" s="274" cm="1">
        <f t="array" ref="G35">INDEX(DataEntry[E-E09],MATCH(1, ($A$11=DataEntry[S-U04])*($B35=DataEntry[S-U05]),0))</f>
        <v>0</v>
      </c>
      <c r="H35" s="274" cm="1">
        <f t="array" ref="H35">(INDEX(DataEntry[E-E06],MATCH(1, ($A$11=DataEntry[S-U04])*($B35=DataEntry[S-U05]),0)))-(INDEX(DataEntry[E-E09],MATCH(1, ($A$11=DataEntry[S-U04])*($B35=DataEntry[S-U05]),0)))</f>
        <v>0</v>
      </c>
      <c r="I35" s="275" t="str">
        <f t="shared" si="9"/>
        <v>N/A</v>
      </c>
    </row>
    <row r="36" spans="1:9" ht="16.75" customHeight="1">
      <c r="A36" s="1318" t="s">
        <v>129</v>
      </c>
      <c r="B36" s="463" t="s">
        <v>155</v>
      </c>
      <c r="C36" s="461" t="s">
        <v>152</v>
      </c>
      <c r="D36" s="462" cm="1">
        <f t="array" ref="D36">INDEX(DataEntry[E-E04],MATCH(1, ($A$16=DataEntry[S-U04])*($B36=DataEntry[S-U05]),0))</f>
        <v>0</v>
      </c>
      <c r="E36" s="274" cm="1">
        <f t="array" ref="E36">(INDEX(DataEntry[E-E02],MATCH(1, ($A$16=DataEntry[S-U04])*($B36=DataEntry[S-U05]),0)))-(INDEX(DataEntry[E-E04],MATCH(1, ($A$16=DataEntry[S-U04])*($B36=DataEntry[S-U05]),0)))</f>
        <v>0</v>
      </c>
      <c r="F36" s="273" t="str">
        <f t="shared" si="8"/>
        <v>N/A</v>
      </c>
      <c r="G36" s="274" cm="1">
        <f t="array" ref="G36">INDEX(DataEntry[E-E09],MATCH(1, ($A$16=DataEntry[S-U04])*($B36=DataEntry[S-U05]),0))</f>
        <v>0</v>
      </c>
      <c r="H36" s="274" cm="1">
        <f t="array" ref="H36">(INDEX(DataEntry[E-E06],MATCH(1, ($A$16=DataEntry[S-U04])*($B36=DataEntry[S-U05]),0)))-(INDEX(DataEntry[E-E09],MATCH(1, ($A$16=DataEntry[S-U04])*($B36=DataEntry[S-U05]),0)))</f>
        <v>0</v>
      </c>
      <c r="I36" s="275" t="str">
        <f t="shared" si="9"/>
        <v>N/A</v>
      </c>
    </row>
    <row r="37" spans="1:9" ht="16.75" customHeight="1">
      <c r="A37" s="1316"/>
      <c r="B37" s="463" t="s">
        <v>19</v>
      </c>
      <c r="C37" s="461" t="s">
        <v>152</v>
      </c>
      <c r="D37" s="462" cm="1">
        <f t="array" ref="D37">INDEX(DataEntry[E-E04],MATCH(1, ($A$16=DataEntry[S-U04])*($B37=DataEntry[S-U05]),0))</f>
        <v>0</v>
      </c>
      <c r="E37" s="274" cm="1">
        <f t="array" ref="E37">(INDEX(DataEntry[E-E02],MATCH(1, ($A$16=DataEntry[S-U04])*($B37=DataEntry[S-U05]),0)))-(INDEX(DataEntry[E-E04],MATCH(1, ($A$16=DataEntry[S-U04])*($B37=DataEntry[S-U05]),0)))</f>
        <v>6.9</v>
      </c>
      <c r="F37" s="273">
        <f t="shared" si="8"/>
        <v>0</v>
      </c>
      <c r="G37" s="274" cm="1">
        <f t="array" ref="G37">INDEX(DataEntry[E-E09],MATCH(1, ($A$16=DataEntry[S-U04])*($B37=DataEntry[S-U05]),0))</f>
        <v>0</v>
      </c>
      <c r="H37" s="274" cm="1">
        <f t="array" ref="H37">(INDEX(DataEntry[E-E06],MATCH(1, ($A$16=DataEntry[S-U04])*($B37=DataEntry[S-U05]),0)))-(INDEX(DataEntry[E-E09],MATCH(1, ($A$16=DataEntry[S-U04])*($B37=DataEntry[S-U05]),0)))</f>
        <v>6.9</v>
      </c>
      <c r="I37" s="275">
        <f t="shared" si="9"/>
        <v>0</v>
      </c>
    </row>
    <row r="38" spans="1:9" ht="16.75" customHeight="1">
      <c r="A38" s="1319" t="s">
        <v>130</v>
      </c>
      <c r="B38" s="463" t="s">
        <v>156</v>
      </c>
      <c r="C38" s="461" t="s">
        <v>152</v>
      </c>
      <c r="D38" s="462" cm="1">
        <f t="array" ref="D38">INDEX(DataEntry[E-E04],MATCH(1, ($A$38=DataEntry[S-U04])*($B38=DataEntry[S-U05]),0))</f>
        <v>0</v>
      </c>
      <c r="E38" s="274" cm="1">
        <f t="array" ref="E38">(INDEX(DataEntry[E-E02],MATCH(1, ($A$38=DataEntry[S-U04])*($B38=DataEntry[S-U05]),0)))-(INDEX(DataEntry[E-E04],MATCH(1, ($A$38=DataEntry[S-U04])*($B38=DataEntry[S-U05]),0)))</f>
        <v>0</v>
      </c>
      <c r="F38" s="273" t="str">
        <f t="shared" si="8"/>
        <v>N/A</v>
      </c>
      <c r="G38" s="274" cm="1">
        <f t="array" ref="G38">INDEX(DataEntry[E-E09],MATCH(1, ($A$38=DataEntry[S-U04])*($B38=DataEntry[S-U05]),0))</f>
        <v>0</v>
      </c>
      <c r="H38" s="274" cm="1">
        <f t="array" ref="H38">(INDEX(DataEntry[E-E06],MATCH(1, ($A$38=DataEntry[S-U04])*($B38=DataEntry[S-U05]),0)))-(INDEX(DataEntry[E-E09],MATCH(1, ($A$38=DataEntry[S-U04])*($B38=DataEntry[S-U05]),0)))</f>
        <v>0</v>
      </c>
      <c r="I38" s="275" t="str">
        <f t="shared" si="9"/>
        <v>N/A</v>
      </c>
    </row>
    <row r="39" spans="1:9" ht="16.75" customHeight="1">
      <c r="A39" s="1321"/>
      <c r="B39" s="460" t="s">
        <v>154</v>
      </c>
      <c r="C39" s="461" t="s">
        <v>152</v>
      </c>
      <c r="D39" s="462" cm="1">
        <f t="array" ref="D39">INDEX(DataEntry[E-E04],MATCH(1, ($A$38=DataEntry[S-U04])*($B39=DataEntry[S-U05]),0))</f>
        <v>0</v>
      </c>
      <c r="E39" s="274" cm="1">
        <f t="array" ref="E39">(INDEX(DataEntry[E-E02],MATCH(1, ($A$38=DataEntry[S-U04])*($B39=DataEntry[S-U05]),0)))-(INDEX(DataEntry[E-E04],MATCH(1, ($A$38=DataEntry[S-U04])*($B39=DataEntry[S-U05]),0)))</f>
        <v>0</v>
      </c>
      <c r="F39" s="273" t="str">
        <f t="shared" ref="F39" si="12">IFERROR(D39/(D39+E39),"N/A")</f>
        <v>N/A</v>
      </c>
      <c r="G39" s="274" cm="1">
        <f t="array" ref="G39">INDEX(DataEntry[E-E09],MATCH(1, ($A$38=DataEntry[S-U04])*($B39=DataEntry[S-U05]),0))</f>
        <v>0</v>
      </c>
      <c r="H39" s="274" cm="1">
        <f t="array" ref="H39">(INDEX(DataEntry[E-E06],MATCH(1, ($A$38=DataEntry[S-U04])*($B39=DataEntry[S-U05]),0)))-(INDEX(DataEntry[E-E09],MATCH(1, ($A$38=DataEntry[S-U04])*($B39=DataEntry[S-U05]),0)))</f>
        <v>0</v>
      </c>
      <c r="I39" s="275" t="str">
        <f t="shared" ref="I39" si="13">IFERROR(G39/(G39+H39),"N/A")</f>
        <v>N/A</v>
      </c>
    </row>
    <row r="40" spans="1:9" ht="16.75" customHeight="1">
      <c r="A40" s="611" t="s">
        <v>183</v>
      </c>
      <c r="B40" s="460" t="s">
        <v>183</v>
      </c>
      <c r="C40" s="461" t="s">
        <v>152</v>
      </c>
      <c r="D40" s="462" cm="1">
        <f t="array" ref="D40">INDEX(DataEntry[E-E04],MATCH(1, ($A$20=DataEntry[S-U04])*1,0))</f>
        <v>10.875</v>
      </c>
      <c r="E40" s="274" cm="1">
        <f t="array" ref="E40">(INDEX(DataEntry[E-E02],MATCH(1, ($A$20=DataEntry[S-U04])*($B40=DataEntry[S-U05]),0)))-(INDEX(DataEntry[E-E04],MATCH(1, ($A$20=DataEntry[S-U04])*($B40=DataEntry[S-U05]),0)))</f>
        <v>492.125</v>
      </c>
      <c r="F40" s="273">
        <f t="shared" si="8"/>
        <v>2.1620278330019879E-2</v>
      </c>
      <c r="G40" s="274" cm="1">
        <f t="array" ref="G40">INDEX(DataEntry[E-E09],MATCH(1, ($A$20=DataEntry[S-U04])*1,0))</f>
        <v>10.875</v>
      </c>
      <c r="H40" s="274" cm="1">
        <f t="array" ref="H40">(INDEX(DataEntry[E-E06],MATCH(1, ($A$20=DataEntry[S-U04])*($B40=DataEntry[S-U05]),0)))-(INDEX(DataEntry[E-E09],MATCH(1, ($A$20=DataEntry[S-U04])*($B40=DataEntry[S-U05]),0)))</f>
        <v>492.125</v>
      </c>
      <c r="I40" s="275">
        <f t="shared" si="9"/>
        <v>2.1620278330019879E-2</v>
      </c>
    </row>
    <row r="41" spans="1:9" ht="16.75" customHeight="1">
      <c r="A41" s="509" t="s">
        <v>26</v>
      </c>
      <c r="B41" s="460" t="s">
        <v>27</v>
      </c>
      <c r="C41" s="461" t="s">
        <v>152</v>
      </c>
      <c r="D41" s="462" cm="1">
        <f t="array" ref="D41">INDEX(DataEntry[E-E04],MATCH(1, (DataEntry[S-U03]="Tri 2")*($B41=DataEntry[S-U04]),0))</f>
        <v>0</v>
      </c>
      <c r="E41" s="274" cm="1">
        <f t="array" ref="E41">(INDEX(DataEntry[E-E02],MATCH(1, (DataEntry[S-U03]="Tri 2")*($B41=DataEntry[S-U04]),0)))-(INDEX(DataEntry[E-E04],MATCH(1, (DataEntry[S-U03]="Tri 2")*($B41=DataEntry[S-U04]),0)))</f>
        <v>0</v>
      </c>
      <c r="F41" s="273" t="str">
        <f t="shared" si="8"/>
        <v>N/A</v>
      </c>
      <c r="G41" s="274" cm="1">
        <f t="array" ref="G41">INDEX(DataEntry[E-E09],MATCH(1, (DataEntry[S-U03]="Tri 2")*($B41=DataEntry[S-U04]),0))</f>
        <v>0</v>
      </c>
      <c r="H41" s="274" cm="1">
        <f t="array" ref="H41">(INDEX(DataEntry[E-E06],MATCH(1, (DataEntry[S-U03]="Tri 2")*($B41=DataEntry[S-U04]),0)))-(INDEX(DataEntry[E-E09],MATCH(1, (DataEntry[S-U03]="Tri 2")*($B41=DataEntry[S-U04]),0)))</f>
        <v>0</v>
      </c>
      <c r="I41" s="275" t="str">
        <f t="shared" si="9"/>
        <v>N/A</v>
      </c>
    </row>
    <row r="42" spans="1:9" ht="16.75" customHeight="1">
      <c r="A42" s="611" t="s">
        <v>30</v>
      </c>
      <c r="B42" s="463" t="s">
        <v>30</v>
      </c>
      <c r="C42" s="461" t="s">
        <v>152</v>
      </c>
      <c r="D42" s="462" cm="1">
        <f t="array" ref="D42">INDEX(DataEntry[E-E04],MATCH(1, (DataEntry[S-U03]="Tri 2")*($B42=DataEntry[S-U04]),0))</f>
        <v>0</v>
      </c>
      <c r="E42" s="274" cm="1">
        <f t="array" ref="E42">(INDEX(DataEntry[E-E02],MATCH(1, (DataEntry[S-U03]="Tri 2")*($B42=DataEntry[S-U04]),0)))-(INDEX(DataEntry[E-E04],MATCH(1, (DataEntry[S-U03]="Tri 2")*($B42=DataEntry[S-U04]),0)))</f>
        <v>0</v>
      </c>
      <c r="F42" s="273" t="str">
        <f t="shared" si="8"/>
        <v>N/A</v>
      </c>
      <c r="G42" s="274" cm="1">
        <f t="array" ref="G42">INDEX(DataEntry[E-E09],MATCH(1, (DataEntry[S-U03]="Tri 2")*($B42=DataEntry[S-U04]),0))</f>
        <v>0</v>
      </c>
      <c r="H42" s="274" cm="1">
        <f t="array" ref="H42">(INDEX(DataEntry[E-E06],MATCH(1, (DataEntry[S-U03]="Tri 2")*($B42=DataEntry[S-U04]),0)))-(INDEX(DataEntry[E-E09],MATCH(1, (DataEntry[S-U03]="Tri 2")*($B42=DataEntry[S-U04]),0)))</f>
        <v>0</v>
      </c>
      <c r="I42" s="275" t="str">
        <f t="shared" si="9"/>
        <v>N/A</v>
      </c>
    </row>
    <row r="43" spans="1:9" ht="16.75" customHeight="1">
      <c r="A43" s="1319" t="s">
        <v>29</v>
      </c>
      <c r="B43" s="460" t="s">
        <v>29</v>
      </c>
      <c r="C43" s="461" t="s">
        <v>152</v>
      </c>
      <c r="D43" s="462" cm="1">
        <f t="array" ref="D43">INDEX(DataEntry[E-E04],MATCH(1, (DataEntry[S-U03]="Tri 2")*($A$43=DataEntry[S-U04])*($B43=DataEntry[S-U05]),0))</f>
        <v>0</v>
      </c>
      <c r="E43" s="274" cm="1">
        <f t="array" ref="E43">(INDEX(DataEntry[E-E02],MATCH(1, (DataEntry[S-U03]="Tri 2")*($A$43=DataEntry[S-U04])*($B43=DataEntry[S-U05]),0)))-(INDEX(DataEntry[E-E04],MATCH(1, (DataEntry[S-U03]="Tri 2")*($A$43=DataEntry[S-U04])*($B43=DataEntry[S-U05]),0)))</f>
        <v>0</v>
      </c>
      <c r="F43" s="273" t="str">
        <f>IFERROR(D43/(D43+E43),"N/A")</f>
        <v>N/A</v>
      </c>
      <c r="G43" s="274" cm="1">
        <f t="array" ref="G43">INDEX(DataEntry[E-E09],MATCH(1, (DataEntry[S-U03]="Tri 2")*($A$43=DataEntry[S-U04])*($B43=DataEntry[S-U05]),0))</f>
        <v>0</v>
      </c>
      <c r="H43" s="274" cm="1">
        <f t="array" ref="H43">(INDEX(DataEntry[E-E06],MATCH(1, (DataEntry[S-U03]="Tri 2")*($A$43=DataEntry[S-U04])*($B43=DataEntry[S-U05]),0)))-(INDEX(DataEntry[E-E09],MATCH(1, (DataEntry[S-U03]="Tri 2")*($A$43=DataEntry[S-U04])*($B43=DataEntry[S-U05]),0)))</f>
        <v>0</v>
      </c>
      <c r="I43" s="275" t="str">
        <f>IFERROR(G43/(G43+H43),"N/A")</f>
        <v>N/A</v>
      </c>
    </row>
    <row r="44" spans="1:9" ht="16.75" customHeight="1">
      <c r="A44" s="1320"/>
      <c r="B44" s="460" t="s">
        <v>963</v>
      </c>
      <c r="C44" s="461" t="s">
        <v>152</v>
      </c>
      <c r="D44" s="462" cm="1">
        <f t="array" ref="D44">INDEX(DataEntry[E-E04],MATCH(1, (DataEntry[S-U03]="Tri 2")*($A$43=DataEntry[S-U04])*($B44=DataEntry[S-U05]),0))</f>
        <v>0</v>
      </c>
      <c r="E44" s="274" cm="1">
        <f t="array" ref="E44">(INDEX(DataEntry[E-E02],MATCH(1, (DataEntry[S-U03]="Tri 2")*($A$43=DataEntry[S-U04])*($B44=DataEntry[S-U05]),0)))-(INDEX(DataEntry[E-E04],MATCH(1, (DataEntry[S-U03]="Tri 2")*($A$43=DataEntry[S-U04])*($B44=DataEntry[S-U05]),0)))</f>
        <v>0</v>
      </c>
      <c r="F44" s="273" t="str">
        <f t="shared" ref="F44:F45" si="14">IFERROR(D44/(D44+E44),"N/A")</f>
        <v>N/A</v>
      </c>
      <c r="G44" s="274" cm="1">
        <f t="array" ref="G44">INDEX(DataEntry[E-E09],MATCH(1, (DataEntry[S-U03]="Tri 2")*($A$43=DataEntry[S-U04])*($B44=DataEntry[S-U05]),0))</f>
        <v>0</v>
      </c>
      <c r="H44" s="274" cm="1">
        <f t="array" ref="H44">(INDEX(DataEntry[E-E06],MATCH(1, (DataEntry[S-U03]="Tri 2")*($A$43=DataEntry[S-U04])*($B44=DataEntry[S-U05]),0)))-(INDEX(DataEntry[E-E09],MATCH(1, (DataEntry[S-U03]="Tri 2")*($A$43=DataEntry[S-U04])*($B44=DataEntry[S-U05]),0)))</f>
        <v>0</v>
      </c>
      <c r="I44" s="275" t="str">
        <f t="shared" ref="I44:I45" si="15">IFERROR(G44/(G44+H44),"N/A")</f>
        <v>N/A</v>
      </c>
    </row>
    <row r="45" spans="1:9" ht="16.75" customHeight="1">
      <c r="A45" s="1321"/>
      <c r="B45" s="460" t="s">
        <v>964</v>
      </c>
      <c r="C45" s="461" t="s">
        <v>152</v>
      </c>
      <c r="D45" s="462" cm="1">
        <f t="array" ref="D45">INDEX(DataEntry[E-E04],MATCH(1, (DataEntry[S-U03]="Tri 2")*($A$43=DataEntry[S-U04])*($B45=DataEntry[S-U05]),0))</f>
        <v>0</v>
      </c>
      <c r="E45" s="274" cm="1">
        <f t="array" ref="E45">(INDEX(DataEntry[E-E02],MATCH(1, (DataEntry[S-U03]="Tri 2")*($A$43=DataEntry[S-U04])*($B45=DataEntry[S-U05]),0)))-(INDEX(DataEntry[E-E04],MATCH(1, (DataEntry[S-U03]="Tri 2")*($A$43=DataEntry[S-U04])*($B45=DataEntry[S-U05]),0)))</f>
        <v>0</v>
      </c>
      <c r="F45" s="273" t="str">
        <f t="shared" si="14"/>
        <v>N/A</v>
      </c>
      <c r="G45" s="274" cm="1">
        <f t="array" ref="G45">INDEX(DataEntry[E-E09],MATCH(1, (DataEntry[S-U03]="Tri 2")*($A$43=DataEntry[S-U04])*($B45=DataEntry[S-U05]),0))</f>
        <v>0</v>
      </c>
      <c r="H45" s="274" cm="1">
        <f t="array" ref="H45">(INDEX(DataEntry[E-E06],MATCH(1, (DataEntry[S-U03]="Tri 2")*($A$43=DataEntry[S-U04])*($B45=DataEntry[S-U05]),0)))-(INDEX(DataEntry[E-E09],MATCH(1, (DataEntry[S-U03]="Tri 2")*($A$43=DataEntry[S-U04])*($B45=DataEntry[S-U05]),0)))</f>
        <v>0</v>
      </c>
      <c r="I45" s="275" t="str">
        <f t="shared" si="15"/>
        <v>N/A</v>
      </c>
    </row>
    <row r="46" spans="1:9" ht="16.75" customHeight="1">
      <c r="A46" s="1318" t="s">
        <v>131</v>
      </c>
      <c r="B46" s="460" t="s">
        <v>629</v>
      </c>
      <c r="C46" s="461" t="s">
        <v>157</v>
      </c>
      <c r="D46" s="462" cm="1">
        <f t="array" ref="D46">INDEX(DataEntry[E-E04],MATCH(1, ((DataEntry[S-U03]="Tri 2")*($A$26=DataEntry[S-U04])*($B46=DataEntry[S-U05])),0))</f>
        <v>0</v>
      </c>
      <c r="E46" s="274" cm="1">
        <f t="array" ref="E46">(INDEX(DataEntry[E-E02],MATCH(1, ((DataEntry[S-U03]="Tri 2")*($A$26=DataEntry[S-U04])*($B46=DataEntry[S-U05])),0)))-(INDEX(DataEntry[E-E04],MATCH(1, ((DataEntry[S-U03]="Tri 2")*($A$26=DataEntry[S-U04])*($B46=DataEntry[S-U05])),0)))</f>
        <v>0</v>
      </c>
      <c r="F46" s="273" t="str">
        <f t="shared" si="8"/>
        <v>N/A</v>
      </c>
      <c r="G46" s="274" cm="1">
        <f t="array" ref="G46">INDEX(DataEntry[E-E09],MATCH(1, ((DataEntry[S-U03]="Tri 2")*($A$26=DataEntry[S-U04])*($B46=DataEntry[S-U05])),0))</f>
        <v>0</v>
      </c>
      <c r="H46" s="274" cm="1">
        <f t="array" ref="H46">(INDEX(DataEntry[E-E06],MATCH(1, ((DataEntry[S-U03]="Tri 2")*($A$26=DataEntry[S-U04])*($B46=DataEntry[S-U05])),0)))-(INDEX(DataEntry[E-E09],MATCH(1, ((DataEntry[S-U03]="Tri 2")*($A$26=DataEntry[S-U04])*($B46=DataEntry[S-U05])),0)))</f>
        <v>0</v>
      </c>
      <c r="I46" s="275" t="str">
        <f t="shared" si="9"/>
        <v>N/A</v>
      </c>
    </row>
    <row r="47" spans="1:9" ht="16.75" customHeight="1">
      <c r="A47" s="1317"/>
      <c r="B47" s="460" t="s">
        <v>29</v>
      </c>
      <c r="C47" s="461" t="s">
        <v>152</v>
      </c>
      <c r="D47" s="462" cm="1">
        <f t="array" ref="D47">INDEX(DataEntry[E-E04],MATCH(1, ((DataEntry[S-U03]="Tri 2")*($A$26=DataEntry[S-U04])*($B47=DataEntry[S-U05])),0))</f>
        <v>0</v>
      </c>
      <c r="E47" s="274" cm="1">
        <f t="array" ref="E47">(INDEX(DataEntry[E-E02],MATCH(1, ((DataEntry[S-U03]="Tri 2")*($A$26=DataEntry[S-U04])*($B47=DataEntry[S-U05])),0)))-(INDEX(DataEntry[E-E04],MATCH(1, ((DataEntry[S-U03]="Tri 2")*($A$26=DataEntry[S-U04])*($B47=DataEntry[S-U05])),0)))</f>
        <v>0</v>
      </c>
      <c r="F47" s="273" t="str">
        <f t="shared" si="8"/>
        <v>N/A</v>
      </c>
      <c r="G47" s="274" cm="1">
        <f t="array" ref="G47">INDEX(DataEntry[E-E09],MATCH(1, ((DataEntry[S-U03]="Tri 2")*($A$26=DataEntry[S-U04])*($B47=DataEntry[S-U05])),0))</f>
        <v>0</v>
      </c>
      <c r="H47" s="274" cm="1">
        <f t="array" ref="H47">(INDEX(DataEntry[E-E06],MATCH(1, ((DataEntry[S-U03]="Tri 2")*($A$26=DataEntry[S-U04])*($B47=DataEntry[S-U05])),0)))-(INDEX(DataEntry[E-E09],MATCH(1, ((DataEntry[S-U03]="Tri 2")*($A$26=DataEntry[S-U04])*($B47=DataEntry[S-U05])),0)))</f>
        <v>0</v>
      </c>
      <c r="I47" s="275" t="str">
        <f t="shared" si="9"/>
        <v>N/A</v>
      </c>
    </row>
    <row r="48" spans="1:9" ht="16.75" customHeight="1">
      <c r="A48" s="1303" t="s">
        <v>161</v>
      </c>
      <c r="B48" s="1304"/>
      <c r="C48" s="1305"/>
      <c r="D48" s="274">
        <f>IFERROR(SUM(D31:D40,D41:D47),"N/A")</f>
        <v>11.443</v>
      </c>
      <c r="E48" s="274">
        <f>IFERROR(SUM(E31:E36,E37:E47),"N/A")</f>
        <v>507.71</v>
      </c>
      <c r="F48" s="273">
        <f>IFERROR(D48/(D48+E48), "N/A")</f>
        <v>2.2041671722979543E-2</v>
      </c>
      <c r="G48" s="274">
        <f>IFERROR(SUM(G31:G40,G41:G47),"N/A")</f>
        <v>11.443</v>
      </c>
      <c r="H48" s="274">
        <f>IFERROR(SUM(H31:H36,H37:H47),"N/A")</f>
        <v>507.71</v>
      </c>
      <c r="I48" s="275">
        <f>IFERROR(G48/(G48+H48), "N/A")</f>
        <v>2.2041671722979543E-2</v>
      </c>
    </row>
    <row r="49" spans="1:9" ht="16.75" customHeight="1" thickBot="1">
      <c r="A49" s="1309" t="s">
        <v>162</v>
      </c>
      <c r="B49" s="1310"/>
      <c r="C49" s="1311"/>
      <c r="D49" s="278">
        <f>IFERROR(SUM(D48:D48),"N/A")</f>
        <v>11.443</v>
      </c>
      <c r="E49" s="278">
        <f>IFERROR(SUM(E48:E48),"N/A")</f>
        <v>507.71</v>
      </c>
      <c r="F49" s="277">
        <f>IFERROR(D49/(D49+E49), "N/A")</f>
        <v>2.2041671722979543E-2</v>
      </c>
      <c r="G49" s="278">
        <f>IFERROR(SUM(G48:G48),"N/A")</f>
        <v>11.443</v>
      </c>
      <c r="H49" s="278">
        <f>IFERROR(SUM(H48:H48),"N/A")</f>
        <v>507.71</v>
      </c>
      <c r="I49" s="279">
        <f>IFERROR(G49/(G49+H49), "N/A")</f>
        <v>2.2041671722979543E-2</v>
      </c>
    </row>
    <row r="50" spans="1:9" ht="18" customHeight="1" thickBot="1">
      <c r="A50" s="1312" t="s">
        <v>927</v>
      </c>
      <c r="B50" s="1313"/>
      <c r="C50" s="1313"/>
      <c r="D50" s="1313"/>
      <c r="E50" s="1313"/>
      <c r="F50" s="1313"/>
      <c r="G50" s="1313"/>
      <c r="H50" s="1313"/>
      <c r="I50" s="1314"/>
    </row>
    <row r="51" spans="1:9" ht="16.75" customHeight="1">
      <c r="A51" s="1315" t="s">
        <v>4</v>
      </c>
      <c r="B51" s="460" t="s">
        <v>5</v>
      </c>
      <c r="C51" s="461" t="s">
        <v>152</v>
      </c>
      <c r="D51" s="854" cm="1">
        <f t="array" ref="D51">INDEX(DataEntry[E-E05],MATCH(1, ($A$11=DataEntry[S-U04])*($B51=DataEntry[S-U05]),0))</f>
        <v>0</v>
      </c>
      <c r="E51" s="855" cm="1">
        <f t="array" ref="E51">(INDEX(DataEntry[E-E03],MATCH(1, ($A$11=DataEntry[S-U04])*($B51=DataEntry[S-U05]),0)))-(INDEX(DataEntry[E-E05],MATCH(1, ($A$11=DataEntry[S-U04])*($B51=DataEntry[S-U05]),0)))</f>
        <v>17.777000000000001</v>
      </c>
      <c r="F51" s="856">
        <f>IFERROR(D51/(D51+E51),"N/A")</f>
        <v>0</v>
      </c>
      <c r="G51" s="855" cm="1">
        <f t="array" ref="G51">INDEX(DataEntry[E-E10],MATCH(1, ($A$11=DataEntry[S-U04])*($B51=DataEntry[S-U05]),0))</f>
        <v>0</v>
      </c>
      <c r="H51" s="855" cm="1">
        <f t="array" ref="H51">(INDEX(DataEntry[E-E08],MATCH(1, ($A$11=DataEntry[S-U04])*($B51=DataEntry[S-U05]),0)))-(INDEX(DataEntry[E-E10],MATCH(1, ($A$11=DataEntry[S-U04])*($B51=DataEntry[S-U05]),0)))</f>
        <v>17.777000000000001</v>
      </c>
      <c r="I51" s="857">
        <f>IFERROR(G51/(G51+H51),"N/A")</f>
        <v>0</v>
      </c>
    </row>
    <row r="52" spans="1:9" ht="16.75" customHeight="1">
      <c r="A52" s="1316"/>
      <c r="B52" s="460" t="s">
        <v>153</v>
      </c>
      <c r="C52" s="461" t="s">
        <v>152</v>
      </c>
      <c r="D52" s="462" cm="1">
        <f t="array" ref="D52">INDEX(DataEntry[E-E05],MATCH(1, ($A$11=DataEntry[S-U04])*($B52=DataEntry[S-U05]),0))</f>
        <v>2.6040000000000001</v>
      </c>
      <c r="E52" s="274" cm="1">
        <f t="array" ref="E52">(INDEX(DataEntry[E-E03],MATCH(1, ($A$11=DataEntry[S-U04])*($B52=DataEntry[S-U05]),0)))-(INDEX(DataEntry[E-E05],MATCH(1, ($A$11=DataEntry[S-U04])*($B52=DataEntry[S-U05]),0)))</f>
        <v>2.5869999999999997</v>
      </c>
      <c r="F52" s="273">
        <f t="shared" ref="F52:F67" si="16">IFERROR(D52/(D52+E52),"N/A")</f>
        <v>0.50163744943170874</v>
      </c>
      <c r="G52" s="274" cm="1">
        <f t="array" ref="G52">INDEX(DataEntry[E-E10],MATCH(1, ($A$11=DataEntry[S-U04])*($B52=DataEntry[S-U05]),0))</f>
        <v>2.6040000000000001</v>
      </c>
      <c r="H52" s="274" cm="1">
        <f t="array" ref="H52">(INDEX(DataEntry[E-E08],MATCH(1, ($A$11=DataEntry[S-U04])*($B52=DataEntry[S-U05]),0)))-(INDEX(DataEntry[E-E10],MATCH(1, ($A$11=DataEntry[S-U04])*($B52=DataEntry[S-U05]),0)))</f>
        <v>2.5869999999999997</v>
      </c>
      <c r="I52" s="275">
        <f t="shared" ref="I52:I67" si="17">IFERROR(G52/(G52+H52),"N/A")</f>
        <v>0.50163744943170874</v>
      </c>
    </row>
    <row r="53" spans="1:9" ht="16.75" customHeight="1">
      <c r="A53" s="1316"/>
      <c r="B53" s="460" t="s">
        <v>626</v>
      </c>
      <c r="C53" s="461" t="s">
        <v>152</v>
      </c>
      <c r="D53" s="462" cm="1">
        <f t="array" ref="D53">INDEX(DataEntry[E-E05],MATCH(1, ($A$11=DataEntry[S-U04])*($B53=DataEntry[S-U05]),0))</f>
        <v>0</v>
      </c>
      <c r="E53" s="274" cm="1">
        <f t="array" ref="E53">(INDEX(DataEntry[E-E03],MATCH(1, ($A$11=DataEntry[S-U04])*($B53=DataEntry[S-U05]),0)))-(INDEX(DataEntry[E-E05],MATCH(1, ($A$11=DataEntry[S-U04])*($B53=DataEntry[S-U05]),0)))</f>
        <v>0</v>
      </c>
      <c r="F53" s="273" t="str">
        <f t="shared" si="16"/>
        <v>N/A</v>
      </c>
      <c r="G53" s="274" cm="1">
        <f t="array" ref="G53">INDEX(DataEntry[E-E10],MATCH(1, ($A$11=DataEntry[S-U04])*($B53=DataEntry[S-U05]),0))</f>
        <v>0</v>
      </c>
      <c r="H53" s="274" cm="1">
        <f t="array" ref="H53">(INDEX(DataEntry[E-E08],MATCH(1, ($A$11=DataEntry[S-U04])*($B53=DataEntry[S-U05]),0)))-(INDEX(DataEntry[E-E10],MATCH(1, ($A$11=DataEntry[S-U04])*($B53=DataEntry[S-U05]),0)))</f>
        <v>0</v>
      </c>
      <c r="I53" s="275" t="str">
        <f t="shared" si="17"/>
        <v>N/A</v>
      </c>
    </row>
    <row r="54" spans="1:9" ht="16.75" customHeight="1">
      <c r="A54" s="1316"/>
      <c r="B54" s="460" t="s">
        <v>154</v>
      </c>
      <c r="C54" s="461" t="s">
        <v>152</v>
      </c>
      <c r="D54" s="462" cm="1">
        <f t="array" ref="D54">INDEX(DataEntry[E-E05],MATCH(1, ($A$11=DataEntry[S-U04])*($B54=DataEntry[S-U05]),0))</f>
        <v>3.8609999999999998</v>
      </c>
      <c r="E54" s="274" cm="1">
        <f t="array" ref="E54">(INDEX(DataEntry[E-E03],MATCH(1, ($A$11=DataEntry[S-U04])*($B54=DataEntry[S-U05]),0)))-(INDEX(DataEntry[E-E05],MATCH(1, ($A$11=DataEntry[S-U04])*($B54=DataEntry[S-U05]),0)))</f>
        <v>34.574000000000005</v>
      </c>
      <c r="F54" s="273">
        <f t="shared" ref="F54" si="18">IFERROR(D54/(D54+E54),"N/A")</f>
        <v>0.10045531416677506</v>
      </c>
      <c r="G54" s="274" cm="1">
        <f t="array" ref="G54">INDEX(DataEntry[E-E10],MATCH(1, ($A$11=DataEntry[S-U04])*($B54=DataEntry[S-U05]),0))</f>
        <v>3.8609999999999998</v>
      </c>
      <c r="H54" s="274" cm="1">
        <f t="array" ref="H54">(INDEX(DataEntry[E-E08],MATCH(1, ($A$11=DataEntry[S-U04])*($B54=DataEntry[S-U05]),0)))-(INDEX(DataEntry[E-E10],MATCH(1, ($A$11=DataEntry[S-U04])*($B54=DataEntry[S-U05]),0)))</f>
        <v>34.574000000000005</v>
      </c>
      <c r="I54" s="275">
        <f t="shared" ref="I54" si="19">IFERROR(G54/(G54+H54),"N/A")</f>
        <v>0.10045531416677506</v>
      </c>
    </row>
    <row r="55" spans="1:9" ht="16.75" customHeight="1">
      <c r="A55" s="1317"/>
      <c r="B55" s="460" t="s">
        <v>962</v>
      </c>
      <c r="C55" s="461" t="s">
        <v>152</v>
      </c>
      <c r="D55" s="462" cm="1">
        <f t="array" ref="D55">INDEX(DataEntry[E-E05],MATCH(1, ($A$11=DataEntry[S-U04])*($B55=DataEntry[S-U05]),0))</f>
        <v>0</v>
      </c>
      <c r="E55" s="274" cm="1">
        <f t="array" ref="E55">(INDEX(DataEntry[E-E03],MATCH(1, ($A$11=DataEntry[S-U04])*($B55=DataEntry[S-U05]),0)))-(INDEX(DataEntry[E-E05],MATCH(1, ($A$11=DataEntry[S-U04])*($B55=DataEntry[S-U05]),0)))</f>
        <v>0</v>
      </c>
      <c r="F55" s="273" t="str">
        <f t="shared" si="16"/>
        <v>N/A</v>
      </c>
      <c r="G55" s="274" cm="1">
        <f t="array" ref="G55">INDEX(DataEntry[E-E10],MATCH(1, ($A$11=DataEntry[S-U04])*($B55=DataEntry[S-U05]),0))</f>
        <v>0</v>
      </c>
      <c r="H55" s="274" cm="1">
        <f t="array" ref="H55">(INDEX(DataEntry[E-E08],MATCH(1, ($A$11=DataEntry[S-U04])*($B55=DataEntry[S-U05]),0)))-(INDEX(DataEntry[E-E10],MATCH(1, ($A$11=DataEntry[S-U04])*($B55=DataEntry[S-U05]),0)))</f>
        <v>0</v>
      </c>
      <c r="I55" s="275" t="str">
        <f t="shared" si="17"/>
        <v>N/A</v>
      </c>
    </row>
    <row r="56" spans="1:9" ht="16.75" customHeight="1">
      <c r="A56" s="1318" t="s">
        <v>129</v>
      </c>
      <c r="B56" s="463" t="s">
        <v>155</v>
      </c>
      <c r="C56" s="461" t="s">
        <v>152</v>
      </c>
      <c r="D56" s="462" cm="1">
        <f t="array" ref="D56">INDEX(DataEntry[E-E05],MATCH(1, ($A$16=DataEntry[S-U04])*($B56=DataEntry[S-U05]),0))</f>
        <v>0</v>
      </c>
      <c r="E56" s="274" cm="1">
        <f t="array" ref="E56">(INDEX(DataEntry[E-E03],MATCH(1, ($A$16=DataEntry[S-U04])*($B56=DataEntry[S-U05]),0)))-(INDEX(DataEntry[E-E05],MATCH(1, ($A$16=DataEntry[S-U04])*($B56=DataEntry[S-U05]),0)))</f>
        <v>0</v>
      </c>
      <c r="F56" s="273" t="str">
        <f t="shared" si="16"/>
        <v>N/A</v>
      </c>
      <c r="G56" s="274" cm="1">
        <f t="array" ref="G56">INDEX(DataEntry[E-E10],MATCH(1, ($A$16=DataEntry[S-U04])*($B56=DataEntry[S-U05]),0))</f>
        <v>0</v>
      </c>
      <c r="H56" s="274" cm="1">
        <f t="array" ref="H56">(INDEX(DataEntry[E-E08],MATCH(1, ($A$16=DataEntry[S-U04])*($B56=DataEntry[S-U05]),0)))-(INDEX(DataEntry[E-E10],MATCH(1, ($A$16=DataEntry[S-U04])*($B56=DataEntry[S-U05]),0)))</f>
        <v>0</v>
      </c>
      <c r="I56" s="275" t="str">
        <f t="shared" si="17"/>
        <v>N/A</v>
      </c>
    </row>
    <row r="57" spans="1:9" ht="16.75" customHeight="1">
      <c r="A57" s="1316"/>
      <c r="B57" s="463" t="s">
        <v>19</v>
      </c>
      <c r="C57" s="461" t="s">
        <v>152</v>
      </c>
      <c r="D57" s="462" cm="1">
        <f t="array" ref="D57">INDEX(DataEntry[E-E05],MATCH(1, ($A$16=DataEntry[S-U04])*($B57=DataEntry[S-U05]),0))</f>
        <v>0</v>
      </c>
      <c r="E57" s="274" cm="1">
        <f t="array" ref="E57">(INDEX(DataEntry[E-E03],MATCH(1, ($A$16=DataEntry[S-U04])*($B57=DataEntry[S-U05]),0)))-(INDEX(DataEntry[E-E05],MATCH(1, ($A$16=DataEntry[S-U04])*($B57=DataEntry[S-U05]),0)))</f>
        <v>46.591999999999999</v>
      </c>
      <c r="F57" s="273">
        <f t="shared" si="16"/>
        <v>0</v>
      </c>
      <c r="G57" s="274" cm="1">
        <f t="array" ref="G57">INDEX(DataEntry[E-E10],MATCH(1, ($A$16=DataEntry[S-U04])*($B57=DataEntry[S-U05]),0))</f>
        <v>0</v>
      </c>
      <c r="H57" s="274" cm="1">
        <f t="array" ref="H57">(INDEX(DataEntry[E-E08],MATCH(1, ($A$16=DataEntry[S-U04])*($B57=DataEntry[S-U05]),0)))-(INDEX(DataEntry[E-E10],MATCH(1, ($A$16=DataEntry[S-U04])*($B57=DataEntry[S-U05]),0)))</f>
        <v>46.591999999999999</v>
      </c>
      <c r="I57" s="275">
        <f t="shared" si="17"/>
        <v>0</v>
      </c>
    </row>
    <row r="58" spans="1:9" ht="16.75" customHeight="1">
      <c r="A58" s="1318" t="s">
        <v>130</v>
      </c>
      <c r="B58" s="463" t="s">
        <v>156</v>
      </c>
      <c r="C58" s="461" t="s">
        <v>152</v>
      </c>
      <c r="D58" s="462" cm="1">
        <f t="array" ref="D58">INDEX(DataEntry[E-E05],MATCH(1, ($A$18=DataEntry[S-U04])*($B58=DataEntry[S-U05]),0))</f>
        <v>0</v>
      </c>
      <c r="E58" s="274" cm="1">
        <f t="array" ref="E58">(INDEX(DataEntry[E-E03],MATCH(1, ($A$18=DataEntry[S-U04])*($B58=DataEntry[S-U05]),0)))-(INDEX(DataEntry[E-E05],MATCH(1, ($A$18=DataEntry[S-U04])*($B58=DataEntry[S-U05]),0)))</f>
        <v>0</v>
      </c>
      <c r="F58" s="273" t="str">
        <f t="shared" si="16"/>
        <v>N/A</v>
      </c>
      <c r="G58" s="274" cm="1">
        <f t="array" ref="G58">INDEX(DataEntry[E-E10],MATCH(1, ($A$18=DataEntry[S-U04])*($B58=DataEntry[S-U05]),0))</f>
        <v>0</v>
      </c>
      <c r="H58" s="274" cm="1">
        <f t="array" ref="H58">(INDEX(DataEntry[E-E08],MATCH(1, ($A$18=DataEntry[S-U04])*($B58=DataEntry[S-U05]),0)))-(INDEX(DataEntry[E-E10],MATCH(1, ($A$18=DataEntry[S-U04])*($B58=DataEntry[S-U05]),0)))</f>
        <v>0</v>
      </c>
      <c r="I58" s="275" t="str">
        <f t="shared" si="17"/>
        <v>N/A</v>
      </c>
    </row>
    <row r="59" spans="1:9" ht="16.75" customHeight="1">
      <c r="A59" s="1317"/>
      <c r="B59" s="460" t="s">
        <v>154</v>
      </c>
      <c r="C59" s="461" t="s">
        <v>152</v>
      </c>
      <c r="D59" s="462" cm="1">
        <f t="array" ref="D59">INDEX(DataEntry[E-E05],MATCH(1, ($A$18=DataEntry[S-U04])*($B59=DataEntry[S-U05]),0))</f>
        <v>0</v>
      </c>
      <c r="E59" s="274" cm="1">
        <f t="array" ref="E59">(INDEX(DataEntry[E-E03],MATCH(1, ($A$18=DataEntry[S-U04])*($B59=DataEntry[S-U05]),0)))-(INDEX(DataEntry[E-E05],MATCH(1, ($A$18=DataEntry[S-U04])*($B59=DataEntry[S-U05]),0)))</f>
        <v>0</v>
      </c>
      <c r="F59" s="273" t="str">
        <f t="shared" ref="F59" si="20">IFERROR(D59/(D59+E59),"N/A")</f>
        <v>N/A</v>
      </c>
      <c r="G59" s="274" cm="1">
        <f t="array" ref="G59">INDEX(DataEntry[E-E10],MATCH(1, ($A$18=DataEntry[S-U04])*($B59=DataEntry[S-U05]),0))</f>
        <v>0</v>
      </c>
      <c r="H59" s="274" cm="1">
        <f t="array" ref="H59">(INDEX(DataEntry[E-E08],MATCH(1, ($A$18=DataEntry[S-U04])*($B59=DataEntry[S-U05]),0)))-(INDEX(DataEntry[E-E10],MATCH(1, ($A$18=DataEntry[S-U04])*($B59=DataEntry[S-U05]),0)))</f>
        <v>0</v>
      </c>
      <c r="I59" s="275" t="str">
        <f t="shared" ref="I59" si="21">IFERROR(G59/(G59+H59),"N/A")</f>
        <v>N/A</v>
      </c>
    </row>
    <row r="60" spans="1:9" ht="16.75" customHeight="1">
      <c r="A60" s="611" t="s">
        <v>183</v>
      </c>
      <c r="B60" s="460" t="s">
        <v>183</v>
      </c>
      <c r="C60" s="461" t="s">
        <v>152</v>
      </c>
      <c r="D60" s="462" cm="1">
        <f t="array" ref="D60">INDEX(DataEntry[E-E05],MATCH(1, ($A$20=DataEntry[S-U04])*1,0))</f>
        <v>10.875</v>
      </c>
      <c r="E60" s="274" cm="1">
        <f t="array" ref="E60">(INDEX(DataEntry[E-E03],MATCH(1, ($A$20=DataEntry[S-U04])*($B60=DataEntry[S-U05]),0)))-(INDEX(DataEntry[E-E05],MATCH(1, ($A$20=DataEntry[S-U04])*($B60=DataEntry[S-U05]),0)))</f>
        <v>492.125</v>
      </c>
      <c r="F60" s="273">
        <f t="shared" si="16"/>
        <v>2.1620278330019879E-2</v>
      </c>
      <c r="G60" s="274" cm="1">
        <f t="array" ref="G60">INDEX(DataEntry[E-E10],MATCH(1, ($A$20=DataEntry[S-U04])*1,0))</f>
        <v>10.875</v>
      </c>
      <c r="H60" s="274" cm="1">
        <f t="array" ref="H60">(INDEX(DataEntry[E-E08],MATCH(1, ($A$20=DataEntry[S-U04])*($B60=DataEntry[S-U05]),0)))-(INDEX(DataEntry[E-E10],MATCH(1, ($A$20=DataEntry[S-U04])*($B60=DataEntry[S-U05]),0)))</f>
        <v>492.125</v>
      </c>
      <c r="I60" s="275">
        <f t="shared" si="17"/>
        <v>2.1620278330019879E-2</v>
      </c>
    </row>
    <row r="61" spans="1:9" ht="16.75" customHeight="1">
      <c r="A61" s="509" t="s">
        <v>26</v>
      </c>
      <c r="B61" s="460" t="s">
        <v>27</v>
      </c>
      <c r="C61" s="461" t="s">
        <v>152</v>
      </c>
      <c r="D61" s="462" cm="1">
        <f t="array" ref="D61">INDEX(DataEntry[E-E05],MATCH(1, (DataEntry[S-U03]="Tri 2")*($B61=DataEntry[S-U04]),0))</f>
        <v>0</v>
      </c>
      <c r="E61" s="274" cm="1">
        <f t="array" ref="E61">(INDEX(DataEntry[E-E03],MATCH(1, (DataEntry[S-U03]="Tri 2")*($B61=DataEntry[S-U04]),0)))-(INDEX(DataEntry[E-E05],MATCH(1, (DataEntry[S-U03]="Tri 2")*($B61=DataEntry[S-U04]),0)))</f>
        <v>0</v>
      </c>
      <c r="F61" s="273" t="str">
        <f t="shared" si="16"/>
        <v>N/A</v>
      </c>
      <c r="G61" s="274" cm="1">
        <f t="array" ref="G61">INDEX(DataEntry[E-E10],MATCH(1, (DataEntry[S-U03]="Tri 2")*($B61=DataEntry[S-U04]),0))</f>
        <v>0</v>
      </c>
      <c r="H61" s="274" cm="1">
        <f t="array" ref="H61">(INDEX(DataEntry[E-E08],MATCH(1, (DataEntry[S-U03]="Tri 2")*($B61=DataEntry[S-U04]),0)))-(INDEX(DataEntry[E-E10],MATCH(1, (DataEntry[S-U03]="Tri 2")*($B61=DataEntry[S-U04]),0)))</f>
        <v>0</v>
      </c>
      <c r="I61" s="275" t="str">
        <f t="shared" si="17"/>
        <v>N/A</v>
      </c>
    </row>
    <row r="62" spans="1:9" ht="16.75" customHeight="1">
      <c r="A62" s="611" t="s">
        <v>30</v>
      </c>
      <c r="B62" s="463" t="s">
        <v>30</v>
      </c>
      <c r="C62" s="461" t="s">
        <v>152</v>
      </c>
      <c r="D62" s="462" cm="1">
        <f t="array" ref="D62">INDEX(DataEntry[E-E05],MATCH(1, (DataEntry[S-U03]="Tri 2")*($B62=DataEntry[S-U04]),0))</f>
        <v>0</v>
      </c>
      <c r="E62" s="274" cm="1">
        <f t="array" ref="E62">(INDEX(DataEntry[E-E03],MATCH(1, (DataEntry[S-U03]="Tri 2")*($B62=DataEntry[S-U04]),0)))-(INDEX(DataEntry[E-E05],MATCH(1, (DataEntry[S-U03]="Tri 2")*($B62=DataEntry[S-U04]),0)))</f>
        <v>0</v>
      </c>
      <c r="F62" s="273" t="str">
        <f t="shared" si="16"/>
        <v>N/A</v>
      </c>
      <c r="G62" s="274" cm="1">
        <f t="array" ref="G62">INDEX(DataEntry[E-E10],MATCH(1, (DataEntry[S-U03]="Tri 2")*($B62=DataEntry[S-U04]),0))</f>
        <v>0</v>
      </c>
      <c r="H62" s="274" cm="1">
        <f t="array" ref="H62">(INDEX(DataEntry[E-E08],MATCH(1, (DataEntry[S-U03]="Tri 2")*($B62=DataEntry[S-U04]),0)))-(INDEX(DataEntry[E-E10],MATCH(1, (DataEntry[S-U03]="Tri 2")*($B62=DataEntry[S-U04]),0)))</f>
        <v>0</v>
      </c>
      <c r="I62" s="275" t="str">
        <f t="shared" si="17"/>
        <v>N/A</v>
      </c>
    </row>
    <row r="63" spans="1:9" ht="16.75" customHeight="1">
      <c r="A63" s="1318" t="s">
        <v>29</v>
      </c>
      <c r="B63" s="460" t="s">
        <v>29</v>
      </c>
      <c r="C63" s="461" t="s">
        <v>152</v>
      </c>
      <c r="D63" s="462" cm="1">
        <f t="array" ref="D63">INDEX(DataEntry[E-E05],MATCH(1, (DataEntry[S-U03]="Tri 2")*($A$63=DataEntry[S-U04])*($B63=DataEntry[S-U05]),0))</f>
        <v>0</v>
      </c>
      <c r="E63" s="274" cm="1">
        <f t="array" ref="E63">(INDEX(DataEntry[E-E03],MATCH(1, (DataEntry[S-U03]="Tri 2")*($A$63=DataEntry[S-U04])*($B63=DataEntry[S-U05]),0)))-(INDEX(DataEntry[E-E05],MATCH(1, (DataEntry[S-U03]="Tri 2")*($A$63=DataEntry[S-U04])*($B63=DataEntry[S-U05]),0)))</f>
        <v>0</v>
      </c>
      <c r="F63" s="273" t="str">
        <f t="shared" si="16"/>
        <v>N/A</v>
      </c>
      <c r="G63" s="274" cm="1">
        <f t="array" ref="G63">INDEX(DataEntry[E-E10],MATCH(1, (DataEntry[S-U03]="Tri 2")*($A$63=DataEntry[S-U04])*($B63=DataEntry[S-U05]),0))</f>
        <v>0</v>
      </c>
      <c r="H63" s="274" cm="1">
        <f t="array" ref="H63">(INDEX(DataEntry[E-E08],MATCH(1, (DataEntry[S-U03]="Tri 2")*($A$63=DataEntry[S-U04])*($B63=DataEntry[S-U05]),0)))-(INDEX(DataEntry[E-E10],MATCH(1, (DataEntry[S-U03]="Tri 2")*($A$63=DataEntry[S-U04])*($B63=DataEntry[S-U05]),0)))</f>
        <v>0</v>
      </c>
      <c r="I63" s="275" t="str">
        <f t="shared" si="17"/>
        <v>N/A</v>
      </c>
    </row>
    <row r="64" spans="1:9" ht="16.75" customHeight="1">
      <c r="A64" s="1316"/>
      <c r="B64" s="460" t="s">
        <v>963</v>
      </c>
      <c r="C64" s="461" t="s">
        <v>152</v>
      </c>
      <c r="D64" s="462" cm="1">
        <f t="array" ref="D64">INDEX(DataEntry[E-E05],MATCH(1, (DataEntry[S-U03]="Tri 2")*($A$63=DataEntry[S-U04])*($B64=DataEntry[S-U05]),0))</f>
        <v>0</v>
      </c>
      <c r="E64" s="274" cm="1">
        <f t="array" ref="E64">(INDEX(DataEntry[E-E03],MATCH(1, (DataEntry[S-U03]="Tri 2")*($A$63=DataEntry[S-U04])*($B64=DataEntry[S-U05]),0)))-(INDEX(DataEntry[E-E05],MATCH(1, (DataEntry[S-U03]="Tri 2")*($A$63=DataEntry[S-U04])*($B64=DataEntry[S-U05]),0)))</f>
        <v>0</v>
      </c>
      <c r="F64" s="273" t="str">
        <f t="shared" ref="F64:F65" si="22">IFERROR(D64/(D64+E64),"N/A")</f>
        <v>N/A</v>
      </c>
      <c r="G64" s="274" cm="1">
        <f t="array" ref="G64">INDEX(DataEntry[E-E10],MATCH(1, (DataEntry[S-U03]="Tri 2")*($A$63=DataEntry[S-U04])*($B64=DataEntry[S-U05]),0))</f>
        <v>0</v>
      </c>
      <c r="H64" s="274" cm="1">
        <f t="array" ref="H64">(INDEX(DataEntry[E-E08],MATCH(1, (DataEntry[S-U03]="Tri 2")*($A$63=DataEntry[S-U04])*($B64=DataEntry[S-U05]),0)))-(INDEX(DataEntry[E-E10],MATCH(1, (DataEntry[S-U03]="Tri 2")*($A$63=DataEntry[S-U04])*($B64=DataEntry[S-U05]),0)))</f>
        <v>0</v>
      </c>
      <c r="I64" s="275" t="str">
        <f t="shared" ref="I64:I65" si="23">IFERROR(G64/(G64+H64),"N/A")</f>
        <v>N/A</v>
      </c>
    </row>
    <row r="65" spans="1:9" ht="16.75" customHeight="1">
      <c r="A65" s="1317"/>
      <c r="B65" s="460" t="s">
        <v>964</v>
      </c>
      <c r="C65" s="461" t="s">
        <v>152</v>
      </c>
      <c r="D65" s="462" cm="1">
        <f t="array" ref="D65">INDEX(DataEntry[E-E05],MATCH(1, (DataEntry[S-U03]="Tri 2")*($A$63=DataEntry[S-U04])*($B65=DataEntry[S-U05]),0))</f>
        <v>0</v>
      </c>
      <c r="E65" s="274" cm="1">
        <f t="array" ref="E65">(INDEX(DataEntry[E-E03],MATCH(1, (DataEntry[S-U03]="Tri 2")*($A$63=DataEntry[S-U04])*($B65=DataEntry[S-U05]),0)))-(INDEX(DataEntry[E-E05],MATCH(1, (DataEntry[S-U03]="Tri 2")*($A$63=DataEntry[S-U04])*($B65=DataEntry[S-U05]),0)))</f>
        <v>0</v>
      </c>
      <c r="F65" s="273" t="str">
        <f t="shared" si="22"/>
        <v>N/A</v>
      </c>
      <c r="G65" s="274" cm="1">
        <f t="array" ref="G65">INDEX(DataEntry[E-E10],MATCH(1, (DataEntry[S-U03]="Tri 2")*($A$63=DataEntry[S-U04])*($B65=DataEntry[S-U05]),0))</f>
        <v>0</v>
      </c>
      <c r="H65" s="274" cm="1">
        <f t="array" ref="H65">(INDEX(DataEntry[E-E08],MATCH(1, (DataEntry[S-U03]="Tri 2")*($A$63=DataEntry[S-U04])*($B65=DataEntry[S-U05]),0)))-(INDEX(DataEntry[E-E10],MATCH(1, (DataEntry[S-U03]="Tri 2")*($A$63=DataEntry[S-U04])*($B65=DataEntry[S-U05]),0)))</f>
        <v>0</v>
      </c>
      <c r="I65" s="275" t="str">
        <f t="shared" si="23"/>
        <v>N/A</v>
      </c>
    </row>
    <row r="66" spans="1:9" ht="15.65" customHeight="1">
      <c r="A66" s="1318" t="s">
        <v>131</v>
      </c>
      <c r="B66" s="460" t="s">
        <v>629</v>
      </c>
      <c r="C66" s="461" t="s">
        <v>157</v>
      </c>
      <c r="D66" s="462" cm="1">
        <f t="array" ref="D66">INDEX(DataEntry[E-E05],MATCH(1, ((DataEntry[S-U03]="Tri 2")*($A$26=DataEntry[S-U04])*($B66=DataEntry[S-U05])),0))</f>
        <v>0</v>
      </c>
      <c r="E66" s="274" cm="1">
        <f t="array" ref="E66">(INDEX(DataEntry[E-E03],MATCH(1, ((DataEntry[S-U03]="Tri 2")*($A$26=DataEntry[S-U04])*($B66=DataEntry[S-U05])),0)))-(INDEX(DataEntry[E-E05],MATCH(1, ((DataEntry[S-U03]="Tri 2")*($A$26=DataEntry[S-U04])*($B66=DataEntry[S-U05])),0)))</f>
        <v>0</v>
      </c>
      <c r="F66" s="273" t="str">
        <f t="shared" si="16"/>
        <v>N/A</v>
      </c>
      <c r="G66" s="274" cm="1">
        <f t="array" ref="G66">INDEX(DataEntry[E-E10],MATCH(1, ((DataEntry[S-U03]="Tri 2")*($A$26=DataEntry[S-U04])*($B66=DataEntry[S-U05])),0))</f>
        <v>0</v>
      </c>
      <c r="H66" s="274" cm="1">
        <f t="array" ref="H66">(INDEX(DataEntry[E-E08],MATCH(1, ((DataEntry[S-U03]="Tri 2")*($A$26=DataEntry[S-U04])*($B66=DataEntry[S-U05])),0)))-(INDEX(DataEntry[E-E10],MATCH(1, ((DataEntry[S-U03]="Tri 2")*($A$26=DataEntry[S-U04])*($B66=DataEntry[S-U05])),0)))</f>
        <v>0</v>
      </c>
      <c r="I66" s="275" t="str">
        <f t="shared" si="17"/>
        <v>N/A</v>
      </c>
    </row>
    <row r="67" spans="1:9" ht="16.75" customHeight="1">
      <c r="A67" s="1317"/>
      <c r="B67" s="460" t="s">
        <v>29</v>
      </c>
      <c r="C67" s="461" t="s">
        <v>152</v>
      </c>
      <c r="D67" s="462" cm="1">
        <f t="array" ref="D67">INDEX(DataEntry[E-E05],MATCH(1, ((DataEntry[S-U03]="Tri 2")*($A$26=DataEntry[S-U04])*($B67=DataEntry[S-U05])),0))</f>
        <v>0</v>
      </c>
      <c r="E67" s="274" cm="1">
        <f t="array" ref="E67">(INDEX(DataEntry[E-E03],MATCH(1, ((DataEntry[S-U03]="Tri 2")*($A$26=DataEntry[S-U04])*($B67=DataEntry[S-U05])),0)))-(INDEX(DataEntry[E-E05],MATCH(1, ((DataEntry[S-U03]="Tri 2")*($A$26=DataEntry[S-U04])*($B67=DataEntry[S-U05])),0)))</f>
        <v>0</v>
      </c>
      <c r="F67" s="273" t="str">
        <f t="shared" si="16"/>
        <v>N/A</v>
      </c>
      <c r="G67" s="274" cm="1">
        <f t="array" ref="G67">INDEX(DataEntry[E-E10],MATCH(1, ((DataEntry[S-U03]="Tri 2")*($A$26=DataEntry[S-U04])*($B67=DataEntry[S-U05])),0))</f>
        <v>0</v>
      </c>
      <c r="H67" s="274" cm="1">
        <f t="array" ref="H67">(INDEX(DataEntry[E-E08],MATCH(1, ((DataEntry[S-U03]="Tri 2")*($A$26=DataEntry[S-U04])*($B67=DataEntry[S-U05])),0)))-(INDEX(DataEntry[E-E10],MATCH(1, ((DataEntry[S-U03]="Tri 2")*($A$26=DataEntry[S-U04])*($B67=DataEntry[S-U05])),0)))</f>
        <v>0</v>
      </c>
      <c r="I67" s="275" t="str">
        <f t="shared" si="17"/>
        <v>N/A</v>
      </c>
    </row>
    <row r="68" spans="1:9" ht="16.75" customHeight="1">
      <c r="A68" s="1303" t="s">
        <v>163</v>
      </c>
      <c r="B68" s="1304"/>
      <c r="C68" s="1305"/>
      <c r="D68" s="274">
        <f>IFERROR(SUM(D51:D60,D61:D67),"N/A")</f>
        <v>17.34</v>
      </c>
      <c r="E68" s="274">
        <f>IFERROR(SUM(E51:E56,E57:E67),"N/A")</f>
        <v>593.65499999999997</v>
      </c>
      <c r="F68" s="273">
        <f>IFERROR(D68/(D68+E68), "N/A")</f>
        <v>2.8379937642697566E-2</v>
      </c>
      <c r="G68" s="274">
        <f>IFERROR(SUM(G51:G60,G61:G67),"N/A")</f>
        <v>17.34</v>
      </c>
      <c r="H68" s="274">
        <f>IFERROR(SUM(H51:H56,H57:H67),"N/A")</f>
        <v>593.65499999999997</v>
      </c>
      <c r="I68" s="275">
        <f>IFERROR(G68/(G68+H68), "N/A")</f>
        <v>2.8379937642697566E-2</v>
      </c>
    </row>
    <row r="69" spans="1:9" ht="16.75" customHeight="1" thickBot="1">
      <c r="A69" s="1306" t="s">
        <v>164</v>
      </c>
      <c r="B69" s="1307"/>
      <c r="C69" s="1308"/>
      <c r="D69" s="858">
        <f>IFERROR(SUM(D68:D68),"N/A")</f>
        <v>17.34</v>
      </c>
      <c r="E69" s="858">
        <f>IFERROR(SUM(E68:E68),"N/A")</f>
        <v>593.65499999999997</v>
      </c>
      <c r="F69" s="859">
        <f>IFERROR(D69/(D69+E69), "N/A")</f>
        <v>2.8379937642697566E-2</v>
      </c>
      <c r="G69" s="858">
        <f>IFERROR(SUM(G68:G68),"N/A")</f>
        <v>17.34</v>
      </c>
      <c r="H69" s="858">
        <f>IFERROR(SUM(H68:H68),"N/A")</f>
        <v>593.65499999999997</v>
      </c>
      <c r="I69" s="860">
        <f>IFERROR(G69/(G69+H69), "N/A")</f>
        <v>2.8379937642697566E-2</v>
      </c>
    </row>
    <row r="70" spans="1:9" ht="15.5" hidden="1" thickBot="1">
      <c r="A70" s="1312" t="s">
        <v>956</v>
      </c>
      <c r="B70" s="1313"/>
      <c r="C70" s="1313"/>
      <c r="D70" s="1313"/>
      <c r="E70" s="1313"/>
      <c r="F70" s="1313"/>
      <c r="G70" s="1313"/>
      <c r="H70" s="1313"/>
      <c r="I70" s="1314"/>
    </row>
    <row r="71" spans="1:9" hidden="1">
      <c r="A71" s="1315" t="s">
        <v>4</v>
      </c>
      <c r="B71" s="460" t="s">
        <v>5</v>
      </c>
      <c r="C71" s="461" t="s">
        <v>152</v>
      </c>
      <c r="D71" s="462" cm="1">
        <f t="array" ref="D71">INDEX(DataEntry[G-G04],MATCH(1, ($A$11=DataEntry[S-U04])*($B71=DataEntry[S-U05]),0))</f>
        <v>0</v>
      </c>
      <c r="E71" s="274" cm="1">
        <f t="array" ref="E71">(INDEX(DataEntry[G-G02],MATCH(1, ($A$11=DataEntry[S-U04])*($B71=DataEntry[S-U05]),0)))-(INDEX(DataEntry[G-G04],MATCH(1, ($A$11=DataEntry[S-U04])*($B71=DataEntry[S-U05]),0)))</f>
        <v>0</v>
      </c>
      <c r="F71" s="273" t="str">
        <f>IFERROR(D71/(D71+E71),"N/A")</f>
        <v>N/A</v>
      </c>
      <c r="G71" s="274" cm="1">
        <f t="array" ref="G71">INDEX(DataEntry[G-G09],MATCH(1, ($A$11=DataEntry[S-U04])*($B71=DataEntry[S-U05]),0))</f>
        <v>0</v>
      </c>
      <c r="H71" s="274" cm="1">
        <f t="array" ref="H71">(INDEX(DataEntry[G-G06],MATCH(1, ($A$11=DataEntry[S-U04])*($B71=DataEntry[S-U05]),0)))-(INDEX(DataEntry[G-G09],MATCH(1, ($A$11=DataEntry[S-U04])*($B71=DataEntry[S-U05]),0)))</f>
        <v>0</v>
      </c>
      <c r="I71" s="275" t="str">
        <f>IFERROR(G71/(G71+H71),"N/A")</f>
        <v>N/A</v>
      </c>
    </row>
    <row r="72" spans="1:9" hidden="1">
      <c r="A72" s="1316"/>
      <c r="B72" s="460" t="s">
        <v>153</v>
      </c>
      <c r="C72" s="461" t="s">
        <v>152</v>
      </c>
      <c r="D72" s="462" cm="1">
        <f t="array" ref="D72">INDEX(DataEntry[G-G04],MATCH(1, ($A$11=DataEntry[S-U04])*($B72=DataEntry[S-U05]),0))</f>
        <v>0</v>
      </c>
      <c r="E72" s="274" cm="1">
        <f t="array" ref="E72">(INDEX(DataEntry[G-G02],MATCH(1, ($A$11=DataEntry[S-U04])*($B72=DataEntry[S-U05]),0)))-(INDEX(DataEntry[G-G04],MATCH(1, ($A$11=DataEntry[S-U04])*($B72=DataEntry[S-U05]),0)))</f>
        <v>0</v>
      </c>
      <c r="F72" s="273" t="str">
        <f t="shared" ref="F72:F87" si="24">IFERROR(D72/(D72+E72),"N/A")</f>
        <v>N/A</v>
      </c>
      <c r="G72" s="274" cm="1">
        <f t="array" ref="G72">INDEX(DataEntry[G-G09],MATCH(1, ($A$11=DataEntry[S-U04])*($B72=DataEntry[S-U05]),0))</f>
        <v>0</v>
      </c>
      <c r="H72" s="274" cm="1">
        <f t="array" ref="H72">(INDEX(DataEntry[G-G06],MATCH(1, ($A$11=DataEntry[S-U04])*($B72=DataEntry[S-U05]),0)))-(INDEX(DataEntry[G-G09],MATCH(1, ($A$11=DataEntry[S-U04])*($B72=DataEntry[S-U05]),0)))</f>
        <v>0</v>
      </c>
      <c r="I72" s="275" t="str">
        <f t="shared" ref="I72:I87" si="25">IFERROR(G72/(G72+H72),"N/A")</f>
        <v>N/A</v>
      </c>
    </row>
    <row r="73" spans="1:9" hidden="1">
      <c r="A73" s="1316"/>
      <c r="B73" s="460" t="s">
        <v>626</v>
      </c>
      <c r="C73" s="461" t="s">
        <v>152</v>
      </c>
      <c r="D73" s="462" cm="1">
        <f t="array" ref="D73">INDEX(DataEntry[G-G04],MATCH(1, ($A$11=DataEntry[S-U04])*($B73=DataEntry[S-U05]),0))</f>
        <v>0</v>
      </c>
      <c r="E73" s="274" cm="1">
        <f t="array" ref="E73">(INDEX(DataEntry[G-G02],MATCH(1, ($A$11=DataEntry[S-U04])*($B73=DataEntry[S-U05]),0)))-(INDEX(DataEntry[G-G04],MATCH(1, ($A$11=DataEntry[S-U04])*($B73=DataEntry[S-U05]),0)))</f>
        <v>0</v>
      </c>
      <c r="F73" s="273" t="str">
        <f t="shared" si="24"/>
        <v>N/A</v>
      </c>
      <c r="G73" s="274" cm="1">
        <f t="array" ref="G73">INDEX(DataEntry[G-G09],MATCH(1, ($A$11=DataEntry[S-U04])*($B73=DataEntry[S-U05]),0))</f>
        <v>0</v>
      </c>
      <c r="H73" s="274" cm="1">
        <f t="array" ref="H73">(INDEX(DataEntry[G-G06],MATCH(1, ($A$11=DataEntry[S-U04])*($B73=DataEntry[S-U05]),0)))-(INDEX(DataEntry[G-G09],MATCH(1, ($A$11=DataEntry[S-U04])*($B73=DataEntry[S-U05]),0)))</f>
        <v>0</v>
      </c>
      <c r="I73" s="275" t="str">
        <f t="shared" si="25"/>
        <v>N/A</v>
      </c>
    </row>
    <row r="74" spans="1:9" hidden="1">
      <c r="A74" s="1316"/>
      <c r="B74" s="460" t="s">
        <v>154</v>
      </c>
      <c r="C74" s="461" t="s">
        <v>152</v>
      </c>
      <c r="D74" s="462" cm="1">
        <f t="array" ref="D74">INDEX(DataEntry[G-G04],MATCH(1, ($A$11=DataEntry[S-U04])*($B74=DataEntry[S-U05]),0))</f>
        <v>0</v>
      </c>
      <c r="E74" s="274" cm="1">
        <f t="array" ref="E74">(INDEX(DataEntry[G-G02],MATCH(1, ($A$11=DataEntry[S-U04])*($B74=DataEntry[S-U05]),0)))-(INDEX(DataEntry[G-G04],MATCH(1, ($A$11=DataEntry[S-U04])*($B74=DataEntry[S-U05]),0)))</f>
        <v>0</v>
      </c>
      <c r="F74" s="273" t="str">
        <f t="shared" ref="F74" si="26">IFERROR(D74/(D74+E74),"N/A")</f>
        <v>N/A</v>
      </c>
      <c r="G74" s="274" cm="1">
        <f t="array" ref="G74">INDEX(DataEntry[G-G09],MATCH(1, ($A$11=DataEntry[S-U04])*($B74=DataEntry[S-U05]),0))</f>
        <v>0</v>
      </c>
      <c r="H74" s="274" cm="1">
        <f t="array" ref="H74">(INDEX(DataEntry[G-G06],MATCH(1, ($A$11=DataEntry[S-U04])*($B74=DataEntry[S-U05]),0)))-(INDEX(DataEntry[G-G09],MATCH(1, ($A$11=DataEntry[S-U04])*($B74=DataEntry[S-U05]),0)))</f>
        <v>0</v>
      </c>
      <c r="I74" s="275" t="str">
        <f t="shared" ref="I74" si="27">IFERROR(G74/(G74+H74),"N/A")</f>
        <v>N/A</v>
      </c>
    </row>
    <row r="75" spans="1:9" hidden="1">
      <c r="A75" s="1317"/>
      <c r="B75" s="460" t="s">
        <v>962</v>
      </c>
      <c r="C75" s="461" t="s">
        <v>152</v>
      </c>
      <c r="D75" s="462" cm="1">
        <f t="array" ref="D75">INDEX(DataEntry[G-G04],MATCH(1, ($A$11=DataEntry[S-U04])*($B75=DataEntry[S-U05]),0))</f>
        <v>0</v>
      </c>
      <c r="E75" s="274" cm="1">
        <f t="array" ref="E75">(INDEX(DataEntry[G-G02],MATCH(1, ($A$11=DataEntry[S-U04])*($B75=DataEntry[S-U05]),0)))-(INDEX(DataEntry[G-G04],MATCH(1, ($A$11=DataEntry[S-U04])*($B75=DataEntry[S-U05]),0)))</f>
        <v>0</v>
      </c>
      <c r="F75" s="273" t="str">
        <f t="shared" si="24"/>
        <v>N/A</v>
      </c>
      <c r="G75" s="274" cm="1">
        <f t="array" ref="G75">INDEX(DataEntry[G-G09],MATCH(1, ($A$11=DataEntry[S-U04])*($B75=DataEntry[S-U05]),0))</f>
        <v>0</v>
      </c>
      <c r="H75" s="274" cm="1">
        <f t="array" ref="H75">(INDEX(DataEntry[G-G06],MATCH(1, ($A$11=DataEntry[S-U04])*($B75=DataEntry[S-U05]),0)))-(INDEX(DataEntry[G-G09],MATCH(1, ($A$11=DataEntry[S-U04])*($B75=DataEntry[S-U05]),0)))</f>
        <v>0</v>
      </c>
      <c r="I75" s="275" t="str">
        <f t="shared" si="25"/>
        <v>N/A</v>
      </c>
    </row>
    <row r="76" spans="1:9" hidden="1">
      <c r="A76" s="1318" t="s">
        <v>129</v>
      </c>
      <c r="B76" s="463" t="s">
        <v>155</v>
      </c>
      <c r="C76" s="461" t="s">
        <v>152</v>
      </c>
      <c r="D76" s="462" cm="1">
        <f t="array" ref="D76">INDEX(DataEntry[G-G04],MATCH(1, ($A$16=DataEntry[S-U04])*($B76=DataEntry[S-U05]),0))</f>
        <v>0</v>
      </c>
      <c r="E76" s="274" cm="1">
        <f t="array" ref="E76">(INDEX(DataEntry[G-G02],MATCH(1, ($A$16=DataEntry[S-U04])*($B76=DataEntry[S-U05]),0)))-(INDEX(DataEntry[G-G04],MATCH(1, ($A$16=DataEntry[S-U04])*($B76=DataEntry[S-U05]),0)))</f>
        <v>0</v>
      </c>
      <c r="F76" s="273" t="str">
        <f t="shared" si="24"/>
        <v>N/A</v>
      </c>
      <c r="G76" s="274" cm="1">
        <f t="array" ref="G76">INDEX(DataEntry[G-G09],MATCH(1, ($A$16=DataEntry[S-U04])*($B76=DataEntry[S-U05]),0))</f>
        <v>0</v>
      </c>
      <c r="H76" s="274" cm="1">
        <f t="array" ref="H76">(INDEX(DataEntry[G-G06],MATCH(1, ($A$16=DataEntry[S-U04])*($B76=DataEntry[S-U05]),0)))-(INDEX(DataEntry[G-G09],MATCH(1, ($A$16=DataEntry[S-U04])*($B76=DataEntry[S-U05]),0)))</f>
        <v>0</v>
      </c>
      <c r="I76" s="275" t="str">
        <f t="shared" si="25"/>
        <v>N/A</v>
      </c>
    </row>
    <row r="77" spans="1:9" hidden="1">
      <c r="A77" s="1316"/>
      <c r="B77" s="463" t="s">
        <v>19</v>
      </c>
      <c r="C77" s="461" t="s">
        <v>152</v>
      </c>
      <c r="D77" s="462" cm="1">
        <f t="array" ref="D77">INDEX(DataEntry[G-G04],MATCH(1, ($A$16=DataEntry[S-U04])*($B77=DataEntry[S-U05]),0))</f>
        <v>0</v>
      </c>
      <c r="E77" s="274" cm="1">
        <f t="array" ref="E77">(INDEX(DataEntry[G-G02],MATCH(1, ($A$16=DataEntry[S-U04])*($B77=DataEntry[S-U05]),0)))-(INDEX(DataEntry[G-G04],MATCH(1, ($A$16=DataEntry[S-U04])*($B77=DataEntry[S-U05]),0)))</f>
        <v>0</v>
      </c>
      <c r="F77" s="273" t="str">
        <f t="shared" si="24"/>
        <v>N/A</v>
      </c>
      <c r="G77" s="274" cm="1">
        <f t="array" ref="G77">INDEX(DataEntry[G-G09],MATCH(1, ($A$16=DataEntry[S-U04])*($B77=DataEntry[S-U05]),0))</f>
        <v>0</v>
      </c>
      <c r="H77" s="274" cm="1">
        <f t="array" ref="H77">(INDEX(DataEntry[G-G06],MATCH(1, ($A$16=DataEntry[S-U04])*($B77=DataEntry[S-U05]),0)))-(INDEX(DataEntry[G-G09],MATCH(1, ($A$16=DataEntry[S-U04])*($B77=DataEntry[S-U05]),0)))</f>
        <v>0</v>
      </c>
      <c r="I77" s="275" t="str">
        <f t="shared" si="25"/>
        <v>N/A</v>
      </c>
    </row>
    <row r="78" spans="1:9" hidden="1">
      <c r="A78" s="1319" t="s">
        <v>130</v>
      </c>
      <c r="B78" s="463" t="s">
        <v>156</v>
      </c>
      <c r="C78" s="461" t="s">
        <v>152</v>
      </c>
      <c r="D78" s="462" cm="1">
        <f t="array" ref="D78">INDEX(DataEntry[G-G04],MATCH(1, ($A$18=DataEntry[S-U04])*($B78=DataEntry[S-U05]),0))</f>
        <v>0</v>
      </c>
      <c r="E78" s="274" cm="1">
        <f t="array" ref="E78">(INDEX(DataEntry[G-G02],MATCH(1, ($A$18=DataEntry[S-U04])*($B78=DataEntry[S-U05]),0)))-(INDEX(DataEntry[G-G04],MATCH(1, ($A$18=DataEntry[S-U04])*($B78=DataEntry[S-U05]),0)))</f>
        <v>0</v>
      </c>
      <c r="F78" s="273" t="str">
        <f t="shared" si="24"/>
        <v>N/A</v>
      </c>
      <c r="G78" s="274" cm="1">
        <f t="array" ref="G78">INDEX(DataEntry[G-G09],MATCH(1, ($A$18=DataEntry[S-U04])*($B78=DataEntry[S-U05]),0))</f>
        <v>0</v>
      </c>
      <c r="H78" s="274" cm="1">
        <f t="array" ref="H78">(INDEX(DataEntry[G-G06],MATCH(1, ($A$18=DataEntry[S-U04])*($B78=DataEntry[S-U05]),0)))-(INDEX(DataEntry[G-G09],MATCH(1, ($A$18=DataEntry[S-U04])*($B78=DataEntry[S-U05]),0)))</f>
        <v>0</v>
      </c>
      <c r="I78" s="275" t="str">
        <f t="shared" si="25"/>
        <v>N/A</v>
      </c>
    </row>
    <row r="79" spans="1:9" hidden="1">
      <c r="A79" s="1321"/>
      <c r="B79" s="460" t="s">
        <v>154</v>
      </c>
      <c r="C79" s="461" t="s">
        <v>152</v>
      </c>
      <c r="D79" s="462" cm="1">
        <f t="array" ref="D79">INDEX(DataEntry[G-G04],MATCH(1, ($A$18=DataEntry[S-U04])*($B79=DataEntry[S-U05]),0))</f>
        <v>0</v>
      </c>
      <c r="E79" s="274" cm="1">
        <f t="array" ref="E79">(INDEX(DataEntry[G-G02],MATCH(1, ($A$18=DataEntry[S-U04])*($B79=DataEntry[S-U05]),0)))-(INDEX(DataEntry[G-G04],MATCH(1, ($A$18=DataEntry[S-U04])*($B79=DataEntry[S-U05]),0)))</f>
        <v>0</v>
      </c>
      <c r="F79" s="273" t="str">
        <f t="shared" ref="F79" si="28">IFERROR(D79/(D79+E79),"N/A")</f>
        <v>N/A</v>
      </c>
      <c r="G79" s="274" cm="1">
        <f t="array" ref="G79">INDEX(DataEntry[G-G09],MATCH(1, ($A$18=DataEntry[S-U04])*($B79=DataEntry[S-U05]),0))</f>
        <v>0</v>
      </c>
      <c r="H79" s="274" cm="1">
        <f t="array" ref="H79">(INDEX(DataEntry[G-G06],MATCH(1, ($A$18=DataEntry[S-U04])*($B79=DataEntry[S-U05]),0)))-(INDEX(DataEntry[G-G09],MATCH(1, ($A$18=DataEntry[S-U04])*($B79=DataEntry[S-U05]),0)))</f>
        <v>0</v>
      </c>
      <c r="I79" s="275" t="str">
        <f t="shared" ref="I79" si="29">IFERROR(G79/(G79+H79),"N/A")</f>
        <v>N/A</v>
      </c>
    </row>
    <row r="80" spans="1:9" hidden="1">
      <c r="A80" s="611" t="s">
        <v>183</v>
      </c>
      <c r="B80" s="460" t="s">
        <v>183</v>
      </c>
      <c r="C80" s="461" t="s">
        <v>152</v>
      </c>
      <c r="D80" s="462" cm="1">
        <f t="array" ref="D80">INDEX(DataEntry[G-G04],MATCH(1, ($A$20=DataEntry[S-U04])*1,0))</f>
        <v>0</v>
      </c>
      <c r="E80" s="274" cm="1">
        <f t="array" ref="E80">(INDEX(DataEntry[G-G02],MATCH(1, ($A$20=DataEntry[S-U04])*($B80=DataEntry[S-U05]),0)))-(INDEX(DataEntry[G-G04],MATCH(1, ($A$20=DataEntry[S-U04])*($B80=DataEntry[S-U05]),0)))</f>
        <v>0</v>
      </c>
      <c r="F80" s="273" t="str">
        <f t="shared" si="24"/>
        <v>N/A</v>
      </c>
      <c r="G80" s="274" cm="1">
        <f t="array" ref="G80">INDEX(DataEntry[G-G09],MATCH(1, ($A$20=DataEntry[S-U04])*1,0))</f>
        <v>0</v>
      </c>
      <c r="H80" s="274" cm="1">
        <f t="array" ref="H80">(INDEX(DataEntry[G-G06],MATCH(1, ($A$20=DataEntry[S-U04])*($B80=DataEntry[S-U05]),0)))-(INDEX(DataEntry[G-G09],MATCH(1, ($A$20=DataEntry[S-U04])*($B80=DataEntry[S-U05]),0)))</f>
        <v>0</v>
      </c>
      <c r="I80" s="275" t="str">
        <f t="shared" si="25"/>
        <v>N/A</v>
      </c>
    </row>
    <row r="81" spans="1:9" hidden="1">
      <c r="A81" s="509" t="s">
        <v>26</v>
      </c>
      <c r="B81" s="460" t="s">
        <v>27</v>
      </c>
      <c r="C81" s="461" t="s">
        <v>152</v>
      </c>
      <c r="D81" s="462" cm="1">
        <f t="array" ref="D81">INDEX(DataEntry[G-G04],MATCH(1, (DataEntry[S-U03]="Tri 2")*($B81=DataEntry[S-U04]),0))</f>
        <v>0</v>
      </c>
      <c r="E81" s="274" cm="1">
        <f t="array" ref="E81">(INDEX(DataEntry[G-G02],MATCH(1, (DataEntry[S-U03]="Tri 2")*($B81=DataEntry[S-U04]),0)))-(INDEX(DataEntry[G-G04],MATCH(1, (DataEntry[S-U03]="Tri 2")*($B81=DataEntry[S-U04]),0)))</f>
        <v>0</v>
      </c>
      <c r="F81" s="273" t="str">
        <f t="shared" si="24"/>
        <v>N/A</v>
      </c>
      <c r="G81" s="274" cm="1">
        <f t="array" ref="G81">INDEX(DataEntry[G-G09],MATCH(1, (DataEntry[S-U03]="Tri 2")*($B81=DataEntry[S-U04]),0))</f>
        <v>0</v>
      </c>
      <c r="H81" s="274" cm="1">
        <f t="array" ref="H81">(INDEX(DataEntry[G-G06],MATCH(1, (DataEntry[S-U03]="Tri 2")*($B81=DataEntry[S-U04]),0)))-(INDEX(DataEntry[G-G09],MATCH(1, (DataEntry[S-U03]="Tri 2")*($B81=DataEntry[S-U04]),0)))</f>
        <v>0</v>
      </c>
      <c r="I81" s="275" t="str">
        <f t="shared" si="25"/>
        <v>N/A</v>
      </c>
    </row>
    <row r="82" spans="1:9" hidden="1">
      <c r="A82" s="611" t="s">
        <v>30</v>
      </c>
      <c r="B82" s="463" t="s">
        <v>30</v>
      </c>
      <c r="C82" s="461" t="s">
        <v>152</v>
      </c>
      <c r="D82" s="462" cm="1">
        <f t="array" ref="D82">INDEX(DataEntry[G-G04],MATCH(1, (DataEntry[S-U03]="Tri 2")*($B82=DataEntry[S-U04]),0))</f>
        <v>0</v>
      </c>
      <c r="E82" s="274" cm="1">
        <f t="array" ref="E82">(INDEX(DataEntry[G-G02],MATCH(1, (DataEntry[S-U03]="Tri 2")*($B82=DataEntry[S-U04]),0)))-(INDEX(DataEntry[G-G04],MATCH(1, (DataEntry[S-U03]="Tri 2")*($B82=DataEntry[S-U04]),0)))</f>
        <v>0</v>
      </c>
      <c r="F82" s="273" t="str">
        <f t="shared" si="24"/>
        <v>N/A</v>
      </c>
      <c r="G82" s="274" cm="1">
        <f t="array" ref="G82">INDEX(DataEntry[G-G09],MATCH(1, (DataEntry[S-U03]="Tri 2")*($B82=DataEntry[S-U04]),0))</f>
        <v>0</v>
      </c>
      <c r="H82" s="274" cm="1">
        <f t="array" ref="H82">(INDEX(DataEntry[G-G06],MATCH(1, (DataEntry[S-U03]="Tri 2")*($B82=DataEntry[S-U04]),0)))-(INDEX(DataEntry[G-G09],MATCH(1, (DataEntry[S-U03]="Tri 2")*($B82=DataEntry[S-U04]),0)))</f>
        <v>0</v>
      </c>
      <c r="I82" s="275" t="str">
        <f t="shared" si="25"/>
        <v>N/A</v>
      </c>
    </row>
    <row r="83" spans="1:9" hidden="1">
      <c r="A83" s="1319" t="s">
        <v>29</v>
      </c>
      <c r="B83" s="460" t="s">
        <v>29</v>
      </c>
      <c r="C83" s="461" t="s">
        <v>152</v>
      </c>
      <c r="D83" s="462" cm="1">
        <f t="array" ref="D83">INDEX(DataEntry[G-G04],MATCH(1, (DataEntry[S-U03]="Tri 2")*($A$83=DataEntry[S-U04])*($B83=DataEntry[S-U05]),0))</f>
        <v>0</v>
      </c>
      <c r="E83" s="274" cm="1">
        <f t="array" ref="E83">(INDEX(DataEntry[G-G02],MATCH(1, (DataEntry[S-U03]="Tri 2")*($A$83=DataEntry[S-U04])*($B83=DataEntry[S-U05]),0)))-(INDEX(DataEntry[G-G04],MATCH(1, (DataEntry[S-U03]="Tri 2")*($A$83=DataEntry[S-U04])*($B83=DataEntry[S-U05]),0)))</f>
        <v>0</v>
      </c>
      <c r="F83" s="273" t="str">
        <f t="shared" si="24"/>
        <v>N/A</v>
      </c>
      <c r="G83" s="274" cm="1">
        <f t="array" ref="G83">INDEX(DataEntry[G-G09],MATCH(1, (DataEntry[S-U03]="Tri 2")*($A$83=DataEntry[S-U04])*($B83=DataEntry[S-U05]),0))</f>
        <v>0</v>
      </c>
      <c r="H83" s="274" cm="1">
        <f t="array" ref="H83">(INDEX(DataEntry[G-G06],MATCH(1, (DataEntry[S-U03]="Tri 2")*($A$83=DataEntry[S-U04])*($B83=DataEntry[S-U05]),0)))-(INDEX(DataEntry[G-G09],MATCH(1, (DataEntry[S-U03]="Tri 2")*($A$83=DataEntry[S-U04])*($B83=DataEntry[S-U05]),0)))</f>
        <v>0</v>
      </c>
      <c r="I83" s="275" t="str">
        <f t="shared" si="25"/>
        <v>N/A</v>
      </c>
    </row>
    <row r="84" spans="1:9" hidden="1">
      <c r="A84" s="1320"/>
      <c r="B84" s="460" t="s">
        <v>963</v>
      </c>
      <c r="C84" s="461" t="s">
        <v>152</v>
      </c>
      <c r="D84" s="462" cm="1">
        <f t="array" ref="D84">INDEX(DataEntry[G-G04],MATCH(1, (DataEntry[S-U03]="Tri 2")*($A$83=DataEntry[S-U04])*($B84=DataEntry[S-U05]),0))</f>
        <v>0</v>
      </c>
      <c r="E84" s="274" cm="1">
        <f t="array" ref="E84">(INDEX(DataEntry[G-G02],MATCH(1, (DataEntry[S-U03]="Tri 2")*($A$83=DataEntry[S-U04])*($B84=DataEntry[S-U05]),0)))-(INDEX(DataEntry[G-G04],MATCH(1, (DataEntry[S-U03]="Tri 2")*($A$83=DataEntry[S-U04])*($B84=DataEntry[S-U05]),0)))</f>
        <v>0</v>
      </c>
      <c r="F84" s="273" t="str">
        <f t="shared" ref="F84:F85" si="30">IFERROR(D84/(D84+E84),"N/A")</f>
        <v>N/A</v>
      </c>
      <c r="G84" s="274" cm="1">
        <f t="array" ref="G84">INDEX(DataEntry[G-G09],MATCH(1, (DataEntry[S-U03]="Tri 2")*($A$83=DataEntry[S-U04])*($B84=DataEntry[S-U05]),0))</f>
        <v>0</v>
      </c>
      <c r="H84" s="274" cm="1">
        <f t="array" ref="H84">(INDEX(DataEntry[G-G06],MATCH(1, (DataEntry[S-U03]="Tri 2")*($A$83=DataEntry[S-U04])*($B84=DataEntry[S-U05]),0)))-(INDEX(DataEntry[G-G09],MATCH(1, (DataEntry[S-U03]="Tri 2")*($A$83=DataEntry[S-U04])*($B84=DataEntry[S-U05]),0)))</f>
        <v>0</v>
      </c>
      <c r="I84" s="275" t="str">
        <f t="shared" ref="I84:I85" si="31">IFERROR(G84/(G84+H84),"N/A")</f>
        <v>N/A</v>
      </c>
    </row>
    <row r="85" spans="1:9" hidden="1">
      <c r="A85" s="1321"/>
      <c r="B85" s="460" t="s">
        <v>964</v>
      </c>
      <c r="C85" s="461" t="s">
        <v>152</v>
      </c>
      <c r="D85" s="462" cm="1">
        <f t="array" ref="D85">INDEX(DataEntry[G-G04],MATCH(1, (DataEntry[S-U03]="Tri 2")*($A$83=DataEntry[S-U04])*($B85=DataEntry[S-U05]),0))</f>
        <v>0</v>
      </c>
      <c r="E85" s="274" cm="1">
        <f t="array" ref="E85">(INDEX(DataEntry[G-G02],MATCH(1, (DataEntry[S-U03]="Tri 2")*($A$83=DataEntry[S-U04])*($B85=DataEntry[S-U05]),0)))-(INDEX(DataEntry[G-G04],MATCH(1, (DataEntry[S-U03]="Tri 2")*($A$83=DataEntry[S-U04])*($B85=DataEntry[S-U05]),0)))</f>
        <v>0</v>
      </c>
      <c r="F85" s="273" t="str">
        <f t="shared" si="30"/>
        <v>N/A</v>
      </c>
      <c r="G85" s="274" cm="1">
        <f t="array" ref="G85">INDEX(DataEntry[G-G09],MATCH(1, (DataEntry[S-U03]="Tri 2")*($A$83=DataEntry[S-U04])*($B85=DataEntry[S-U05]),0))</f>
        <v>0</v>
      </c>
      <c r="H85" s="274" cm="1">
        <f t="array" ref="H85">(INDEX(DataEntry[G-G06],MATCH(1, (DataEntry[S-U03]="Tri 2")*($A$83=DataEntry[S-U04])*($B85=DataEntry[S-U05]),0)))-(INDEX(DataEntry[G-G09],MATCH(1, (DataEntry[S-U03]="Tri 2")*($A$83=DataEntry[S-U04])*($B85=DataEntry[S-U05]),0)))</f>
        <v>0</v>
      </c>
      <c r="I85" s="275" t="str">
        <f t="shared" si="31"/>
        <v>N/A</v>
      </c>
    </row>
    <row r="86" spans="1:9" hidden="1">
      <c r="A86" s="1318" t="s">
        <v>131</v>
      </c>
      <c r="B86" s="460" t="s">
        <v>629</v>
      </c>
      <c r="C86" s="461" t="s">
        <v>157</v>
      </c>
      <c r="D86" s="462" cm="1">
        <f t="array" ref="D86">INDEX(DataEntry[G-G04],MATCH(1, ((DataEntry[S-U03]="Tri 2")*($A$26=DataEntry[S-U04])*($B86=DataEntry[S-U05])),0))</f>
        <v>0</v>
      </c>
      <c r="E86" s="274" cm="1">
        <f t="array" ref="E86">(INDEX(DataEntry[G-G02],MATCH(1, ((DataEntry[S-U03]="Tri 2")*($A$26=DataEntry[S-U04])*($B86=DataEntry[S-U05])),0)))-(INDEX(DataEntry[G-G04],MATCH(1, ((DataEntry[S-U03]="Tri 2")*($A$26=DataEntry[S-U04])*($B86=DataEntry[S-U05])),0)))</f>
        <v>0</v>
      </c>
      <c r="F86" s="273" t="str">
        <f t="shared" si="24"/>
        <v>N/A</v>
      </c>
      <c r="G86" s="274" cm="1">
        <f t="array" ref="G86">INDEX(DataEntry[G-G09],MATCH(1, ((DataEntry[S-U03]="Tri 2")*($A$26=DataEntry[S-U04])*($B86=DataEntry[S-U05])),0))</f>
        <v>0</v>
      </c>
      <c r="H86" s="274" cm="1">
        <f t="array" ref="H86">(INDEX(DataEntry[G-G06],MATCH(1, ((DataEntry[S-U03]="Tri 2")*($A$26=DataEntry[S-U04])*($B86=DataEntry[S-U05])),0)))-(INDEX(DataEntry[G-G09],MATCH(1, ((DataEntry[S-U03]="Tri 2")*($A$26=DataEntry[S-U04])*($B86=DataEntry[S-U05])),0)))</f>
        <v>0</v>
      </c>
      <c r="I86" s="275" t="str">
        <f t="shared" si="25"/>
        <v>N/A</v>
      </c>
    </row>
    <row r="87" spans="1:9" hidden="1">
      <c r="A87" s="1317"/>
      <c r="B87" s="460" t="s">
        <v>29</v>
      </c>
      <c r="C87" s="461" t="s">
        <v>152</v>
      </c>
      <c r="D87" s="462" cm="1">
        <f t="array" ref="D87">INDEX(DataEntry[G-G04],MATCH(1, ((DataEntry[S-U03]="Tri 2")*($A$26=DataEntry[S-U04])*($B87=DataEntry[S-U05])),0))</f>
        <v>0</v>
      </c>
      <c r="E87" s="274" cm="1">
        <f t="array" ref="E87">(INDEX(DataEntry[G-G02],MATCH(1, ((DataEntry[S-U03]="Tri 2")*($A$26=DataEntry[S-U04])*($B87=DataEntry[S-U05])),0)))-(INDEX(DataEntry[G-G04],MATCH(1, ((DataEntry[S-U03]="Tri 2")*($A$26=DataEntry[S-U04])*($B87=DataEntry[S-U05])),0)))</f>
        <v>0</v>
      </c>
      <c r="F87" s="273" t="str">
        <f t="shared" si="24"/>
        <v>N/A</v>
      </c>
      <c r="G87" s="274" cm="1">
        <f t="array" ref="G87">INDEX(DataEntry[G-G09],MATCH(1, ((DataEntry[S-U03]="Tri 2")*($A$26=DataEntry[S-U04])*($B87=DataEntry[S-U05])),0))</f>
        <v>0</v>
      </c>
      <c r="H87" s="274" cm="1">
        <f t="array" ref="H87">(INDEX(DataEntry[G-G06],MATCH(1, ((DataEntry[S-U03]="Tri 2")*($A$26=DataEntry[S-U04])*($B87=DataEntry[S-U05])),0)))-(INDEX(DataEntry[G-G09],MATCH(1, ((DataEntry[S-U03]="Tri 2")*($A$26=DataEntry[S-U04])*($B87=DataEntry[S-U05])),0)))</f>
        <v>0</v>
      </c>
      <c r="I87" s="275" t="str">
        <f t="shared" si="25"/>
        <v>N/A</v>
      </c>
    </row>
    <row r="88" spans="1:9" hidden="1">
      <c r="A88" s="1303" t="s">
        <v>161</v>
      </c>
      <c r="B88" s="1304"/>
      <c r="C88" s="1305"/>
      <c r="D88" s="274">
        <f>IFERROR(SUM(D71:D80,D81:D87),"N/A")</f>
        <v>0</v>
      </c>
      <c r="E88" s="274">
        <f>IFERROR(SUM(E71:E76,E77:E87),"N/A")</f>
        <v>0</v>
      </c>
      <c r="F88" s="273" t="str">
        <f>IFERROR(D88/(D88+E88), "N/A")</f>
        <v>N/A</v>
      </c>
      <c r="G88" s="274">
        <f>IFERROR(SUM(G71:G80,G81:G87),"N/A")</f>
        <v>0</v>
      </c>
      <c r="H88" s="274">
        <f>IFERROR(SUM(H71:H76,H77:H87),"N/A")</f>
        <v>0</v>
      </c>
      <c r="I88" s="275" t="str">
        <f>IFERROR(G88/(G88+H88), "N/A")</f>
        <v>N/A</v>
      </c>
    </row>
    <row r="89" spans="1:9" ht="15.5" hidden="1" thickBot="1">
      <c r="A89" s="1309" t="s">
        <v>162</v>
      </c>
      <c r="B89" s="1310"/>
      <c r="C89" s="1311"/>
      <c r="D89" s="278">
        <f>IFERROR(SUM(D88:D88),"N/A")</f>
        <v>0</v>
      </c>
      <c r="E89" s="278">
        <f>IFERROR(SUM(E88:E88),"N/A")</f>
        <v>0</v>
      </c>
      <c r="F89" s="277" t="str">
        <f>IFERROR(D89/(D89+E89), "N/A")</f>
        <v>N/A</v>
      </c>
      <c r="G89" s="278">
        <f>IFERROR(SUM(G88:G88),"N/A")</f>
        <v>0</v>
      </c>
      <c r="H89" s="278">
        <f>IFERROR(SUM(H88:H88),"N/A")</f>
        <v>0</v>
      </c>
      <c r="I89" s="279" t="str">
        <f>IFERROR(G89/(G89+H89), "N/A")</f>
        <v>N/A</v>
      </c>
    </row>
    <row r="90" spans="1:9" ht="15.5" hidden="1" thickBot="1">
      <c r="A90" s="1312" t="s">
        <v>957</v>
      </c>
      <c r="B90" s="1313"/>
      <c r="C90" s="1313"/>
      <c r="D90" s="1313"/>
      <c r="E90" s="1313"/>
      <c r="F90" s="1313"/>
      <c r="G90" s="1313"/>
      <c r="H90" s="1313"/>
      <c r="I90" s="1314"/>
    </row>
    <row r="91" spans="1:9" hidden="1">
      <c r="A91" s="1315" t="s">
        <v>4</v>
      </c>
      <c r="B91" s="460" t="s">
        <v>5</v>
      </c>
      <c r="C91" s="461" t="s">
        <v>152</v>
      </c>
      <c r="D91" s="854" cm="1">
        <f t="array" ref="D91">INDEX(DataEntry[G-G05],MATCH(1, ($A$11=DataEntry[S-U04])*($B91=DataEntry[S-U05]),0))</f>
        <v>0</v>
      </c>
      <c r="E91" s="855" cm="1">
        <f t="array" ref="E91">(INDEX(DataEntry[G-G03],MATCH(1, ($A$11=DataEntry[S-U04])*($B91=DataEntry[S-U05]),0)))-(INDEX(DataEntry[G-G05],MATCH(1, ($A$11=DataEntry[S-U04])*($B91=DataEntry[S-U05]),0)))</f>
        <v>0</v>
      </c>
      <c r="F91" s="856" t="str">
        <f>IFERROR(D91/(D91+E91),"N/A")</f>
        <v>N/A</v>
      </c>
      <c r="G91" s="855" cm="1">
        <f t="array" ref="G91">INDEX(DataEntry[G-G10],MATCH(1, ($A$11=DataEntry[S-U04])*($B91=DataEntry[S-U05]),0))</f>
        <v>0</v>
      </c>
      <c r="H91" s="855" cm="1">
        <f t="array" ref="H91">(INDEX(DataEntry[G-G08],MATCH(1, ($A$11=DataEntry[S-U04])*($B91=DataEntry[S-U05]),0)))-(INDEX(DataEntry[G-G10],MATCH(1, ($A$11=DataEntry[S-U04])*($B91=DataEntry[S-U05]),0)))</f>
        <v>0</v>
      </c>
      <c r="I91" s="857" t="str">
        <f>IFERROR(G91/(G91+H91),"N/A")</f>
        <v>N/A</v>
      </c>
    </row>
    <row r="92" spans="1:9" hidden="1">
      <c r="A92" s="1316"/>
      <c r="B92" s="460" t="s">
        <v>153</v>
      </c>
      <c r="C92" s="461" t="s">
        <v>152</v>
      </c>
      <c r="D92" s="462" cm="1">
        <f t="array" ref="D92">INDEX(DataEntry[G-G05],MATCH(1, ($A$11=DataEntry[S-U04])*($B92=DataEntry[S-U05]),0))</f>
        <v>0</v>
      </c>
      <c r="E92" s="274" cm="1">
        <f t="array" ref="E92">(INDEX(DataEntry[G-G03],MATCH(1, ($A$11=DataEntry[S-U04])*($B92=DataEntry[S-U05]),0)))-(INDEX(DataEntry[G-G05],MATCH(1, ($A$11=DataEntry[S-U04])*($B92=DataEntry[S-U05]),0)))</f>
        <v>0</v>
      </c>
      <c r="F92" s="273" t="str">
        <f t="shared" ref="F92:F107" si="32">IFERROR(D92/(D92+E92),"N/A")</f>
        <v>N/A</v>
      </c>
      <c r="G92" s="274" cm="1">
        <f t="array" ref="G92">INDEX(DataEntry[G-G10],MATCH(1, ($A$11=DataEntry[S-U04])*($B92=DataEntry[S-U05]),0))</f>
        <v>0</v>
      </c>
      <c r="H92" s="274" cm="1">
        <f t="array" ref="H92">(INDEX(DataEntry[G-G08],MATCH(1, ($A$11=DataEntry[S-U04])*($B92=DataEntry[S-U05]),0)))-(INDEX(DataEntry[G-G10],MATCH(1, ($A$11=DataEntry[S-U04])*($B92=DataEntry[S-U05]),0)))</f>
        <v>0</v>
      </c>
      <c r="I92" s="275" t="str">
        <f t="shared" ref="I92:I107" si="33">IFERROR(G92/(G92+H92),"N/A")</f>
        <v>N/A</v>
      </c>
    </row>
    <row r="93" spans="1:9" hidden="1">
      <c r="A93" s="1316"/>
      <c r="B93" s="460" t="s">
        <v>626</v>
      </c>
      <c r="C93" s="461" t="s">
        <v>152</v>
      </c>
      <c r="D93" s="462" cm="1">
        <f t="array" ref="D93">INDEX(DataEntry[G-G05],MATCH(1, ($A$11=DataEntry[S-U04])*($B93=DataEntry[S-U05]),0))</f>
        <v>0</v>
      </c>
      <c r="E93" s="274" cm="1">
        <f t="array" ref="E93">(INDEX(DataEntry[G-G03],MATCH(1, ($A$11=DataEntry[S-U04])*($B93=DataEntry[S-U05]),0)))-(INDEX(DataEntry[G-G05],MATCH(1, ($A$11=DataEntry[S-U04])*($B93=DataEntry[S-U05]),0)))</f>
        <v>0</v>
      </c>
      <c r="F93" s="273" t="str">
        <f t="shared" si="32"/>
        <v>N/A</v>
      </c>
      <c r="G93" s="274" cm="1">
        <f t="array" ref="G93">INDEX(DataEntry[G-G10],MATCH(1, ($A$11=DataEntry[S-U04])*($B93=DataEntry[S-U05]),0))</f>
        <v>0</v>
      </c>
      <c r="H93" s="274" cm="1">
        <f t="array" ref="H93">(INDEX(DataEntry[G-G08],MATCH(1, ($A$11=DataEntry[S-U04])*($B93=DataEntry[S-U05]),0)))-(INDEX(DataEntry[G-G10],MATCH(1, ($A$11=DataEntry[S-U04])*($B93=DataEntry[S-U05]),0)))</f>
        <v>0</v>
      </c>
      <c r="I93" s="275" t="str">
        <f t="shared" si="33"/>
        <v>N/A</v>
      </c>
    </row>
    <row r="94" spans="1:9" hidden="1">
      <c r="A94" s="1316"/>
      <c r="B94" s="460" t="s">
        <v>154</v>
      </c>
      <c r="C94" s="461" t="s">
        <v>152</v>
      </c>
      <c r="D94" s="462" cm="1">
        <f t="array" ref="D94">INDEX(DataEntry[G-G05],MATCH(1, ($A$11=DataEntry[S-U04])*($B94=DataEntry[S-U05]),0))</f>
        <v>0</v>
      </c>
      <c r="E94" s="274" cm="1">
        <f t="array" ref="E94">(INDEX(DataEntry[G-G03],MATCH(1, ($A$11=DataEntry[S-U04])*($B94=DataEntry[S-U05]),0)))-(INDEX(DataEntry[G-G05],MATCH(1, ($A$11=DataEntry[S-U04])*($B94=DataEntry[S-U05]),0)))</f>
        <v>0</v>
      </c>
      <c r="F94" s="273" t="str">
        <f t="shared" ref="F94" si="34">IFERROR(D94/(D94+E94),"N/A")</f>
        <v>N/A</v>
      </c>
      <c r="G94" s="274" cm="1">
        <f t="array" ref="G94">INDEX(DataEntry[G-G10],MATCH(1, ($A$11=DataEntry[S-U04])*($B94=DataEntry[S-U05]),0))</f>
        <v>0</v>
      </c>
      <c r="H94" s="274" cm="1">
        <f t="array" ref="H94">(INDEX(DataEntry[G-G08],MATCH(1, ($A$11=DataEntry[S-U04])*($B94=DataEntry[S-U05]),0)))-(INDEX(DataEntry[G-G10],MATCH(1, ($A$11=DataEntry[S-U04])*($B94=DataEntry[S-U05]),0)))</f>
        <v>0</v>
      </c>
      <c r="I94" s="275" t="str">
        <f t="shared" ref="I94" si="35">IFERROR(G94/(G94+H94),"N/A")</f>
        <v>N/A</v>
      </c>
    </row>
    <row r="95" spans="1:9" hidden="1">
      <c r="A95" s="1317"/>
      <c r="B95" s="460" t="s">
        <v>962</v>
      </c>
      <c r="C95" s="461" t="s">
        <v>152</v>
      </c>
      <c r="D95" s="462" cm="1">
        <f t="array" ref="D95">INDEX(DataEntry[G-G05],MATCH(1, ($A$11=DataEntry[S-U04])*($B95=DataEntry[S-U05]),0))</f>
        <v>0</v>
      </c>
      <c r="E95" s="274" cm="1">
        <f t="array" ref="E95">(INDEX(DataEntry[G-G03],MATCH(1, ($A$11=DataEntry[S-U04])*($B95=DataEntry[S-U05]),0)))-(INDEX(DataEntry[G-G05],MATCH(1, ($A$11=DataEntry[S-U04])*($B95=DataEntry[S-U05]),0)))</f>
        <v>0</v>
      </c>
      <c r="F95" s="273" t="str">
        <f t="shared" si="32"/>
        <v>N/A</v>
      </c>
      <c r="G95" s="274" cm="1">
        <f t="array" ref="G95">INDEX(DataEntry[G-G10],MATCH(1, ($A$11=DataEntry[S-U04])*($B95=DataEntry[S-U05]),0))</f>
        <v>0</v>
      </c>
      <c r="H95" s="274" cm="1">
        <f t="array" ref="H95">(INDEX(DataEntry[G-G08],MATCH(1, ($A$11=DataEntry[S-U04])*($B95=DataEntry[S-U05]),0)))-(INDEX(DataEntry[G-G10],MATCH(1, ($A$11=DataEntry[S-U04])*($B95=DataEntry[S-U05]),0)))</f>
        <v>0</v>
      </c>
      <c r="I95" s="275" t="str">
        <f t="shared" si="33"/>
        <v>N/A</v>
      </c>
    </row>
    <row r="96" spans="1:9" hidden="1">
      <c r="A96" s="1318" t="s">
        <v>129</v>
      </c>
      <c r="B96" s="463" t="s">
        <v>155</v>
      </c>
      <c r="C96" s="461" t="s">
        <v>152</v>
      </c>
      <c r="D96" s="462" cm="1">
        <f t="array" ref="D96">INDEX(DataEntry[G-G05],MATCH(1, ($A$16=DataEntry[S-U04])*($B96=DataEntry[S-U05]),0))</f>
        <v>0</v>
      </c>
      <c r="E96" s="274" cm="1">
        <f t="array" ref="E96">(INDEX(DataEntry[G-G03],MATCH(1, ($A$16=DataEntry[S-U04])*($B96=DataEntry[S-U05]),0)))-(INDEX(DataEntry[G-G05],MATCH(1, ($A$16=DataEntry[S-U04])*($B96=DataEntry[S-U05]),0)))</f>
        <v>0</v>
      </c>
      <c r="F96" s="273" t="str">
        <f t="shared" si="32"/>
        <v>N/A</v>
      </c>
      <c r="G96" s="274" cm="1">
        <f t="array" ref="G96">INDEX(DataEntry[G-G10],MATCH(1, ($A$16=DataEntry[S-U04])*($B96=DataEntry[S-U05]),0))</f>
        <v>0</v>
      </c>
      <c r="H96" s="274" cm="1">
        <f t="array" ref="H96">(INDEX(DataEntry[G-G08],MATCH(1, ($A$16=DataEntry[S-U04])*($B96=DataEntry[S-U05]),0)))-(INDEX(DataEntry[G-G10],MATCH(1, ($A$16=DataEntry[S-U04])*($B96=DataEntry[S-U05]),0)))</f>
        <v>0</v>
      </c>
      <c r="I96" s="275" t="str">
        <f t="shared" si="33"/>
        <v>N/A</v>
      </c>
    </row>
    <row r="97" spans="1:9" hidden="1">
      <c r="A97" s="1316"/>
      <c r="B97" s="463" t="s">
        <v>19</v>
      </c>
      <c r="C97" s="461" t="s">
        <v>152</v>
      </c>
      <c r="D97" s="462" cm="1">
        <f t="array" ref="D97">INDEX(DataEntry[G-G05],MATCH(1, ($A$16=DataEntry[S-U04])*($B97=DataEntry[S-U05]),0))</f>
        <v>0</v>
      </c>
      <c r="E97" s="274" cm="1">
        <f t="array" ref="E97">(INDEX(DataEntry[G-G03],MATCH(1, ($A$16=DataEntry[S-U04])*($B97=DataEntry[S-U05]),0)))-(INDEX(DataEntry[G-G05],MATCH(1, ($A$16=DataEntry[S-U04])*($B97=DataEntry[S-U05]),0)))</f>
        <v>0</v>
      </c>
      <c r="F97" s="273" t="str">
        <f t="shared" si="32"/>
        <v>N/A</v>
      </c>
      <c r="G97" s="274" cm="1">
        <f t="array" ref="G97">INDEX(DataEntry[G-G10],MATCH(1, ($A$16=DataEntry[S-U04])*($B97=DataEntry[S-U05]),0))</f>
        <v>0</v>
      </c>
      <c r="H97" s="274" cm="1">
        <f t="array" ref="H97">(INDEX(DataEntry[G-G08],MATCH(1, ($A$16=DataEntry[S-U04])*($B97=DataEntry[S-U05]),0)))-(INDEX(DataEntry[G-G10],MATCH(1, ($A$16=DataEntry[S-U04])*($B97=DataEntry[S-U05]),0)))</f>
        <v>0</v>
      </c>
      <c r="I97" s="275" t="str">
        <f t="shared" si="33"/>
        <v>N/A</v>
      </c>
    </row>
    <row r="98" spans="1:9" hidden="1">
      <c r="A98" s="1318" t="s">
        <v>130</v>
      </c>
      <c r="B98" s="463" t="s">
        <v>156</v>
      </c>
      <c r="C98" s="461" t="s">
        <v>152</v>
      </c>
      <c r="D98" s="462" cm="1">
        <f t="array" ref="D98">INDEX(DataEntry[G-G05],MATCH(1, ($A$18=DataEntry[S-U04])*($B98=DataEntry[S-U05]),0))</f>
        <v>0</v>
      </c>
      <c r="E98" s="274" cm="1">
        <f t="array" ref="E98">(INDEX(DataEntry[G-G03],MATCH(1, ($A$18=DataEntry[S-U04])*($B98=DataEntry[S-U05]),0)))-(INDEX(DataEntry[G-G05],MATCH(1, ($A$18=DataEntry[S-U04])*($B98=DataEntry[S-U05]),0)))</f>
        <v>0</v>
      </c>
      <c r="F98" s="273" t="str">
        <f t="shared" si="32"/>
        <v>N/A</v>
      </c>
      <c r="G98" s="274" cm="1">
        <f t="array" ref="G98">INDEX(DataEntry[G-G10],MATCH(1, ($A$18=DataEntry[S-U04])*($B98=DataEntry[S-U05]),0))</f>
        <v>0</v>
      </c>
      <c r="H98" s="274" cm="1">
        <f t="array" ref="H98">(INDEX(DataEntry[G-G08],MATCH(1, ($A$18=DataEntry[S-U04])*($B98=DataEntry[S-U05]),0)))-(INDEX(DataEntry[G-G10],MATCH(1, ($A$18=DataEntry[S-U04])*($B98=DataEntry[S-U05]),0)))</f>
        <v>0</v>
      </c>
      <c r="I98" s="275" t="str">
        <f t="shared" si="33"/>
        <v>N/A</v>
      </c>
    </row>
    <row r="99" spans="1:9" hidden="1">
      <c r="A99" s="1317"/>
      <c r="B99" s="460" t="s">
        <v>154</v>
      </c>
      <c r="C99" s="461" t="s">
        <v>152</v>
      </c>
      <c r="D99" s="462" cm="1">
        <f t="array" ref="D99">INDEX(DataEntry[G-G05],MATCH(1, ($A$18=DataEntry[S-U04])*($B99=DataEntry[S-U05]),0))</f>
        <v>0</v>
      </c>
      <c r="E99" s="274" cm="1">
        <f t="array" ref="E99">(INDEX(DataEntry[G-G03],MATCH(1, ($A$18=DataEntry[S-U04])*($B99=DataEntry[S-U05]),0)))-(INDEX(DataEntry[G-G05],MATCH(1, ($A$18=DataEntry[S-U04])*($B99=DataEntry[S-U05]),0)))</f>
        <v>0</v>
      </c>
      <c r="F99" s="273" t="str">
        <f t="shared" ref="F99" si="36">IFERROR(D99/(D99+E99),"N/A")</f>
        <v>N/A</v>
      </c>
      <c r="G99" s="274" cm="1">
        <f t="array" ref="G99">INDEX(DataEntry[G-G10],MATCH(1, ($A$18=DataEntry[S-U04])*($B99=DataEntry[S-U05]),0))</f>
        <v>0</v>
      </c>
      <c r="H99" s="274" cm="1">
        <f t="array" ref="H99">(INDEX(DataEntry[G-G08],MATCH(1, ($A$18=DataEntry[S-U04])*($B99=DataEntry[S-U05]),0)))-(INDEX(DataEntry[G-G10],MATCH(1, ($A$18=DataEntry[S-U04])*($B99=DataEntry[S-U05]),0)))</f>
        <v>0</v>
      </c>
      <c r="I99" s="275" t="str">
        <f t="shared" ref="I99" si="37">IFERROR(G99/(G99+H99),"N/A")</f>
        <v>N/A</v>
      </c>
    </row>
    <row r="100" spans="1:9" hidden="1">
      <c r="A100" s="611" t="s">
        <v>183</v>
      </c>
      <c r="B100" s="460" t="s">
        <v>183</v>
      </c>
      <c r="C100" s="461" t="s">
        <v>152</v>
      </c>
      <c r="D100" s="462" cm="1">
        <f t="array" ref="D100">INDEX(DataEntry[G-G05],MATCH(1, ($A$20=DataEntry[S-U04])*1,0))</f>
        <v>0</v>
      </c>
      <c r="E100" s="274" cm="1">
        <f t="array" ref="E100">(INDEX(DataEntry[G-G03],MATCH(1, ($A$20=DataEntry[S-U04])*($B100=DataEntry[S-U05]),0)))-(INDEX(DataEntry[G-G05],MATCH(1, ($A$20=DataEntry[S-U04])*($B100=DataEntry[S-U05]),0)))</f>
        <v>0</v>
      </c>
      <c r="F100" s="273" t="str">
        <f t="shared" si="32"/>
        <v>N/A</v>
      </c>
      <c r="G100" s="274" cm="1">
        <f t="array" ref="G100">INDEX(DataEntry[G-G10],MATCH(1, ($A$20=DataEntry[S-U04])*1,0))</f>
        <v>0</v>
      </c>
      <c r="H100" s="274" cm="1">
        <f t="array" ref="H100">(INDEX(DataEntry[G-G08],MATCH(1, ($A$20=DataEntry[S-U04])*($B100=DataEntry[S-U05]),0)))-(INDEX(DataEntry[G-G10],MATCH(1, ($A$20=DataEntry[S-U04])*($B100=DataEntry[S-U05]),0)))</f>
        <v>0</v>
      </c>
      <c r="I100" s="275" t="str">
        <f t="shared" si="33"/>
        <v>N/A</v>
      </c>
    </row>
    <row r="101" spans="1:9" hidden="1">
      <c r="A101" s="509" t="s">
        <v>26</v>
      </c>
      <c r="B101" s="460" t="s">
        <v>27</v>
      </c>
      <c r="C101" s="461" t="s">
        <v>152</v>
      </c>
      <c r="D101" s="462" cm="1">
        <f t="array" ref="D101">INDEX(DataEntry[G-G05],MATCH(1, (DataEntry[S-U03]="Tri 2")*($B101=DataEntry[S-U04]),0))</f>
        <v>0</v>
      </c>
      <c r="E101" s="274" cm="1">
        <f t="array" ref="E101">(INDEX(DataEntry[G-G03],MATCH(1, (DataEntry[S-U03]="Tri 2")*($B101=DataEntry[S-U04]),0)))-(INDEX(DataEntry[G-G05],MATCH(1, (DataEntry[S-U03]="Tri 2")*($B101=DataEntry[S-U04]),0)))</f>
        <v>0</v>
      </c>
      <c r="F101" s="273" t="str">
        <f t="shared" si="32"/>
        <v>N/A</v>
      </c>
      <c r="G101" s="274" cm="1">
        <f t="array" ref="G101">INDEX(DataEntry[G-G10],MATCH(1, (DataEntry[S-U03]="Tri 2")*($B101=DataEntry[S-U04]),0))</f>
        <v>0</v>
      </c>
      <c r="H101" s="274" cm="1">
        <f t="array" ref="H101">(INDEX(DataEntry[G-G08],MATCH(1, (DataEntry[S-U03]="Tri 2")*($B101=DataEntry[S-U04]),0)))-(INDEX(DataEntry[G-G10],MATCH(1, (DataEntry[S-U03]="Tri 2")*($B101=DataEntry[S-U04]),0)))</f>
        <v>0</v>
      </c>
      <c r="I101" s="275" t="str">
        <f t="shared" si="33"/>
        <v>N/A</v>
      </c>
    </row>
    <row r="102" spans="1:9" hidden="1">
      <c r="A102" s="611" t="s">
        <v>30</v>
      </c>
      <c r="B102" s="463" t="s">
        <v>30</v>
      </c>
      <c r="C102" s="461" t="s">
        <v>152</v>
      </c>
      <c r="D102" s="462" cm="1">
        <f t="array" ref="D102">INDEX(DataEntry[G-G05],MATCH(1, (DataEntry[S-U03]="Tri 2")*($B102=DataEntry[S-U04]),0))</f>
        <v>0</v>
      </c>
      <c r="E102" s="274" cm="1">
        <f t="array" ref="E102">(INDEX(DataEntry[G-G03],MATCH(1, (DataEntry[S-U03]="Tri 2")*($B102=DataEntry[S-U04]),0)))-(INDEX(DataEntry[G-G05],MATCH(1, (DataEntry[S-U03]="Tri 2")*($B102=DataEntry[S-U04]),0)))</f>
        <v>0</v>
      </c>
      <c r="F102" s="273" t="str">
        <f t="shared" si="32"/>
        <v>N/A</v>
      </c>
      <c r="G102" s="274" cm="1">
        <f t="array" ref="G102">INDEX(DataEntry[G-G10],MATCH(1, (DataEntry[S-U03]="Tri 2")*($B102=DataEntry[S-U04]),0))</f>
        <v>0</v>
      </c>
      <c r="H102" s="274" cm="1">
        <f t="array" ref="H102">(INDEX(DataEntry[G-G08],MATCH(1, (DataEntry[S-U03]="Tri 2")*($B102=DataEntry[S-U04]),0)))-(INDEX(DataEntry[G-G10],MATCH(1, (DataEntry[S-U03]="Tri 2")*($B102=DataEntry[S-U04]),0)))</f>
        <v>0</v>
      </c>
      <c r="I102" s="275" t="str">
        <f t="shared" si="33"/>
        <v>N/A</v>
      </c>
    </row>
    <row r="103" spans="1:9" hidden="1">
      <c r="A103" s="1318" t="s">
        <v>29</v>
      </c>
      <c r="B103" s="460" t="s">
        <v>29</v>
      </c>
      <c r="C103" s="461" t="s">
        <v>152</v>
      </c>
      <c r="D103" s="462" cm="1">
        <f t="array" ref="D103">INDEX(DataEntry[G-G05],MATCH(1, (DataEntry[S-U03]="Tri 2")*($A$103=DataEntry[S-U04])*($B103=DataEntry[S-U05]),0))</f>
        <v>0</v>
      </c>
      <c r="E103" s="274" cm="1">
        <f t="array" ref="E103">(INDEX(DataEntry[G-G03],MATCH(1, (DataEntry[S-U03]="Tri 2")*($A$103=DataEntry[S-U04])*($B103=DataEntry[S-U05]),0)))-(INDEX(DataEntry[G-G05],MATCH(1, (DataEntry[S-U03]="Tri 2")*($A$103=DataEntry[S-U04])*($B103=DataEntry[S-U05]),0)))</f>
        <v>0</v>
      </c>
      <c r="F103" s="273" t="str">
        <f t="shared" si="32"/>
        <v>N/A</v>
      </c>
      <c r="G103" s="274" cm="1">
        <f t="array" ref="G103">INDEX(DataEntry[G-G10],MATCH(1, (DataEntry[S-U03]="Tri 2")*($A$103=DataEntry[S-U04])*($B103=DataEntry[S-U05]),0))</f>
        <v>0</v>
      </c>
      <c r="H103" s="274" cm="1">
        <f t="array" ref="H103">(INDEX(DataEntry[G-G08],MATCH(1, (DataEntry[S-U03]="Tri 2")*($A$103=DataEntry[S-U04])*($B103=DataEntry[S-U05]),0)))-(INDEX(DataEntry[G-G10],MATCH(1, (DataEntry[S-U03]="Tri 2")*($A$103=DataEntry[S-U04])*($B103=DataEntry[S-U05]),0)))</f>
        <v>0</v>
      </c>
      <c r="I103" s="275" t="str">
        <f t="shared" si="33"/>
        <v>N/A</v>
      </c>
    </row>
    <row r="104" spans="1:9" hidden="1">
      <c r="A104" s="1316"/>
      <c r="B104" s="460" t="s">
        <v>963</v>
      </c>
      <c r="C104" s="461" t="s">
        <v>152</v>
      </c>
      <c r="D104" s="462" cm="1">
        <f t="array" ref="D104">INDEX(DataEntry[G-G05],MATCH(1, (DataEntry[S-U03]="Tri 2")*($A$103=DataEntry[S-U04])*($B104=DataEntry[S-U05]),0))</f>
        <v>0</v>
      </c>
      <c r="E104" s="274" cm="1">
        <f t="array" ref="E104">(INDEX(DataEntry[G-G03],MATCH(1, (DataEntry[S-U03]="Tri 2")*($A$103=DataEntry[S-U04])*($B104=DataEntry[S-U05]),0)))-(INDEX(DataEntry[G-G05],MATCH(1, (DataEntry[S-U03]="Tri 2")*($A$103=DataEntry[S-U04])*($B104=DataEntry[S-U05]),0)))</f>
        <v>0</v>
      </c>
      <c r="F104" s="273" t="str">
        <f t="shared" ref="F104:F105" si="38">IFERROR(D104/(D104+E104),"N/A")</f>
        <v>N/A</v>
      </c>
      <c r="G104" s="274" cm="1">
        <f t="array" ref="G104">INDEX(DataEntry[G-G10],MATCH(1, (DataEntry[S-U03]="Tri 2")*($A$103=DataEntry[S-U04])*($B104=DataEntry[S-U05]),0))</f>
        <v>0</v>
      </c>
      <c r="H104" s="274" cm="1">
        <f t="array" ref="H104">(INDEX(DataEntry[G-G08],MATCH(1, (DataEntry[S-U03]="Tri 2")*($A$103=DataEntry[S-U04])*($B104=DataEntry[S-U05]),0)))-(INDEX(DataEntry[G-G10],MATCH(1, (DataEntry[S-U03]="Tri 2")*($A$103=DataEntry[S-U04])*($B104=DataEntry[S-U05]),0)))</f>
        <v>0</v>
      </c>
      <c r="I104" s="275" t="str">
        <f t="shared" ref="I104:I105" si="39">IFERROR(G104/(G104+H104),"N/A")</f>
        <v>N/A</v>
      </c>
    </row>
    <row r="105" spans="1:9" hidden="1">
      <c r="A105" s="1317"/>
      <c r="B105" s="460" t="s">
        <v>964</v>
      </c>
      <c r="C105" s="461" t="s">
        <v>152</v>
      </c>
      <c r="D105" s="462" cm="1">
        <f t="array" ref="D105">INDEX(DataEntry[G-G05],MATCH(1, (DataEntry[S-U03]="Tri 2")*($A$103=DataEntry[S-U04])*($B105=DataEntry[S-U05]),0))</f>
        <v>0</v>
      </c>
      <c r="E105" s="274" cm="1">
        <f t="array" ref="E105">(INDEX(DataEntry[G-G03],MATCH(1, (DataEntry[S-U03]="Tri 2")*($A$103=DataEntry[S-U04])*($B105=DataEntry[S-U05]),0)))-(INDEX(DataEntry[G-G05],MATCH(1, (DataEntry[S-U03]="Tri 2")*($A$103=DataEntry[S-U04])*($B105=DataEntry[S-U05]),0)))</f>
        <v>0</v>
      </c>
      <c r="F105" s="273" t="str">
        <f t="shared" si="38"/>
        <v>N/A</v>
      </c>
      <c r="G105" s="274" cm="1">
        <f t="array" ref="G105">INDEX(DataEntry[G-G10],MATCH(1, (DataEntry[S-U03]="Tri 2")*($A$103=DataEntry[S-U04])*($B105=DataEntry[S-U05]),0))</f>
        <v>0</v>
      </c>
      <c r="H105" s="274" cm="1">
        <f t="array" ref="H105">(INDEX(DataEntry[G-G08],MATCH(1, (DataEntry[S-U03]="Tri 2")*($A$103=DataEntry[S-U04])*($B105=DataEntry[S-U05]),0)))-(INDEX(DataEntry[G-G10],MATCH(1, (DataEntry[S-U03]="Tri 2")*($A$103=DataEntry[S-U04])*($B105=DataEntry[S-U05]),0)))</f>
        <v>0</v>
      </c>
      <c r="I105" s="275" t="str">
        <f t="shared" si="39"/>
        <v>N/A</v>
      </c>
    </row>
    <row r="106" spans="1:9" hidden="1">
      <c r="A106" s="1318" t="s">
        <v>131</v>
      </c>
      <c r="B106" s="460" t="s">
        <v>629</v>
      </c>
      <c r="C106" s="461" t="s">
        <v>157</v>
      </c>
      <c r="D106" s="462" cm="1">
        <f t="array" ref="D106">INDEX(DataEntry[G-G05],MATCH(1, ((DataEntry[S-U03]="Tri 2")*($A$26=DataEntry[S-U04])*($B106=DataEntry[S-U05])),0))</f>
        <v>0</v>
      </c>
      <c r="E106" s="274" cm="1">
        <f t="array" ref="E106">(INDEX(DataEntry[G-G03],MATCH(1, ((DataEntry[S-U03]="Tri 2")*($A$26=DataEntry[S-U04])*($B106=DataEntry[S-U05])),0)))-(INDEX(DataEntry[G-G05],MATCH(1, ((DataEntry[S-U03]="Tri 2")*($A$26=DataEntry[S-U04])*($B106=DataEntry[S-U05])),0)))</f>
        <v>0</v>
      </c>
      <c r="F106" s="273" t="str">
        <f t="shared" si="32"/>
        <v>N/A</v>
      </c>
      <c r="G106" s="274" cm="1">
        <f t="array" ref="G106">INDEX(DataEntry[G-G10],MATCH(1, ((DataEntry[S-U03]="Tri 2")*($A$26=DataEntry[S-U04])*($B106=DataEntry[S-U05])),0))</f>
        <v>0</v>
      </c>
      <c r="H106" s="274" cm="1">
        <f t="array" ref="H106">(INDEX(DataEntry[G-G08],MATCH(1, ((DataEntry[S-U03]="Tri 2")*($A$26=DataEntry[S-U04])*($B106=DataEntry[S-U05])),0)))-(INDEX(DataEntry[G-G10],MATCH(1, ((DataEntry[S-U03]="Tri 2")*($A$26=DataEntry[S-U04])*($B106=DataEntry[S-U05])),0)))</f>
        <v>0</v>
      </c>
      <c r="I106" s="275" t="str">
        <f t="shared" si="33"/>
        <v>N/A</v>
      </c>
    </row>
    <row r="107" spans="1:9" hidden="1">
      <c r="A107" s="1317"/>
      <c r="B107" s="460" t="s">
        <v>29</v>
      </c>
      <c r="C107" s="461" t="s">
        <v>152</v>
      </c>
      <c r="D107" s="462" cm="1">
        <f t="array" ref="D107">INDEX(DataEntry[G-G05],MATCH(1, ((DataEntry[S-U03]="Tri 2")*($A$26=DataEntry[S-U04])*($B107=DataEntry[S-U05])),0))</f>
        <v>0</v>
      </c>
      <c r="E107" s="274" cm="1">
        <f t="array" ref="E107">(INDEX(DataEntry[G-G03],MATCH(1, ((DataEntry[S-U03]="Tri 2")*($A$26=DataEntry[S-U04])*($B107=DataEntry[S-U05])),0)))-(INDEX(DataEntry[G-G05],MATCH(1, ((DataEntry[S-U03]="Tri 2")*($A$26=DataEntry[S-U04])*($B107=DataEntry[S-U05])),0)))</f>
        <v>0</v>
      </c>
      <c r="F107" s="273" t="str">
        <f t="shared" si="32"/>
        <v>N/A</v>
      </c>
      <c r="G107" s="274" cm="1">
        <f t="array" ref="G107">INDEX(DataEntry[G-G10],MATCH(1, ((DataEntry[S-U03]="Tri 2")*($A$26=DataEntry[S-U04])*($B107=DataEntry[S-U05])),0))</f>
        <v>0</v>
      </c>
      <c r="H107" s="274" cm="1">
        <f t="array" ref="H107">(INDEX(DataEntry[G-G08],MATCH(1, ((DataEntry[S-U03]="Tri 2")*($A$26=DataEntry[S-U04])*($B107=DataEntry[S-U05])),0)))-(INDEX(DataEntry[G-G10],MATCH(1, ((DataEntry[S-U03]="Tri 2")*($A$26=DataEntry[S-U04])*($B107=DataEntry[S-U05])),0)))</f>
        <v>0</v>
      </c>
      <c r="I107" s="275" t="str">
        <f t="shared" si="33"/>
        <v>N/A</v>
      </c>
    </row>
    <row r="108" spans="1:9" hidden="1">
      <c r="A108" s="1303" t="s">
        <v>163</v>
      </c>
      <c r="B108" s="1304"/>
      <c r="C108" s="1305"/>
      <c r="D108" s="274">
        <f>IFERROR(SUM(D91:D100,D101:D107),"N/A")</f>
        <v>0</v>
      </c>
      <c r="E108" s="274">
        <f>IFERROR(SUM(E91:E96,E97:E107),"N/A")</f>
        <v>0</v>
      </c>
      <c r="F108" s="273" t="str">
        <f>IFERROR(D108/(D108+E108), "N/A")</f>
        <v>N/A</v>
      </c>
      <c r="G108" s="274">
        <f>IFERROR(SUM(G91:G100,G101:G107),"N/A")</f>
        <v>0</v>
      </c>
      <c r="H108" s="274">
        <f>IFERROR(SUM(H91:H96,H97:H107),"N/A")</f>
        <v>0</v>
      </c>
      <c r="I108" s="275" t="str">
        <f>IFERROR(G108/(G108+H108), "N/A")</f>
        <v>N/A</v>
      </c>
    </row>
    <row r="109" spans="1:9" ht="15.5" hidden="1" thickBot="1">
      <c r="A109" s="1306" t="s">
        <v>164</v>
      </c>
      <c r="B109" s="1307"/>
      <c r="C109" s="1308"/>
      <c r="D109" s="858">
        <f>IFERROR(SUM(D108:D108),"N/A")</f>
        <v>0</v>
      </c>
      <c r="E109" s="858">
        <f>IFERROR(SUM(E108:E108),"N/A")</f>
        <v>0</v>
      </c>
      <c r="F109" s="859" t="str">
        <f>IFERROR(D109/(D109+E109), "N/A")</f>
        <v>N/A</v>
      </c>
      <c r="G109" s="858">
        <f>IFERROR(SUM(G108:G108),"N/A")</f>
        <v>0</v>
      </c>
      <c r="H109" s="858">
        <f>IFERROR(SUM(H108:H108),"N/A")</f>
        <v>0</v>
      </c>
      <c r="I109" s="860" t="str">
        <f>IFERROR(G109/(G109+H109), "N/A")</f>
        <v>N/A</v>
      </c>
    </row>
    <row r="111" spans="1:9" ht="15.5">
      <c r="A111" s="514" t="s">
        <v>165</v>
      </c>
    </row>
    <row r="112" spans="1:9">
      <c r="A112" s="778" t="s">
        <v>166</v>
      </c>
    </row>
    <row r="113" spans="1:1" ht="15.5">
      <c r="A113" s="514" t="s">
        <v>167</v>
      </c>
    </row>
    <row r="114" spans="1:1" ht="15.5">
      <c r="A114" s="514" t="s">
        <v>168</v>
      </c>
    </row>
    <row r="115" spans="1:1" ht="15.5">
      <c r="A115" s="514" t="s">
        <v>169</v>
      </c>
    </row>
    <row r="116" spans="1:1" ht="15.5">
      <c r="A116" s="514" t="s">
        <v>170</v>
      </c>
    </row>
    <row r="117" spans="1:1" ht="15.5">
      <c r="A117" s="514" t="s">
        <v>171</v>
      </c>
    </row>
    <row r="118" spans="1:1">
      <c r="A118" s="779" t="s">
        <v>172</v>
      </c>
    </row>
  </sheetData>
  <mergeCells count="40">
    <mergeCell ref="A48:C48"/>
    <mergeCell ref="A69:C69"/>
    <mergeCell ref="A49:C49"/>
    <mergeCell ref="A50:I50"/>
    <mergeCell ref="A66:A67"/>
    <mergeCell ref="A68:C68"/>
    <mergeCell ref="A51:A55"/>
    <mergeCell ref="A56:A57"/>
    <mergeCell ref="A63:A65"/>
    <mergeCell ref="A58:A59"/>
    <mergeCell ref="A26:A27"/>
    <mergeCell ref="A10:I10"/>
    <mergeCell ref="A11:A15"/>
    <mergeCell ref="A16:A17"/>
    <mergeCell ref="A46:A47"/>
    <mergeCell ref="A31:A35"/>
    <mergeCell ref="A36:A37"/>
    <mergeCell ref="A28:C28"/>
    <mergeCell ref="A29:C29"/>
    <mergeCell ref="A30:I30"/>
    <mergeCell ref="A18:A19"/>
    <mergeCell ref="A23:A25"/>
    <mergeCell ref="A43:A45"/>
    <mergeCell ref="A38:A39"/>
    <mergeCell ref="A70:I70"/>
    <mergeCell ref="A71:A75"/>
    <mergeCell ref="A76:A77"/>
    <mergeCell ref="A86:A87"/>
    <mergeCell ref="A88:C88"/>
    <mergeCell ref="A83:A85"/>
    <mergeCell ref="A78:A79"/>
    <mergeCell ref="A108:C108"/>
    <mergeCell ref="A109:C109"/>
    <mergeCell ref="A89:C89"/>
    <mergeCell ref="A90:I90"/>
    <mergeCell ref="A91:A95"/>
    <mergeCell ref="A96:A97"/>
    <mergeCell ref="A106:A107"/>
    <mergeCell ref="A98:A99"/>
    <mergeCell ref="A103:A105"/>
  </mergeCells>
  <hyperlinks>
    <hyperlink ref="A112" r:id="rId1" display="http://www.nj.gov/dep/ej/communities.html" xr:uid="{837B3475-9F2C-44C0-8F65-238CE51ADFDC}"/>
  </hyperlinks>
  <pageMargins left="0.7" right="0.7" top="0.75" bottom="0.75" header="0.3" footer="0.3"/>
  <headerFooter>
    <oddFooter>&amp;C_x000D_&amp;1#&amp;"Calibri"&amp;22&amp;K0073CF INTERNAL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84A12-0BB7-4B36-80EB-C4FFF7FB67BC}">
  <sheetPr codeName="Sheet12"/>
  <dimension ref="A1:N20"/>
  <sheetViews>
    <sheetView workbookViewId="0">
      <selection activeCell="U11" sqref="U11"/>
    </sheetView>
  </sheetViews>
  <sheetFormatPr defaultRowHeight="14.5"/>
  <cols>
    <col min="1" max="1" width="4.81640625" customWidth="1"/>
    <col min="2" max="2" width="29.453125" customWidth="1"/>
    <col min="3" max="14" width="9.54296875" customWidth="1"/>
  </cols>
  <sheetData>
    <row r="1" spans="1:14">
      <c r="A1" s="320"/>
      <c r="B1" s="320"/>
      <c r="C1" s="320"/>
    </row>
    <row r="2" spans="1:14" ht="15.5">
      <c r="A2" s="320"/>
      <c r="B2" s="780" t="s">
        <v>173</v>
      </c>
    </row>
    <row r="3" spans="1:14">
      <c r="A3" s="320"/>
      <c r="B3" s="1324"/>
      <c r="C3" s="1326" t="s">
        <v>174</v>
      </c>
      <c r="D3" s="1326"/>
      <c r="E3" s="1326"/>
      <c r="F3" s="1326"/>
      <c r="G3" s="1326"/>
      <c r="H3" s="1326"/>
      <c r="I3" s="1326" t="s">
        <v>175</v>
      </c>
      <c r="J3" s="1326"/>
      <c r="K3" s="1326"/>
      <c r="L3" s="1326"/>
      <c r="M3" s="1326"/>
      <c r="N3" s="1326"/>
    </row>
    <row r="4" spans="1:14">
      <c r="A4" s="320"/>
      <c r="B4" s="1325"/>
      <c r="C4" s="321" t="s">
        <v>176</v>
      </c>
      <c r="D4" s="322" t="s">
        <v>177</v>
      </c>
      <c r="E4" s="322" t="s">
        <v>178</v>
      </c>
      <c r="F4" s="323" t="s">
        <v>179</v>
      </c>
      <c r="G4" s="317" t="s">
        <v>180</v>
      </c>
      <c r="H4" s="317" t="s">
        <v>181</v>
      </c>
      <c r="I4" s="321" t="s">
        <v>176</v>
      </c>
      <c r="J4" s="322" t="s">
        <v>182</v>
      </c>
      <c r="K4" s="322" t="s">
        <v>178</v>
      </c>
      <c r="L4" s="323" t="s">
        <v>179</v>
      </c>
      <c r="M4" s="317" t="s">
        <v>180</v>
      </c>
      <c r="N4" s="317" t="s">
        <v>181</v>
      </c>
    </row>
    <row r="5" spans="1:14" ht="19.399999999999999" customHeight="1">
      <c r="B5" s="515" t="s">
        <v>4</v>
      </c>
      <c r="C5" s="410"/>
      <c r="D5" s="410"/>
      <c r="E5" s="410"/>
      <c r="F5" s="411"/>
      <c r="G5" s="411"/>
      <c r="H5" s="411"/>
      <c r="I5" s="411"/>
      <c r="J5" s="411"/>
      <c r="K5" s="411"/>
      <c r="L5" s="411"/>
      <c r="M5" s="411"/>
      <c r="N5" s="411"/>
    </row>
    <row r="6" spans="1:14" ht="19.399999999999999" customHeight="1">
      <c r="B6" s="515" t="s">
        <v>129</v>
      </c>
      <c r="C6" s="410"/>
      <c r="D6" s="410"/>
      <c r="E6" s="410"/>
      <c r="F6" s="411"/>
      <c r="G6" s="411"/>
      <c r="H6" s="411"/>
      <c r="I6" s="411"/>
      <c r="J6" s="411"/>
      <c r="K6" s="411"/>
      <c r="L6" s="411"/>
      <c r="M6" s="411"/>
      <c r="N6" s="411"/>
    </row>
    <row r="7" spans="1:14" ht="19.399999999999999" customHeight="1">
      <c r="B7" s="515" t="s">
        <v>130</v>
      </c>
      <c r="C7" s="410"/>
      <c r="D7" s="410"/>
      <c r="E7" s="410"/>
      <c r="F7" s="411"/>
      <c r="G7" s="411"/>
      <c r="H7" s="411"/>
      <c r="I7" s="411"/>
      <c r="J7" s="411"/>
      <c r="K7" s="411"/>
      <c r="L7" s="411"/>
      <c r="M7" s="411"/>
      <c r="N7" s="411"/>
    </row>
    <row r="8" spans="1:14" ht="19.399999999999999" customHeight="1">
      <c r="B8" s="515" t="s">
        <v>183</v>
      </c>
      <c r="C8" s="410"/>
      <c r="D8" s="410"/>
      <c r="E8" s="410"/>
      <c r="F8" s="411"/>
      <c r="G8" s="411"/>
      <c r="H8" s="411"/>
      <c r="I8" s="411"/>
      <c r="J8" s="411"/>
      <c r="K8" s="411"/>
      <c r="L8" s="411"/>
      <c r="M8" s="411"/>
      <c r="N8" s="411"/>
    </row>
    <row r="9" spans="1:14" ht="19.399999999999999" customHeight="1">
      <c r="B9" s="515" t="s">
        <v>27</v>
      </c>
      <c r="C9" s="410"/>
      <c r="D9" s="410"/>
      <c r="E9" s="410"/>
      <c r="F9" s="411"/>
      <c r="G9" s="411"/>
      <c r="H9" s="411"/>
      <c r="I9" s="411"/>
      <c r="J9" s="411"/>
      <c r="K9" s="411"/>
      <c r="L9" s="411"/>
      <c r="M9" s="411"/>
      <c r="N9" s="411"/>
    </row>
    <row r="10" spans="1:14" ht="19.399999999999999" customHeight="1">
      <c r="B10" s="515" t="s">
        <v>30</v>
      </c>
      <c r="C10" s="410"/>
      <c r="D10" s="410"/>
      <c r="E10" s="410"/>
      <c r="F10" s="411"/>
      <c r="G10" s="411"/>
      <c r="H10" s="411"/>
      <c r="I10" s="411"/>
      <c r="J10" s="411"/>
      <c r="K10" s="411"/>
      <c r="L10" s="411"/>
      <c r="M10" s="411"/>
      <c r="N10" s="411"/>
    </row>
    <row r="11" spans="1:14" ht="19.399999999999999" customHeight="1">
      <c r="B11" s="515" t="s">
        <v>29</v>
      </c>
      <c r="C11" s="410"/>
      <c r="D11" s="410"/>
      <c r="E11" s="410"/>
      <c r="F11" s="411"/>
      <c r="G11" s="411"/>
      <c r="H11" s="411"/>
      <c r="I11" s="411"/>
      <c r="J11" s="411"/>
      <c r="K11" s="411"/>
      <c r="L11" s="411"/>
      <c r="M11" s="411"/>
      <c r="N11" s="411"/>
    </row>
    <row r="12" spans="1:14" ht="19.399999999999999" customHeight="1">
      <c r="B12" s="515" t="s">
        <v>98</v>
      </c>
      <c r="C12" s="410"/>
      <c r="D12" s="410"/>
      <c r="E12" s="410"/>
      <c r="F12" s="411"/>
      <c r="G12" s="411"/>
      <c r="H12" s="411"/>
      <c r="I12" s="411"/>
      <c r="J12" s="411"/>
      <c r="K12" s="411"/>
      <c r="L12" s="411"/>
      <c r="M12" s="411"/>
      <c r="N12" s="411"/>
    </row>
    <row r="13" spans="1:14" ht="19.399999999999999" customHeight="1">
      <c r="B13" s="515" t="s">
        <v>184</v>
      </c>
      <c r="C13" s="410"/>
      <c r="D13" s="410"/>
      <c r="E13" s="410"/>
      <c r="F13" s="411"/>
      <c r="G13" s="411"/>
      <c r="H13" s="411"/>
      <c r="I13" s="411"/>
      <c r="J13" s="411"/>
      <c r="K13" s="411"/>
      <c r="L13" s="411"/>
      <c r="M13" s="411"/>
      <c r="N13" s="411"/>
    </row>
    <row r="14" spans="1:14" ht="19.399999999999999" customHeight="1">
      <c r="B14" s="515" t="s">
        <v>132</v>
      </c>
      <c r="C14" s="410"/>
      <c r="D14" s="410"/>
      <c r="E14" s="410"/>
      <c r="F14" s="411"/>
      <c r="G14" s="411"/>
      <c r="H14" s="411"/>
      <c r="I14" s="411"/>
      <c r="J14" s="411"/>
      <c r="K14" s="411"/>
      <c r="L14" s="411"/>
      <c r="M14" s="411"/>
      <c r="N14" s="411"/>
    </row>
    <row r="15" spans="1:14" ht="19.399999999999999" customHeight="1">
      <c r="B15" s="515" t="s">
        <v>158</v>
      </c>
      <c r="C15" s="410"/>
      <c r="D15" s="410"/>
      <c r="E15" s="410"/>
      <c r="F15" s="411"/>
      <c r="G15" s="411"/>
      <c r="H15" s="411"/>
      <c r="I15" s="411"/>
      <c r="J15" s="411"/>
      <c r="K15" s="411"/>
      <c r="L15" s="411"/>
      <c r="M15" s="411"/>
      <c r="N15" s="411"/>
    </row>
    <row r="16" spans="1:14" ht="19.399999999999999" customHeight="1">
      <c r="B16" s="212" t="s">
        <v>185</v>
      </c>
      <c r="C16" s="516"/>
      <c r="D16" s="516"/>
      <c r="E16" s="516"/>
      <c r="F16" s="517"/>
      <c r="G16" s="517"/>
      <c r="H16" s="517"/>
      <c r="I16" s="517"/>
      <c r="J16" s="517"/>
      <c r="K16" s="517"/>
      <c r="L16" s="517"/>
      <c r="M16" s="517"/>
      <c r="N16" s="517"/>
    </row>
    <row r="18" spans="2:2">
      <c r="B18" s="198" t="s">
        <v>186</v>
      </c>
    </row>
    <row r="19" spans="2:2">
      <c r="B19" s="198" t="s">
        <v>187</v>
      </c>
    </row>
    <row r="20" spans="2:2">
      <c r="B20" s="198" t="s">
        <v>188</v>
      </c>
    </row>
  </sheetData>
  <mergeCells count="3">
    <mergeCell ref="B3:B4"/>
    <mergeCell ref="C3:H3"/>
    <mergeCell ref="I3:N3"/>
  </mergeCells>
  <pageMargins left="0.7" right="0.7" top="0.75" bottom="0.75" header="0.3" footer="0.3"/>
  <headerFooter>
    <oddFooter>&amp;C_x000D_&amp;1#&amp;"Calibri"&amp;22&amp;K0073CF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1E272-7AC8-4C5F-ACC7-5621B66516D4}">
  <sheetPr codeName="Sheet1">
    <tabColor rgb="FFFFFF00"/>
  </sheetPr>
  <dimension ref="B2:K50"/>
  <sheetViews>
    <sheetView zoomScale="120" zoomScaleNormal="120" workbookViewId="0">
      <pane xSplit="3" ySplit="5" topLeftCell="D31" activePane="bottomRight" state="frozen"/>
      <selection pane="topRight" activeCell="D1" sqref="D1"/>
      <selection pane="bottomLeft" activeCell="A6" sqref="A6"/>
      <selection pane="bottomRight" activeCell="A35" sqref="A35"/>
    </sheetView>
  </sheetViews>
  <sheetFormatPr defaultRowHeight="14.5"/>
  <cols>
    <col min="1" max="1" width="3.26953125" customWidth="1"/>
    <col min="2" max="2" width="23.81640625" customWidth="1"/>
    <col min="3" max="3" width="42" bestFit="1" customWidth="1"/>
    <col min="4" max="4" width="11.81640625" customWidth="1"/>
    <col min="5" max="5" width="14.1796875" customWidth="1"/>
    <col min="6" max="11" width="11.81640625" customWidth="1"/>
  </cols>
  <sheetData>
    <row r="2" spans="2:11" ht="15" thickBot="1">
      <c r="B2" s="218"/>
      <c r="C2" s="218"/>
    </row>
    <row r="3" spans="2:11" ht="15" thickBot="1">
      <c r="B3" s="1338" t="s">
        <v>191</v>
      </c>
      <c r="C3" s="1339"/>
      <c r="D3" s="1362" t="s">
        <v>190</v>
      </c>
      <c r="E3" s="1363"/>
      <c r="F3" s="1363"/>
      <c r="G3" s="1363"/>
      <c r="H3" s="1363"/>
      <c r="I3" s="1363"/>
      <c r="J3" s="1363"/>
      <c r="K3" s="1363"/>
    </row>
    <row r="4" spans="2:11">
      <c r="B4" s="1340"/>
      <c r="C4" s="1341"/>
      <c r="D4" s="528" t="s">
        <v>923</v>
      </c>
      <c r="E4" s="529" t="s">
        <v>202</v>
      </c>
      <c r="F4" s="529" t="s">
        <v>879</v>
      </c>
      <c r="G4" s="530" t="s">
        <v>922</v>
      </c>
      <c r="H4" s="529" t="s">
        <v>921</v>
      </c>
      <c r="I4" s="531" t="s">
        <v>204</v>
      </c>
      <c r="J4" s="529" t="s">
        <v>205</v>
      </c>
      <c r="K4" s="529" t="s">
        <v>880</v>
      </c>
    </row>
    <row r="5" spans="2:11" ht="73" customHeight="1" thickBot="1">
      <c r="B5" s="1342"/>
      <c r="C5" s="1343"/>
      <c r="D5" s="2" t="s">
        <v>213</v>
      </c>
      <c r="E5" s="1" t="s">
        <v>214</v>
      </c>
      <c r="F5" s="1" t="s">
        <v>215</v>
      </c>
      <c r="G5" s="532" t="s">
        <v>216</v>
      </c>
      <c r="H5" s="1" t="s">
        <v>881</v>
      </c>
      <c r="I5" s="3" t="s">
        <v>217</v>
      </c>
      <c r="J5" s="3" t="s">
        <v>218</v>
      </c>
      <c r="K5" s="3" t="s">
        <v>219</v>
      </c>
    </row>
    <row r="6" spans="2:11" ht="17" thickBot="1">
      <c r="B6" s="164" t="s">
        <v>220</v>
      </c>
      <c r="C6" s="4" t="s">
        <v>221</v>
      </c>
      <c r="D6" s="863"/>
      <c r="E6" s="545"/>
      <c r="F6" s="545"/>
      <c r="G6" s="545"/>
      <c r="H6" s="545"/>
      <c r="I6" s="545"/>
      <c r="J6" s="545"/>
      <c r="K6" s="862"/>
    </row>
    <row r="7" spans="2:11">
      <c r="B7" s="1329" t="s">
        <v>4</v>
      </c>
      <c r="C7" s="612" t="s">
        <v>5</v>
      </c>
      <c r="D7" s="7" cm="1">
        <f t="array" ref="D7">INDEX(DataEntry[E-E02],MATCH(1, (DataEntry[S-U03]="Tri 2") * ($B$7=DataEntry[S-U04])*($C7=DataEntry[S-U05]),0))</f>
        <v>1.2589999999999999</v>
      </c>
      <c r="E7" s="1349">
        <f>RECO!M10</f>
        <v>542.82600000000002</v>
      </c>
      <c r="F7" s="10" cm="1">
        <f t="array" ref="F7">INDEX(DataEntry[E-E06],MATCH(1, (DataEntry[S-U03]="Tri 2") * ($B$7=DataEntry[S-U04])*($C7=DataEntry[S-U05]),0))</f>
        <v>1.2589999999999999</v>
      </c>
      <c r="G7" s="11" t="s">
        <v>140</v>
      </c>
      <c r="H7" s="10" cm="1">
        <f t="array" ref="H7">INDEX(DataEntry[E-E07],MATCH(1, (DataEntry[S-U03]="Tri 2") * ($B$7=DataEntry[S-U04])*($C7=DataEntry[S-U05]),0))</f>
        <v>1.3024354999999999</v>
      </c>
      <c r="I7" s="13" cm="1">
        <f t="array" ref="I7">INDEX(DataEntry[E-E13],MATCH(1, (DataEntry[S-U03]="Tri 2") * ($B$7=DataEntry[S-U04])*($C7=DataEntry[S-U05]),0))</f>
        <v>1E-3</v>
      </c>
      <c r="J7" s="527" cm="1">
        <f t="array" ref="J7">INDEX(DataEntry[E-E03],MATCH(1, (DataEntry[S-U03]="Tri 2") * ($B$7=DataEntry[S-U04])*($C7=DataEntry[S-U05]),0))</f>
        <v>17.777000000000001</v>
      </c>
      <c r="K7" s="527" cm="1">
        <f t="array" ref="K7">INDEX(DataEntry[E-E08],MATCH(1, (DataEntry[S-U03]="Tri 2") * ($B$7=DataEntry[S-U04])*($C7=DataEntry[S-U05]),0))</f>
        <v>17.777000000000001</v>
      </c>
    </row>
    <row r="8" spans="2:11">
      <c r="B8" s="1329"/>
      <c r="C8" s="442" t="s">
        <v>153</v>
      </c>
      <c r="D8" s="15" cm="1">
        <f t="array" ref="D8">INDEX(DataEntry[E-E02],MATCH(1, (DataEntry[S-U03]="Tri 2") * ($B$7=DataEntry[S-U04])*($C8=DataEntry[S-U05]),0))</f>
        <v>0.69399999999999995</v>
      </c>
      <c r="E8" s="1350"/>
      <c r="F8" s="12" cm="1">
        <f t="array" ref="F8">INDEX(DataEntry[E-E06],MATCH(1, (DataEntry[S-U03]="Tri 2") * ($B$7=DataEntry[S-U04])*($C8=DataEntry[S-U05]),0))</f>
        <v>0.69399999999999995</v>
      </c>
      <c r="G8" s="16" t="str">
        <f t="shared" ref="G8:G11" si="0">IFERROR(F8/E8, "N/A")</f>
        <v>N/A</v>
      </c>
      <c r="H8" s="12" cm="1">
        <f t="array" ref="H8">INDEX(DataEntry[E-E07],MATCH(1, (DataEntry[S-U03]="Tri 2") * ($B$7=DataEntry[S-U04])*($C8=DataEntry[S-U05]),0))</f>
        <v>0.71794299999999989</v>
      </c>
      <c r="I8" s="17" cm="1">
        <f t="array" ref="I8">INDEX(DataEntry[E-E13],MATCH(1, (DataEntry[S-U03]="Tri 2") * ($B$7=DataEntry[S-U04])*($C8=DataEntry[S-U05]),0))</f>
        <v>1.0000000000000001E-5</v>
      </c>
      <c r="J8" s="38" cm="1">
        <f t="array" ref="J8">INDEX(DataEntry[E-E03],MATCH(1, (DataEntry[S-U03]="Tri 2") * ($B$7=DataEntry[S-U04])*($C8=DataEntry[S-U05]),0))</f>
        <v>5.1909999999999998</v>
      </c>
      <c r="K8" s="38" cm="1">
        <f t="array" ref="K8">INDEX(DataEntry[E-E08],MATCH(1, (DataEntry[S-U03]="Tri 2") * ($B$7=DataEntry[S-U04])*($C8=DataEntry[S-U05]),0))</f>
        <v>5.1909999999999998</v>
      </c>
    </row>
    <row r="9" spans="2:11">
      <c r="B9" s="1329"/>
      <c r="C9" s="443" t="s">
        <v>626</v>
      </c>
      <c r="D9" s="15" cm="1">
        <f t="array" ref="D9">INDEX(DataEntry[E-E02],MATCH(1, (DataEntry[S-U03]="Tri 2") * ($B$7=DataEntry[S-U04])*($C9=DataEntry[S-U05]),0))</f>
        <v>0</v>
      </c>
      <c r="E9" s="1350"/>
      <c r="F9" s="12" cm="1">
        <f t="array" ref="F9">INDEX(DataEntry[E-E06],MATCH(1, (DataEntry[S-U03]="Tri 2") * ($B$7=DataEntry[S-U04])*($C9=DataEntry[S-U05]),0))</f>
        <v>0</v>
      </c>
      <c r="G9" s="16" t="str">
        <f t="shared" si="0"/>
        <v>N/A</v>
      </c>
      <c r="H9" s="12" cm="1">
        <f t="array" ref="H9">INDEX(DataEntry[E-E07],MATCH(1, (DataEntry[S-U03]="Tri 2") * ($B$7=DataEntry[S-U04])*($C9=DataEntry[S-U05]),0))</f>
        <v>0</v>
      </c>
      <c r="I9" s="17" cm="1">
        <f t="array" ref="I9">INDEX(DataEntry[E-E13],MATCH(1, (DataEntry[S-U03]="Tri 2") * ($B$7=DataEntry[S-U04])*($C9=DataEntry[S-U05]),0))</f>
        <v>0</v>
      </c>
      <c r="J9" s="38" cm="1">
        <f t="array" ref="J9">INDEX(DataEntry[E-E03],MATCH(1, (DataEntry[S-U03]="Tri 2") * ($B$7=DataEntry[S-U04])*($C9=DataEntry[S-U05]),0))</f>
        <v>0</v>
      </c>
      <c r="K9" s="38" cm="1">
        <f t="array" ref="K9">INDEX(DataEntry[E-E08],MATCH(1, (DataEntry[S-U03]="Tri 2") * ($B$7=DataEntry[S-U04])*($C9=DataEntry[S-U05]),0))</f>
        <v>0</v>
      </c>
    </row>
    <row r="10" spans="2:11" ht="17.25" customHeight="1">
      <c r="B10" s="1329"/>
      <c r="C10" s="444" t="s">
        <v>154</v>
      </c>
      <c r="D10" s="15" cm="1">
        <f t="array" ref="D10">INDEX(DataEntry[E-E02],MATCH(1, (DataEntry[S-U03]="Tri 2") * ($B$7=DataEntry[S-U04])*($C10=DataEntry[S-U05]),0))</f>
        <v>7.3</v>
      </c>
      <c r="E10" s="1350"/>
      <c r="F10" s="12" cm="1">
        <f t="array" ref="F10">INDEX(DataEntry[E-E06],MATCH(1, (DataEntry[S-U03]="Tri 2") * ($B$7=DataEntry[S-U04])*($C10=DataEntry[S-U05]),0))</f>
        <v>7.3</v>
      </c>
      <c r="G10" s="16" t="str">
        <f t="shared" si="0"/>
        <v>N/A</v>
      </c>
      <c r="H10" s="12" cm="1">
        <f t="array" ref="H10">INDEX(DataEntry[E-E07],MATCH(1, (DataEntry[S-U03]="Tri 2") * ($B$7=DataEntry[S-U04])*($C10=DataEntry[S-U05]),0))</f>
        <v>7.55185</v>
      </c>
      <c r="I10" s="17" cm="1">
        <f t="array" ref="I10">INDEX(DataEntry[E-E13],MATCH(1, (DataEntry[S-U03]="Tri 2") * ($B$7=DataEntry[S-U04])*($C10=DataEntry[S-U05]),0))</f>
        <v>0</v>
      </c>
      <c r="J10" s="38" cm="1">
        <f t="array" ref="J10">INDEX(DataEntry[E-E03],MATCH(1, (DataEntry[S-U03]="Tri 2") * ($B$7=DataEntry[S-U04])*($C10=DataEntry[S-U05]),0))</f>
        <v>38.435000000000002</v>
      </c>
      <c r="K10" s="38" cm="1">
        <f t="array" ref="K10">INDEX(DataEntry[E-E08],MATCH(1, (DataEntry[S-U03]="Tri 2") * ($B$7=DataEntry[S-U04])*($C10=DataEntry[S-U05]),0))</f>
        <v>38.435000000000002</v>
      </c>
    </row>
    <row r="11" spans="2:11">
      <c r="B11" s="1329"/>
      <c r="C11" s="444" t="s">
        <v>962</v>
      </c>
      <c r="D11" s="15" cm="1">
        <f t="array" ref="D11">INDEX(DataEntry[E-E02],MATCH(1, (DataEntry[S-U03]="Tri 2") * ($B$7=DataEntry[S-U04])*($C11=DataEntry[S-U05]),0))</f>
        <v>0</v>
      </c>
      <c r="E11" s="1351"/>
      <c r="F11" s="12" cm="1">
        <f t="array" ref="F11">INDEX(DataEntry[E-E06],MATCH(1, (DataEntry[S-U03]="Tri 2") * ($B$7=DataEntry[S-U04])*($C11=DataEntry[S-U05]),0))</f>
        <v>0</v>
      </c>
      <c r="G11" s="16" t="str">
        <f t="shared" si="0"/>
        <v>N/A</v>
      </c>
      <c r="H11" s="12" cm="1">
        <f t="array" ref="H11">INDEX(DataEntry[E-E07],MATCH(1, (DataEntry[S-U03]="Tri 2") * ($B$7=DataEntry[S-U04])*($C11=DataEntry[S-U05]),0))</f>
        <v>0</v>
      </c>
      <c r="I11" s="17" cm="1">
        <f t="array" ref="I11">INDEX(DataEntry[E-E13],MATCH(1, (DataEntry[S-U03]="Tri 2") * ($B$7=DataEntry[S-U04])*($C11=DataEntry[S-U05]),0))</f>
        <v>0</v>
      </c>
      <c r="J11" s="38" cm="1">
        <f t="array" ref="J11">INDEX(DataEntry[E-E03],MATCH(1, (DataEntry[S-U03]="Tri 2") * ($B$7=DataEntry[S-U04])*($C11=DataEntry[S-U05]),0))</f>
        <v>0</v>
      </c>
      <c r="K11" s="38" cm="1">
        <f t="array" ref="K11">INDEX(DataEntry[E-E08],MATCH(1, (DataEntry[S-U03]="Tri 2") * ($B$7=DataEntry[S-U04])*($C11=DataEntry[S-U05]),0))</f>
        <v>0</v>
      </c>
    </row>
    <row r="12" spans="2:11" ht="15" thickBot="1">
      <c r="B12" s="1330"/>
      <c r="C12" s="445" t="s">
        <v>222</v>
      </c>
      <c r="D12" s="18">
        <f>SUM(D7:D11)</f>
        <v>9.2530000000000001</v>
      </c>
      <c r="E12" s="20">
        <f>SUM(E7:E11)</f>
        <v>542.82600000000002</v>
      </c>
      <c r="F12" s="20">
        <f>SUM(F7:F11)</f>
        <v>9.2530000000000001</v>
      </c>
      <c r="G12" s="1266">
        <f>IFERROR(F12/E12, "N/A")</f>
        <v>1.7045977900837467E-2</v>
      </c>
      <c r="H12" s="20">
        <f t="shared" ref="H12:I12" si="1">SUM(H7:H11)</f>
        <v>9.5722284999999996</v>
      </c>
      <c r="I12" s="22">
        <f t="shared" si="1"/>
        <v>1.01E-3</v>
      </c>
      <c r="J12" s="534">
        <f>SUM(J7:J11)</f>
        <v>61.403000000000006</v>
      </c>
      <c r="K12" s="534">
        <f>SUM(K7:K11)</f>
        <v>61.403000000000006</v>
      </c>
    </row>
    <row r="13" spans="2:11">
      <c r="B13" s="1331" t="s">
        <v>129</v>
      </c>
      <c r="C13" s="441" t="s">
        <v>155</v>
      </c>
      <c r="D13" s="27" cm="1">
        <f t="array" ref="D13">INDEX(DataEntry[E-E02],MATCH(1, (DataEntry[S-U03]="Tri 2") * ($B$13=DataEntry[S-U04])*($C13=DataEntry[S-U05]),0))</f>
        <v>0</v>
      </c>
      <c r="E13" s="1352" cm="1">
        <f t="array" ref="E13">INDEX(DataEntry[E-E01],MATCH(1, (DataEntry[S-U03]="Tri 2") * ($B$13=DataEntry[S-U04])*($C13=DataEntry[S-U05]),0))</f>
        <v>105.432</v>
      </c>
      <c r="F13" s="29" cm="1">
        <f t="array" ref="F13">INDEX(DataEntry[E-E06],MATCH(1, (DataEntry[S-U03]="Tri 2") * ($B$13=DataEntry[S-U04])*($C13=DataEntry[S-U05]),0))</f>
        <v>0</v>
      </c>
      <c r="G13" s="520" t="s">
        <v>140</v>
      </c>
      <c r="H13" s="29" cm="1">
        <f t="array" ref="H13">INDEX(DataEntry[E-E07],MATCH(1, (DataEntry[S-U03]="Tri 2") * ($B$13=DataEntry[S-U04])*($C13=DataEntry[S-U05]),0))</f>
        <v>0</v>
      </c>
      <c r="I13" s="521" cm="1">
        <f t="array" ref="I13">INDEX(DataEntry[E-E13],MATCH(1, (DataEntry[S-U03]="Tri 2") * ($B$13=DataEntry[S-U04])*($C13=DataEntry[S-U05]),0))</f>
        <v>0</v>
      </c>
      <c r="J13" s="533" cm="1">
        <f t="array" ref="J13">INDEX(DataEntry[E-E03],MATCH(1, (DataEntry[S-U03]="Tri 2") * ($B$13=DataEntry[S-U04])*($C13=DataEntry[S-U05]),0))</f>
        <v>0</v>
      </c>
      <c r="K13" s="533" cm="1">
        <f t="array" ref="K13">INDEX(DataEntry[E-E08],MATCH(1, (DataEntry[S-U03]="Tri 2") * ($B$13=DataEntry[S-U04])*($C13=DataEntry[S-U05]),0))</f>
        <v>0</v>
      </c>
    </row>
    <row r="14" spans="2:11">
      <c r="B14" s="1332"/>
      <c r="C14" s="612" t="s">
        <v>19</v>
      </c>
      <c r="D14" s="808" cm="1">
        <f t="array" ref="D14">INDEX(DataEntry[E-E02],MATCH(1, (DataEntry[S-U03]="Tri 2") * ($B$13=DataEntry[S-U04])*($C14=DataEntry[S-U05]),0))</f>
        <v>6.9</v>
      </c>
      <c r="E14" s="1353"/>
      <c r="F14" s="12" cm="1">
        <f t="array" ref="F14">INDEX(DataEntry[E-E06],MATCH(1, (DataEntry[S-U03]="Tri 2") * ($B$13=DataEntry[S-U04])*($C14=DataEntry[S-U05]),0))</f>
        <v>6.9</v>
      </c>
      <c r="G14" s="24" t="str">
        <f t="shared" ref="G14:G20" si="2">IFERROR(F14/E14, "N/A")</f>
        <v>N/A</v>
      </c>
      <c r="H14" s="12" cm="1">
        <f t="array" ref="H14">INDEX(DataEntry[E-E07],MATCH(1, (DataEntry[S-U03]="Tri 2") * ($B$13=DataEntry[S-U04])*($C14=DataEntry[S-U05]),0))</f>
        <v>7.1380499999999998</v>
      </c>
      <c r="I14" s="17" cm="1">
        <f t="array" ref="I14">INDEX(DataEntry[E-E13],MATCH(1, (DataEntry[S-U03]="Tri 2") * ($B$13=DataEntry[S-U04])*($C14=DataEntry[S-U05]),0))</f>
        <v>5.9999999999999995E-4</v>
      </c>
      <c r="J14" s="38" cm="1">
        <f t="array" ref="J14">INDEX(DataEntry[E-E03],MATCH(1, (DataEntry[S-U03]="Tri 2") * ($B$13=DataEntry[S-U04])*($C14=DataEntry[S-U05]),0))</f>
        <v>46.591999999999999</v>
      </c>
      <c r="K14" s="38" cm="1">
        <f t="array" ref="K14">INDEX(DataEntry[E-E08],MATCH(1, (DataEntry[S-U03]="Tri 2") * ($B$13=DataEntry[S-U04])*($C14=DataEntry[S-U05]),0))</f>
        <v>46.591999999999999</v>
      </c>
    </row>
    <row r="15" spans="2:11" ht="15" thickBot="1">
      <c r="B15" s="1333"/>
      <c r="C15" s="1009" t="s">
        <v>878</v>
      </c>
      <c r="D15" s="539">
        <f>SUM(D13:D14)</f>
        <v>6.9</v>
      </c>
      <c r="E15" s="540">
        <f>SUM(E13:E14)</f>
        <v>105.432</v>
      </c>
      <c r="F15" s="1040">
        <f>SUM(F13:F14)</f>
        <v>6.9</v>
      </c>
      <c r="G15" s="1267">
        <f t="shared" si="2"/>
        <v>6.5445026178010471E-2</v>
      </c>
      <c r="H15" s="1040">
        <f t="shared" ref="H15:I15" si="3">SUM(H13:H14)</f>
        <v>7.1380499999999998</v>
      </c>
      <c r="I15" s="1209">
        <f t="shared" si="3"/>
        <v>5.9999999999999995E-4</v>
      </c>
      <c r="J15" s="1041">
        <f>SUM(J13:J14)</f>
        <v>46.591999999999999</v>
      </c>
      <c r="K15" s="1041">
        <f>SUM(K13:K14)</f>
        <v>46.591999999999999</v>
      </c>
    </row>
    <row r="16" spans="2:11">
      <c r="B16" s="1336" t="s">
        <v>130</v>
      </c>
      <c r="C16" s="441" t="s">
        <v>156</v>
      </c>
      <c r="D16" s="1074" cm="1">
        <f t="array" ref="D16">INDEX(DataEntry[E-E02],MATCH(1, (DataEntry[S-U03]="Tri 2") * ($B$16=DataEntry[S-U04])*($C16=DataEntry[S-U05]),0))</f>
        <v>0</v>
      </c>
      <c r="E16" s="1352" cm="1">
        <f t="array" ref="E16">INDEX(DataEntry[E-E01],MATCH(1, (DataEntry[S-U03]="Tri 2") * ($B$16=DataEntry[S-U04])*($C16=DataEntry[S-U05]),0))</f>
        <v>77.209999999999994</v>
      </c>
      <c r="F16" s="1069" cm="1">
        <f t="array" ref="F16">INDEX(DataEntry[E-E06],MATCH(1, (DataEntry[S-U03]="Tri 2") * ($B$16=DataEntry[S-U04])*($C16=DataEntry[S-U05]),0))</f>
        <v>0</v>
      </c>
      <c r="G16" s="1070" t="s">
        <v>140</v>
      </c>
      <c r="H16" s="1069" cm="1">
        <f t="array" ref="H16">INDEX(DataEntry[E-E07],MATCH(1, (DataEntry[S-U03]="Tri 2") * ($B$16=DataEntry[S-U04])*($C16=DataEntry[S-U05]),0))</f>
        <v>0</v>
      </c>
      <c r="I16" s="1071" cm="1">
        <f t="array" ref="I16">INDEX(DataEntry[E-E13],MATCH(1, (DataEntry[S-U03]="Tri 2") * ($B$16=DataEntry[S-U04])*($C16=DataEntry[S-U05]),0))</f>
        <v>0</v>
      </c>
      <c r="J16" s="1072" cm="1">
        <f t="array" ref="J16">INDEX(DataEntry[E-E03],MATCH(1, (DataEntry[S-U03]="Tri 2") * ($B$16=DataEntry[S-U04])*($C16=DataEntry[S-U05]),0))</f>
        <v>0</v>
      </c>
      <c r="K16" s="1073" cm="1">
        <f t="array" ref="K16">INDEX(DataEntry[E-E08],MATCH(1, (DataEntry[S-U03]="Tri 2") * ($B$16=DataEntry[S-U04])*($C16=DataEntry[S-U05]),0))</f>
        <v>0</v>
      </c>
    </row>
    <row r="17" spans="2:11" ht="17.25" customHeight="1">
      <c r="B17" s="1337"/>
      <c r="C17" s="446" t="s">
        <v>154</v>
      </c>
      <c r="D17" s="15" cm="1">
        <f t="array" ref="D17">INDEX(DataEntry[E-E02],MATCH(1, (DataEntry[S-U03]="Tri 2") * ($B$16=DataEntry[S-U04])*($C17=DataEntry[S-U05]),0))</f>
        <v>0</v>
      </c>
      <c r="E17" s="1353"/>
      <c r="F17" s="12" cm="1">
        <f t="array" ref="F17">INDEX(DataEntry[E-E06],MATCH(1, (DataEntry[S-U03]="Tri 2") * ($B$16=DataEntry[S-U04])*($C17=DataEntry[S-U05]),0))</f>
        <v>0</v>
      </c>
      <c r="G17" s="24" t="str">
        <f t="shared" ref="G17:G18" si="4">IFERROR(F17/E17, "N/A")</f>
        <v>N/A</v>
      </c>
      <c r="H17" s="12" cm="1">
        <f t="array" ref="H17">INDEX(DataEntry[E-E07],MATCH(1, (DataEntry[S-U03]="Tri 2") * ($B$16=DataEntry[S-U04])*($C17=DataEntry[S-U05]),0))</f>
        <v>0</v>
      </c>
      <c r="I17" s="17" cm="1">
        <f t="array" ref="I17">INDEX(DataEntry[E-E13],MATCH(1, (DataEntry[S-U03]="Tri 2") * ($B$16=DataEntry[S-U04])*($C17=DataEntry[S-U05]),0))</f>
        <v>0</v>
      </c>
      <c r="J17" s="38" cm="1">
        <f t="array" ref="J17">INDEX(DataEntry[E-E03],MATCH(1, (DataEntry[S-U03]="Tri 2") * ($B$16=DataEntry[S-U04])*($C17=DataEntry[S-U05]),0))</f>
        <v>0</v>
      </c>
      <c r="K17" s="1075" cm="1">
        <f t="array" ref="K17">INDEX(DataEntry[E-E08],MATCH(1, (DataEntry[S-U03]="Tri 2") * ($B$16=DataEntry[S-U04])*($C17=DataEntry[S-U05]),0))</f>
        <v>0</v>
      </c>
    </row>
    <row r="18" spans="2:11" ht="15" customHeight="1" thickBot="1">
      <c r="B18" s="1364"/>
      <c r="C18" s="476" t="s">
        <v>970</v>
      </c>
      <c r="D18" s="1076">
        <f>SUM(D16:D17)</f>
        <v>0</v>
      </c>
      <c r="E18" s="1063">
        <f>SUM(E16:E17)</f>
        <v>77.209999999999994</v>
      </c>
      <c r="F18" s="1064">
        <f>SUM(F16:F17)</f>
        <v>0</v>
      </c>
      <c r="G18" s="1065">
        <f t="shared" si="4"/>
        <v>0</v>
      </c>
      <c r="H18" s="1064">
        <f t="shared" ref="H18:I18" si="5">SUM(H16:H17)</f>
        <v>0</v>
      </c>
      <c r="I18" s="1066">
        <f t="shared" si="5"/>
        <v>0</v>
      </c>
      <c r="J18" s="1067">
        <f>SUM(J16:J17)</f>
        <v>0</v>
      </c>
      <c r="K18" s="1068">
        <f>SUM(K16:K17)</f>
        <v>0</v>
      </c>
    </row>
    <row r="19" spans="2:11" ht="15" thickBot="1">
      <c r="B19" s="964" t="s">
        <v>183</v>
      </c>
      <c r="C19" s="612" t="s">
        <v>183</v>
      </c>
      <c r="D19" s="27" cm="1">
        <f t="array" ref="D19">INDEX(DataEntry[E-E02],MATCH(1, (DataEntry[S-U03]="Tri 2") * ($B$19=DataEntry[S-U04])*($C19=DataEntry[S-U05]),0))</f>
        <v>503</v>
      </c>
      <c r="E19" s="28" cm="1">
        <f t="array" ref="E19">INDEX(DataEntry[E-E01],MATCH(1, (DataEntry[S-U03]="Tri 2") * ($B$19=DataEntry[S-U04])*($C19=DataEntry[S-U05]),0))</f>
        <v>1932</v>
      </c>
      <c r="F19" s="29" cm="1">
        <f t="array" ref="F19">INDEX(DataEntry[E-E06],MATCH(1, (DataEntry[S-U03]="Tri 2") * ($B$19=DataEntry[S-U04])*($C19=DataEntry[S-U05]),0))</f>
        <v>503</v>
      </c>
      <c r="G19" s="1268">
        <f t="shared" ref="G19" si="6">IFERROR(F19/E19, "N/A")</f>
        <v>0.26035196687370599</v>
      </c>
      <c r="H19" s="29" cm="1">
        <f t="array" ref="H19">INDEX(DataEntry[E-E07],MATCH(1, (DataEntry[S-U03]="Tri 2") * ($B$19=DataEntry[S-U04])*($C19=DataEntry[S-U05]),0))</f>
        <v>520.35349999999994</v>
      </c>
      <c r="I19" s="521" cm="1">
        <f t="array" ref="I19">INDEX(DataEntry[E-E13],MATCH(1, (DataEntry[S-U03]="Tri 2") * ($B$19=DataEntry[S-U04])*($C19=DataEntry[S-U05]),0))</f>
        <v>0</v>
      </c>
      <c r="J19" s="533" cm="1">
        <f t="array" ref="J19">INDEX(DataEntry[E-E03],MATCH(1, (DataEntry[S-U03]="Tri 2") * ($B$19=DataEntry[S-U04])*($C19=DataEntry[S-U05]),0))</f>
        <v>503</v>
      </c>
      <c r="K19" s="1042" cm="1">
        <f t="array" ref="K19">INDEX(DataEntry[E-E08],MATCH(1, (DataEntry[S-U03]="Tri 2") * ($B$19=DataEntry[S-U04])*($C19=DataEntry[S-U05]),0))</f>
        <v>503</v>
      </c>
    </row>
    <row r="20" spans="2:11" ht="17" thickBot="1">
      <c r="B20" s="477" t="s">
        <v>223</v>
      </c>
      <c r="C20" s="478"/>
      <c r="D20" s="541">
        <f>SUM(D12,D15:D17,D19)</f>
        <v>519.15300000000002</v>
      </c>
      <c r="E20" s="6">
        <f t="shared" ref="E20:F20" si="7">SUM(E12,E15:E17,E19)</f>
        <v>2657.4679999999998</v>
      </c>
      <c r="F20" s="542">
        <f t="shared" si="7"/>
        <v>519.15300000000002</v>
      </c>
      <c r="G20" s="1269">
        <f t="shared" si="2"/>
        <v>0.19535625640647414</v>
      </c>
      <c r="H20" s="542">
        <f t="shared" ref="H20:K20" si="8">SUM(H12,H15:H17,H19)</f>
        <v>537.0637784999999</v>
      </c>
      <c r="I20" s="544">
        <f t="shared" si="8"/>
        <v>1.6099999999999999E-3</v>
      </c>
      <c r="J20" s="545">
        <f>SUM(J12,J15:J17,J19)</f>
        <v>610.995</v>
      </c>
      <c r="K20" s="545">
        <f t="shared" si="8"/>
        <v>610.995</v>
      </c>
    </row>
    <row r="21" spans="2:11" ht="15" thickBot="1">
      <c r="B21" s="447"/>
      <c r="C21" s="448"/>
      <c r="D21" s="559"/>
      <c r="E21" s="1283"/>
      <c r="F21" s="523"/>
      <c r="G21" s="524"/>
      <c r="H21" s="523"/>
      <c r="I21" s="549"/>
      <c r="J21" s="550"/>
      <c r="K21" s="550"/>
    </row>
    <row r="22" spans="2:11" ht="17" thickBot="1">
      <c r="B22" s="861" t="s">
        <v>224</v>
      </c>
      <c r="C22" s="861" t="s">
        <v>225</v>
      </c>
      <c r="D22" s="541"/>
      <c r="E22" s="1282"/>
      <c r="F22" s="542"/>
      <c r="G22" s="543"/>
      <c r="H22" s="542"/>
      <c r="I22" s="553"/>
      <c r="J22" s="545"/>
      <c r="K22" s="862"/>
    </row>
    <row r="23" spans="2:11">
      <c r="B23" s="1007" t="s">
        <v>27</v>
      </c>
      <c r="C23" s="441" t="s">
        <v>629</v>
      </c>
      <c r="D23" s="1044" cm="1">
        <f t="array" ref="D23">INDEX(DataEntry[E-E02],MATCH(1, ($B23=DataEntry[S-U04])*($C23=DataEntry[S-U05])*("Tri 2"=DataEntry[S-U03]),0))</f>
        <v>0</v>
      </c>
      <c r="E23" s="9" cm="1">
        <f t="array" ref="E23">INDEX(DataEntry[E-E01],MATCH(1, ($B23=DataEntry[S-U04])*($C23=DataEntry[S-U05])*("Tri 2"=DataEntry[S-U03]),0))</f>
        <v>3295.2890000000002</v>
      </c>
      <c r="F23" s="552" cm="1">
        <f t="array" ref="F23">INDEX(DataEntry[E-E06],MATCH(1, ($B23=DataEntry[S-U04])*($C23=DataEntry[S-U05])*("Tri 2"=DataEntry[S-U03]),0))</f>
        <v>0</v>
      </c>
      <c r="G23" s="1270">
        <f t="shared" ref="G23:G29" si="9">IFERROR(F23/E23, "N/A")</f>
        <v>0</v>
      </c>
      <c r="H23" s="551" cm="1">
        <f t="array" ref="H23">INDEX(DataEntry[E-E07],MATCH(1, ($B23=DataEntry[S-U04])*($C23=DataEntry[S-U05])*("Tri 2"=DataEntry[S-U03]),0))</f>
        <v>0</v>
      </c>
      <c r="I23" s="546" cm="1">
        <f t="array" ref="I23">INDEX(DataEntry[E-E13],MATCH(1, ($B23=DataEntry[S-U04])*($C23=DataEntry[S-U05])*("Tri 2"=DataEntry[S-U03]),0))</f>
        <v>0</v>
      </c>
      <c r="J23" s="527" cm="1">
        <f t="array" ref="J23">INDEX(DataEntry[E-E03],MATCH(1, ($B23=DataEntry[S-U04])*($C23=DataEntry[S-U05])*("Tri 2"=DataEntry[S-U03]),0))</f>
        <v>0</v>
      </c>
      <c r="K23" s="527" cm="1">
        <f t="array" ref="K23">INDEX(DataEntry[E-E08],MATCH(1, ($B23=DataEntry[S-U04])*($C23=DataEntry[S-U05])*("Tri 2"=DataEntry[S-U03]),0))</f>
        <v>0</v>
      </c>
    </row>
    <row r="24" spans="2:11" ht="15" customHeight="1">
      <c r="B24" s="1347" t="s">
        <v>29</v>
      </c>
      <c r="C24" s="612" t="s">
        <v>29</v>
      </c>
      <c r="D24" s="32" cm="1">
        <f t="array" ref="D24">INDEX(DataEntry[E-E02],MATCH(1, ($B$24=DataEntry[S-U04])*($C24=DataEntry[S-U05])*("Tri 2"=DataEntry[S-U03]),0))</f>
        <v>0</v>
      </c>
      <c r="E24" s="1365" cm="1">
        <f t="array" ref="E24">INDEX(DataEntry[E-E01],MATCH(1, ($B$24=DataEntry[S-U04])*($C24=DataEntry[S-U05])*("Tri 2"=DataEntry[S-U03]),0))</f>
        <v>3202.6819999999998</v>
      </c>
      <c r="F24" s="10" cm="1">
        <f t="array" ref="F24">INDEX(DataEntry[E-E06],MATCH(1, ($B$24=DataEntry[S-U04])*($C24=DataEntry[S-U05])*("Tri 2"=DataEntry[S-U03]),0))</f>
        <v>0</v>
      </c>
      <c r="G24" s="1270" t="s">
        <v>140</v>
      </c>
      <c r="H24" s="32" cm="1">
        <f t="array" ref="H24">INDEX(DataEntry[E-E07],MATCH(1, ($B$24=DataEntry[S-U04])*($C24=DataEntry[S-U05])*("Tri 2"=DataEntry[S-U03]),0))</f>
        <v>0</v>
      </c>
      <c r="I24" s="546" cm="1">
        <f t="array" ref="I24">INDEX(DataEntry[E-E13],MATCH(1, ($B$24=DataEntry[S-U04])*($C24=DataEntry[S-U05])*("Tri 2"=DataEntry[S-U03]),0))</f>
        <v>0</v>
      </c>
      <c r="J24" s="12" cm="1">
        <f t="array" ref="J24">INDEX(DataEntry[E-E03],MATCH(1, ($B$24=DataEntry[S-U04])*($C24=DataEntry[S-U05])*("Tri 2"=DataEntry[S-U03]),0))</f>
        <v>0</v>
      </c>
      <c r="K24" s="12" cm="1">
        <f t="array" ref="K24">INDEX(DataEntry[E-E08],MATCH(1, ($B$24=DataEntry[S-U04])*($C24=DataEntry[S-U05])*("Tri 2"=DataEntry[S-U03]),0))</f>
        <v>0</v>
      </c>
    </row>
    <row r="25" spans="2:11" ht="15" customHeight="1">
      <c r="B25" s="1332"/>
      <c r="C25" s="446" t="s">
        <v>963</v>
      </c>
      <c r="D25" s="808" cm="1">
        <f t="array" ref="D25">INDEX(DataEntry[E-E02],MATCH(1, ($B$24=DataEntry[S-U04])*($C25=DataEntry[S-U05])*("Tri 2"=DataEntry[S-U03]),0))</f>
        <v>0</v>
      </c>
      <c r="E25" s="1366"/>
      <c r="F25" s="12" cm="1">
        <f t="array" ref="F25">INDEX(DataEntry[E-E06],MATCH(1, ($B$24=DataEntry[S-U04])*($C25=DataEntry[S-U05])*("Tri 2"=DataEntry[S-U03]),0))</f>
        <v>0</v>
      </c>
      <c r="G25" s="1271" t="str">
        <f t="shared" ref="G25:G27" si="10">IFERROR(F25/E25, "N/A")</f>
        <v>N/A</v>
      </c>
      <c r="H25" s="23" cm="1">
        <f t="array" ref="H25">INDEX(DataEntry[E-E07],MATCH(1, ($B$24=DataEntry[S-U04])*($C25=DataEntry[S-U05])*("Tri 2"=DataEntry[S-U03]),0))</f>
        <v>0</v>
      </c>
      <c r="I25" s="17" cm="1">
        <f t="array" ref="I25">INDEX(DataEntry[E-E13],MATCH(1, ($B$24=DataEntry[S-U04])*($C25=DataEntry[S-U05])*("Tri 2"=DataEntry[S-U03]),0))</f>
        <v>0</v>
      </c>
      <c r="J25" s="12" cm="1">
        <f t="array" ref="J25">INDEX(DataEntry[E-E03],MATCH(1, ($B$24=DataEntry[S-U04])*($C25=DataEntry[S-U05])*("Tri 2"=DataEntry[S-U03]),0))</f>
        <v>0</v>
      </c>
      <c r="K25" s="561" cm="1">
        <f t="array" ref="K25">INDEX(DataEntry[E-E08],MATCH(1, ($B$24=DataEntry[S-U04])*($C25=DataEntry[S-U05])*("Tri 2"=DataEntry[S-U03]),0))</f>
        <v>0</v>
      </c>
    </row>
    <row r="26" spans="2:11" ht="15" customHeight="1">
      <c r="B26" s="1332"/>
      <c r="C26" s="446" t="s">
        <v>964</v>
      </c>
      <c r="D26" s="808" cm="1">
        <f t="array" ref="D26">INDEX(DataEntry[E-E02],MATCH(1, ($B$24=DataEntry[S-U04])*($C26=DataEntry[S-U05])*("Tri 2"=DataEntry[S-U03]),0))</f>
        <v>0</v>
      </c>
      <c r="E26" s="1353"/>
      <c r="F26" s="12" cm="1">
        <f t="array" ref="F26">INDEX(DataEntry[E-E06],MATCH(1, ($B$24=DataEntry[S-U04])*($C26=DataEntry[S-U05])*("Tri 2"=DataEntry[S-U03]),0))</f>
        <v>0</v>
      </c>
      <c r="G26" s="1271" t="str">
        <f t="shared" si="10"/>
        <v>N/A</v>
      </c>
      <c r="H26" s="23" cm="1">
        <f t="array" ref="H26">INDEX(DataEntry[E-E07],MATCH(1, ($B$24=DataEntry[S-U04])*($C26=DataEntry[S-U05])*("Tri 2"=DataEntry[S-U03]),0))</f>
        <v>0</v>
      </c>
      <c r="I26" s="17" cm="1">
        <f t="array" ref="I26">INDEX(DataEntry[E-E13],MATCH(1, ($B$24=DataEntry[S-U04])*($C26=DataEntry[S-U05])*("Tri 2"=DataEntry[S-U03]),0))</f>
        <v>0</v>
      </c>
      <c r="J26" s="12" cm="1">
        <f t="array" ref="J26">INDEX(DataEntry[E-E03],MATCH(1, ($B$24=DataEntry[S-U04])*($C26=DataEntry[S-U05])*("Tri 2"=DataEntry[S-U03]),0))</f>
        <v>0</v>
      </c>
      <c r="K26" s="561" cm="1">
        <f t="array" ref="K26">INDEX(DataEntry[E-E08],MATCH(1, ($B$24=DataEntry[S-U04])*($C26=DataEntry[S-U05])*("Tri 2"=DataEntry[S-U03]),0))</f>
        <v>0</v>
      </c>
    </row>
    <row r="27" spans="2:11" ht="15" customHeight="1" thickBot="1">
      <c r="B27" s="1348"/>
      <c r="C27" s="476" t="s">
        <v>975</v>
      </c>
      <c r="D27" s="1076">
        <f>SUM(D24:D26)</f>
        <v>0</v>
      </c>
      <c r="E27" s="1063">
        <f>SUM(E24:E26)</f>
        <v>3202.6819999999998</v>
      </c>
      <c r="F27" s="1064">
        <f>SUM(F24:F26)</f>
        <v>0</v>
      </c>
      <c r="G27" s="1272">
        <f t="shared" si="10"/>
        <v>0</v>
      </c>
      <c r="H27" s="1064">
        <f>SUM(H24:H26)</f>
        <v>0</v>
      </c>
      <c r="I27" s="1066">
        <f>SUM(I24:I26)</f>
        <v>0</v>
      </c>
      <c r="J27" s="1067">
        <f>SUM(J24:J26)</f>
        <v>0</v>
      </c>
      <c r="K27" s="1210">
        <f>SUM(K24:K26)</f>
        <v>0</v>
      </c>
    </row>
    <row r="28" spans="2:11" ht="15" thickBot="1">
      <c r="B28" s="1018" t="s">
        <v>30</v>
      </c>
      <c r="C28" s="825" t="s">
        <v>30</v>
      </c>
      <c r="D28" s="1043" cm="1">
        <f t="array" ref="D28">INDEX(DataEntry[E-E02],MATCH(1, ($B28=DataEntry[S-U04])*($C28=DataEntry[S-U05])*("Tri 2"=DataEntry[S-U03]),0))</f>
        <v>0</v>
      </c>
      <c r="E28" s="555" cm="1">
        <f t="array" ref="E28">INDEX(DataEntry[E-E01],MATCH(1, ($B28=DataEntry[S-U04])*($C28=DataEntry[S-U05])*("Tri 2"=DataEntry[S-U03]),0))</f>
        <v>2.585</v>
      </c>
      <c r="F28" s="359" cm="1">
        <f t="array" ref="F28">INDEX(DataEntry[E-E06],MATCH(1, ($B28=DataEntry[S-U04])*($C28=DataEntry[S-U05])*("Tri 2"=DataEntry[S-U03]),0))</f>
        <v>0</v>
      </c>
      <c r="G28" s="1273">
        <f t="shared" si="9"/>
        <v>0</v>
      </c>
      <c r="H28" s="359" cm="1">
        <f t="array" ref="H28">INDEX(DataEntry[E-E07],MATCH(1, ($B28=DataEntry[S-U04])*($C28=DataEntry[S-U05])*("Tri 2"=DataEntry[S-U03]),0))</f>
        <v>0</v>
      </c>
      <c r="I28" s="548" cm="1">
        <f t="array" ref="I28">INDEX(DataEntry[E-E13],MATCH(1, ($B28=DataEntry[S-U04])*($C28=DataEntry[S-U05])*("Tri 2"=DataEntry[S-U03]),0))</f>
        <v>0</v>
      </c>
      <c r="J28" s="359" cm="1">
        <f t="array" ref="J28">INDEX(DataEntry[E-E03],MATCH(1, ($B28=DataEntry[S-U04])*($C28=DataEntry[S-U05])*("Tri 2"=DataEntry[S-U03]),0))</f>
        <v>0</v>
      </c>
      <c r="K28" s="359" cm="1">
        <f t="array" ref="K28">INDEX(DataEntry[E-E08],MATCH(1, ($B28=DataEntry[S-U04])*($C28=DataEntry[S-U05])*("Tri 2"=DataEntry[S-U03]),0))</f>
        <v>0</v>
      </c>
    </row>
    <row r="29" spans="2:11" ht="17" thickBot="1">
      <c r="B29" s="569" t="s">
        <v>226</v>
      </c>
      <c r="C29" s="824"/>
      <c r="D29" s="5">
        <f>SUM(D23,D27,D28)</f>
        <v>0</v>
      </c>
      <c r="E29" s="6">
        <f>SUM(E23,E27,E28)</f>
        <v>6500.5559999999996</v>
      </c>
      <c r="F29" s="545">
        <f>SUM(F23,F27,F28)</f>
        <v>0</v>
      </c>
      <c r="G29" s="1269">
        <f t="shared" si="9"/>
        <v>0</v>
      </c>
      <c r="H29" s="556">
        <f>SUM(H23,H27,H28)</f>
        <v>0</v>
      </c>
      <c r="I29" s="557">
        <f>SUM(I23,I27,I28)</f>
        <v>0</v>
      </c>
      <c r="J29" s="545">
        <f>SUM(J23,J27,J28)</f>
        <v>0</v>
      </c>
      <c r="K29" s="545">
        <f>SUM(K23,K27,K28)</f>
        <v>0</v>
      </c>
    </row>
    <row r="30" spans="2:11" ht="15" thickBot="1">
      <c r="B30" s="447"/>
      <c r="C30" s="448"/>
      <c r="D30" s="559"/>
      <c r="E30" s="523"/>
      <c r="F30" s="523"/>
      <c r="G30" s="524"/>
      <c r="H30" s="523"/>
      <c r="I30" s="525"/>
      <c r="J30" s="550"/>
      <c r="K30" s="550"/>
    </row>
    <row r="31" spans="2:11" ht="17" thickBot="1">
      <c r="B31" s="861" t="s">
        <v>227</v>
      </c>
      <c r="C31" s="861" t="s">
        <v>228</v>
      </c>
      <c r="D31" s="541"/>
      <c r="E31" s="6"/>
      <c r="F31" s="542"/>
      <c r="G31" s="543"/>
      <c r="H31" s="542"/>
      <c r="I31" s="554"/>
      <c r="J31" s="545"/>
      <c r="K31" s="862"/>
    </row>
    <row r="32" spans="2:11" ht="15.65" customHeight="1">
      <c r="B32" s="1334" t="s">
        <v>131</v>
      </c>
      <c r="C32" s="522" t="s">
        <v>629</v>
      </c>
      <c r="D32" s="518" cm="1">
        <f t="array" ref="D32">INDEX(DataEntry[E-E02],MATCH(1, ($B$32=DataEntry[S-U04])*($C32=DataEntry[S-U05])*("Tri 2"=DataEntry[S-U03]),0))</f>
        <v>0</v>
      </c>
      <c r="E32" s="1349">
        <f>RECO!M23</f>
        <v>52.098999999999997</v>
      </c>
      <c r="F32" s="10" cm="1">
        <f t="array" ref="F32">INDEX(DataEntry[E-E06],MATCH(1, ($B$32=DataEntry[S-U04])*($C32=DataEntry[S-U05])*("Tri 2"=DataEntry[S-U03]),0))</f>
        <v>0</v>
      </c>
      <c r="G32" s="519" t="s">
        <v>140</v>
      </c>
      <c r="H32" s="10" cm="1">
        <f t="array" ref="H32">INDEX(DataEntry[E-E07],MATCH(1, ($B$32=DataEntry[S-U04])*($C32=DataEntry[S-U05])*("Tri 2"=DataEntry[S-U03]),0))</f>
        <v>0</v>
      </c>
      <c r="I32" s="547" cm="1">
        <f t="array" ref="I32">INDEX(DataEntry[E-E13],MATCH(1, ($B$32=DataEntry[S-U04])*($C32=DataEntry[S-U05])*("Tri 2"=DataEntry[S-U03]),0))</f>
        <v>0</v>
      </c>
      <c r="J32" s="527" cm="1">
        <f t="array" ref="J32">INDEX(DataEntry[E-E03],MATCH(1, ($B$32=DataEntry[S-U04])*($C32=DataEntry[S-U05])*("Tri 2"=DataEntry[S-U03]),0))</f>
        <v>0</v>
      </c>
      <c r="K32" s="527" cm="1">
        <f t="array" ref="K32">INDEX(DataEntry[E-E08],MATCH(1, ($B$32=DataEntry[S-U04])*($C32=DataEntry[S-U05])*("Tri 2"=DataEntry[S-U03]),0))</f>
        <v>0</v>
      </c>
    </row>
    <row r="33" spans="2:11" ht="15" customHeight="1" thickBot="1">
      <c r="B33" s="1335"/>
      <c r="C33" s="522" t="s">
        <v>29</v>
      </c>
      <c r="D33" s="518" cm="1">
        <f t="array" ref="D33">INDEX(DataEntry[E-E02],MATCH(1, ($B$32=DataEntry[S-U04])*($C33=DataEntry[S-U05])*("Tri 2"=DataEntry[S-U03]),0))</f>
        <v>0</v>
      </c>
      <c r="E33" s="1354"/>
      <c r="F33" s="10" cm="1">
        <f t="array" ref="F33">INDEX(DataEntry[E-E06],MATCH(1, ($B$32=DataEntry[S-U04])*($C33=DataEntry[S-U05])*("Tri 2"=DataEntry[S-U03]),0))</f>
        <v>0</v>
      </c>
      <c r="G33" s="519" t="str">
        <f t="shared" ref="G33:G35" si="11">IFERROR(F33/E33, "N/A")</f>
        <v>N/A</v>
      </c>
      <c r="H33" s="10" cm="1">
        <f t="array" ref="H33">INDEX(DataEntry[E-E07],MATCH(1, ($B$32=DataEntry[S-U04])*($C33=DataEntry[S-U05])*("Tri 2"=DataEntry[S-U03]),0))</f>
        <v>0</v>
      </c>
      <c r="I33" s="547" cm="1">
        <f t="array" ref="I33">INDEX(DataEntry[E-E13],MATCH(1, ($B$32=DataEntry[S-U04])*($C33=DataEntry[S-U05])*("Tri 2"=DataEntry[S-U03]),0))</f>
        <v>0</v>
      </c>
      <c r="J33" s="38" cm="1">
        <f t="array" ref="J33">INDEX(DataEntry[E-E03],MATCH(1, ($B$32=DataEntry[S-U04])*($C33=DataEntry[S-U05])*("Tri 2"=DataEntry[S-U03]),0))</f>
        <v>0</v>
      </c>
      <c r="K33" s="38" cm="1">
        <f t="array" ref="K33">INDEX(DataEntry[E-E08],MATCH(1, ($B$32=DataEntry[S-U04])*($C33=DataEntry[S-U05])*("Tri 2"=DataEntry[S-U03]),0))</f>
        <v>0</v>
      </c>
    </row>
    <row r="34" spans="2:11" ht="15.65" customHeight="1" thickBot="1">
      <c r="B34" s="569" t="s">
        <v>229</v>
      </c>
      <c r="C34" s="568"/>
      <c r="D34" s="563">
        <f>SUM(D32:D33)</f>
        <v>0</v>
      </c>
      <c r="E34" s="564">
        <f>SUM(E32:E33)</f>
        <v>52.098999999999997</v>
      </c>
      <c r="F34" s="564">
        <f>SUM(F32:F33)</f>
        <v>0</v>
      </c>
      <c r="G34" s="1274">
        <f t="shared" si="11"/>
        <v>0</v>
      </c>
      <c r="H34" s="564">
        <f>SUM(H32:H33)</f>
        <v>0</v>
      </c>
      <c r="I34" s="566">
        <f>SUM(I32:I33)</f>
        <v>0</v>
      </c>
      <c r="J34" s="567">
        <f>SUM(J32:J33)</f>
        <v>0</v>
      </c>
      <c r="K34" s="567">
        <f>SUM(K32:K33)</f>
        <v>0</v>
      </c>
    </row>
    <row r="35" spans="2:11" ht="15" thickBot="1">
      <c r="B35" s="164" t="s">
        <v>230</v>
      </c>
      <c r="C35" s="570"/>
      <c r="D35" s="5">
        <f>SUM(D20,D29,D34)</f>
        <v>519.15300000000002</v>
      </c>
      <c r="E35" s="6">
        <f>SUM(E20,E29,E34)</f>
        <v>9210.1229999999996</v>
      </c>
      <c r="F35" s="545">
        <f>SUM(F20,F29,F34)</f>
        <v>519.15300000000002</v>
      </c>
      <c r="G35" s="1275">
        <f t="shared" si="11"/>
        <v>5.636765111606002E-2</v>
      </c>
      <c r="H35" s="545">
        <f>SUM(H20,H29,H34)</f>
        <v>537.0637784999999</v>
      </c>
      <c r="I35" s="554">
        <f>SUM(I20,I29,I34)</f>
        <v>1.6099999999999999E-3</v>
      </c>
      <c r="J35" s="558">
        <f>SUM(J20,J29,J34)</f>
        <v>610.995</v>
      </c>
      <c r="K35" s="558">
        <f>SUM(K20,K29,K34)</f>
        <v>610.995</v>
      </c>
    </row>
    <row r="36" spans="2:11" ht="15" thickBot="1">
      <c r="B36" s="571"/>
      <c r="C36" s="40"/>
      <c r="D36" s="559"/>
      <c r="E36" s="523"/>
      <c r="F36" s="523"/>
      <c r="G36" s="524"/>
      <c r="H36" s="523"/>
      <c r="I36" s="525"/>
      <c r="J36" s="550"/>
      <c r="K36" s="550"/>
    </row>
    <row r="37" spans="2:11">
      <c r="B37" s="1355" t="s">
        <v>984</v>
      </c>
      <c r="C37" s="522" t="s">
        <v>985</v>
      </c>
      <c r="D37" s="518" t="e" cm="1">
        <f t="array" ref="D37">INDEX(DataEntry[E-E02],MATCH(1, ($B$32=DataEntry[S-U04])*($C37=DataEntry[S-U05])*("Tri 2"=DataEntry[S-U03]),0))</f>
        <v>#N/A</v>
      </c>
      <c r="E37" s="1349" t="e" cm="1">
        <f t="array" ref="E37">INDEX(DataEntry[E-E01],MATCH(1, ($B$32=DataEntry[S-U04])*($C37=DataEntry[S-U05])*("Tri 2"=DataEntry[S-U03]),0))</f>
        <v>#N/A</v>
      </c>
      <c r="F37" s="10" t="e" cm="1">
        <f t="array" ref="F37">INDEX(DataEntry[E-E06],MATCH(1, ($B$32=DataEntry[S-U04])*($C37=DataEntry[S-U05])*("Tri 2"=DataEntry[S-U03]),0))</f>
        <v>#N/A</v>
      </c>
      <c r="G37" s="519" t="s">
        <v>140</v>
      </c>
      <c r="H37" s="10" t="e" cm="1">
        <f t="array" ref="H37">INDEX(DataEntry[E-E07],MATCH(1, ($B$32=DataEntry[S-U04])*($C37=DataEntry[S-U05])*("Tri 2"=DataEntry[S-U03]),0))</f>
        <v>#N/A</v>
      </c>
      <c r="I37" s="547" t="e" cm="1">
        <f t="array" ref="I37">INDEX(DataEntry[E-E13],MATCH(1, ($B$32=DataEntry[S-U04])*($C37=DataEntry[S-U05])*("Tri 2"=DataEntry[S-U03]),0))</f>
        <v>#N/A</v>
      </c>
      <c r="J37" s="527" t="e" cm="1">
        <f t="array" ref="J37">INDEX(DataEntry[E-E03],MATCH(1, ($B$32=DataEntry[S-U04])*($C37=DataEntry[S-U05])*("Tri 2"=DataEntry[S-U03]),0))</f>
        <v>#N/A</v>
      </c>
      <c r="K37" s="527" t="e" cm="1">
        <f t="array" ref="K37">INDEX(DataEntry[E-E08],MATCH(1, ($B$32=DataEntry[S-U04])*($C37=DataEntry[S-U05])*("Tri 2"=DataEntry[S-U03]),0))</f>
        <v>#N/A</v>
      </c>
    </row>
    <row r="38" spans="2:11" ht="15" thickBot="1">
      <c r="B38" s="1356"/>
      <c r="C38" s="522" t="s">
        <v>132</v>
      </c>
      <c r="D38" s="518" t="e" cm="1">
        <f t="array" ref="D38">INDEX(DataEntry[E-E02],MATCH(1, ($B$32=DataEntry[S-U04])*($C38=DataEntry[S-U05])*("Tri 2"=DataEntry[S-U03]),0))</f>
        <v>#N/A</v>
      </c>
      <c r="E38" s="1354"/>
      <c r="F38" s="10" t="e" cm="1">
        <f t="array" ref="F38">INDEX(DataEntry[E-E06],MATCH(1, ($B$32=DataEntry[S-U04])*($C38=DataEntry[S-U05])*("Tri 2"=DataEntry[S-U03]),0))</f>
        <v>#N/A</v>
      </c>
      <c r="G38" s="519" t="str">
        <f t="shared" ref="G38" si="12">IFERROR(F38/E38, "N/A")</f>
        <v>N/A</v>
      </c>
      <c r="H38" s="10" t="e" cm="1">
        <f t="array" ref="H38">INDEX(DataEntry[E-E07],MATCH(1, ($B$32=DataEntry[S-U04])*($C38=DataEntry[S-U05])*("Tri 2"=DataEntry[S-U03]),0))</f>
        <v>#N/A</v>
      </c>
      <c r="I38" s="547" t="e" cm="1">
        <f t="array" ref="I38">INDEX(DataEntry[E-E13],MATCH(1, ($B$32=DataEntry[S-U04])*($C38=DataEntry[S-U05])*("Tri 2"=DataEntry[S-U03]),0))</f>
        <v>#N/A</v>
      </c>
      <c r="J38" s="38" t="e" cm="1">
        <f t="array" ref="J38">INDEX(DataEntry[E-E03],MATCH(1, ($B$32=DataEntry[S-U04])*($C38=DataEntry[S-U05])*("Tri 2"=DataEntry[S-U03]),0))</f>
        <v>#N/A</v>
      </c>
      <c r="K38" s="38" t="e" cm="1">
        <f t="array" ref="K38">INDEX(DataEntry[E-E08],MATCH(1, ($B$32=DataEntry[S-U04])*($C38=DataEntry[S-U05])*("Tri 2"=DataEntry[S-U03]),0))</f>
        <v>#N/A</v>
      </c>
    </row>
    <row r="39" spans="2:11" ht="29.5" thickBot="1">
      <c r="B39" s="1008" t="s">
        <v>986</v>
      </c>
      <c r="C39" s="1005" t="s">
        <v>91</v>
      </c>
      <c r="D39" s="1043">
        <f>RECO!N26</f>
        <v>13.641</v>
      </c>
      <c r="E39" s="555">
        <f>RECO!M26</f>
        <v>15.916</v>
      </c>
      <c r="F39" s="359">
        <f>RECO!R26</f>
        <v>13.641</v>
      </c>
      <c r="G39" s="1273">
        <f t="shared" ref="G39" si="13">IFERROR(F39/E39, "N/A")</f>
        <v>0.85706207589846695</v>
      </c>
      <c r="H39" s="359">
        <f>[1]RECO!S26</f>
        <v>14.1116145</v>
      </c>
      <c r="I39" s="1276">
        <f>[1]RECO!Y26</f>
        <v>2E-3</v>
      </c>
      <c r="J39" s="359">
        <f>[1]RECO!O26</f>
        <v>205.601</v>
      </c>
      <c r="K39" s="359">
        <f>[1]RECO!T26</f>
        <v>205.601</v>
      </c>
    </row>
    <row r="40" spans="2:11" ht="17" thickBot="1">
      <c r="B40" s="36" t="s">
        <v>233</v>
      </c>
      <c r="C40" s="39"/>
      <c r="D40" s="5">
        <f>SUM(D34,D29,D20,D39)</f>
        <v>532.79399999999998</v>
      </c>
      <c r="E40" s="6">
        <f>SUM(E34,E29,E20,E39)</f>
        <v>9226.0389999999989</v>
      </c>
      <c r="F40" s="545">
        <f>SUM(F34,F29,F20,F39)</f>
        <v>532.79399999999998</v>
      </c>
      <c r="G40" s="1269">
        <f>IFERROR(F40/E40, "N/A")</f>
        <v>5.7748942964581017E-2</v>
      </c>
      <c r="H40" s="545">
        <f>SUM(H34,H29,H20,H39)</f>
        <v>551.17539299999987</v>
      </c>
      <c r="I40" s="1277">
        <f>SUM(I34,I29,I20,I39)</f>
        <v>3.6099999999999999E-3</v>
      </c>
      <c r="J40" s="545">
        <f>SUM(J34,J29,J20,J39)</f>
        <v>816.596</v>
      </c>
      <c r="K40" s="545">
        <f>SUM(K34,K29,K20,K39)</f>
        <v>816.596</v>
      </c>
    </row>
    <row r="43" spans="2:11">
      <c r="B43" s="50"/>
    </row>
    <row r="44" spans="2:11" ht="16.5">
      <c r="B44" s="41" t="s">
        <v>234</v>
      </c>
      <c r="C44" s="42"/>
      <c r="D44" s="43"/>
      <c r="E44" s="44"/>
      <c r="H44">
        <v>9</v>
      </c>
    </row>
    <row r="45" spans="2:11" ht="16.5">
      <c r="B45" s="45" t="s">
        <v>235</v>
      </c>
      <c r="C45" s="46"/>
      <c r="D45" s="47"/>
      <c r="E45" s="47"/>
    </row>
    <row r="46" spans="2:11" ht="16.5">
      <c r="B46" s="48" t="s">
        <v>236</v>
      </c>
      <c r="C46" s="48"/>
      <c r="D46" s="49"/>
      <c r="E46" s="49"/>
    </row>
    <row r="47" spans="2:11" ht="16.5">
      <c r="B47" s="48" t="s">
        <v>237</v>
      </c>
      <c r="C47" s="48"/>
      <c r="D47" s="49"/>
      <c r="E47" s="49"/>
    </row>
    <row r="48" spans="2:11" ht="16.5">
      <c r="B48" s="50" t="s">
        <v>238</v>
      </c>
      <c r="C48" s="316"/>
      <c r="D48" s="51"/>
      <c r="E48" s="51"/>
    </row>
    <row r="49" spans="2:7" ht="17.5">
      <c r="B49" s="800" t="s">
        <v>239</v>
      </c>
      <c r="D49" s="52"/>
      <c r="E49" s="52"/>
      <c r="G49" s="324"/>
    </row>
    <row r="50" spans="2:7">
      <c r="B50" s="218" t="s">
        <v>240</v>
      </c>
    </row>
  </sheetData>
  <mergeCells count="14">
    <mergeCell ref="B37:B38"/>
    <mergeCell ref="E37:E38"/>
    <mergeCell ref="D3:K3"/>
    <mergeCell ref="B7:B12"/>
    <mergeCell ref="B3:C5"/>
    <mergeCell ref="B13:B15"/>
    <mergeCell ref="B32:B33"/>
    <mergeCell ref="B16:B18"/>
    <mergeCell ref="B24:B27"/>
    <mergeCell ref="E7:E11"/>
    <mergeCell ref="E13:E14"/>
    <mergeCell ref="E16:E17"/>
    <mergeCell ref="E24:E26"/>
    <mergeCell ref="E32:E33"/>
  </mergeCells>
  <pageMargins left="0.7" right="0.7" top="0.75" bottom="0.75" header="0.3" footer="0.3"/>
  <headerFooter>
    <oddFooter>&amp;C_x000D_&amp;1#&amp;"Calibri"&amp;22&amp;K0073CF 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8CB7C-1900-4304-BD80-89CCFD65195F}">
  <sheetPr>
    <tabColor rgb="FFFFFF00"/>
  </sheetPr>
  <dimension ref="B2:M48"/>
  <sheetViews>
    <sheetView zoomScale="110" zoomScaleNormal="110" workbookViewId="0">
      <pane xSplit="3" ySplit="5" topLeftCell="H25" activePane="bottomRight" state="frozen"/>
      <selection pane="topRight" activeCell="D1" sqref="D1"/>
      <selection pane="bottomLeft" activeCell="A6" sqref="A6"/>
      <selection pane="bottomRight" activeCell="N36" sqref="N36"/>
    </sheetView>
  </sheetViews>
  <sheetFormatPr defaultRowHeight="14.5"/>
  <cols>
    <col min="1" max="1" width="3.26953125" customWidth="1"/>
    <col min="2" max="2" width="23.81640625" customWidth="1"/>
    <col min="3" max="3" width="42" bestFit="1" customWidth="1"/>
    <col min="4" max="13" width="11.81640625" customWidth="1"/>
  </cols>
  <sheetData>
    <row r="2" spans="2:13" ht="15" thickBot="1">
      <c r="B2" s="218"/>
      <c r="C2" s="218"/>
    </row>
    <row r="3" spans="2:13" ht="15" thickBot="1">
      <c r="B3" s="1338" t="s">
        <v>191</v>
      </c>
      <c r="C3" s="1339"/>
      <c r="D3" s="1344" t="s">
        <v>192</v>
      </c>
      <c r="E3" s="1345"/>
      <c r="F3" s="1345"/>
      <c r="G3" s="1346"/>
      <c r="H3" s="1327" t="s">
        <v>193</v>
      </c>
      <c r="I3" s="1327"/>
      <c r="J3" s="1327"/>
      <c r="K3" s="1327"/>
      <c r="L3" s="1327"/>
      <c r="M3" s="1328"/>
    </row>
    <row r="4" spans="2:13">
      <c r="B4" s="1340"/>
      <c r="C4" s="1341"/>
      <c r="D4" s="871" t="s">
        <v>194</v>
      </c>
      <c r="E4" s="872" t="s">
        <v>195</v>
      </c>
      <c r="F4" s="872" t="s">
        <v>196</v>
      </c>
      <c r="G4" s="873" t="s">
        <v>197</v>
      </c>
      <c r="H4" s="874" t="s">
        <v>242</v>
      </c>
      <c r="I4" s="927" t="s">
        <v>198</v>
      </c>
      <c r="J4" s="875" t="s">
        <v>199</v>
      </c>
      <c r="K4" s="875" t="s">
        <v>200</v>
      </c>
      <c r="L4" s="932" t="s">
        <v>414</v>
      </c>
      <c r="M4" s="923" t="s">
        <v>920</v>
      </c>
    </row>
    <row r="5" spans="2:13" ht="73" customHeight="1" thickBot="1">
      <c r="B5" s="1342"/>
      <c r="C5" s="1343"/>
      <c r="D5" s="876" t="s">
        <v>54</v>
      </c>
      <c r="E5" s="1" t="s">
        <v>206</v>
      </c>
      <c r="F5" s="1" t="s">
        <v>207</v>
      </c>
      <c r="G5" s="877" t="s">
        <v>208</v>
      </c>
      <c r="H5" s="878" t="s">
        <v>209</v>
      </c>
      <c r="I5" s="878" t="s">
        <v>885</v>
      </c>
      <c r="J5" s="879" t="s">
        <v>210</v>
      </c>
      <c r="K5" s="879" t="s">
        <v>211</v>
      </c>
      <c r="L5" s="878" t="s">
        <v>877</v>
      </c>
      <c r="M5" s="924" t="s">
        <v>212</v>
      </c>
    </row>
    <row r="6" spans="2:13" ht="17" thickBot="1">
      <c r="B6" s="164" t="s">
        <v>220</v>
      </c>
      <c r="C6" s="4" t="s">
        <v>221</v>
      </c>
      <c r="D6" s="545"/>
      <c r="E6" s="545"/>
      <c r="F6" s="545"/>
      <c r="G6" s="545"/>
      <c r="H6" s="545"/>
      <c r="I6" s="545"/>
      <c r="J6" s="545"/>
      <c r="K6" s="545"/>
      <c r="L6" s="556"/>
      <c r="M6" s="556"/>
    </row>
    <row r="7" spans="2:13">
      <c r="B7" s="1329" t="s">
        <v>4</v>
      </c>
      <c r="C7" s="612" t="s">
        <v>5</v>
      </c>
      <c r="D7" s="7" cm="1">
        <f t="array" ref="D7">INDEX(DataEntry[S-P02],MATCH(1, (DataEntry[S-U03]="Tri 2") * ($B$7=DataEntry[S-U04])*($C7=DataEntry[S-U05]),0))</f>
        <v>4</v>
      </c>
      <c r="E7" s="1349">
        <f>RECO!F10</f>
        <v>5131</v>
      </c>
      <c r="F7" s="9" cm="1">
        <f t="array" ref="F7">INDEX(DataEntry[S-P04],MATCH(1, (DataEntry[S-U03]="Tri 2") * ($B$7=DataEntry[S-U04])*($C7=DataEntry[S-U05]),0))</f>
        <v>4</v>
      </c>
      <c r="G7" s="945" t="s">
        <v>140</v>
      </c>
      <c r="H7" s="961" cm="1">
        <f t="array" ref="H7">INDEX(DataEntry[S-B02],MATCH(1, (DataEntry[S-U03]="Tri 2") * ($B$7=DataEntry[S-U04])*($C7=DataEntry[S-U05]),0))</f>
        <v>10768.49</v>
      </c>
      <c r="I7" s="921" t="s">
        <v>140</v>
      </c>
      <c r="J7" s="1440">
        <f>RECO!AL10</f>
        <v>1465209</v>
      </c>
      <c r="K7" s="919" cm="1">
        <f t="array" ref="K7">INDEX(DataEntry[S-B04],MATCH(1, (DataEntry[S-U03]="Tri 2") * ($B$7=DataEntry[S-U04])*($C7=DataEntry[S-U05]),0))</f>
        <v>10768.49</v>
      </c>
      <c r="L7" s="921" t="s">
        <v>140</v>
      </c>
      <c r="M7" s="952" t="s">
        <v>140</v>
      </c>
    </row>
    <row r="8" spans="2:13">
      <c r="B8" s="1329"/>
      <c r="C8" s="442" t="s">
        <v>153</v>
      </c>
      <c r="D8" s="7" cm="1">
        <f t="array" ref="D8">INDEX(DataEntry[S-P02],MATCH(1, (DataEntry[S-U03]="Tri 2") * ($B$7=DataEntry[S-U04])*($C8=DataEntry[S-U05]),0))</f>
        <v>5</v>
      </c>
      <c r="E8" s="1350"/>
      <c r="F8" s="23" cm="1">
        <f t="array" ref="F8">INDEX(DataEntry[S-P04],MATCH(1, (DataEntry[S-U03]="Tri 2") * ($B$7=DataEntry[S-U04])*($C8=DataEntry[S-U05]),0))</f>
        <v>5</v>
      </c>
      <c r="G8" s="946" t="str">
        <f t="shared" ref="G8:G16" si="0">IFERROR(F8/E8, "N/A")</f>
        <v>N/A</v>
      </c>
      <c r="H8" s="883" cm="1">
        <f t="array" ref="H8">INDEX(DataEntry[S-B02],MATCH(1, (DataEntry[S-U03]="Tri 2") * ($B$7=DataEntry[S-U04])*($C8=DataEntry[S-U05]),0))</f>
        <v>21409.68</v>
      </c>
      <c r="I8" s="922" t="s">
        <v>140</v>
      </c>
      <c r="J8" s="1441"/>
      <c r="K8" s="882" cm="1">
        <f t="array" ref="K8">INDEX(DataEntry[S-B04],MATCH(1, (DataEntry[S-U03]="Tri 2") * ($B$7=DataEntry[S-U04])*($C8=DataEntry[S-U05]),0))</f>
        <v>21409.68</v>
      </c>
      <c r="L8" s="922" t="s">
        <v>140</v>
      </c>
      <c r="M8" s="953" t="s">
        <v>140</v>
      </c>
    </row>
    <row r="9" spans="2:13">
      <c r="B9" s="1329"/>
      <c r="C9" s="443" t="s">
        <v>626</v>
      </c>
      <c r="D9" s="7" cm="1">
        <f t="array" ref="D9">INDEX(DataEntry[S-P02],MATCH(1, (DataEntry[S-U03]="Tri 2") * ($B$7=DataEntry[S-U04])*($C9=DataEntry[S-U05]),0))</f>
        <v>0</v>
      </c>
      <c r="E9" s="1350"/>
      <c r="F9" s="23" cm="1">
        <f t="array" ref="F9">INDEX(DataEntry[S-P04],MATCH(1, (DataEntry[S-U03]="Tri 2") * ($B$7=DataEntry[S-U04])*($C9=DataEntry[S-U05]),0))</f>
        <v>0</v>
      </c>
      <c r="G9" s="946" t="str">
        <f t="shared" si="0"/>
        <v>N/A</v>
      </c>
      <c r="H9" s="883" cm="1">
        <f t="array" ref="H9">INDEX(DataEntry[S-B02],MATCH(1, (DataEntry[S-U03]="Tri 2") * ($B$7=DataEntry[S-U04])*($C9=DataEntry[S-U05]),0))</f>
        <v>0</v>
      </c>
      <c r="I9" s="922" t="s">
        <v>140</v>
      </c>
      <c r="J9" s="1441"/>
      <c r="K9" s="882" cm="1">
        <f t="array" ref="K9">INDEX(DataEntry[S-B04],MATCH(1, (DataEntry[S-U03]="Tri 2") * ($B$7=DataEntry[S-U04])*($C9=DataEntry[S-U05]),0))</f>
        <v>0</v>
      </c>
      <c r="L9" s="922" t="s">
        <v>140</v>
      </c>
      <c r="M9" s="953" t="s">
        <v>140</v>
      </c>
    </row>
    <row r="10" spans="2:13" ht="17.25" customHeight="1">
      <c r="B10" s="1329"/>
      <c r="C10" s="444" t="s">
        <v>154</v>
      </c>
      <c r="D10" s="7" cm="1">
        <f t="array" ref="D10">INDEX(DataEntry[S-P02],MATCH(1, (DataEntry[S-U03]="Tri 2") * ($B$7=DataEntry[S-U04])*($C10=DataEntry[S-U05]),0))</f>
        <v>65</v>
      </c>
      <c r="E10" s="1350"/>
      <c r="F10" s="23" cm="1">
        <f t="array" ref="F10">INDEX(DataEntry[S-P04],MATCH(1, (DataEntry[S-U03]="Tri 2") * ($B$7=DataEntry[S-U04])*($C10=DataEntry[S-U05]),0))</f>
        <v>65</v>
      </c>
      <c r="G10" s="946" t="str">
        <f t="shared" si="0"/>
        <v>N/A</v>
      </c>
      <c r="H10" s="883" cm="1">
        <f t="array" ref="H10">INDEX(DataEntry[S-B02],MATCH(1, (DataEntry[S-U03]="Tri 2") * ($B$7=DataEntry[S-U04])*($C10=DataEntry[S-U05]),0))</f>
        <v>9978.19</v>
      </c>
      <c r="I10" s="922" t="s">
        <v>140</v>
      </c>
      <c r="J10" s="1441"/>
      <c r="K10" s="882" cm="1">
        <f t="array" ref="K10">INDEX(DataEntry[S-B04],MATCH(1, (DataEntry[S-U03]="Tri 2") * ($B$7=DataEntry[S-U04])*($C10=DataEntry[S-U05]),0))</f>
        <v>9978.19</v>
      </c>
      <c r="L10" s="922" t="s">
        <v>140</v>
      </c>
      <c r="M10" s="953" t="s">
        <v>140</v>
      </c>
    </row>
    <row r="11" spans="2:13">
      <c r="B11" s="1329"/>
      <c r="C11" s="444" t="s">
        <v>962</v>
      </c>
      <c r="D11" s="7" cm="1">
        <f t="array" ref="D11">INDEX(DataEntry[S-P02],MATCH(1, (DataEntry[S-U03]="Tri 2") * ($B$7=DataEntry[S-U04])*($C11=DataEntry[S-U05]),0))</f>
        <v>0</v>
      </c>
      <c r="E11" s="1351"/>
      <c r="F11" s="23" cm="1">
        <f t="array" ref="F11">INDEX(DataEntry[S-P04],MATCH(1, (DataEntry[S-U03]="Tri 2") * ($B$7=DataEntry[S-U04])*($C11=DataEntry[S-U05]),0))</f>
        <v>0</v>
      </c>
      <c r="G11" s="946" t="str">
        <f t="shared" si="0"/>
        <v>N/A</v>
      </c>
      <c r="H11" s="883" cm="1">
        <f t="array" ref="H11">INDEX(DataEntry[S-B02],MATCH(1, (DataEntry[S-U03]="Tri 2") * ($B$7=DataEntry[S-U04])*($C11=DataEntry[S-U05]),0))</f>
        <v>2790.9</v>
      </c>
      <c r="I11" s="922" t="s">
        <v>140</v>
      </c>
      <c r="J11" s="1442"/>
      <c r="K11" s="882" cm="1">
        <f t="array" ref="K11">INDEX(DataEntry[S-B04],MATCH(1, (DataEntry[S-U03]="Tri 2") * ($B$7=DataEntry[S-U04])*($C11=DataEntry[S-U05]),0))</f>
        <v>2790.9</v>
      </c>
      <c r="L11" s="922" t="s">
        <v>140</v>
      </c>
      <c r="M11" s="953" t="s">
        <v>140</v>
      </c>
    </row>
    <row r="12" spans="2:13" ht="15" thickBot="1">
      <c r="B12" s="1330"/>
      <c r="C12" s="445" t="s">
        <v>222</v>
      </c>
      <c r="D12" s="19">
        <f>SUM(D7:D11)</f>
        <v>74</v>
      </c>
      <c r="E12" s="19">
        <f>SUM(E7:E11)</f>
        <v>5131</v>
      </c>
      <c r="F12" s="19">
        <f>SUM(F7:F11)</f>
        <v>74</v>
      </c>
      <c r="G12" s="947">
        <f t="shared" si="0"/>
        <v>1.4422139933736113E-2</v>
      </c>
      <c r="H12" s="1014">
        <f>SUM(H7:H11)</f>
        <v>44947.26</v>
      </c>
      <c r="I12" s="1004" t="s">
        <v>140</v>
      </c>
      <c r="J12" s="1015">
        <f>SUM(J7:J11)</f>
        <v>1465209</v>
      </c>
      <c r="K12" s="1015">
        <f>SUM(K7:K11)</f>
        <v>44947.26</v>
      </c>
      <c r="L12" s="1004"/>
      <c r="M12" s="1013">
        <f>IFERROR((K12+L12)/J12, "N/A")</f>
        <v>3.0676347196884543E-2</v>
      </c>
    </row>
    <row r="13" spans="2:13">
      <c r="B13" s="1331" t="s">
        <v>129</v>
      </c>
      <c r="C13" s="441" t="s">
        <v>155</v>
      </c>
      <c r="D13" s="7" cm="1">
        <f t="array" ref="D13">INDEX(DataEntry[S-P02],MATCH(1, (DataEntry[S-U03]="Tri 2") * ($B$13=DataEntry[S-U04])*($C13=DataEntry[S-U05]),0))</f>
        <v>0</v>
      </c>
      <c r="E13" s="1352" cm="1">
        <f t="array" ref="E13">INDEX(DataEntry[S-P01],MATCH(1, (DataEntry[S-U03]="Tri 2") * ($B$13=DataEntry[S-U04])*($C13=DataEntry[S-U05]),0))</f>
        <v>170</v>
      </c>
      <c r="F13" s="23" cm="1">
        <f t="array" ref="F13">INDEX(DataEntry[S-P04],MATCH(1, (DataEntry[S-U03]="Tri 2") * ($B$13=DataEntry[S-U04])*($C13=DataEntry[S-U05]),0))</f>
        <v>0</v>
      </c>
      <c r="G13" s="948" t="s">
        <v>140</v>
      </c>
      <c r="H13" s="886" cm="1">
        <f t="array" ref="H13">INDEX(DataEntry[S-B02],MATCH(1, (DataEntry[S-U03]="Tri 2") * ($B$13=DataEntry[S-U04])*($C13=DataEntry[S-U05]),0))</f>
        <v>8267.5</v>
      </c>
      <c r="I13" s="1012" t="s">
        <v>140</v>
      </c>
      <c r="J13" s="1357" cm="1">
        <f t="array" ref="J13">INDEX(DataEntry[S-B01],MATCH(1, (DataEntry[S-U03]="Tri 2") * ($B$13=DataEntry[S-U04])*($C13=DataEntry[S-U05]),0))</f>
        <v>976574</v>
      </c>
      <c r="K13" s="887" cm="1">
        <f t="array" ref="K13">INDEX(DataEntry[S-B04],MATCH(1, (DataEntry[S-U03]="Tri 2") * ($B$13=DataEntry[S-U04])*($C13=DataEntry[S-U05]),0))</f>
        <v>8267.5</v>
      </c>
      <c r="L13" s="1012" t="s">
        <v>140</v>
      </c>
      <c r="M13" s="1011">
        <f>IFERROR((K13)/J13, "N/A")</f>
        <v>8.4658203065000708E-3</v>
      </c>
    </row>
    <row r="14" spans="2:13">
      <c r="B14" s="1332"/>
      <c r="C14" s="612" t="s">
        <v>19</v>
      </c>
      <c r="D14" s="7" cm="1">
        <f t="array" ref="D14">INDEX(DataEntry[S-P02],MATCH(1, (DataEntry[S-U03]="Tri 2") * ($B$13=DataEntry[S-U04])*($C14=DataEntry[S-U05]),0))</f>
        <v>18</v>
      </c>
      <c r="E14" s="1353"/>
      <c r="F14" s="23" cm="1">
        <f t="array" ref="F14">INDEX(DataEntry[S-P04],MATCH(1, (DataEntry[S-U03]="Tri 2") * ($B$13=DataEntry[S-U04])*($C14=DataEntry[S-U05]),0))</f>
        <v>18</v>
      </c>
      <c r="G14" s="949" t="str">
        <f t="shared" si="0"/>
        <v>N/A</v>
      </c>
      <c r="H14" s="888" cm="1">
        <f t="array" ref="H14">INDEX(DataEntry[S-B02],MATCH(1, (DataEntry[S-U03]="Tri 2") * ($B$13=DataEntry[S-U04])*($C14=DataEntry[S-U05]),0))</f>
        <v>46544.7</v>
      </c>
      <c r="I14" s="922" t="s">
        <v>140</v>
      </c>
      <c r="J14" s="1358"/>
      <c r="K14" s="882" cm="1">
        <f t="array" ref="K14">INDEX(DataEntry[S-B04],MATCH(1, (DataEntry[S-U03]="Tri 2") * ($B$13=DataEntry[S-U04])*($C14=DataEntry[S-U05]),0))</f>
        <v>46544.7</v>
      </c>
      <c r="L14" s="922" t="s">
        <v>140</v>
      </c>
      <c r="M14" s="948" t="str">
        <f>IFERROR((K14)/J14, "N/A")</f>
        <v>N/A</v>
      </c>
    </row>
    <row r="15" spans="2:13" ht="15" thickBot="1">
      <c r="B15" s="1333"/>
      <c r="C15" s="1009" t="s">
        <v>878</v>
      </c>
      <c r="D15" s="540">
        <f>SUM(D13:D14)</f>
        <v>18</v>
      </c>
      <c r="E15" s="540">
        <f>SUM(E13:E14)</f>
        <v>170</v>
      </c>
      <c r="F15" s="540">
        <f>SUM(F13:F14)</f>
        <v>18</v>
      </c>
      <c r="G15" s="1013">
        <f t="shared" si="0"/>
        <v>0.10588235294117647</v>
      </c>
      <c r="H15" s="884">
        <f>SUM(H13:H14)</f>
        <v>54812.2</v>
      </c>
      <c r="I15" s="944" t="s">
        <v>140</v>
      </c>
      <c r="J15" s="885">
        <f>SUM(J13:J14)</f>
        <v>976574</v>
      </c>
      <c r="K15" s="885">
        <f>SUM(K13:K14)</f>
        <v>54812.2</v>
      </c>
      <c r="L15" s="944"/>
      <c r="M15" s="947">
        <f>IFERROR((K15+L15)/J15, "N/A")</f>
        <v>5.6127031848072953E-2</v>
      </c>
    </row>
    <row r="16" spans="2:13">
      <c r="B16" s="1336" t="s">
        <v>130</v>
      </c>
      <c r="C16" s="441" t="s">
        <v>156</v>
      </c>
      <c r="D16" s="27" cm="1">
        <f t="array" ref="D16">INDEX(DataEntry[S-P02],MATCH(1, (DataEntry[S-U03]="Tri 2") * ($B$16=DataEntry[S-U04])*($C16=DataEntry[S-U05]),0))</f>
        <v>0</v>
      </c>
      <c r="E16" s="1352" cm="1">
        <f t="array" ref="E16">INDEX(DataEntry[S-P01],MATCH(1, (DataEntry[S-U03]="Tri 2") * ($B$16=DataEntry[S-U04])*($C16=DataEntry[S-U05]),0))</f>
        <v>132</v>
      </c>
      <c r="F16" s="28" cm="1">
        <f t="array" ref="F16">INDEX(DataEntry[S-P04],MATCH(1, (DataEntry[S-U03]="Tri 2") * ($B$16=DataEntry[S-U04])*($C16=DataEntry[S-U05]),0))</f>
        <v>0</v>
      </c>
      <c r="G16" s="1096">
        <f t="shared" si="0"/>
        <v>0</v>
      </c>
      <c r="H16" s="880" cm="1">
        <f t="array" ref="H16">INDEX(DataEntry[S-B02],MATCH(1, (DataEntry[S-U03]="Tri 2") * ($B$16=DataEntry[S-U04])*($C16=DataEntry[S-U05]),0))</f>
        <v>2625.25</v>
      </c>
      <c r="I16" s="1012" t="s">
        <v>140</v>
      </c>
      <c r="J16" s="1357" cm="1">
        <f t="array" ref="J16">INDEX(DataEntry[S-B01],MATCH(1, (DataEntry[S-U03]="Tri 2") * ($B$16=DataEntry[S-U04])*($C16=DataEntry[S-U05]),0))</f>
        <v>1056306</v>
      </c>
      <c r="K16" s="881" cm="1">
        <f t="array" ref="K16">INDEX(DataEntry[S-B04],MATCH(1, (DataEntry[S-U03]="Tri 2") * ($B$16=DataEntry[S-U04])*($C16=DataEntry[S-U05]),0))</f>
        <v>2625.25</v>
      </c>
      <c r="L16" s="1012" t="s">
        <v>140</v>
      </c>
      <c r="M16" s="1016">
        <f>IFERROR((K16)/J16, "N/A")</f>
        <v>2.4853120213271535E-3</v>
      </c>
    </row>
    <row r="17" spans="2:13">
      <c r="B17" s="1337"/>
      <c r="C17" s="446" t="s">
        <v>154</v>
      </c>
      <c r="D17" s="808" cm="1">
        <f t="array" ref="D17">INDEX(DataEntry[S-P02],MATCH(1, (DataEntry[S-U03]="Tri 2") * ($B$16=DataEntry[S-U04])*($C17=DataEntry[S-U05]),0))</f>
        <v>0</v>
      </c>
      <c r="E17" s="1353"/>
      <c r="F17" s="23" cm="1">
        <f t="array" ref="F17">INDEX(DataEntry[S-P04],MATCH(1, (DataEntry[S-U03]="Tri 2") * ($B$16=DataEntry[S-U04])*($C17=DataEntry[S-U05]),0))</f>
        <v>0</v>
      </c>
      <c r="G17" s="1097" t="str">
        <f t="shared" ref="G17:G18" si="1">IFERROR(F17/E17, "N/A")</f>
        <v>N/A</v>
      </c>
      <c r="H17" s="1098" cm="1">
        <f t="array" ref="H17">INDEX(DataEntry[S-B02],MATCH(1, (DataEntry[S-U03]="Tri 2") * ($B$16=DataEntry[S-U04])*($C17=DataEntry[S-U05]),0))</f>
        <v>5480.43</v>
      </c>
      <c r="I17" s="922" t="s">
        <v>140</v>
      </c>
      <c r="J17" s="1358"/>
      <c r="K17" s="882" cm="1">
        <f t="array" ref="K17">INDEX(DataEntry[S-B04],MATCH(1, (DataEntry[S-U03]="Tri 2") * ($B$16=DataEntry[S-U04])*($C17=DataEntry[S-U05]),0))</f>
        <v>5480.43</v>
      </c>
      <c r="L17" s="922" t="s">
        <v>140</v>
      </c>
      <c r="M17" s="1017" t="str">
        <f>IFERROR((K17)/J17, "N/A")</f>
        <v>N/A</v>
      </c>
    </row>
    <row r="18" spans="2:13" ht="15" thickBot="1">
      <c r="B18" s="1337"/>
      <c r="C18" s="476" t="s">
        <v>970</v>
      </c>
      <c r="D18" s="1031">
        <f>SUM(D16:D17)</f>
        <v>0</v>
      </c>
      <c r="E18" s="19">
        <f>SUM(E16:E17)</f>
        <v>132</v>
      </c>
      <c r="F18" s="19">
        <f>SUM(F16:F17)</f>
        <v>0</v>
      </c>
      <c r="G18" s="950">
        <f t="shared" si="1"/>
        <v>0</v>
      </c>
      <c r="H18" s="884">
        <f>SUM(H16:H17)</f>
        <v>8105.68</v>
      </c>
      <c r="I18" s="944" t="s">
        <v>140</v>
      </c>
      <c r="J18" s="885">
        <f>SUM(J16:J17)</f>
        <v>1056306</v>
      </c>
      <c r="K18" s="885">
        <f>SUM(K16:K17)</f>
        <v>8105.68</v>
      </c>
      <c r="L18" s="944"/>
      <c r="M18" s="1032">
        <f>IFERROR((K18+L18)/J18, "N/A")</f>
        <v>7.673609730513696E-3</v>
      </c>
    </row>
    <row r="19" spans="2:13" ht="17.25" customHeight="1" thickBot="1">
      <c r="B19" s="964" t="s">
        <v>183</v>
      </c>
      <c r="C19" s="612" t="s">
        <v>183</v>
      </c>
      <c r="D19" s="7" cm="1">
        <f t="array" ref="D19">INDEX(DataEntry[S-P02],MATCH(1, (DataEntry[S-U03]="Tri 2") * ($B$19=DataEntry[S-U04])*($C19=DataEntry[S-U05]),0))</f>
        <v>31955</v>
      </c>
      <c r="E19" s="936" cm="1">
        <f t="array" ref="E19">INDEX(DataEntry[S-P01],MATCH(1, (DataEntry[S-U03]="Tri 2") * ($B$19=DataEntry[S-U04])*($C19=DataEntry[S-U05]),0))</f>
        <v>19320</v>
      </c>
      <c r="F19" s="9" cm="1">
        <f t="array" ref="F19">INDEX(DataEntry[S-P04],MATCH(1, (DataEntry[S-U03]="Tri 2") * ($B$19=DataEntry[S-U04])*($C19=DataEntry[S-U05]),0))</f>
        <v>31955</v>
      </c>
      <c r="G19" s="948">
        <f>IFERROR(F19/E19, "N/A")</f>
        <v>1.6539855072463767</v>
      </c>
      <c r="H19" s="918" cm="1">
        <f t="array" ref="H19">INDEX(DataEntry[S-B02],MATCH(1, (DataEntry[S-U03]="Tri 2") * ($B$19=DataEntry[S-U04])*($C19=DataEntry[S-U05]),0))</f>
        <v>8994.08</v>
      </c>
      <c r="I19" s="921" t="s">
        <v>140</v>
      </c>
      <c r="J19" s="1285" cm="1">
        <f t="array" ref="J19">INDEX(DataEntry[S-B01],MATCH(1, (DataEntry[S-U03]="Tri 2") * ($B$19=DataEntry[S-U04])*($C19=DataEntry[S-U05]),0))</f>
        <v>78235</v>
      </c>
      <c r="K19" s="919" cm="1">
        <f t="array" ref="K19">INDEX(DataEntry[S-B04],MATCH(1, (DataEntry[S-U03]="Tri 2") * ($B$19=DataEntry[S-U04])*($C19=DataEntry[S-U05]),0))</f>
        <v>8994.08</v>
      </c>
      <c r="L19" s="921"/>
      <c r="M19" s="1032">
        <f>IFERROR((K19+L19)/J19, "N/A")</f>
        <v>0.11496235700134211</v>
      </c>
    </row>
    <row r="20" spans="2:13" ht="17" thickBot="1">
      <c r="B20" s="477" t="s">
        <v>223</v>
      </c>
      <c r="C20" s="478"/>
      <c r="D20" s="889">
        <f>SUM(D12,D15,D18:D19)</f>
        <v>32047</v>
      </c>
      <c r="E20" s="889">
        <f t="shared" ref="E20:F20" si="2">SUM(E12,E15,E18:E19)</f>
        <v>24753</v>
      </c>
      <c r="F20" s="889">
        <f t="shared" si="2"/>
        <v>32047</v>
      </c>
      <c r="G20" s="951">
        <f t="shared" ref="G20" si="3">IFERROR(F20/E20, "N/A")</f>
        <v>1.2946713529673171</v>
      </c>
      <c r="H20" s="891">
        <f>SUM(H12,H15,H18:H19)</f>
        <v>116859.21999999999</v>
      </c>
      <c r="I20" s="906" cm="1">
        <f t="array" ref="I20">SUMPRODUCT(DataEntry[S-B03],(DataEntry[S-U03]="Tri 1") * (DataEntry[S-U02]="Residential") * (DataEntry[S-U05]&lt;&gt;""))</f>
        <v>0</v>
      </c>
      <c r="J20" s="892">
        <f>SUM(J12,J15,J18:J19)</f>
        <v>3576324</v>
      </c>
      <c r="K20" s="892">
        <f t="shared" ref="K20" si="4">SUM(K12,K15,K18:K19)</f>
        <v>116859.21999999999</v>
      </c>
      <c r="L20" s="929" cm="1">
        <f t="array" ref="L20">SUMPRODUCT(DataEntry[S-B05],(DataEntry[S-U03]="Tri 1") * (DataEntry[S-U02]="Residential") * (DataEntry[S-U05]&lt;&gt;""))</f>
        <v>0</v>
      </c>
      <c r="M20" s="1263">
        <f>(K20+L20)/J20</f>
        <v>3.2675792238063439E-2</v>
      </c>
    </row>
    <row r="21" spans="2:13" ht="15" thickBot="1">
      <c r="B21" s="447"/>
      <c r="C21" s="448"/>
      <c r="D21" s="893"/>
      <c r="E21" s="893"/>
      <c r="F21" s="893"/>
      <c r="G21" s="894"/>
      <c r="H21" s="895"/>
      <c r="I21" s="895"/>
      <c r="J21" s="895"/>
      <c r="K21" s="895"/>
      <c r="L21" s="895"/>
      <c r="M21" s="896"/>
    </row>
    <row r="22" spans="2:13" ht="17" thickBot="1">
      <c r="B22" s="861" t="s">
        <v>224</v>
      </c>
      <c r="C22" s="861" t="s">
        <v>225</v>
      </c>
      <c r="D22" s="4"/>
      <c r="E22" s="943"/>
      <c r="F22" s="943"/>
      <c r="G22" s="954"/>
      <c r="H22" s="938"/>
      <c r="I22" s="955"/>
      <c r="J22" s="956"/>
      <c r="K22" s="956"/>
      <c r="L22" s="937"/>
      <c r="M22" s="957"/>
    </row>
    <row r="23" spans="2:13" ht="15" thickBot="1">
      <c r="B23" s="1007" t="s">
        <v>27</v>
      </c>
      <c r="C23" s="963" t="s">
        <v>629</v>
      </c>
      <c r="D23" s="999" cm="1">
        <f t="array" ref="D23">INDEX(DataEntry[S-P02],MATCH(1, ($B23=DataEntry[S-U04])*($C23=DataEntry[S-U05])*("Tri 2"=DataEntry[S-U03]),0))</f>
        <v>0</v>
      </c>
      <c r="E23" s="1003" cm="1">
        <f t="array" ref="E23">INDEX(DataEntry[S-P01],MATCH(1, ($B23=DataEntry[S-U04])*($C23=DataEntry[S-U05])*("Tri 2"=DataEntry[S-U03]),0))</f>
        <v>68</v>
      </c>
      <c r="F23" s="1000" cm="1">
        <f t="array" ref="F23">INDEX(DataEntry[S-P04],MATCH(1, ($B23=DataEntry[S-U04])*($C23=DataEntry[S-U05])*("Tri 2"=DataEntry[S-U03]),0))</f>
        <v>0</v>
      </c>
      <c r="G23" s="1020">
        <f>IFERROR(F23/E23, "N/A")</f>
        <v>0</v>
      </c>
      <c r="H23" s="1001" cm="1">
        <f t="array" ref="H23">INDEX(DataEntry[S-B02],MATCH(1, ($B23=DataEntry[S-U04])*($C23=DataEntry[S-U05])*("Tri 2"=DataEntry[S-U03]),0))</f>
        <v>71105.279999999999</v>
      </c>
      <c r="I23" s="1021" t="s">
        <v>140</v>
      </c>
      <c r="J23" s="1002" cm="1">
        <f t="array" ref="J23">INDEX(DataEntry[S-B01],MATCH(1, ($B23=DataEntry[S-U04])*($C23=DataEntry[S-U05])*("Tri 2"=DataEntry[S-U03]),0))</f>
        <v>3611222</v>
      </c>
      <c r="K23" s="1002" cm="1">
        <f t="array" ref="K23">INDEX(DataEntry[S-B04],MATCH(1, ($B23=DataEntry[S-U04])*($C23=DataEntry[S-U05])*("Tri 2"=DataEntry[S-U03]),0))</f>
        <v>71105.279999999999</v>
      </c>
      <c r="L23" s="1021" t="s">
        <v>140</v>
      </c>
      <c r="M23" s="1201">
        <f t="shared" ref="M23:M28" si="5">IFERROR((K23)/J23, "N/A")</f>
        <v>1.9690088285904329E-2</v>
      </c>
    </row>
    <row r="24" spans="2:13" ht="15" customHeight="1">
      <c r="B24" s="1347" t="s">
        <v>29</v>
      </c>
      <c r="C24" s="441" t="s">
        <v>29</v>
      </c>
      <c r="D24" s="1010" cm="1">
        <f t="array" ref="D24">INDEX(DataEntry[S-P02],MATCH(1, ($B$24=DataEntry[S-U04])*($C24=DataEntry[S-U05])*("Tri 2"=DataEntry[S-U03]),0))</f>
        <v>0</v>
      </c>
      <c r="E24" s="1349" cm="1">
        <f t="array" ref="E24">INDEX(DataEntry[S-P01],MATCH(1, ($B$24=DataEntry[S-U04])*($C24=DataEntry[S-U05])*("Tri 2"=DataEntry[S-U03]),0))</f>
        <v>91</v>
      </c>
      <c r="F24" s="28" cm="1">
        <f t="array" ref="F24">INDEX(DataEntry[S-P04],MATCH(1, ($B$24=DataEntry[S-U04])*($C24=DataEntry[S-U05])*("Tri 2"=DataEntry[S-U03]),0))</f>
        <v>0</v>
      </c>
      <c r="G24" s="1028">
        <f t="shared" ref="G24:G29" si="6">IFERROR(F24/E24, "N/A")</f>
        <v>0</v>
      </c>
      <c r="H24" s="881" cm="1">
        <f t="array" ref="H24">INDEX(DataEntry[S-B02],MATCH(1, ($B$24=DataEntry[S-U04])*($C24=DataEntry[S-U05])*("Tri 2"=DataEntry[S-U03]),0))</f>
        <v>29836.43</v>
      </c>
      <c r="I24" s="1029" t="s">
        <v>140</v>
      </c>
      <c r="J24" s="1357" cm="1">
        <f t="array" ref="J24">INDEX(DataEntry[S-B01],MATCH(1, ($B$24=DataEntry[S-U04])*($C24=DataEntry[S-U05])*("Tri 2"=DataEntry[S-U03]),0))</f>
        <v>1668519</v>
      </c>
      <c r="K24" s="881" cm="1">
        <f t="array" ref="K24">INDEX(DataEntry[S-B04],MATCH(1, ($B$24=DataEntry[S-U04])*($C24=DataEntry[S-U05])*("Tri 2"=DataEntry[S-U03]),0))</f>
        <v>29836.43</v>
      </c>
      <c r="L24" s="1029" t="s">
        <v>140</v>
      </c>
      <c r="M24" s="1011">
        <f t="shared" si="5"/>
        <v>1.7881983963023495E-2</v>
      </c>
    </row>
    <row r="25" spans="2:13" ht="15" customHeight="1">
      <c r="B25" s="1332"/>
      <c r="C25" s="446" t="s">
        <v>963</v>
      </c>
      <c r="D25" s="15" cm="1">
        <f t="array" ref="D25">INDEX(DataEntry[S-P02],MATCH(1, ($B$24=DataEntry[S-U04])*($C25=DataEntry[S-U05])*("Tri 2"=DataEntry[S-U03]),0))</f>
        <v>0</v>
      </c>
      <c r="E25" s="1350"/>
      <c r="F25" s="23" cm="1">
        <f t="array" ref="F25">INDEX(DataEntry[S-P04],MATCH(1, ($B$24=DataEntry[S-U04])*($C25=DataEntry[S-U05])*("Tri 2"=DataEntry[S-U03]),0))</f>
        <v>0</v>
      </c>
      <c r="G25" s="1019" t="str">
        <f t="shared" ref="G25:G27" si="7">IFERROR(F25/E25, "N/A")</f>
        <v>N/A</v>
      </c>
      <c r="H25" s="882" cm="1">
        <f t="array" ref="H25">INDEX(DataEntry[S-B02],MATCH(1, ($B$24=DataEntry[S-U04])*($C25=DataEntry[S-U05])*("Tri 2"=DataEntry[S-U03]),0))</f>
        <v>19762.509999999998</v>
      </c>
      <c r="I25" s="916" t="s">
        <v>140</v>
      </c>
      <c r="J25" s="1359"/>
      <c r="K25" s="882" cm="1">
        <f t="array" ref="K25">INDEX(DataEntry[S-B04],MATCH(1, ($B$24=DataEntry[S-U04])*($C25=DataEntry[S-U05])*("Tri 2"=DataEntry[S-U03]),0))</f>
        <v>19762.509999999998</v>
      </c>
      <c r="L25" s="916" t="s">
        <v>140</v>
      </c>
      <c r="M25" s="1030" t="str">
        <f t="shared" ref="M25:M26" si="8">IFERROR((K25)/J25, "N/A")</f>
        <v>N/A</v>
      </c>
    </row>
    <row r="26" spans="2:13" ht="15" customHeight="1">
      <c r="B26" s="1332"/>
      <c r="C26" s="1202" t="s">
        <v>964</v>
      </c>
      <c r="D26" s="1203" cm="1">
        <f t="array" ref="D26">INDEX(DataEntry[S-P02],MATCH(1, ($B$24=DataEntry[S-U04])*($C26=DataEntry[S-U05])*("Tri 2"=DataEntry[S-U03]),0))</f>
        <v>0</v>
      </c>
      <c r="E26" s="1351"/>
      <c r="F26" s="555" cm="1">
        <f t="array" ref="F26">INDEX(DataEntry[S-P04],MATCH(1, ($B$24=DataEntry[S-U04])*($C26=DataEntry[S-U05])*("Tri 2"=DataEntry[S-U03]),0))</f>
        <v>0</v>
      </c>
      <c r="G26" s="1204" t="str">
        <f t="shared" si="7"/>
        <v>N/A</v>
      </c>
      <c r="H26" s="1205" cm="1">
        <f t="array" ref="H26">INDEX(DataEntry[S-B02],MATCH(1, ($B$24=DataEntry[S-U04])*($C26=DataEntry[S-U05])*("Tri 2"=DataEntry[S-U03]),0))</f>
        <v>0</v>
      </c>
      <c r="I26" s="1206" t="s">
        <v>140</v>
      </c>
      <c r="J26" s="1358"/>
      <c r="K26" s="1205" cm="1">
        <f t="array" ref="K26">INDEX(DataEntry[S-B04],MATCH(1, ($B$24=DataEntry[S-U04])*($C26=DataEntry[S-U05])*("Tri 2"=DataEntry[S-U03]),0))</f>
        <v>0</v>
      </c>
      <c r="L26" s="1206" t="s">
        <v>140</v>
      </c>
      <c r="M26" s="1207" t="str">
        <f t="shared" si="8"/>
        <v>N/A</v>
      </c>
    </row>
    <row r="27" spans="2:13" ht="15" customHeight="1" thickBot="1">
      <c r="B27" s="1348"/>
      <c r="C27" s="476" t="s">
        <v>975</v>
      </c>
      <c r="D27" s="1031">
        <f>SUM(D24:D26)</f>
        <v>0</v>
      </c>
      <c r="E27" s="19">
        <f>SUM(E24:E26)</f>
        <v>91</v>
      </c>
      <c r="F27" s="19">
        <f>SUM(F24:F26)</f>
        <v>0</v>
      </c>
      <c r="G27" s="950">
        <f t="shared" si="7"/>
        <v>0</v>
      </c>
      <c r="H27" s="884">
        <f>SUM(H24:H26)</f>
        <v>49598.94</v>
      </c>
      <c r="I27" s="944" t="s">
        <v>140</v>
      </c>
      <c r="J27" s="885">
        <f>SUM(J24:J26)</f>
        <v>1668519</v>
      </c>
      <c r="K27" s="885">
        <f>SUM(K24:K26)</f>
        <v>49598.94</v>
      </c>
      <c r="L27" s="944"/>
      <c r="M27" s="1032">
        <f>IFERROR((K27+L27)/J27, "N/A")</f>
        <v>2.9726326161104551E-2</v>
      </c>
    </row>
    <row r="28" spans="2:13" ht="15" thickBot="1">
      <c r="B28" s="1008" t="s">
        <v>30</v>
      </c>
      <c r="C28" s="1005" t="s">
        <v>30</v>
      </c>
      <c r="D28" s="1022" cm="1">
        <f t="array" ref="D28">INDEX(DataEntry[S-P02],MATCH(1, ($B28=DataEntry[S-U04])*($C28=DataEntry[S-U05])*("Tri 2"=DataEntry[S-U03]),0))</f>
        <v>0</v>
      </c>
      <c r="E28" s="1023" cm="1">
        <f t="array" ref="E28">INDEX(DataEntry[S-P01],MATCH(1, ($B28=DataEntry[S-U04])*($C28=DataEntry[S-U05])*("Tri 2"=DataEntry[S-U03]),0))</f>
        <v>10</v>
      </c>
      <c r="F28" s="1024" cm="1">
        <f t="array" ref="F28">INDEX(DataEntry[S-P04],MATCH(1, ($B28=DataEntry[S-U04])*($C28=DataEntry[S-U05])*("Tri 2"=DataEntry[S-U03]),0))</f>
        <v>0</v>
      </c>
      <c r="G28" s="1025">
        <f t="shared" si="6"/>
        <v>0</v>
      </c>
      <c r="H28" s="1026" cm="1">
        <f t="array" ref="H28">INDEX(DataEntry[S-B02],MATCH(1, ($B28=DataEntry[S-U04])*($C28=DataEntry[S-U05])*("Tri 2"=DataEntry[S-U03]),0))</f>
        <v>0</v>
      </c>
      <c r="I28" s="1027" t="s">
        <v>140</v>
      </c>
      <c r="J28" s="935" cm="1">
        <f t="array" ref="J28">INDEX(DataEntry[S-B01],MATCH(1, ($B28=DataEntry[S-U04])*($C28=DataEntry[S-U05])*("Tri 2"=DataEntry[S-U03]),0))</f>
        <v>110305</v>
      </c>
      <c r="K28" s="935" cm="1">
        <f t="array" ref="K28">INDEX(DataEntry[S-B04],MATCH(1, ($B28=DataEntry[S-U04])*($C28=DataEntry[S-U05])*("Tri 2"=DataEntry[S-U03]),0))</f>
        <v>0</v>
      </c>
      <c r="L28" s="1027" t="s">
        <v>140</v>
      </c>
      <c r="M28" s="942">
        <f t="shared" si="5"/>
        <v>0</v>
      </c>
    </row>
    <row r="29" spans="2:13" ht="17" thickBot="1">
      <c r="B29" s="569" t="s">
        <v>226</v>
      </c>
      <c r="C29" s="824"/>
      <c r="D29" s="898">
        <f>SUM(D23,D27,D28)</f>
        <v>0</v>
      </c>
      <c r="E29" s="890">
        <f>SUM(E23,E27,E28)</f>
        <v>169</v>
      </c>
      <c r="F29" s="890">
        <f>SUM(F23,F27,F28)</f>
        <v>0</v>
      </c>
      <c r="G29" s="899">
        <f t="shared" si="6"/>
        <v>0</v>
      </c>
      <c r="H29" s="900">
        <f>SUM(H23,H27,H28)</f>
        <v>120704.22</v>
      </c>
      <c r="I29" s="930" cm="1">
        <f t="array" ref="I29">SUMPRODUCT(DataEntry[S-B03],(DataEntry[S-U03]="Tri 1") * (DataEntry[S-U02]="Commercial") * (DataEntry[S-U05]&lt;&gt;""))</f>
        <v>0</v>
      </c>
      <c r="J29" s="892">
        <f>SUM(J23,J27,J28)</f>
        <v>5390046</v>
      </c>
      <c r="K29" s="892">
        <f>SUM(K23,K27,K28)</f>
        <v>120704.22</v>
      </c>
      <c r="L29" s="933" cm="1">
        <f t="array" ref="L29">SUMPRODUCT(DataEntry[S-B05],(DataEntry[S-U03]="Tri 1") * (DataEntry[S-U02]="Commercial") * (DataEntry[S-U05]&lt;&gt;""))</f>
        <v>0</v>
      </c>
      <c r="M29" s="1208">
        <f>IFERROR((K29+L29)/J29, "N/A")</f>
        <v>2.2393912779223035E-2</v>
      </c>
    </row>
    <row r="30" spans="2:13" ht="15" thickBot="1">
      <c r="B30" s="447"/>
      <c r="C30" s="448"/>
      <c r="D30" s="897"/>
      <c r="E30" s="897"/>
      <c r="F30" s="897"/>
      <c r="G30" s="901"/>
      <c r="H30" s="895"/>
      <c r="I30" s="895"/>
      <c r="J30" s="895"/>
      <c r="K30" s="895"/>
      <c r="L30" s="895"/>
      <c r="M30" s="896"/>
    </row>
    <row r="31" spans="2:13" ht="17" thickBot="1">
      <c r="B31" s="861" t="s">
        <v>227</v>
      </c>
      <c r="C31" s="861" t="s">
        <v>228</v>
      </c>
      <c r="D31" s="4"/>
      <c r="E31" s="943"/>
      <c r="F31" s="943"/>
      <c r="G31" s="941"/>
      <c r="H31" s="938"/>
      <c r="I31" s="939"/>
      <c r="J31" s="956"/>
      <c r="K31" s="956"/>
      <c r="L31" s="955"/>
      <c r="M31" s="957"/>
    </row>
    <row r="32" spans="2:13" ht="15.65" customHeight="1">
      <c r="B32" s="1334" t="s">
        <v>131</v>
      </c>
      <c r="C32" s="522" t="s">
        <v>629</v>
      </c>
      <c r="D32" s="958" cm="1">
        <f t="array" ref="D32">INDEX(DataEntry[S-P02],MATCH(1, ($B$32=DataEntry[S-U04])*($C32=DataEntry[S-U05])*("Tri 2"=DataEntry[S-U03]),0))</f>
        <v>0</v>
      </c>
      <c r="E32" s="1349">
        <f>RECO!F23</f>
        <v>141</v>
      </c>
      <c r="F32" s="960" cm="1">
        <f t="array" ref="F32">INDEX(DataEntry[S-P04],MATCH(1, ($B$32=DataEntry[S-U04])*($C32=DataEntry[S-U05])*("Tri 2"=DataEntry[S-U03]),0))</f>
        <v>0</v>
      </c>
      <c r="G32" s="940">
        <f t="shared" ref="G32:G33" si="9">IFERROR(F32/E32, "N/A")</f>
        <v>0</v>
      </c>
      <c r="H32" s="928" cm="1">
        <f t="array" ref="H32">INDEX(DataEntry[S-B02],MATCH(1, ($B$32=DataEntry[S-U04])*($C32=DataEntry[S-U05])*("Tri 2"=DataEntry[S-U03]),0))</f>
        <v>1178.31</v>
      </c>
      <c r="I32" s="921" t="s">
        <v>140</v>
      </c>
      <c r="J32" s="1360">
        <f>RECO!AL23</f>
        <v>163794</v>
      </c>
      <c r="K32" s="917" cm="1">
        <f t="array" ref="K32">INDEX(DataEntry[S-B04],MATCH(1, ($B$32=DataEntry[S-U04])*($C32=DataEntry[S-U05])*("Tri 2"=DataEntry[S-U03]),0))</f>
        <v>1178.31</v>
      </c>
      <c r="L32" s="921" t="s">
        <v>140</v>
      </c>
      <c r="M32" s="925" t="s">
        <v>140</v>
      </c>
    </row>
    <row r="33" spans="2:13" ht="15.65" customHeight="1" thickBot="1">
      <c r="B33" s="1335"/>
      <c r="C33" s="522" t="s">
        <v>29</v>
      </c>
      <c r="D33" s="920" cm="1">
        <f t="array" ref="D33">INDEX(DataEntry[S-P02],MATCH(1, ($B$32=DataEntry[S-U04])*($C33=DataEntry[S-U05])*("Tri 2"=DataEntry[S-U03]),0))</f>
        <v>0</v>
      </c>
      <c r="E33" s="1354"/>
      <c r="F33" s="902" cm="1">
        <f t="array" ref="F33">INDEX(DataEntry[S-P04],MATCH(1, ($B$32=DataEntry[S-U04])*($C33=DataEntry[S-U05])*("Tri 2"=DataEntry[S-U03]),0))</f>
        <v>0</v>
      </c>
      <c r="G33" s="916" t="str">
        <f t="shared" si="9"/>
        <v>N/A</v>
      </c>
      <c r="H33" s="915" cm="1">
        <f t="array" ref="H33">INDEX(DataEntry[S-B02],MATCH(1, ($B$32=DataEntry[S-U04])*($C33=DataEntry[S-U05])*("Tri 2"=DataEntry[S-U03]),0))</f>
        <v>0</v>
      </c>
      <c r="I33" s="922" t="s">
        <v>140</v>
      </c>
      <c r="J33" s="1361"/>
      <c r="K33" s="917" cm="1">
        <f t="array" ref="K33">INDEX(DataEntry[S-B04],MATCH(1, ($B$32=DataEntry[S-U04])*($C33=DataEntry[S-U05])*("Tri 2"=DataEntry[S-U03]),0))</f>
        <v>0</v>
      </c>
      <c r="L33" s="922" t="s">
        <v>140</v>
      </c>
      <c r="M33" s="925" t="s">
        <v>140</v>
      </c>
    </row>
    <row r="34" spans="2:13" ht="15.65" customHeight="1" thickBot="1">
      <c r="B34" s="569" t="s">
        <v>229</v>
      </c>
      <c r="C34" s="568"/>
      <c r="D34" s="1033">
        <f>SUM(D32:D33)</f>
        <v>0</v>
      </c>
      <c r="E34" s="1033">
        <f>SUM(E32:E33)</f>
        <v>141</v>
      </c>
      <c r="F34" s="1034">
        <f>SUM(F32:F33)</f>
        <v>0</v>
      </c>
      <c r="G34" s="1035">
        <f>IFERROR(F34/E34, "N/A")</f>
        <v>0</v>
      </c>
      <c r="H34" s="1036">
        <f>SUM(H32:H33)</f>
        <v>1178.31</v>
      </c>
      <c r="I34" s="1037" cm="1">
        <f t="array" ref="I34">SUMPRODUCT(DataEntry[S-B03],(DataEntry[S-U03]="Tri 1") * (DataEntry[S-U02]="Multi-Family") * (DataEntry[S-U05]&lt;&gt;""))</f>
        <v>0</v>
      </c>
      <c r="J34" s="1038">
        <f>SUM(J32:J33)</f>
        <v>163794</v>
      </c>
      <c r="K34" s="1038">
        <f>SUM(K32:K33)</f>
        <v>1178.31</v>
      </c>
      <c r="L34" s="1039" cm="1">
        <f t="array" ref="L34">SUMPRODUCT(DataEntry[S-B05],(DataEntry[S-U03]="Tri 1") * (DataEntry[S-U02]="Multi-Family") * (DataEntry[S-U05]&lt;&gt;""))</f>
        <v>0</v>
      </c>
      <c r="M34" s="1264">
        <f>IFERROR((K34+L34)/J34, "N/A")</f>
        <v>7.1938532546979737E-3</v>
      </c>
    </row>
    <row r="35" spans="2:13" ht="15" thickBot="1">
      <c r="B35" s="164" t="s">
        <v>230</v>
      </c>
      <c r="C35" s="570"/>
      <c r="D35" s="903">
        <f>SUM(D20,D29,D34)</f>
        <v>32047</v>
      </c>
      <c r="E35" s="904">
        <f>SUM(E20,E29,E34)</f>
        <v>25063</v>
      </c>
      <c r="F35" s="904">
        <f>SUM(F20,F29,F34)</f>
        <v>32047</v>
      </c>
      <c r="G35" s="899">
        <f t="shared" ref="G35" si="10">IFERROR(F35/E35, "N/A")</f>
        <v>1.2786577823883813</v>
      </c>
      <c r="H35" s="905">
        <f>SUM(H20,H29,H34)</f>
        <v>238741.75</v>
      </c>
      <c r="I35" s="931">
        <f>SUM(I20,I29,I34)</f>
        <v>0</v>
      </c>
      <c r="J35" s="906">
        <f>SUM(J20,J29,J34)</f>
        <v>9130164</v>
      </c>
      <c r="K35" s="906">
        <f>SUM(K20,K29,K34)</f>
        <v>238741.75</v>
      </c>
      <c r="L35" s="934">
        <f>SUM(L20,L29,L34)</f>
        <v>0</v>
      </c>
      <c r="M35" s="1265">
        <f>IFERROR((K35+L35)/J35, "N/A")</f>
        <v>2.6148681447562168E-2</v>
      </c>
    </row>
    <row r="36" spans="2:13" ht="15" thickBot="1">
      <c r="B36" s="571"/>
      <c r="C36" s="40"/>
      <c r="D36" s="907"/>
      <c r="E36" s="907"/>
      <c r="F36" s="907"/>
      <c r="G36" s="907"/>
      <c r="H36" s="908"/>
      <c r="I36" s="908"/>
      <c r="J36" s="908"/>
      <c r="K36" s="908"/>
      <c r="L36" s="908"/>
      <c r="M36" s="909"/>
    </row>
    <row r="37" spans="2:13">
      <c r="B37" s="1355" t="s">
        <v>984</v>
      </c>
      <c r="C37" s="522" t="s">
        <v>985</v>
      </c>
      <c r="D37" s="958">
        <f>RECO!G24</f>
        <v>2111</v>
      </c>
      <c r="E37" s="959">
        <v>0</v>
      </c>
      <c r="F37" s="960">
        <f>RECO!I24</f>
        <v>2111</v>
      </c>
      <c r="G37" s="1257" t="str">
        <f t="shared" ref="G37:G39" si="11">IFERROR(F37/E37, "N/A")</f>
        <v>N/A</v>
      </c>
      <c r="H37" s="928">
        <f>[1]RECO!AM24</f>
        <v>8149.74</v>
      </c>
      <c r="I37" s="921" t="s">
        <v>140</v>
      </c>
      <c r="J37" s="917">
        <f>[1]RECO!AL24</f>
        <v>84421</v>
      </c>
      <c r="K37" s="917">
        <f>[1]RECO!AO24</f>
        <v>8149.74</v>
      </c>
      <c r="L37" s="921" t="s">
        <v>140</v>
      </c>
      <c r="M37" s="1258">
        <f t="shared" ref="M37:M39" si="12">IFERROR((K37)/J37, "N/A")</f>
        <v>9.6536880633965483E-2</v>
      </c>
    </row>
    <row r="38" spans="2:13" ht="15" thickBot="1">
      <c r="B38" s="1356"/>
      <c r="C38" s="522" t="s">
        <v>132</v>
      </c>
      <c r="D38" s="920">
        <f>RECO_BD!G5</f>
        <v>1</v>
      </c>
      <c r="E38" s="14">
        <f>RECO_BD!F5</f>
        <v>56</v>
      </c>
      <c r="F38" s="902">
        <f>RECO_BD!I5</f>
        <v>1</v>
      </c>
      <c r="G38" s="1259">
        <f>IFERROR(F38/E38, "N/A")</f>
        <v>1.7857142857142856E-2</v>
      </c>
      <c r="H38" s="915">
        <f>[1]RECO_BD!Y7</f>
        <v>32832.42</v>
      </c>
      <c r="I38" s="922" t="s">
        <v>140</v>
      </c>
      <c r="J38" s="917">
        <f>[1]RECO_BD!X7</f>
        <v>691832</v>
      </c>
      <c r="K38" s="917">
        <f>[1]RECO_BD!AA7</f>
        <v>32832.42</v>
      </c>
      <c r="L38" s="922" t="s">
        <v>140</v>
      </c>
      <c r="M38" s="1258">
        <f t="shared" si="12"/>
        <v>4.7457215046427456E-2</v>
      </c>
    </row>
    <row r="39" spans="2:13" ht="29.5" thickBot="1">
      <c r="B39" s="1008" t="s">
        <v>986</v>
      </c>
      <c r="C39" s="1005" t="s">
        <v>91</v>
      </c>
      <c r="D39" s="1022">
        <f>RECO!G26</f>
        <v>11</v>
      </c>
      <c r="E39" s="1023">
        <f>RECO!F26</f>
        <v>26</v>
      </c>
      <c r="F39" s="1024">
        <f>RECO!I26</f>
        <v>11</v>
      </c>
      <c r="G39" s="1260">
        <f t="shared" si="11"/>
        <v>0.42307692307692307</v>
      </c>
      <c r="H39" s="1026">
        <f>[1]RECO!AM26</f>
        <v>58985.42</v>
      </c>
      <c r="I39" s="1027" t="s">
        <v>140</v>
      </c>
      <c r="J39" s="935">
        <f>[1]RECO!AL26</f>
        <v>139603.91</v>
      </c>
      <c r="K39" s="935">
        <f>[1]RECO!AO26</f>
        <v>58985.42</v>
      </c>
      <c r="L39" s="1027" t="s">
        <v>140</v>
      </c>
      <c r="M39" s="1258">
        <f t="shared" si="12"/>
        <v>0.42251982770396612</v>
      </c>
    </row>
    <row r="40" spans="2:13" ht="17" thickBot="1">
      <c r="B40" s="36" t="s">
        <v>233</v>
      </c>
      <c r="C40" s="39"/>
      <c r="D40" s="903">
        <f>SUM(D34,D29,D20,D37,D38,D39)</f>
        <v>34170</v>
      </c>
      <c r="E40" s="904">
        <f>SUM(E34,E29,E20,E37,E38,E39)</f>
        <v>25145</v>
      </c>
      <c r="F40" s="904">
        <f>SUM(F34,F29,F20,F37,F38,F39)</f>
        <v>34170</v>
      </c>
      <c r="G40" s="1261">
        <f>IFERROR(F40/E40, "N/A")</f>
        <v>1.3589182740107377</v>
      </c>
      <c r="H40" s="905">
        <f>SUM(H34,H29,H20,H37,H38,H39)</f>
        <v>338709.32999999996</v>
      </c>
      <c r="I40" s="931">
        <f>SUM(I34,I29,I20)</f>
        <v>0</v>
      </c>
      <c r="J40" s="906">
        <f>SUM(J34,J29,J20,J37,J38,J39)</f>
        <v>10046020.91</v>
      </c>
      <c r="K40" s="906">
        <f>SUM(K34,K29,K20,K37,K38,K39)</f>
        <v>338709.32999999996</v>
      </c>
      <c r="L40" s="934">
        <f>SUM(L34,L29,L20)</f>
        <v>0</v>
      </c>
      <c r="M40" s="1262">
        <f>IFERROR((K40+L40)/J40, "N/A")</f>
        <v>3.3715769958515836E-2</v>
      </c>
    </row>
    <row r="41" spans="2:13">
      <c r="B41" s="50"/>
    </row>
    <row r="42" spans="2:13" ht="16.5">
      <c r="B42" s="41" t="s">
        <v>971</v>
      </c>
      <c r="C42" s="42"/>
      <c r="D42" s="42"/>
      <c r="E42" s="42"/>
      <c r="F42" s="42"/>
      <c r="G42" s="42"/>
      <c r="H42" s="42"/>
      <c r="I42" s="42"/>
      <c r="J42" s="42"/>
      <c r="K42" s="42"/>
      <c r="L42" s="42"/>
      <c r="M42" s="910"/>
    </row>
    <row r="43" spans="2:13" ht="16.5">
      <c r="B43" s="45" t="s">
        <v>972</v>
      </c>
      <c r="C43" s="46"/>
      <c r="D43" s="46"/>
      <c r="E43" s="46"/>
      <c r="F43" s="46"/>
      <c r="G43" s="46"/>
      <c r="H43" s="46"/>
      <c r="I43" s="46"/>
      <c r="J43" s="46"/>
      <c r="K43" s="46"/>
      <c r="L43" s="46"/>
      <c r="M43" s="911"/>
    </row>
    <row r="44" spans="2:13" ht="16.5">
      <c r="B44" s="48" t="s">
        <v>236</v>
      </c>
      <c r="C44" s="48"/>
      <c r="D44" s="48"/>
      <c r="E44" s="48"/>
      <c r="F44" s="48"/>
      <c r="G44" s="48"/>
      <c r="H44" s="48"/>
      <c r="I44" s="48"/>
      <c r="J44" s="48"/>
      <c r="K44" s="48"/>
      <c r="L44" s="48"/>
      <c r="M44" s="912"/>
    </row>
    <row r="45" spans="2:13" ht="16.5">
      <c r="B45" s="48" t="s">
        <v>973</v>
      </c>
      <c r="C45" s="48"/>
      <c r="D45" s="48"/>
      <c r="E45" s="48"/>
      <c r="F45" s="48"/>
      <c r="G45" s="48"/>
      <c r="H45" s="48"/>
      <c r="I45" s="48"/>
      <c r="J45" s="48"/>
      <c r="K45" s="48"/>
      <c r="L45" s="48"/>
      <c r="M45" s="912"/>
    </row>
    <row r="46" spans="2:13" ht="16.5">
      <c r="B46" s="50" t="s">
        <v>238</v>
      </c>
      <c r="C46" s="316"/>
      <c r="D46" s="316"/>
      <c r="E46" s="316"/>
      <c r="F46" s="316"/>
      <c r="G46" s="316"/>
      <c r="H46" s="316"/>
      <c r="I46" s="316"/>
      <c r="J46" s="316"/>
      <c r="K46" s="316"/>
      <c r="L46" s="316"/>
      <c r="M46" s="913"/>
    </row>
    <row r="47" spans="2:13" ht="17.5">
      <c r="B47" s="800" t="s">
        <v>974</v>
      </c>
      <c r="M47" s="914"/>
    </row>
    <row r="48" spans="2:13">
      <c r="B48" s="218"/>
    </row>
  </sheetData>
  <mergeCells count="19">
    <mergeCell ref="B37:B38"/>
    <mergeCell ref="J7:J11"/>
    <mergeCell ref="J13:J14"/>
    <mergeCell ref="J16:J17"/>
    <mergeCell ref="J24:J26"/>
    <mergeCell ref="J32:J33"/>
    <mergeCell ref="H3:M3"/>
    <mergeCell ref="B7:B12"/>
    <mergeCell ref="B13:B15"/>
    <mergeCell ref="B32:B33"/>
    <mergeCell ref="B16:B18"/>
    <mergeCell ref="B3:C5"/>
    <mergeCell ref="D3:G3"/>
    <mergeCell ref="B24:B27"/>
    <mergeCell ref="E7:E11"/>
    <mergeCell ref="E13:E14"/>
    <mergeCell ref="E16:E17"/>
    <mergeCell ref="E24:E26"/>
    <mergeCell ref="E32:E33"/>
  </mergeCells>
  <pageMargins left="0.7" right="0.7" top="0.75" bottom="0.75" header="0.3" footer="0.3"/>
  <headerFooter>
    <oddFooter>&amp;C_x000D_&amp;1#&amp;"Calibri"&amp;22&amp;K0073CF 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8DE5D-817E-495F-8B1C-0909F5971397}">
  <sheetPr codeName="Sheet2">
    <tabColor rgb="FFFFFF00"/>
  </sheetPr>
  <dimension ref="B1:Q31"/>
  <sheetViews>
    <sheetView topLeftCell="A7" zoomScale="130" zoomScaleNormal="130" workbookViewId="0">
      <selection activeCell="I27" sqref="I27"/>
    </sheetView>
  </sheetViews>
  <sheetFormatPr defaultRowHeight="14.5"/>
  <cols>
    <col min="1" max="1" width="4.26953125" customWidth="1"/>
    <col min="2" max="2" width="21.81640625" customWidth="1"/>
    <col min="3" max="3" width="30.453125" bestFit="1" customWidth="1"/>
    <col min="4" max="7" width="15.1796875" customWidth="1"/>
    <col min="8" max="8" width="22.26953125" customWidth="1"/>
    <col min="9" max="9" width="15.1796875" customWidth="1"/>
    <col min="10" max="10" width="18.1796875" hidden="1" customWidth="1"/>
    <col min="11" max="11" width="17.453125" hidden="1" customWidth="1"/>
  </cols>
  <sheetData>
    <row r="1" spans="2:17" ht="68.150000000000006" customHeight="1">
      <c r="B1" s="53" t="s">
        <v>919</v>
      </c>
      <c r="C1" s="54"/>
      <c r="D1" s="54"/>
      <c r="E1" s="1371" t="s">
        <v>918</v>
      </c>
      <c r="F1" s="1371"/>
      <c r="G1" s="1371"/>
      <c r="H1" s="864"/>
      <c r="I1" s="801"/>
    </row>
    <row r="2" spans="2:17" ht="15" thickBot="1">
      <c r="B2" s="53" t="s">
        <v>976</v>
      </c>
      <c r="C2" s="56"/>
      <c r="D2" s="56"/>
      <c r="E2" s="56"/>
      <c r="F2" s="56"/>
      <c r="G2" s="56"/>
      <c r="H2" s="56"/>
      <c r="I2" s="55"/>
    </row>
    <row r="3" spans="2:17" ht="45" customHeight="1" thickBot="1">
      <c r="B3" s="1338" t="s">
        <v>191</v>
      </c>
      <c r="C3" s="1339"/>
      <c r="D3" s="1378" t="s">
        <v>192</v>
      </c>
      <c r="E3" s="1379"/>
      <c r="F3" s="1380" t="s">
        <v>924</v>
      </c>
      <c r="G3" s="1381"/>
      <c r="H3" s="1367" t="s">
        <v>190</v>
      </c>
      <c r="I3" s="1368"/>
      <c r="J3" s="1367" t="s">
        <v>190</v>
      </c>
      <c r="K3" s="1368"/>
    </row>
    <row r="4" spans="2:17" ht="15" thickBot="1">
      <c r="B4" s="1340"/>
      <c r="C4" s="1341"/>
      <c r="D4" s="57" t="s">
        <v>194</v>
      </c>
      <c r="E4" s="58" t="s">
        <v>195</v>
      </c>
      <c r="F4" s="59" t="s">
        <v>196</v>
      </c>
      <c r="G4" s="60" t="s">
        <v>241</v>
      </c>
      <c r="H4" s="61" t="s">
        <v>242</v>
      </c>
      <c r="I4" s="62" t="s">
        <v>198</v>
      </c>
      <c r="J4" s="61" t="s">
        <v>199</v>
      </c>
      <c r="K4" s="62" t="s">
        <v>200</v>
      </c>
    </row>
    <row r="5" spans="2:17" ht="38.5" customHeight="1" thickBot="1">
      <c r="B5" s="1342"/>
      <c r="C5" s="1343"/>
      <c r="D5" s="1382" t="s">
        <v>243</v>
      </c>
      <c r="E5" s="1383"/>
      <c r="F5" s="1384" t="s">
        <v>244</v>
      </c>
      <c r="G5" s="1385"/>
      <c r="H5" s="1369" t="s">
        <v>245</v>
      </c>
      <c r="I5" s="1370"/>
      <c r="J5" s="1369" t="s">
        <v>936</v>
      </c>
      <c r="K5" s="1370"/>
    </row>
    <row r="6" spans="2:17" ht="26.5" thickBot="1">
      <c r="B6" s="63" t="s">
        <v>220</v>
      </c>
      <c r="C6" s="581" t="s">
        <v>246</v>
      </c>
      <c r="D6" s="64" t="s">
        <v>247</v>
      </c>
      <c r="E6" s="65" t="s">
        <v>248</v>
      </c>
      <c r="F6" s="64" t="s">
        <v>247</v>
      </c>
      <c r="G6" s="65" t="s">
        <v>248</v>
      </c>
      <c r="H6" s="64" t="s">
        <v>247</v>
      </c>
      <c r="I6" s="66" t="s">
        <v>248</v>
      </c>
      <c r="J6" s="64" t="s">
        <v>247</v>
      </c>
      <c r="K6" s="66" t="s">
        <v>248</v>
      </c>
    </row>
    <row r="7" spans="2:17" ht="14.5" customHeight="1">
      <c r="B7" s="1372" t="s">
        <v>4</v>
      </c>
      <c r="C7" s="828" t="s">
        <v>5</v>
      </c>
      <c r="D7" s="578" cm="1">
        <f t="array" ref="D7">INDEX(DataEntry[S-P07],MATCH(1, (DataEntry[S-U03]="Tri 2") * ($B$7=DataEntry[S-U04])*($C7=DataEntry[S-U05]),0))</f>
        <v>0</v>
      </c>
      <c r="E7" s="830" cm="1">
        <f t="array" ref="E7">INDEX(DataEntry[S-P04],MATCH(1, (DataEntry[S-U03]="Tri 2") * ($B$7=DataEntry[S-U04])*($C7=DataEntry[S-U05]),0))-INDEX(DataEntry[S-P07],MATCH(1, (DataEntry[S-U03]="Tri 2") * ($B$7=DataEntry[S-U04])*($C7=DataEntry[S-U05]),0))</f>
        <v>4</v>
      </c>
      <c r="F7" s="831" cm="1">
        <f t="array" ref="F7">INDEX(DataEntry[S-B08],MATCH(1, (DataEntry[S-U03]="Tri 2") * ($B$7=DataEntry[S-U04])*($C7=DataEntry[S-U05]),0))</f>
        <v>0</v>
      </c>
      <c r="G7" s="832" cm="1">
        <f t="array" ref="G7">INDEX(DataEntry[S-B06],MATCH(1, (DataEntry[S-U03]="Tri 2") * ($B$7=DataEntry[S-U04])*($C7=DataEntry[S-U05]),0))-INDEX(DataEntry[S-B08],MATCH(1, (DataEntry[S-U03]="Tri 2") * ($B$7=DataEntry[S-U04])*($C7=DataEntry[S-U05]),0))</f>
        <v>1210</v>
      </c>
      <c r="H7" s="88" cm="1">
        <f t="array" ref="H7">INDEX(DataEntry[E-E11],MATCH(1, (DataEntry[S-U03]="Tri 2") * ($B$7=DataEntry[S-U04])*($C7=DataEntry[S-U05]),0))</f>
        <v>0</v>
      </c>
      <c r="I7" s="89" cm="1">
        <f t="array" ref="I7">INDEX(DataEntry[E-E06],MATCH(1, (DataEntry[S-U03]="Tri 2") * ($B$7=DataEntry[S-U04])*($C7=DataEntry[S-U05]),0))-INDEX(DataEntry[E-E11],MATCH(1, (DataEntry[S-U03]="Tri 2") * ($B$7=DataEntry[S-U04])*($C7=DataEntry[S-U05]),0))</f>
        <v>1.2589999999999999</v>
      </c>
      <c r="J7" s="88" cm="1">
        <f t="array" ref="J7">INDEX(DataEntry[G-G11],MATCH(1, (DataEntry[S-U03]="Tri 2") * ($B$7=DataEntry[S-U04])*($C7=DataEntry[S-U05]),0))</f>
        <v>0</v>
      </c>
      <c r="K7" s="89" cm="1">
        <f t="array" ref="K7">INDEX(DataEntry[G-G06],MATCH(1, (DataEntry[S-U03]="Tri 2") * ($B$7=DataEntry[S-U04])*($C7=DataEntry[S-U05]),0))-INDEX(DataEntry[G-G11],MATCH(1, (DataEntry[S-U03]="Tri 2") * ($B$7=DataEntry[S-U04])*($C7=DataEntry[S-U05]),0))</f>
        <v>0</v>
      </c>
    </row>
    <row r="8" spans="2:17">
      <c r="B8" s="1373"/>
      <c r="C8" s="450" t="s">
        <v>153</v>
      </c>
      <c r="D8" s="578" cm="1">
        <f t="array" ref="D8">INDEX(DataEntry[S-P07],MATCH(1, (DataEntry[S-U03]="Tri 2") * ($B$7=DataEntry[S-U04])*($C8=DataEntry[S-U05]),0))</f>
        <v>1</v>
      </c>
      <c r="E8" s="830" cm="1">
        <f t="array" ref="E8">INDEX(DataEntry[S-P04],MATCH(1, (DataEntry[S-U03]="Tri 2") * ($B$7=DataEntry[S-U04])*($C8=DataEntry[S-U05]),0))-INDEX(DataEntry[S-P07],MATCH(1, (DataEntry[S-U03]="Tri 2") * ($B$7=DataEntry[S-U04])*($C8=DataEntry[S-U05]),0))</f>
        <v>4</v>
      </c>
      <c r="F8" s="71" cm="1">
        <f t="array" ref="F8">INDEX(DataEntry[S-B08],MATCH(1, (DataEntry[S-U03]="Tri 2") * ($B$7=DataEntry[S-U04])*($C8=DataEntry[S-U05]),0))</f>
        <v>200</v>
      </c>
      <c r="G8" s="72" cm="1">
        <f t="array" ref="G8">INDEX(DataEntry[S-B06],MATCH(1, (DataEntry[S-U03]="Tri 2") * ($B$7=DataEntry[S-U04])*($C8=DataEntry[S-U05]),0))-INDEX(DataEntry[S-B08],MATCH(1, (DataEntry[S-U03]="Tri 2") * ($B$7=DataEntry[S-U04])*($C8=DataEntry[S-U05]),0))</f>
        <v>300</v>
      </c>
      <c r="H8" s="88" cm="1">
        <f t="array" ref="H8">INDEX(DataEntry[E-E11],MATCH(1, ($B$7=DataEntry[S-U04])*($C8=DataEntry[S-U05]),0))</f>
        <v>0.217</v>
      </c>
      <c r="I8" s="89" cm="1">
        <f t="array" ref="I8">INDEX(DataEntry[E-E06],MATCH(1, ($B$7=DataEntry[S-U04])*($C8=DataEntry[S-U05]),0))-INDEX(DataEntry[E-E11],MATCH(1, ($B$7=DataEntry[S-U04])*($C8=DataEntry[S-U05]),0))</f>
        <v>0.47699999999999998</v>
      </c>
      <c r="J8" s="88" cm="1">
        <f t="array" ref="J8">INDEX(DataEntry[G-G11],MATCH(1, ($B$7=DataEntry[S-U04])*($C8=DataEntry[S-U05]),0))</f>
        <v>0</v>
      </c>
      <c r="K8" s="89" cm="1">
        <f t="array" ref="K8">INDEX(DataEntry[G-G06],MATCH(1, ($B$7=DataEntry[S-U04])*($C8=DataEntry[S-U05]),0))-INDEX(DataEntry[G-G11],MATCH(1, ($B$7=DataEntry[S-U04])*($C8=DataEntry[S-U05]),0))</f>
        <v>0</v>
      </c>
    </row>
    <row r="9" spans="2:17">
      <c r="B9" s="1373"/>
      <c r="C9" s="450" t="s">
        <v>626</v>
      </c>
      <c r="D9" s="578" cm="1">
        <f t="array" ref="D9">INDEX(DataEntry[S-P07],MATCH(1, (DataEntry[S-U03]="Tri 2") * ($B$7=DataEntry[S-U04])*($C9=DataEntry[S-U05]),0))</f>
        <v>0</v>
      </c>
      <c r="E9" s="830" cm="1">
        <f t="array" ref="E9">INDEX(DataEntry[S-P04],MATCH(1, (DataEntry[S-U03]="Tri 2") * ($B$7=DataEntry[S-U04])*($C9=DataEntry[S-U05]),0))-INDEX(DataEntry[S-P07],MATCH(1, (DataEntry[S-U03]="Tri 2") * ($B$7=DataEntry[S-U04])*($C9=DataEntry[S-U05]),0))</f>
        <v>0</v>
      </c>
      <c r="F9" s="75" cm="1">
        <f t="array" ref="F9">INDEX(DataEntry[S-B08],MATCH(1, (DataEntry[S-U03]="Tri 2") * ($B$7=DataEntry[S-U04])*($C9=DataEntry[S-U05]),0))</f>
        <v>0</v>
      </c>
      <c r="G9" s="76" cm="1">
        <f t="array" ref="G9">INDEX(DataEntry[S-B06],MATCH(1, (DataEntry[S-U03]="Tri 2") * ($B$7=DataEntry[S-U04])*($C9=DataEntry[S-U05]),0))-INDEX(DataEntry[S-B08],MATCH(1, (DataEntry[S-U03]="Tri 2") * ($B$7=DataEntry[S-U04])*($C9=DataEntry[S-U05]),0))</f>
        <v>0</v>
      </c>
      <c r="H9" s="77" cm="1">
        <f t="array" ref="H9">INDEX(DataEntry[E-E11],MATCH(1, ($B$7=DataEntry[S-U04])*($C9=DataEntry[S-U05]),0))</f>
        <v>0</v>
      </c>
      <c r="I9" s="74" cm="1">
        <f t="array" ref="I9">INDEX(DataEntry[E-E06],MATCH(1, ($B$7=DataEntry[S-U04])*($C9=DataEntry[S-U05]),0))-INDEX(DataEntry[E-E11],MATCH(1, ($B$7=DataEntry[S-U04])*($C9=DataEntry[S-U05]),0))</f>
        <v>0</v>
      </c>
      <c r="J9" s="77" cm="1">
        <f t="array" ref="J9">INDEX(DataEntry[G-G11],MATCH(1, ($B$7=DataEntry[S-U04])*($C9=DataEntry[S-U05]),0))</f>
        <v>0</v>
      </c>
      <c r="K9" s="74" cm="1">
        <f t="array" ref="K9">INDEX(DataEntry[G-G06],MATCH(1, ($B$7=DataEntry[S-U04])*($C9=DataEntry[S-U05]),0))-INDEX(DataEntry[G-G11],MATCH(1, ($B$7=DataEntry[S-U04])*($C9=DataEntry[S-U05]),0))</f>
        <v>0</v>
      </c>
    </row>
    <row r="10" spans="2:17">
      <c r="B10" s="1373"/>
      <c r="C10" s="450" t="s">
        <v>154</v>
      </c>
      <c r="D10" s="578" cm="1">
        <f t="array" ref="D10">INDEX(DataEntry[S-P07],MATCH(1, (DataEntry[S-U03]="Tri 2") * ($B$7=DataEntry[S-U04])*($C10=DataEntry[S-U05]),0))</f>
        <v>3</v>
      </c>
      <c r="E10" s="830" cm="1">
        <f t="array" ref="E10">INDEX(DataEntry[S-P04],MATCH(1, (DataEntry[S-U03]="Tri 2") * ($B$7=DataEntry[S-U04])*($C10=DataEntry[S-U05]),0))-INDEX(DataEntry[S-P07],MATCH(1, (DataEntry[S-U03]="Tri 2") * ($B$7=DataEntry[S-U04])*($C10=DataEntry[S-U05]),0))</f>
        <v>62</v>
      </c>
      <c r="F10" s="75" cm="1">
        <f t="array" ref="F10">INDEX(DataEntry[S-B08],MATCH(1, (DataEntry[S-U03]="Tri 2") * ($B$7=DataEntry[S-U04])*($C10=DataEntry[S-U05]),0))</f>
        <v>300</v>
      </c>
      <c r="G10" s="76" cm="1">
        <f t="array" ref="G10">INDEX(DataEntry[S-B06],MATCH(1, (DataEntry[S-U03]="Tri 2") * ($B$7=DataEntry[S-U04])*($C10=DataEntry[S-U05]),0))-INDEX(DataEntry[S-B08],MATCH(1, (DataEntry[S-U03]="Tri 2") * ($B$7=DataEntry[S-U04])*($C10=DataEntry[S-U05]),0))</f>
        <v>3207.16</v>
      </c>
      <c r="H10" s="77" cm="1">
        <f t="array" ref="H10">INDEX(DataEntry[E-E11],MATCH(1, ($B$7=DataEntry[S-U04])*($C10=DataEntry[S-U05]),0))</f>
        <v>0.35099999999999998</v>
      </c>
      <c r="I10" s="74" cm="1">
        <f t="array" ref="I10">INDEX(DataEntry[E-E06],MATCH(1, ($B$7=DataEntry[S-U04])*($C10=DataEntry[S-U05]),0))-INDEX(DataEntry[E-E11],MATCH(1, ($B$7=DataEntry[S-U04])*($C10=DataEntry[S-U05]),0))</f>
        <v>6.9489999999999998</v>
      </c>
      <c r="J10" s="77"/>
      <c r="K10" s="74"/>
    </row>
    <row r="11" spans="2:17">
      <c r="B11" s="1373"/>
      <c r="C11" s="450" t="s">
        <v>962</v>
      </c>
      <c r="D11" s="578" cm="1">
        <f t="array" ref="D11">INDEX(DataEntry[S-P07],MATCH(1, (DataEntry[S-U03]="Tri 2") * ($B$7=DataEntry[S-U04])*($C11=DataEntry[S-U05]),0))</f>
        <v>0</v>
      </c>
      <c r="E11" s="830" cm="1">
        <f t="array" ref="E11">INDEX(DataEntry[S-P04],MATCH(1, (DataEntry[S-U03]="Tri 2") * ($B$7=DataEntry[S-U04])*($C11=DataEntry[S-U05]),0))-INDEX(DataEntry[S-P07],MATCH(1, (DataEntry[S-U03]="Tri 2") * ($B$7=DataEntry[S-U04])*($C11=DataEntry[S-U05]),0))</f>
        <v>0</v>
      </c>
      <c r="F11" s="71" cm="1">
        <f t="array" ref="F11">INDEX(DataEntry[S-B08],MATCH(1, (DataEntry[S-U03]="Tri 2") * ($B$7=DataEntry[S-U04])*($C11=DataEntry[S-U05]),0))</f>
        <v>0</v>
      </c>
      <c r="G11" s="79" cm="1">
        <f t="array" ref="G11">INDEX(DataEntry[S-B06],MATCH(1, (DataEntry[S-U03]="Tri 2") * ($B$7=DataEntry[S-U04])*($C11=DataEntry[S-U05]),0))-INDEX(DataEntry[S-B08],MATCH(1, (DataEntry[S-U03]="Tri 2") * ($B$7=DataEntry[S-U04])*($C11=DataEntry[S-U05]),0))</f>
        <v>0</v>
      </c>
      <c r="H11" s="73" cm="1">
        <f t="array" ref="H11">INDEX(DataEntry[E-E11],MATCH(1, ($B$7=DataEntry[S-U04])*($C11=DataEntry[S-U05]),0))</f>
        <v>0</v>
      </c>
      <c r="I11" s="70" cm="1">
        <f t="array" ref="I11">INDEX(DataEntry[E-E06],MATCH(1, ($B$7=DataEntry[S-U04])*($C11=DataEntry[S-U05]),0))-INDEX(DataEntry[E-E11],MATCH(1, ($B$7=DataEntry[S-U04])*($C11=DataEntry[S-U05]),0))</f>
        <v>0</v>
      </c>
      <c r="J11" s="73" cm="1">
        <f t="array" ref="J11">INDEX(DataEntry[G-G11],MATCH(1, ($B$7=DataEntry[S-U04])*($C11=DataEntry[S-U05]),0))</f>
        <v>0</v>
      </c>
      <c r="K11" s="70" cm="1">
        <f t="array" ref="K11">INDEX(DataEntry[G-G06],MATCH(1, ($B$7=DataEntry[S-U04])*($C11=DataEntry[S-U05]),0))-INDEX(DataEntry[G-G11],MATCH(1, ($B$7=DataEntry[S-U04])*($C11=DataEntry[S-U05]),0))</f>
        <v>0</v>
      </c>
    </row>
    <row r="12" spans="2:17" ht="15" thickBot="1">
      <c r="B12" s="1374"/>
      <c r="C12" s="829" t="s">
        <v>222</v>
      </c>
      <c r="D12" s="827">
        <f>SUM(D7:D11)</f>
        <v>4</v>
      </c>
      <c r="E12" s="572">
        <f t="shared" ref="E12" si="0">SUM(E7:E11)</f>
        <v>70</v>
      </c>
      <c r="F12" s="81">
        <f t="shared" ref="F12:K12" si="1">SUM(F7:F11)</f>
        <v>500</v>
      </c>
      <c r="G12" s="82">
        <f t="shared" si="1"/>
        <v>4717.16</v>
      </c>
      <c r="H12" s="83">
        <f t="shared" si="1"/>
        <v>0.56799999999999995</v>
      </c>
      <c r="I12" s="80">
        <f t="shared" si="1"/>
        <v>8.6849999999999987</v>
      </c>
      <c r="J12" s="83">
        <f t="shared" si="1"/>
        <v>0</v>
      </c>
      <c r="K12" s="80">
        <f t="shared" si="1"/>
        <v>0</v>
      </c>
    </row>
    <row r="13" spans="2:17" ht="28.5" customHeight="1">
      <c r="B13" s="1376" t="s">
        <v>129</v>
      </c>
      <c r="C13" s="449" t="s">
        <v>155</v>
      </c>
      <c r="D13" s="84" cm="1">
        <f t="array" ref="D13">INDEX(DataEntry[S-P07],MATCH(1, (DataEntry[S-U03]="Tri 2") * ($B$13=DataEntry[S-U04])*($C13=DataEntry[S-U05]),0))</f>
        <v>0</v>
      </c>
      <c r="E13" s="85" cm="1">
        <f t="array" ref="E13">INDEX(DataEntry[S-P04],MATCH(1, (DataEntry[S-U03]="Tri 2") * ($B$13=DataEntry[S-U04])*($C13=DataEntry[S-U05]),0))-INDEX(DataEntry[S-P07],MATCH(1, (DataEntry[S-U03]="Tri 2") * ($B$13=DataEntry[S-U04])*($C13=DataEntry[S-U05]),0))</f>
        <v>0</v>
      </c>
      <c r="F13" s="86" cm="1">
        <f t="array" ref="F13">INDEX(DataEntry[S-B08],MATCH(1, (DataEntry[S-U03]="Tri 2") * ($B$13=DataEntry[S-U04])*($C13=DataEntry[S-U05]),0))</f>
        <v>0</v>
      </c>
      <c r="G13" s="87" cm="1">
        <f t="array" ref="G13">INDEX(DataEntry[S-B06],MATCH(1, (DataEntry[S-U03]="Tri 2") * ($B$13=DataEntry[S-U04])*($C13=DataEntry[S-U05]),0))-INDEX(DataEntry[S-B08],MATCH(1, (DataEntry[S-U03]="Tri 2") * ($B$13=DataEntry[S-U04])*($C13=DataEntry[S-U05]),0))</f>
        <v>0</v>
      </c>
      <c r="H13" s="88" cm="1">
        <f t="array" ref="H13">INDEX(DataEntry[E-E11],MATCH(1, (DataEntry[S-U03]="Tri 2") * ($B$13=DataEntry[S-U04])*($C13=DataEntry[S-U05]),0))</f>
        <v>0</v>
      </c>
      <c r="I13" s="89" cm="1">
        <f t="array" ref="I13">INDEX(DataEntry[E-E06],MATCH(1, (DataEntry[S-U03]="Tri 2") * ($B$13=DataEntry[S-U04])*($C13=DataEntry[S-U05]),0))-INDEX(DataEntry[E-E11],MATCH(1, (DataEntry[S-U03]="Tri 2") * ($B$13=DataEntry[S-U04])*($C13=DataEntry[S-U05]),0))</f>
        <v>0</v>
      </c>
      <c r="J13" s="88" cm="1">
        <f t="array" ref="J13">INDEX(DataEntry[G-G11],MATCH(1, (DataEntry[S-U03]="Tri 2") * ($B$13=DataEntry[S-U04])*($C13=DataEntry[S-U05]),0))</f>
        <v>0</v>
      </c>
      <c r="K13" s="89" cm="1">
        <f t="array" ref="K13">INDEX(DataEntry[G-G06],MATCH(1, (DataEntry[S-U03]="Tri 2") * ($B$13=DataEntry[S-U04])*($C13=DataEntry[S-U05]),0))-INDEX(DataEntry[G-G11],MATCH(1, (DataEntry[S-U03]="Tri 2") * ($B$13=DataEntry[S-U04])*($C13=DataEntry[S-U05]),0))</f>
        <v>0</v>
      </c>
    </row>
    <row r="14" spans="2:17" ht="15" thickBot="1">
      <c r="B14" s="1377"/>
      <c r="C14" s="458" t="s">
        <v>19</v>
      </c>
      <c r="D14" s="575" cm="1">
        <f t="array" ref="D14">INDEX(DataEntry[S-P07],MATCH(1, (DataEntry[S-U03]="Tri 2") * ($B$13=DataEntry[S-U04])*($C14=DataEntry[S-U05]),0))</f>
        <v>0</v>
      </c>
      <c r="E14" s="459" cm="1">
        <f t="array" ref="E14">INDEX(DataEntry[S-P04],MATCH(1, (DataEntry[S-U03]="Tri 2") * ($B$13=DataEntry[S-U04])*($C14=DataEntry[S-U05]),0))-INDEX(DataEntry[S-P07],MATCH(1, (DataEntry[S-U03]="Tri 2") * ($B$13=DataEntry[S-U04])*($C14=DataEntry[S-U05]),0))</f>
        <v>18</v>
      </c>
      <c r="F14" s="576" cm="1">
        <f t="array" ref="F14">INDEX(DataEntry[S-B08],MATCH(1, (DataEntry[S-U03]="Tri 2") * ($B$13=DataEntry[S-U04])*($C14=DataEntry[S-U05]),0))</f>
        <v>0</v>
      </c>
      <c r="G14" s="577" cm="1">
        <f t="array" ref="G14">INDEX(DataEntry[S-B06],MATCH(1, (DataEntry[S-U03]="Tri 2") * ($B$13=DataEntry[S-U04])*($C14=DataEntry[S-U05]),0))-INDEX(DataEntry[S-B08],MATCH(1, (DataEntry[S-U03]="Tri 2") * ($B$13=DataEntry[S-U04])*($C14=DataEntry[S-U05]),0))</f>
        <v>5180.4399999999996</v>
      </c>
      <c r="H14" s="575" cm="1">
        <f t="array" ref="H14">INDEX(DataEntry[E-E11],MATCH(1, (DataEntry[S-U03]="Tri 2") * ($B$13=DataEntry[S-U04])*($C14=DataEntry[S-U05]),0))</f>
        <v>0</v>
      </c>
      <c r="I14" s="459" cm="1">
        <f t="array" ref="I14">INDEX(DataEntry[E-E06],MATCH(1, (DataEntry[S-U03]="Tri 2") * ($B$13=DataEntry[S-U04])*($C14=DataEntry[S-U05]),0))-INDEX(DataEntry[E-E11],MATCH(1, (DataEntry[S-U03]="Tri 2") * ($B$13=DataEntry[S-U04])*($C14=DataEntry[S-U05]),0))</f>
        <v>6.9</v>
      </c>
      <c r="J14" s="575" cm="1">
        <f t="array" ref="J14">INDEX(DataEntry[G-G11],MATCH(1, (DataEntry[S-U03]="Tri 2") * ($B$13=DataEntry[S-U04])*($C14=DataEntry[S-U05]),0))</f>
        <v>0</v>
      </c>
      <c r="K14" s="459" cm="1">
        <f t="array" ref="K14">INDEX(DataEntry[G-G06],MATCH(1, (DataEntry[S-U03]="Tri 2") * ($B$13=DataEntry[S-U04])*($C14=DataEntry[S-U05]),0))-INDEX(DataEntry[G-G11],MATCH(1, (DataEntry[S-U03]="Tri 2") * ($B$13=DataEntry[S-U04])*($C14=DataEntry[S-U05]),0))</f>
        <v>0</v>
      </c>
      <c r="Q14" s="320"/>
    </row>
    <row r="15" spans="2:17">
      <c r="B15" s="1376" t="s">
        <v>130</v>
      </c>
      <c r="C15" s="826" t="s">
        <v>156</v>
      </c>
      <c r="D15" s="1217" cm="1">
        <f t="array" ref="D15">INDEX(DataEntry[S-P07],MATCH(1, (DataEntry[S-U03]="Tri 2") * ($B$15=DataEntry[S-U04])*("Moderate Income Weatherization"=DataEntry[S-U05]),0))</f>
        <v>0</v>
      </c>
      <c r="E15" s="1218" cm="1">
        <f t="array" ref="E15">INDEX(DataEntry[S-P04],MATCH(1, (DataEntry[S-U03]="Tri 2") * ($B$15=DataEntry[S-U04])*("Moderate Income Weatherization"=DataEntry[S-U05]),0))-INDEX(DataEntry[S-P07],MATCH(1, (DataEntry[S-U03]="Tri 2") * ($B$15=DataEntry[S-U04])*("Moderate Income Weatherization"=DataEntry[S-U05]),0))</f>
        <v>0</v>
      </c>
      <c r="F15" s="573" cm="1">
        <f t="array" ref="F15">INDEX(DataEntry[S-B08],MATCH(1, (DataEntry[S-U03]="Tri 2") * ($B$15=DataEntry[S-U04])*("Moderate Income Weatherization"=DataEntry[S-U05]),0))</f>
        <v>0</v>
      </c>
      <c r="G15" s="1219" cm="1">
        <f t="array" ref="G15">INDEX(DataEntry[S-B06],MATCH(1, (DataEntry[S-U03]="Tri 2") * ($B$15=DataEntry[S-U04])*("Moderate Income Weatherization"=DataEntry[S-U05]),0))-INDEX(DataEntry[S-B08],MATCH(1, (DataEntry[S-U03]="Tri 2") * ($B$15=DataEntry[S-U04])*("Moderate Income Weatherization"=DataEntry[S-U05]),0))</f>
        <v>0</v>
      </c>
      <c r="H15" s="68" cm="1">
        <f t="array" ref="H15">INDEX(DataEntry[E-E11],MATCH(1, (DataEntry[S-U03]="Tri 2") * ($B$15=DataEntry[S-U04])*("Moderate Income Weatherization"=DataEntry[S-U05]),0))</f>
        <v>0</v>
      </c>
      <c r="I15" s="69" cm="1">
        <f t="array" ref="I15">INDEX(DataEntry[E-E06],MATCH(1, (DataEntry[S-U03]="Tri 2") * ($B$15=DataEntry[S-U04])*("Moderate Income Weatherization"=DataEntry[S-U05]),0))-INDEX(DataEntry[E-E11],MATCH(1, (DataEntry[S-U03]="Tri 2") * ($B$15=DataEntry[S-U04])*("Moderate Income Weatherization"=DataEntry[S-U05]),0))</f>
        <v>0</v>
      </c>
      <c r="J15" s="68" cm="1">
        <f t="array" ref="J15">INDEX(DataEntry[G-G11],MATCH(1, (DataEntry[S-U03]="Tri 2") * ($B$15=DataEntry[S-U04])*("Moderate Income Weatherization"=DataEntry[S-U05]),0))</f>
        <v>0</v>
      </c>
      <c r="K15" s="69" cm="1">
        <f t="array" ref="K15">INDEX(DataEntry[G-G06],MATCH(1, (DataEntry[S-U03]="Tri 2") * ($B$15=DataEntry[S-U04])*("Moderate Income Weatherization"=DataEntry[S-U05]),0))-INDEX(DataEntry[G-G11],MATCH(1, (DataEntry[S-U03]="Tri 2") * ($B$15=DataEntry[S-U04])*("Moderate Income Weatherization"=DataEntry[S-U05]),0))</f>
        <v>0</v>
      </c>
    </row>
    <row r="16" spans="2:17" ht="15" thickBot="1">
      <c r="B16" s="1377"/>
      <c r="C16" s="826" t="s">
        <v>154</v>
      </c>
      <c r="D16" s="1211"/>
      <c r="E16" s="1212"/>
      <c r="F16" s="1213"/>
      <c r="G16" s="1214"/>
      <c r="H16" s="1215"/>
      <c r="I16" s="1216"/>
      <c r="J16" s="1215"/>
      <c r="K16" s="1216"/>
    </row>
    <row r="17" spans="2:11">
      <c r="B17" s="1220" t="s">
        <v>183</v>
      </c>
      <c r="C17" s="449" t="s">
        <v>183</v>
      </c>
      <c r="D17" s="68" cm="1">
        <f t="array" ref="D17">INDEX(DataEntry[S-P07],MATCH(1, (DataEntry[S-U03]="Tri 2") * ($B$17=DataEntry[S-U04])*($C17=DataEntry[S-U05]),0))</f>
        <v>691</v>
      </c>
      <c r="E17" s="92" cm="1">
        <f t="array" ref="E17">INDEX(DataEntry[S-P04],MATCH(1, (DataEntry[S-U03]="Tri 2") * ($B$17=DataEntry[S-U04])*($C17=DataEntry[S-U05]),0))-INDEX(DataEntry[S-P07],MATCH(1, (DataEntry[S-U03]="Tri 2") * ($B$17=DataEntry[S-U04])*($C17=DataEntry[S-U05]),0))</f>
        <v>31264</v>
      </c>
      <c r="F17" s="573" cm="1">
        <f t="array" ref="F17">INDEX(DataEntry[S-B08],MATCH(1, (DataEntry[S-U03]="Tri 2") * ($B$17=DataEntry[S-U04])*($C17=DataEntry[S-U05]),0))</f>
        <v>0</v>
      </c>
      <c r="G17" s="574" cm="1">
        <f t="array" ref="G17">INDEX(DataEntry[S-B06],MATCH(1, (DataEntry[S-U03]="Tri 2") * ($B$17=DataEntry[S-U04])*($C17=DataEntry[S-U05]),0))-INDEX(DataEntry[S-B08],MATCH(1, (DataEntry[S-U03]="Tri 2") * ($B$17=DataEntry[S-U04])*($C17=DataEntry[S-U05]),0))</f>
        <v>0</v>
      </c>
      <c r="H17" s="68" cm="1">
        <f t="array" ref="H17">INDEX(DataEntry[E-E11],MATCH(1, (DataEntry[S-U03]="Tri 2") * ($B$17=DataEntry[S-U04])*($C17=DataEntry[S-U05]),0))</f>
        <v>10.875</v>
      </c>
      <c r="I17" s="69" cm="1">
        <f t="array" ref="I17">INDEX(DataEntry[E-E06],MATCH(1, (DataEntry[S-U03]="Tri 2") * ($B$17=DataEntry[S-U04])*($C17=DataEntry[S-U05]),0))-INDEX(DataEntry[E-E11],MATCH(1, (DataEntry[S-U03]="Tri 2") * ($B$17=DataEntry[S-U04])*($C17=DataEntry[S-U05]),0))</f>
        <v>492.125</v>
      </c>
      <c r="J17" s="68" cm="1">
        <f t="array" ref="J17">INDEX(DataEntry[G-G11],MATCH(1, (DataEntry[S-U03]="Tri 2") * ($B$17=DataEntry[S-U04])*($C17=DataEntry[S-U05]),0))</f>
        <v>0</v>
      </c>
      <c r="K17" s="69" cm="1">
        <f t="array" ref="K17">INDEX(DataEntry[G-G06],MATCH(1, (DataEntry[S-U03]="Tri 2") * ($B$17=DataEntry[S-U04])*($C17=DataEntry[S-U05]),0))-INDEX(DataEntry[G-G11],MATCH(1, (DataEntry[S-U03]="Tri 2") * ($B$17=DataEntry[S-U04])*($C17=DataEntry[S-U05]),0))</f>
        <v>0</v>
      </c>
    </row>
    <row r="18" spans="2:11" ht="15.5" thickBot="1">
      <c r="B18" s="452" t="s">
        <v>250</v>
      </c>
      <c r="C18" s="453"/>
      <c r="D18" s="93">
        <f>SUM(D12:D17)</f>
        <v>695</v>
      </c>
      <c r="E18" s="94">
        <f>SUM(E12:E17)</f>
        <v>31352</v>
      </c>
      <c r="F18" s="95">
        <f t="shared" ref="F18:K18" si="2">SUM(F12:F17)</f>
        <v>500</v>
      </c>
      <c r="G18" s="96">
        <f t="shared" si="2"/>
        <v>9897.5999999999985</v>
      </c>
      <c r="H18" s="97">
        <f t="shared" si="2"/>
        <v>11.443</v>
      </c>
      <c r="I18" s="98">
        <f t="shared" si="2"/>
        <v>507.71</v>
      </c>
      <c r="J18" s="97">
        <f t="shared" si="2"/>
        <v>0</v>
      </c>
      <c r="K18" s="98">
        <f t="shared" si="2"/>
        <v>0</v>
      </c>
    </row>
    <row r="19" spans="2:11">
      <c r="B19" s="454"/>
      <c r="C19" s="455"/>
      <c r="D19" s="100"/>
      <c r="E19" s="101"/>
      <c r="F19" s="100"/>
      <c r="G19" s="102"/>
      <c r="H19" s="103"/>
      <c r="I19" s="104"/>
      <c r="J19" s="103"/>
      <c r="K19" s="104"/>
    </row>
    <row r="20" spans="2:11" ht="15.5" thickBot="1">
      <c r="B20" s="456" t="s">
        <v>227</v>
      </c>
      <c r="C20" s="457" t="s">
        <v>251</v>
      </c>
      <c r="D20" s="106"/>
      <c r="E20" s="107"/>
      <c r="F20" s="105"/>
      <c r="G20" s="108"/>
      <c r="H20" s="572"/>
      <c r="I20" s="80"/>
      <c r="J20" s="572"/>
      <c r="K20" s="80"/>
    </row>
    <row r="21" spans="2:11">
      <c r="B21" s="1386" t="s">
        <v>131</v>
      </c>
      <c r="C21" s="451" t="s">
        <v>629</v>
      </c>
      <c r="D21" s="84" cm="1">
        <f t="array" ref="D21">INDEX(DataEntry[S-P07],MATCH(1, ($B$21=DataEntry[S-U04])*($C21=DataEntry[S-U05])*("Tri 2"=DataEntry[S-U03]),0))</f>
        <v>0</v>
      </c>
      <c r="E21" s="85" cm="1">
        <f t="array" ref="E21">IFERROR(INDEX(DataEntry[S-P04],MATCH(1, ($B$21=DataEntry[S-U04])*($C21=DataEntry[S-U05])*("Tri 2"=DataEntry[S-U03]),0))-INDEX(DataEntry[S-P07],MATCH(1, ($B$21=DataEntry[S-U04])*($C21=DataEntry[S-U05])*("Tri 2"=DataEntry[S-U03]),0)), "N/A")</f>
        <v>0</v>
      </c>
      <c r="F21" s="86" cm="1">
        <f t="array" ref="F21">INDEX(DataEntry[S-B08],MATCH(1, ($B$21=DataEntry[S-U04])*($C21=DataEntry[S-U05])*("Tri 2"=DataEntry[S-U03]),0))</f>
        <v>0</v>
      </c>
      <c r="G21" s="87" cm="1">
        <f t="array" ref="G21">IFERROR(INDEX(DataEntry[S-B06],MATCH(1, ($B$21=DataEntry[S-U04])*($C21=DataEntry[S-U05])*("Tri 2"=DataEntry[S-U03]),0))-INDEX(DataEntry[S-B08],MATCH(1, ($B$21=DataEntry[S-U04])*($C21=DataEntry[S-U05])*("Tri 2"=DataEntry[S-U03]),0)), "N/A")</f>
        <v>0</v>
      </c>
      <c r="H21" s="88" cm="1">
        <f t="array" ref="H21">INDEX(DataEntry[E-E11],MATCH(1, ($B$21=DataEntry[S-U04])*($C21=DataEntry[S-U05])*("Tri 2"=DataEntry[S-U03]),0))</f>
        <v>0</v>
      </c>
      <c r="I21" s="70" cm="1">
        <f t="array" ref="I21">IFERROR(INDEX(DataEntry[E-E06],MATCH(1, ($B$21=DataEntry[S-U04])*($C21=DataEntry[S-U05])*("Tri 2"=DataEntry[S-U03]),0))-INDEX(DataEntry[E-E11],MATCH(1, ($B$21=DataEntry[S-U04])*($C21=DataEntry[S-U05])*("Tri 2"=DataEntry[S-U03]),0)), "N/A")</f>
        <v>0</v>
      </c>
      <c r="J21" s="88" cm="1">
        <f t="array" ref="J21">INDEX(DataEntry[G-G11],MATCH(1, ($B$21=DataEntry[S-U04])*($C21=DataEntry[S-U05])*("Tri 2"=DataEntry[S-U03]),0))</f>
        <v>0</v>
      </c>
      <c r="K21" s="70" cm="1">
        <f t="array" ref="K21">IFERROR(INDEX(DataEntry[G-G06],MATCH(1, ($B$21=DataEntry[S-U04])*($C21=DataEntry[S-U05])*("Tri 2"=DataEntry[S-U03]),0))-INDEX(DataEntry[G-G11],MATCH(1, ($B$21=DataEntry[S-U04])*($C21=DataEntry[S-U05])*("Tri 2"=DataEntry[S-U03]),0)), "N/A")</f>
        <v>0</v>
      </c>
    </row>
    <row r="22" spans="2:11" ht="15" thickBot="1">
      <c r="B22" s="1387"/>
      <c r="C22" s="613" t="s">
        <v>29</v>
      </c>
      <c r="D22" s="73" cm="1">
        <f t="array" ref="D22">INDEX(DataEntry[S-P07],MATCH(1, ($B$21=DataEntry[S-U04])*($C22=DataEntry[S-U05])*("Tri 2"=DataEntry[S-U03]),0))</f>
        <v>0</v>
      </c>
      <c r="E22" s="70" cm="1">
        <f t="array" ref="E22">IFERROR(INDEX(DataEntry[S-P04],MATCH(1, ($B$21=DataEntry[S-U04])*($C22=DataEntry[S-U05])*("Tri 2"=DataEntry[S-U03]),0))-INDEX(DataEntry[S-P07],MATCH(1, ($B$21=DataEntry[S-U04])*($C22=DataEntry[S-U05])*("Tri 2"=DataEntry[S-U03]),0)), "N/A")</f>
        <v>0</v>
      </c>
      <c r="F22" s="75" cm="1">
        <f t="array" ref="F22">INDEX(DataEntry[S-B08],MATCH(1, ($B$21=DataEntry[S-U04])*($C22=DataEntry[S-U05])*("Tri 2"=DataEntry[S-U03]),0))</f>
        <v>0</v>
      </c>
      <c r="G22" s="78" cm="1">
        <f t="array" ref="G22">IFERROR(INDEX(DataEntry[S-B06],MATCH(1, ($B$21=DataEntry[S-U04])*($C22=DataEntry[S-U05])*("Tri 2"=DataEntry[S-U03]),0))-INDEX(DataEntry[S-B08],MATCH(1, ($B$21=DataEntry[S-U04])*($C22=DataEntry[S-U05])*("Tri 2"=DataEntry[S-U03]),0)), "N/A")</f>
        <v>0</v>
      </c>
      <c r="H22" s="73" cm="1">
        <f t="array" ref="H22">INDEX(DataEntry[E-E11],MATCH(1, ($B$21=DataEntry[S-U04])*($C22=DataEntry[S-U05])*("Tri 2"=DataEntry[S-U03]),0))</f>
        <v>0</v>
      </c>
      <c r="I22" s="70" cm="1">
        <f t="array" ref="I22">IFERROR(INDEX(DataEntry[E-E06],MATCH(1, ($B$21=DataEntry[S-U04])*($C22=DataEntry[S-U05])*("Tri 2"=DataEntry[S-U03]),0))-INDEX(DataEntry[E-E11],MATCH(1, ($B$21=DataEntry[S-U04])*($C22=DataEntry[S-U05])*("Tri 2"=DataEntry[S-U03]),0)), "N/A")</f>
        <v>0</v>
      </c>
      <c r="J22" s="73" cm="1">
        <f t="array" ref="J22">INDEX(DataEntry[G-G11],MATCH(1, ($B$21=DataEntry[S-U04])*($C22=DataEntry[S-U05])*("Tri 2"=DataEntry[S-U03]),0))</f>
        <v>0</v>
      </c>
      <c r="K22" s="70" cm="1">
        <f t="array" ref="K22">IFERROR(INDEX(DataEntry[G-G06],MATCH(1, ($B$21=DataEntry[S-U04])*($C22=DataEntry[S-U05])*("Tri 2"=DataEntry[S-U03]),0))-INDEX(DataEntry[G-G11],MATCH(1, ($B$21=DataEntry[S-U04])*($C22=DataEntry[S-U05])*("Tri 2"=DataEntry[S-U03]),0)), "N/A")</f>
        <v>0</v>
      </c>
    </row>
    <row r="23" spans="2:11" ht="15" thickBot="1">
      <c r="B23" s="100"/>
      <c r="C23" s="99"/>
      <c r="D23" s="100"/>
      <c r="E23" s="101"/>
      <c r="F23" s="100"/>
      <c r="G23" s="102"/>
      <c r="H23" s="103"/>
      <c r="I23" s="104"/>
      <c r="J23" s="103"/>
      <c r="K23" s="104"/>
    </row>
    <row r="24" spans="2:11">
      <c r="B24" s="1355" t="s">
        <v>984</v>
      </c>
      <c r="C24" s="522" t="s">
        <v>965</v>
      </c>
      <c r="D24" s="84" cm="1">
        <f t="array" ref="D24">INDEX(DataEntry[S-P07],MATCH(1, ($C$24=DataEntry[S-U04])*(""&lt;&gt;DataEntry[S-U05])*("Tri 2"=DataEntry[S-U03]),0))</f>
        <v>46</v>
      </c>
      <c r="E24" s="85" cm="1">
        <f t="array" ref="E24">IFERROR(INDEX(DataEntry[S-P04],MATCH(1, ($C$24=DataEntry[S-U04])*(""&lt;&gt;DataEntry[S-U05])*("Tri 2"=DataEntry[S-U03]),0))-INDEX(DataEntry[S-P07],MATCH(1, ($C$24=DataEntry[S-U04])*(""&lt;&gt;DataEntry[S-U05])*("Tri 2"=DataEntry[S-U03]),0)), "N/A")</f>
        <v>2065</v>
      </c>
      <c r="F24" s="86" cm="1">
        <f t="array" ref="F24">INDEX(DataEntry[S-B08],MATCH(1, ($C$24=DataEntry[S-U04])*(""&lt;&gt;DataEntry[S-U05])*("Tri 2"=DataEntry[S-U03]),0))</f>
        <v>0</v>
      </c>
      <c r="G24" s="87" cm="1">
        <f t="array" ref="G24">IFERROR(INDEX(DataEntry[S-B06],MATCH(1, ($C$24=DataEntry[S-U04])*(""&lt;&gt;DataEntry[S-U05])*("Tri 2"=DataEntry[S-U03]),0))-INDEX(DataEntry[S-B08],MATCH(1, ($C$24=DataEntry[S-U04])*(""&lt;&gt;DataEntry[S-U05])*("Tri 2"=DataEntry[S-U03]),0)), "N/A")</f>
        <v>0</v>
      </c>
      <c r="H24" s="88" t="e" cm="1">
        <f t="array" ref="H24">INDEX(DataEntry[E-E11],MATCH(1, ($B$21=DataEntry[S-U04])*($C24=DataEntry[S-U05])*("Tri 2"=DataEntry[S-U03]),0))</f>
        <v>#N/A</v>
      </c>
      <c r="I24" s="70" t="str" cm="1">
        <f t="array" ref="I24">IFERROR(INDEX(DataEntry[E-E06],MATCH(1, ($B$21=DataEntry[S-U04])*($C24=DataEntry[S-U05])*("Tri 2"=DataEntry[S-U03]),0))-INDEX(DataEntry[E-E11],MATCH(1, ($B$21=DataEntry[S-U04])*($C24=DataEntry[S-U05])*("Tri 2"=DataEntry[S-U03]),0)), "N/A")</f>
        <v>N/A</v>
      </c>
      <c r="J24" s="1278"/>
      <c r="K24" s="1279"/>
    </row>
    <row r="25" spans="2:11" ht="15" thickBot="1">
      <c r="B25" s="1356"/>
      <c r="C25" s="522" t="s">
        <v>132</v>
      </c>
      <c r="D25" s="73">
        <f>RECO_BD!L5</f>
        <v>0</v>
      </c>
      <c r="E25" s="70">
        <f>RECO_BD!I5-D25</f>
        <v>1</v>
      </c>
      <c r="F25" s="75" t="e" cm="1">
        <f t="array" ref="F25">INDEX(DataEntry[S-B08],MATCH(1, ($C$25=DataEntry[S-U04])*(""&lt;&gt;DataEntry[S-U05])*("Tri 2"=DataEntry[S-U03]),0))</f>
        <v>#N/A</v>
      </c>
      <c r="G25" s="78" t="str" cm="1">
        <f t="array" ref="G25">IFERROR(INDEX(DataEntry[S-B06],MATCH(1, ($C$25=DataEntry[S-U04])*(""&lt;&gt;DataEntry[S-U05])*("Tri 2"=DataEntry[S-U03]),0))-INDEX(DataEntry[S-B08],MATCH(1, ($C$25=DataEntry[S-U04])*(""&lt;&gt;DataEntry[S-U05])*("Tri 2"=DataEntry[S-U03]),0)), "N/A")</f>
        <v>N/A</v>
      </c>
      <c r="H25" s="73" t="e" cm="1">
        <f t="array" ref="H25">INDEX(DataEntry[E-E11],MATCH(1, ($B$21=DataEntry[S-U04])*($C25=DataEntry[S-U05])*("Tri 2"=DataEntry[S-U03]),0))</f>
        <v>#N/A</v>
      </c>
      <c r="I25" s="70" t="str" cm="1">
        <f t="array" ref="I25">IFERROR(INDEX(DataEntry[E-E06],MATCH(1, ($B$21=DataEntry[S-U04])*($C25=DataEntry[S-U05])*("Tri 2"=DataEntry[S-U03]),0))-INDEX(DataEntry[E-E11],MATCH(1, ($B$21=DataEntry[S-U04])*($C25=DataEntry[S-U05])*("Tri 2"=DataEntry[S-U03]),0)), "N/A")</f>
        <v>N/A</v>
      </c>
      <c r="J25" s="1278"/>
      <c r="K25" s="1279"/>
    </row>
    <row r="26" spans="2:11" ht="29.5" thickBot="1">
      <c r="B26" s="1008" t="s">
        <v>986</v>
      </c>
      <c r="C26" s="1005" t="s">
        <v>91</v>
      </c>
      <c r="D26" s="68" cm="1">
        <f t="array" ref="D26">INDEX(DataEntry[S-P07],MATCH(1, (DataEntry[S-U03]="Tri 2") * ($C$26=DataEntry[S-U04])*(""&lt;&gt;DataEntry[S-U05]),0))</f>
        <v>11</v>
      </c>
      <c r="E26" s="92" cm="1">
        <f t="array" ref="E26">INDEX(DataEntry[S-P04],MATCH(1, (DataEntry[S-U03]="Tri 2") * ($C$26=DataEntry[S-U04])*(""&lt;&gt;DataEntry[S-U05]),0))-INDEX(DataEntry[S-P07],MATCH(1, (DataEntry[S-U03]="Tri 2") * ($C$26=DataEntry[S-U04])*(""&lt;&gt;DataEntry[S-U05]),0))</f>
        <v>0</v>
      </c>
      <c r="F26" s="573" cm="1">
        <f t="array" ref="F26">INDEX(DataEntry[S-B08],MATCH(1, (DataEntry[S-U03]="Tri 2") * ($C$26=DataEntry[S-U04])*(""&lt;&gt;DataEntry[S-U05]),0))</f>
        <v>28201.83</v>
      </c>
      <c r="G26" s="574" cm="1">
        <f t="array" ref="G26">INDEX(DataEntry[S-B06],MATCH(1, (DataEntry[S-U03]="Tri 2") * ($C$26=DataEntry[S-U04])*(""&lt;&gt;DataEntry[S-U05]),0))-INDEX(DataEntry[S-B08],MATCH(1, (DataEntry[S-U03]="Tri 2") * ($C$26=DataEntry[S-U04])*(""&lt;&gt;DataEntry[S-U05]),0))</f>
        <v>0</v>
      </c>
      <c r="H26" s="68" cm="1">
        <f t="array" ref="H26">INDEX(DataEntry[E-E11],MATCH(1, (DataEntry[S-U03]="Tri 2") * ($C$26=DataEntry[S-U04])*(""&lt;&gt;DataEntry[S-U05]),0))</f>
        <v>13.641</v>
      </c>
      <c r="I26" s="69" cm="1">
        <f t="array" ref="I26">INDEX(DataEntry[E-E06],MATCH(1, (DataEntry[S-U03]="Tri 2") * ($C$26=DataEntry[S-U04])*(""&lt;&gt;DataEntry[S-U05]),0))-INDEX(DataEntry[E-E11],MATCH(1, (DataEntry[S-U03]="Tri 2") * ($C$26=DataEntry[S-U04])*(""&lt;&gt;DataEntry[S-U05]),0))</f>
        <v>0</v>
      </c>
      <c r="J26" s="1278"/>
      <c r="K26" s="1279"/>
    </row>
    <row r="27" spans="2:11" ht="15.5" thickBot="1">
      <c r="B27" s="109" t="s">
        <v>252</v>
      </c>
      <c r="C27" s="110"/>
      <c r="D27" s="111">
        <f>SUM(D21:D22,D18,D24,D25,D26)</f>
        <v>752</v>
      </c>
      <c r="E27" s="111">
        <f>SUM(E21:E22,E18,E24,E25,E26)</f>
        <v>33418</v>
      </c>
      <c r="F27" s="112">
        <f>SUM(F21:F22,F18,F26)</f>
        <v>28701.83</v>
      </c>
      <c r="G27" s="113">
        <f>SUM(G21:G22,G18,G25,G26)</f>
        <v>9897.5999999999985</v>
      </c>
      <c r="H27" s="114">
        <f>SUM(H21:H22,H18,H26)</f>
        <v>25.084</v>
      </c>
      <c r="I27" s="115">
        <f>SUM(I21:I22,I18,I26)</f>
        <v>507.71</v>
      </c>
      <c r="J27" s="114">
        <f t="shared" ref="J27:K27" si="3">SUM(J21:J22,J18)</f>
        <v>0</v>
      </c>
      <c r="K27" s="115">
        <f t="shared" si="3"/>
        <v>0</v>
      </c>
    </row>
    <row r="28" spans="2:11" ht="15">
      <c r="B28" s="1375" t="s">
        <v>253</v>
      </c>
      <c r="C28" s="1375"/>
      <c r="D28" s="1375"/>
      <c r="E28" s="1375"/>
      <c r="F28" s="1375"/>
      <c r="G28" s="1375"/>
      <c r="H28" s="1375"/>
      <c r="I28" s="1375"/>
      <c r="J28" s="116"/>
    </row>
    <row r="29" spans="2:11" ht="15">
      <c r="B29" s="54" t="s">
        <v>254</v>
      </c>
      <c r="C29" s="54"/>
      <c r="D29" s="54"/>
      <c r="E29" s="54"/>
      <c r="F29" s="54"/>
      <c r="G29" s="54"/>
      <c r="H29" s="54"/>
      <c r="I29" s="55"/>
      <c r="J29" s="54"/>
    </row>
    <row r="30" spans="2:11" ht="15">
      <c r="B30" s="117" t="s">
        <v>977</v>
      </c>
      <c r="C30" s="117"/>
      <c r="D30" s="117"/>
      <c r="E30" s="117"/>
      <c r="F30" s="117"/>
      <c r="G30" s="117"/>
      <c r="H30" s="117"/>
      <c r="I30" s="118"/>
      <c r="J30" s="54"/>
    </row>
    <row r="31" spans="2:11">
      <c r="B31" s="218"/>
    </row>
  </sheetData>
  <mergeCells count="16">
    <mergeCell ref="B28:I28"/>
    <mergeCell ref="B13:B14"/>
    <mergeCell ref="D3:E3"/>
    <mergeCell ref="F3:G3"/>
    <mergeCell ref="H3:I3"/>
    <mergeCell ref="D5:E5"/>
    <mergeCell ref="F5:G5"/>
    <mergeCell ref="H5:I5"/>
    <mergeCell ref="B21:B22"/>
    <mergeCell ref="B15:B16"/>
    <mergeCell ref="B24:B25"/>
    <mergeCell ref="J3:K3"/>
    <mergeCell ref="J5:K5"/>
    <mergeCell ref="E1:G1"/>
    <mergeCell ref="B3:C5"/>
    <mergeCell ref="B7:B12"/>
  </mergeCells>
  <pageMargins left="0.7" right="0.7" top="0.75" bottom="0.75" header="0.3" footer="0.3"/>
  <pageSetup orientation="portrait" r:id="rId1"/>
  <headerFooter>
    <oddFooter>&amp;C_x000D_&amp;1#&amp;"Calibri"&amp;22&amp;K0073CF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640fdd7-e3e9-4b33-b4ff-9ab203a7e4a5" xsi:nil="true"/>
    <lcf76f155ced4ddcb4097134ff3c332f xmlns="67f4faaa-98e4-4c64-b600-a96b0554d0c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65E26D29C6A204E8099981F1DB64922" ma:contentTypeVersion="14" ma:contentTypeDescription="Create a new document." ma:contentTypeScope="" ma:versionID="d3a36f1c610d98cc798d4c7c6fe7352e">
  <xsd:schema xmlns:xsd="http://www.w3.org/2001/XMLSchema" xmlns:xs="http://www.w3.org/2001/XMLSchema" xmlns:p="http://schemas.microsoft.com/office/2006/metadata/properties" xmlns:ns2="67f4faaa-98e4-4c64-b600-a96b0554d0cd" xmlns:ns3="1640fdd7-e3e9-4b33-b4ff-9ab203a7e4a5" targetNamespace="http://schemas.microsoft.com/office/2006/metadata/properties" ma:root="true" ma:fieldsID="31ed70180d3358f50c0df347e63b2672" ns2:_="" ns3:_="">
    <xsd:import namespace="67f4faaa-98e4-4c64-b600-a96b0554d0cd"/>
    <xsd:import namespace="1640fdd7-e3e9-4b33-b4ff-9ab203a7e4a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f4faaa-98e4-4c64-b600-a96b0554d0c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c81b0449-a7ed-439f-be55-0163d7004e4f"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640fdd7-e3e9-4b33-b4ff-9ab203a7e4a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06f28d35-2e07-418d-9d0c-6ac1b28d981c}" ma:internalName="TaxCatchAll" ma:showField="CatchAllData" ma:web="1640fdd7-e3e9-4b33-b4ff-9ab203a7e4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EE4325-9230-4943-9FCB-8292F1771209}">
  <ds:schemaRefs>
    <ds:schemaRef ds:uri="http://schemas.microsoft.com/office/2006/metadata/properties"/>
    <ds:schemaRef ds:uri="http://schemas.microsoft.com/office/infopath/2007/PartnerControls"/>
    <ds:schemaRef ds:uri="7c33e612-44e9-4e6b-bff0-ba42ba403d31"/>
    <ds:schemaRef ds:uri="7534ec1c-fe53-4f55-9b45-e86a32b6b2a8"/>
  </ds:schemaRefs>
</ds:datastoreItem>
</file>

<file path=customXml/itemProps2.xml><?xml version="1.0" encoding="utf-8"?>
<ds:datastoreItem xmlns:ds="http://schemas.openxmlformats.org/officeDocument/2006/customXml" ds:itemID="{FA8A853B-1AA2-439D-8069-9B02AD1250CB}">
  <ds:schemaRefs>
    <ds:schemaRef ds:uri="http://schemas.microsoft.com/sharepoint/v3/contenttype/forms"/>
  </ds:schemaRefs>
</ds:datastoreItem>
</file>

<file path=customXml/itemProps3.xml><?xml version="1.0" encoding="utf-8"?>
<ds:datastoreItem xmlns:ds="http://schemas.openxmlformats.org/officeDocument/2006/customXml" ds:itemID="{2C5418C0-3D52-45E6-9FBF-AEA139FD2EAE}"/>
</file>

<file path=docMetadata/LabelInfo.xml><?xml version="1.0" encoding="utf-8"?>
<clbl:labelList xmlns:clbl="http://schemas.microsoft.com/office/2020/mipLabelMetadata">
  <clbl:label id="{91735711-3074-40fb-abee-245951e65a67}" enabled="1" method="Standard" siteId="{490bf92a-5045-4d52-9812-6b2f8bf300da}"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2</vt:i4>
      </vt:variant>
    </vt:vector>
  </HeadingPairs>
  <TitlesOfParts>
    <vt:vector size="29" baseType="lpstr">
      <vt:lpstr>Ap A - Participant Def</vt:lpstr>
      <vt:lpstr>Table 1</vt:lpstr>
      <vt:lpstr>Table 2</vt:lpstr>
      <vt:lpstr>Tables 3-6</vt:lpstr>
      <vt:lpstr>Table 7 </vt:lpstr>
      <vt:lpstr>Table 8</vt:lpstr>
      <vt:lpstr>Ap B - Qtr Electric Master</vt:lpstr>
      <vt:lpstr>Ap B - Participant Spend</vt:lpstr>
      <vt:lpstr>Ap C- Qtr Electric LMI</vt:lpstr>
      <vt:lpstr>AP D - Qtr Electric Business</vt:lpstr>
      <vt:lpstr>Ap B - Qtr Gas Master</vt:lpstr>
      <vt:lpstr>Ap E - NJ CEA Benchmarks</vt:lpstr>
      <vt:lpstr>Ap F Net Transfers</vt:lpstr>
      <vt:lpstr>Ap G Additional</vt:lpstr>
      <vt:lpstr>AP H -CostTest</vt:lpstr>
      <vt:lpstr>Ap I Prog Chg</vt:lpstr>
      <vt:lpstr>Ap J QPI</vt:lpstr>
      <vt:lpstr>QPI Table Work up</vt:lpstr>
      <vt:lpstr>Verification</vt:lpstr>
      <vt:lpstr>JCPL_Formula</vt:lpstr>
      <vt:lpstr>JCPL_Match</vt:lpstr>
      <vt:lpstr>Other_Outputs</vt:lpstr>
      <vt:lpstr>RECO</vt:lpstr>
      <vt:lpstr>RECO_BD</vt:lpstr>
      <vt:lpstr>Metrics</vt:lpstr>
      <vt:lpstr>H_Factors</vt:lpstr>
      <vt:lpstr>Lookup_Sheet</vt:lpstr>
      <vt:lpstr>CO2pergasMMBtu</vt:lpstr>
      <vt:lpstr>MMBTUperMWH</vt:lpstr>
    </vt:vector>
  </TitlesOfParts>
  <Manager/>
  <Company>FirstEnergy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Goss, Megan E</dc:creator>
  <cp:keywords/>
  <dc:description/>
  <cp:lastModifiedBy>Madnick, Philip</cp:lastModifiedBy>
  <cp:revision/>
  <dcterms:created xsi:type="dcterms:W3CDTF">2022-10-06T16:55:06Z</dcterms:created>
  <dcterms:modified xsi:type="dcterms:W3CDTF">2026-01-08T00:56:38Z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0x010100165E26D29C6A204E8099981F1DB64922</vt:lpwstr>
  </property>
  <property fmtid="{D5CDD505-2E9C-101B-9397-08002B2CF9AE}" pid="3" name="MediaServiceImageTags">
    <vt:lpwstr/>
  </property>
  <property fmtid="{D5CDD505-2E9C-101B-9397-08002B2CF9AE}" pid="4" name="MSIP_Label_c80150e9-b158-425e-97d7-738cc28226d7_Enabled">
    <vt:lpwstr>true</vt:lpwstr>
  </property>
  <property fmtid="{D5CDD505-2E9C-101B-9397-08002B2CF9AE}" pid="5" name="MSIP_Label_c80150e9-b158-425e-97d7-738cc28226d7_SetDate">
    <vt:lpwstr>2025-05-21T00:19:12Z</vt:lpwstr>
  </property>
  <property fmtid="{D5CDD505-2E9C-101B-9397-08002B2CF9AE}" pid="6" name="MSIP_Label_c80150e9-b158-425e-97d7-738cc28226d7_Method">
    <vt:lpwstr>Standard</vt:lpwstr>
  </property>
  <property fmtid="{D5CDD505-2E9C-101B-9397-08002B2CF9AE}" pid="7" name="MSIP_Label_c80150e9-b158-425e-97d7-738cc28226d7_Name">
    <vt:lpwstr>Internal - Privacy</vt:lpwstr>
  </property>
  <property fmtid="{D5CDD505-2E9C-101B-9397-08002B2CF9AE}" pid="8" name="MSIP_Label_c80150e9-b158-425e-97d7-738cc28226d7_SiteId">
    <vt:lpwstr>e9aef9b7-25ca-4518-a881-33e546773136</vt:lpwstr>
  </property>
  <property fmtid="{D5CDD505-2E9C-101B-9397-08002B2CF9AE}" pid="9" name="MSIP_Label_c80150e9-b158-425e-97d7-738cc28226d7_ActionId">
    <vt:lpwstr>ccd87ae5-3f57-411d-9b2a-ae121034a4ac</vt:lpwstr>
  </property>
  <property fmtid="{D5CDD505-2E9C-101B-9397-08002B2CF9AE}" pid="10" name="MSIP_Label_c80150e9-b158-425e-97d7-738cc28226d7_ContentBits">
    <vt:lpwstr>2</vt:lpwstr>
  </property>
  <property fmtid="{D5CDD505-2E9C-101B-9397-08002B2CF9AE}" pid="11" name="MSIP_Label_c80150e9-b158-425e-97d7-738cc28226d7_Tag">
    <vt:lpwstr>10, 3, 0, 1</vt:lpwstr>
  </property>
</Properties>
</file>