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 me" sheetId="1" state="visible" r:id="rId1"/>
    <sheet name="Plan sections" sheetId="2" state="visible" r:id="rId2"/>
    <sheet name="Startup budget" sheetId="3" state="visible" r:id="rId3"/>
    <sheet name="Sample forecast" sheetId="4" state="visible" r:id="rId4"/>
    <sheet name="Your forecast" sheetId="5" state="visible" r:id="rId5"/>
  </sheets>
  <definedNames>
    <definedName name="_xlnm.Print_Titles" localSheetId="1">'Plan sections'!$3:$3</definedName>
    <definedName name="_xlnm.Print_Titles" localSheetId="2">'Startup budget'!$4:$4</definedName>
    <definedName name="_xlnm.Print_Area" localSheetId="3">'Sample forecast'!$A$1:$N$85</definedName>
    <definedName name="_xlnm.Print_Area" localSheetId="4">'Your forecast'!$A$1:$N$85</definedName>
  </definedNames>
  <calcPr calcId="124519" fullCalcOnLoad="1"/>
</workbook>
</file>

<file path=xl/styles.xml><?xml version="1.0" encoding="utf-8"?>
<styleSheet xmlns="http://schemas.openxmlformats.org/spreadsheetml/2006/main">
  <numFmts count="5">
    <numFmt numFmtId="164" formatCode="&quot;$&quot;#,##0;[Red]-&quot;$&quot;#,##0"/>
    <numFmt numFmtId="165" formatCode="&quot;$&quot;#,##0.00"/>
    <numFmt numFmtId="166" formatCode="0.0%"/>
    <numFmt numFmtId="167" formatCode="0.00&quot;x&quot;"/>
    <numFmt numFmtId="168" formatCode="&quot;$&quot;#,##0;[Red]-&quot;$&quot;#,##0;&quot;-&quot;"/>
  </numFmts>
  <fonts count="10">
    <font>
      <name val="Calibri"/>
      <family val="2"/>
      <color theme="1"/>
      <sz val="11"/>
      <scheme val="minor"/>
    </font>
    <font>
      <b val="1"/>
      <sz val="14"/>
    </font>
    <font>
      <i val="1"/>
      <color rgb="005A5560"/>
    </font>
    <font>
      <b val="1"/>
    </font>
    <font>
      <b val="1"/>
      <color rgb="00FFFFFF"/>
    </font>
    <font>
      <name val="Calibri"/>
      <b val="1"/>
      <sz val="14"/>
    </font>
    <font>
      <name val="Calibri"/>
      <color rgb="005A5560"/>
      <sz val="11"/>
    </font>
    <font>
      <name val="Calibri"/>
      <b val="1"/>
      <color rgb="00FFFFFF"/>
      <sz val="11"/>
    </font>
    <font>
      <name val="Calibri"/>
      <sz val="11"/>
    </font>
    <font>
      <name val="Calibri"/>
      <b val="1"/>
      <sz val="11"/>
    </font>
  </fonts>
  <fills count="5">
    <fill>
      <patternFill/>
    </fill>
    <fill>
      <patternFill patternType="gray125"/>
    </fill>
    <fill>
      <patternFill patternType="solid">
        <fgColor rgb="002B2230"/>
      </patternFill>
    </fill>
    <fill>
      <patternFill patternType="solid">
        <fgColor rgb="00FFF4CC"/>
      </patternFill>
    </fill>
    <fill>
      <patternFill patternType="solid">
        <fgColor rgb="00EFE7DA"/>
      </patternFill>
    </fill>
  </fills>
  <borders count="3">
    <border>
      <left/>
      <right/>
      <top/>
      <bottom/>
      <diagonal/>
    </border>
    <border>
      <left style="thin">
        <color rgb="00D8D0C4"/>
      </left>
      <right style="thin">
        <color rgb="00D8D0C4"/>
      </right>
      <top style="thin">
        <color rgb="00D8D0C4"/>
      </top>
      <bottom style="thin">
        <color rgb="00D8D0C4"/>
      </bottom>
    </border>
    <border>
      <left style="thin">
        <color rgb="00C9C2B8"/>
      </left>
      <right style="thin">
        <color rgb="00C9C2B8"/>
      </right>
      <top style="thin">
        <color rgb="00C9C2B8"/>
      </top>
      <bottom style="thin">
        <color rgb="00C9C2B8"/>
      </bottom>
    </border>
  </borders>
  <cellStyleXfs count="1">
    <xf numFmtId="0" fontId="0" fillId="0" borderId="0"/>
  </cellStyleXfs>
  <cellXfs count="5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wrapText="1"/>
    </xf>
    <xf numFmtId="0" fontId="3" fillId="0" borderId="0" applyAlignment="1" pivotButton="0" quotePrefix="0" xfId="0">
      <alignment vertical="top" wrapText="1"/>
    </xf>
    <xf numFmtId="0" fontId="1" fillId="0" borderId="0" pivotButton="0" quotePrefix="0" xfId="0"/>
    <xf numFmtId="0" fontId="4" fillId="2" borderId="0" applyAlignment="1" pivotButton="0" quotePrefix="0" xfId="0">
      <alignment vertical="center" wrapText="1"/>
    </xf>
    <xf numFmtId="0" fontId="3" fillId="0" borderId="0" pivotButton="0" quotePrefix="0" xfId="0"/>
    <xf numFmtId="0" fontId="0" fillId="3" borderId="0" applyAlignment="1" pivotButton="0" quotePrefix="0" xfId="0">
      <alignment vertical="top" wrapText="1"/>
    </xf>
    <xf numFmtId="0" fontId="2" fillId="0" borderId="0" pivotButton="0" quotePrefix="0" xfId="0"/>
    <xf numFmtId="164" fontId="0" fillId="0" borderId="0" pivotButton="0" quotePrefix="0" xfId="0"/>
    <xf numFmtId="164" fontId="0" fillId="3" borderId="1" pivotButton="0" quotePrefix="0" xfId="0"/>
    <xf numFmtId="0" fontId="0" fillId="3" borderId="1" pivotButton="0" quotePrefix="0" xfId="0"/>
    <xf numFmtId="164" fontId="0" fillId="4" borderId="0" pivotButton="0" quotePrefix="0" xfId="0"/>
    <xf numFmtId="3" fontId="0" fillId="3" borderId="1" pivotButton="0" quotePrefix="0" xfId="0"/>
    <xf numFmtId="165" fontId="0" fillId="3" borderId="1" pivotButton="0" quotePrefix="0" xfId="0"/>
    <xf numFmtId="164" fontId="0" fillId="0" borderId="1" pivotButton="0" quotePrefix="0" xfId="0"/>
    <xf numFmtId="166" fontId="0" fillId="3" borderId="1" pivotButton="0" quotePrefix="0" xfId="0"/>
    <xf numFmtId="10" fontId="0" fillId="3" borderId="1" pivotButton="0" quotePrefix="0" xfId="0"/>
    <xf numFmtId="9" fontId="0" fillId="3" borderId="1" pivotButton="0" quotePrefix="0" xfId="0"/>
    <xf numFmtId="164" fontId="0" fillId="4" borderId="1" pivotButton="0" quotePrefix="0" xfId="0"/>
    <xf numFmtId="166" fontId="0" fillId="4" borderId="1" pivotButton="0" quotePrefix="0" xfId="0"/>
    <xf numFmtId="167" fontId="0" fillId="4" borderId="1" pivotButton="0" quotePrefix="0" xfId="0"/>
    <xf numFmtId="3" fontId="0" fillId="4"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xf numFmtId="0" fontId="9" fillId="0" borderId="0" applyAlignment="1" pivotButton="0" quotePrefix="0" xfId="0">
      <alignment vertical="top" wrapText="1"/>
    </xf>
    <xf numFmtId="0" fontId="8" fillId="0" borderId="0" applyAlignment="1" pivotButton="0" quotePrefix="0" xfId="0">
      <alignment vertical="top" wrapText="1"/>
    </xf>
    <xf numFmtId="0" fontId="5" fillId="0" borderId="0" pivotButton="0" quotePrefix="0" xfId="0"/>
    <xf numFmtId="0" fontId="7" fillId="2" borderId="0" applyAlignment="1" pivotButton="0" quotePrefix="0" xfId="0">
      <alignment vertical="center" wrapText="1"/>
    </xf>
    <xf numFmtId="0" fontId="8" fillId="3" borderId="2" applyAlignment="1" pivotButton="0" quotePrefix="0" xfId="0">
      <alignment vertical="top" wrapText="1"/>
    </xf>
    <xf numFmtId="0" fontId="6" fillId="0" borderId="0" pivotButton="0" quotePrefix="0" xfId="0"/>
    <xf numFmtId="168" fontId="8" fillId="0" borderId="0" applyAlignment="1" pivotButton="0" quotePrefix="0" xfId="0">
      <alignment vertical="top"/>
    </xf>
    <xf numFmtId="168" fontId="8" fillId="3" borderId="2" applyAlignment="1" pivotButton="0" quotePrefix="0" xfId="0">
      <alignment vertical="top"/>
    </xf>
    <xf numFmtId="168" fontId="8" fillId="0" borderId="2" applyAlignment="1" pivotButton="0" quotePrefix="0" xfId="0">
      <alignment vertical="top"/>
    </xf>
    <xf numFmtId="168" fontId="8" fillId="4" borderId="0" applyAlignment="1" pivotButton="0" quotePrefix="0" xfId="0">
      <alignment vertical="top"/>
    </xf>
    <xf numFmtId="0" fontId="8" fillId="0" borderId="0" pivotButton="0" quotePrefix="0" xfId="0"/>
    <xf numFmtId="3" fontId="8" fillId="3" borderId="2" pivotButton="0" quotePrefix="0" xfId="0"/>
    <xf numFmtId="165" fontId="8" fillId="3" borderId="2" pivotButton="0" quotePrefix="0" xfId="0"/>
    <xf numFmtId="168" fontId="8" fillId="0" borderId="2" pivotButton="0" quotePrefix="0" xfId="0"/>
    <xf numFmtId="166" fontId="8" fillId="3" borderId="2" pivotButton="0" quotePrefix="0" xfId="0"/>
    <xf numFmtId="168" fontId="8" fillId="3" borderId="2" pivotButton="0" quotePrefix="0" xfId="0"/>
    <xf numFmtId="9" fontId="8" fillId="3" borderId="2" pivotButton="0" quotePrefix="0" xfId="0"/>
    <xf numFmtId="10" fontId="8" fillId="3" borderId="2" pivotButton="0" quotePrefix="0" xfId="0"/>
    <xf numFmtId="3" fontId="8" fillId="0" borderId="0" pivotButton="0" quotePrefix="0" xfId="0"/>
    <xf numFmtId="168" fontId="8" fillId="0" borderId="0" pivotButton="0" quotePrefix="0" xfId="0"/>
    <xf numFmtId="9" fontId="8" fillId="0" borderId="0" pivotButton="0" quotePrefix="0" xfId="0"/>
    <xf numFmtId="168" fontId="8" fillId="4" borderId="2" pivotButton="0" quotePrefix="0" xfId="0"/>
    <xf numFmtId="9" fontId="8" fillId="4" borderId="2" pivotButton="0" quotePrefix="0" xfId="0"/>
    <xf numFmtId="0" fontId="9" fillId="0" borderId="0" pivotButton="0" quotePrefix="0" xfId="0"/>
    <xf numFmtId="2" fontId="8" fillId="4" borderId="2" pivotButton="0" quotePrefix="0" xfId="0"/>
    <xf numFmtId="165" fontId="8" fillId="4" borderId="2" pivotButton="0" quotePrefix="0" xfId="0"/>
    <xf numFmtId="3" fontId="8" fillId="4"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31"/>
  <sheetViews>
    <sheetView tabSelected="1" workbookViewId="0">
      <selection activeCell="A1" sqref="A1"/>
    </sheetView>
  </sheetViews>
  <sheetFormatPr baseColWidth="8" defaultRowHeight="15"/>
  <cols>
    <col width="110" customWidth="1" min="1" max="1"/>
  </cols>
  <sheetData>
    <row r="1">
      <c r="A1" s="24" t="inlineStr">
        <is>
          <t>Bar business plan template</t>
        </is>
      </c>
    </row>
    <row r="2">
      <c r="A2" s="25" t="inlineStr">
        <is>
          <t>From jery.ai/learn/bar-business-plan. Free to use and change.</t>
        </is>
      </c>
    </row>
    <row r="4">
      <c r="A4" s="26" t="inlineStr">
        <is>
          <t>What is in this file</t>
        </is>
      </c>
    </row>
    <row r="5">
      <c r="A5" s="27" t="inlineStr">
        <is>
          <t>Read me: this sheet.</t>
        </is>
      </c>
    </row>
    <row r="6">
      <c r="A6" s="27" t="inlineStr">
        <is>
          <t>Plan sections: the sections of the written plan, what a bar puts in each, and a column for your notes.</t>
        </is>
      </c>
    </row>
    <row r="7">
      <c r="A7" s="27" t="inlineStr">
        <is>
          <t>Startup budget: every cost of opening, with a sample figure where a public source gives one, and columns for yours.</t>
        </is>
      </c>
    </row>
    <row r="8">
      <c r="A8" s="27" t="inlineStr">
        <is>
          <t>Sample forecast: 24 months of sales, costs and cash balance for a sample cocktail bar, with the loan, debt service coverage, break-even and a slower case.</t>
        </is>
      </c>
    </row>
    <row r="9">
      <c r="A9" s="27" t="inlineStr">
        <is>
          <t>Your forecast: the same forecast, blank, for your bar.</t>
        </is>
      </c>
    </row>
    <row r="11">
      <c r="A11" s="26" t="inlineStr">
        <is>
          <t>What it is not</t>
        </is>
      </c>
    </row>
    <row r="12">
      <c r="A12" s="27" t="inlineStr">
        <is>
          <t>A starting point, not a complete lender application. Depending on your lender, you may also need projections to year five, a balance sheet and a fuller cash-flow statement. Have your accountant check the finished package.</t>
        </is>
      </c>
    </row>
    <row r="14">
      <c r="A14" s="26" t="inlineStr">
        <is>
          <t>How to use it</t>
        </is>
      </c>
    </row>
    <row r="15">
      <c r="A15" s="27" t="inlineStr">
        <is>
          <t>Yellow cells are inputs. The rest calculate: leave them unless you know why you are changing one.</t>
        </is>
      </c>
    </row>
    <row r="16">
      <c r="A16" s="27" t="inlineStr">
        <is>
          <t>Sales come from drinks: drinks a week at full pace × net sales per drink × 52 ÷ 12. Use the price after discounts and before sales tax.</t>
        </is>
      </c>
    </row>
    <row r="17">
      <c r="A17" s="27" t="inlineStr">
        <is>
          <t>The ramp column is how close to full pace each early month gets. Write down why you chose it; a lender will ask.</t>
        </is>
      </c>
    </row>
    <row r="18">
      <c r="A18" s="27" t="inlineStr">
        <is>
          <t>Operating cash flow is what is left before the loan, depreciation, income tax and anything the owners take. It is not net profit or cash for the owners. If you will draw a salary, put it in labor.</t>
        </is>
      </c>
    </row>
    <row r="19">
      <c r="A19" s="27" t="inlineStr">
        <is>
          <t>Debt service coverage = operating cash flow for the year ÷ payments on all the bar's loans for the year. On a 7(a) loan over $350,000 the SBA asks for 1.15 within 2 years.</t>
        </is>
      </c>
    </row>
    <row r="20">
      <c r="A20" s="27" t="inlineStr">
        <is>
          <t>The slower case takes the same points of full pace off every month.</t>
        </is>
      </c>
    </row>
    <row r="21">
      <c r="A21" s="27" t="inlineStr">
        <is>
          <t>The cash balance starts at $0 on opening day: each month adds operating cash flow and subtracts the loan payment. The lowest balance is the biggest shortfall.</t>
        </is>
      </c>
    </row>
    <row r="22">
      <c r="A22" s="27" t="inlineStr">
        <is>
          <t>The reserve goes into the project (B13 on a forecast sheet), so it raises the loan and the payment, which deepens the shortfall. Change it until borrowing and reserve agree.</t>
        </is>
      </c>
    </row>
    <row r="24">
      <c r="A24" s="26" t="inlineStr">
        <is>
          <t>Where the sample numbers come from</t>
        </is>
      </c>
    </row>
    <row r="25">
      <c r="A25" s="27" t="inlineStr">
        <is>
          <t>1,000 drinks a week at $15, the ramp, the $500,000 project and the slower case are sample assumptions, not benchmarks. Replace them.</t>
        </is>
      </c>
    </row>
    <row r="26">
      <c r="A26" s="27" t="inlineStr">
        <is>
          <t>Drink cost 20%, labor 32%, rent 6% and other operating costs 24% of full-pace sales: the middle case in jery.ai/learn/bar-profit-margin. Labor and rent stay fixed in dollars; the rest move with sales.</t>
        </is>
      </c>
    </row>
    <row r="27">
      <c r="A27" s="27" t="inlineStr">
        <is>
          <t>Labor is wages plus payroll taxes, workers' comp and benefits. In US accommodation and food services those extras added 23.8% to wages in June 2026 (BLS Employer Costs for Employee Compensation, Table 4).</t>
        </is>
      </c>
    </row>
    <row r="28">
      <c r="A28" s="27" t="inlineStr">
        <is>
          <t>Loan rate 10.00%: an October 2026 assumption, not a quote. It is the SBA's top variable rate then for a 7(a) loan over $350,000 (prime 7.00% + 3 points), over 10 years. Ask your lender for theirs.</t>
        </is>
      </c>
    </row>
    <row r="29">
      <c r="A29" s="27" t="inlineStr">
        <is>
          <t>SBA guarantee fee: up to 3% of the 75% the SBA guarantees, $450,000 × 0.75 × 0.03 = $10,125 (SOP 50 10 8.1). Some loans pay none.</t>
        </is>
      </c>
    </row>
    <row r="31">
      <c r="A31" s="25" t="inlineStr">
        <is>
          <t>Not financial, tax or legal advice. Check every figure against your own quotes and your accountant.</t>
        </is>
      </c>
    </row>
  </sheetData>
  <printOptions horizontalCentered="0"/>
  <pageMargins left="0.5" right="0.5" top="0.6" bottom="0.6" header="0.5" footer="0.5"/>
  <pageSetup orientation="landscape" paperSize="1" fitToHeight="0" fitToWidth="1"/>
</worksheet>
</file>

<file path=xl/worksheets/sheet2.xml><?xml version="1.0" encoding="utf-8"?>
<worksheet xmlns="http://schemas.openxmlformats.org/spreadsheetml/2006/main">
  <sheetPr>
    <outlinePr summaryBelow="1" summaryRight="1"/>
    <pageSetUpPr fitToPage="1"/>
  </sheetPr>
  <dimension ref="A1:D12"/>
  <sheetViews>
    <sheetView tabSelected="0" workbookViewId="0">
      <selection activeCell="A1" sqref="A1"/>
    </sheetView>
  </sheetViews>
  <sheetFormatPr baseColWidth="8" defaultRowHeight="15"/>
  <cols>
    <col width="4" customWidth="1" min="1" max="1"/>
    <col width="26" customWidth="1" min="2" max="2"/>
    <col width="80" customWidth="1" min="3" max="3"/>
    <col width="50" customWidth="1" min="4" max="4"/>
  </cols>
  <sheetData>
    <row r="1">
      <c r="A1" s="28" t="inlineStr">
        <is>
          <t>Written plan: the sections a lender expects (SBA order)</t>
        </is>
      </c>
    </row>
    <row r="3" ht="20" customHeight="1">
      <c r="A3" s="29" t="inlineStr">
        <is>
          <t>#</t>
        </is>
      </c>
      <c r="B3" s="29" t="inlineStr">
        <is>
          <t>Section</t>
        </is>
      </c>
      <c r="C3" s="29" t="inlineStr">
        <is>
          <t>What to write for a bar</t>
        </is>
      </c>
      <c r="D3" s="29" t="inlineStr">
        <is>
          <t>Your notes</t>
        </is>
      </c>
    </row>
    <row r="4" ht="62" customHeight="1">
      <c r="A4" s="27" t="inlineStr">
        <is>
          <t>1</t>
        </is>
      </c>
      <c r="B4" s="26" t="inlineStr">
        <is>
          <t>Executive summary</t>
        </is>
      </c>
      <c r="C4" s="27" t="inlineStr">
        <is>
          <t>One page, written last: the bar in one sentence, where it is, who owns and runs it, how much you are asking for, what it pays for, and the year-two sales and operating cash flow from the forecast.</t>
        </is>
      </c>
      <c r="D4" s="30" t="n"/>
    </row>
    <row r="5" ht="62" customHeight="1">
      <c r="A5" s="27" t="inlineStr">
        <is>
          <t>2</t>
        </is>
      </c>
      <c r="B5" s="26" t="inlineStr">
        <is>
          <t>Company description</t>
        </is>
      </c>
      <c r="C5" s="27" t="inlineStr">
        <is>
          <t>The concept: who it is for, what they drink, seats, opening hours, the legal entity and the owners' shares. Why this neighborhood.</t>
        </is>
      </c>
      <c r="D5" s="30" t="n"/>
    </row>
    <row r="6" ht="62" customHeight="1">
      <c r="A6" s="27" t="inlineStr">
        <is>
          <t>3</t>
        </is>
      </c>
      <c r="B6" s="26" t="inlineStr">
        <is>
          <t>Market analysis</t>
        </is>
      </c>
      <c r="C6" s="27" t="inlineStr">
        <is>
          <t>Who goes out in the neighborhood and when, nearby bars and their prices, foot traffic, local demand, and why guests would choose yours</t>
        </is>
      </c>
      <c r="D6" s="30" t="n"/>
    </row>
    <row r="7" ht="62" customHeight="1">
      <c r="A7" s="27" t="inlineStr">
        <is>
          <t>4</t>
        </is>
      </c>
      <c r="B7" s="26" t="inlineStr">
        <is>
          <t>Organization and management</t>
        </is>
      </c>
      <c r="C7" s="27" t="inlineStr">
        <is>
          <t>Who runs the bar day to day and their bar experience, the opening team you will hire, and outside help (accountant, attorney, licensing consultant). Attach resumes in the appendix.</t>
        </is>
      </c>
      <c r="D7" s="30" t="n"/>
    </row>
    <row r="8" ht="62" customHeight="1">
      <c r="A8" s="27" t="inlineStr">
        <is>
          <t>5</t>
        </is>
      </c>
      <c r="B8" s="26" t="inlineStr">
        <is>
          <t>Service or product line</t>
        </is>
      </c>
      <c r="C8" s="27" t="inlineStr">
        <is>
          <t>The menu: the drinks, beer and wine you will sell, price points, and each drink's cost and pour cost from a costed spec. Suppliers you have spoken to.</t>
        </is>
      </c>
      <c r="D8" s="30" t="n"/>
    </row>
    <row r="9" ht="62" customHeight="1">
      <c r="A9" s="27" t="inlineStr">
        <is>
          <t>6</t>
        </is>
      </c>
      <c r="B9" s="26" t="inlineStr">
        <is>
          <t>Marketing and sales</t>
        </is>
      </c>
      <c r="C9" s="27" t="inlineStr">
        <is>
          <t>How the first guests hear about you, how you bring them back, any events or partnerships, and the budget for it.</t>
        </is>
      </c>
      <c r="D9" s="30" t="n"/>
    </row>
    <row r="10" ht="62" customHeight="1">
      <c r="A10" s="27" t="inlineStr">
        <is>
          <t>7</t>
        </is>
      </c>
      <c r="B10" s="26" t="inlineStr">
        <is>
          <t>Funding request</t>
        </is>
      </c>
      <c r="C10" s="27" t="inlineStr">
        <is>
          <t>How much you need, from whom, on what terms, and what it pays for line by line (the Startup budget sheet), with the loan's fees. How much you put in yourself.</t>
        </is>
      </c>
      <c r="D10" s="30" t="n"/>
    </row>
    <row r="11" ht="62" customHeight="1">
      <c r="A11" s="27" t="inlineStr">
        <is>
          <t>8</t>
        </is>
      </c>
      <c r="B11" s="26" t="inlineStr">
        <is>
          <t>Financial projections</t>
        </is>
      </c>
      <c r="C11" s="27" t="inlineStr">
        <is>
          <t>Monthly for the first two years (the forecast sheets), then yearly to year five. State every assumption and where it came from. Show debt service coverage, break-even and the cash low point.</t>
        </is>
      </c>
      <c r="D11" s="30" t="n"/>
    </row>
    <row r="12" ht="62" customHeight="1">
      <c r="A12" s="27" t="inlineStr">
        <is>
          <t>9</t>
        </is>
      </c>
      <c r="B12" s="26" t="inlineStr">
        <is>
          <t>Appendix</t>
        </is>
      </c>
      <c r="C12" s="27" t="inlineStr">
        <is>
          <t>Letter of intent or lease, license application status, contractor bids and equipment quotes, floor plan, menu, resumes, permits, personal financial statements if the lender asks.</t>
        </is>
      </c>
      <c r="D12" s="30" t="n"/>
    </row>
  </sheetData>
  <printOptions horizontalCentered="0"/>
  <pageMargins left="0.5" right="0.5" top="0.6" bottom="0.6" header="0.5" footer="0.5"/>
  <pageSetup orientation="landscape" paperSize="1" fitToHeight="0" fitToWidth="1"/>
</worksheet>
</file>

<file path=xl/worksheets/sheet3.xml><?xml version="1.0" encoding="utf-8"?>
<worksheet xmlns="http://schemas.openxmlformats.org/spreadsheetml/2006/main">
  <sheetPr>
    <outlinePr summaryBelow="1" summaryRight="1"/>
    <pageSetUpPr fitToPage="1"/>
  </sheetPr>
  <dimension ref="A1:F26"/>
  <sheetViews>
    <sheetView tabSelected="0" workbookViewId="0">
      <pane ySplit="4" topLeftCell="A5" activePane="bottomLeft" state="frozen"/>
      <selection pane="bottomLeft" activeCell="A1" sqref="A1"/>
    </sheetView>
  </sheetViews>
  <sheetFormatPr baseColWidth="8" defaultRowHeight="15"/>
  <cols>
    <col width="34" customWidth="1" min="1" max="1"/>
    <col width="40" customWidth="1" min="2" max="2"/>
    <col width="13" customWidth="1" min="3" max="3"/>
    <col width="56" customWidth="1" min="4" max="4"/>
    <col width="13" customWidth="1" min="5" max="5"/>
    <col width="34" customWidth="1" min="6" max="6"/>
  </cols>
  <sheetData>
    <row r="1">
      <c r="A1" s="28" t="inlineStr">
        <is>
          <t>Startup budget: everything up to opening day</t>
        </is>
      </c>
    </row>
    <row r="2">
      <c r="A2" s="31" t="inlineStr">
        <is>
          <t>Sample figures appear only where a public source or the sample's own math gives one. The rest come from your bids and quotes.</t>
        </is>
      </c>
    </row>
    <row r="4" ht="32" customHeight="1">
      <c r="A4" s="29" t="inlineStr">
        <is>
          <t>Line</t>
        </is>
      </c>
      <c r="B4" s="29" t="inlineStr">
        <is>
          <t>How to price it</t>
        </is>
      </c>
      <c r="C4" s="29" t="inlineStr">
        <is>
          <t>Sample ($)</t>
        </is>
      </c>
      <c r="D4" s="29" t="inlineStr">
        <is>
          <t>Where the sample comes from</t>
        </is>
      </c>
      <c r="E4" s="29" t="inlineStr">
        <is>
          <t>Your bar ($)</t>
        </is>
      </c>
      <c r="F4" s="29" t="inlineStr">
        <is>
          <t>Your quote or source</t>
        </is>
      </c>
    </row>
    <row r="5" ht="44" customHeight="1">
      <c r="A5" s="26" t="inlineStr">
        <is>
          <t>Lease deposit and first month's rent</t>
        </is>
      </c>
      <c r="B5" s="27" t="inlineStr">
        <is>
          <t>The letter of intent</t>
        </is>
      </c>
      <c r="C5" s="32">
        <f>3*'Sample forecast'!B10</f>
        <v/>
      </c>
      <c r="D5" s="25" t="inlineStr">
        <is>
          <t>Two months' deposit plus the first month at the sample's $3,900 rent. Terms vary.</t>
        </is>
      </c>
      <c r="E5" s="33" t="n"/>
      <c r="F5" s="30" t="n"/>
    </row>
    <row r="6" ht="44" customHeight="1">
      <c r="A6" s="26" t="inlineStr">
        <is>
          <t>Rent during the build-out</t>
        </is>
      </c>
      <c r="B6" s="27" t="inlineStr">
        <is>
          <t>Months of build × monthly rent, less any free rent you negotiate</t>
        </is>
      </c>
      <c r="C6" s="32" t="n"/>
      <c r="D6" s="25" t="inlineStr">
        <is>
          <t>Your lease</t>
        </is>
      </c>
      <c r="E6" s="33" t="n"/>
      <c r="F6" s="30" t="n"/>
    </row>
    <row r="7" ht="44" customHeight="1">
      <c r="A7" s="26" t="inlineStr">
        <is>
          <t>Build-out</t>
        </is>
      </c>
      <c r="B7" s="27" t="inlineStr">
        <is>
          <t>Contractor bids from drawings</t>
        </is>
      </c>
      <c r="C7" s="32" t="n"/>
      <c r="D7" s="25" t="inlineStr">
        <is>
          <t>Your bids</t>
        </is>
      </c>
      <c r="E7" s="33" t="n"/>
      <c r="F7" s="30" t="n"/>
    </row>
    <row r="8" ht="44" customHeight="1">
      <c r="A8" s="26" t="inlineStr">
        <is>
          <t>Construction contingency</t>
        </is>
      </c>
      <c r="B8" s="27" t="inlineStr">
        <is>
          <t>A separate allowance for surprises in the build, agreed with your contractor</t>
        </is>
      </c>
      <c r="C8" s="32" t="n"/>
      <c r="D8" s="25" t="inlineStr">
        <is>
          <t>Your contractor</t>
        </is>
      </c>
      <c r="E8" s="33" t="n"/>
      <c r="F8" s="30" t="n"/>
    </row>
    <row r="9" ht="44" customHeight="1">
      <c r="A9" s="26" t="inlineStr">
        <is>
          <t>Equipment</t>
        </is>
      </c>
      <c r="B9" s="27" t="inlineStr">
        <is>
          <t>Quotes, item by item from the menu</t>
        </is>
      </c>
      <c r="C9" s="32" t="n"/>
      <c r="D9" s="25" t="inlineStr">
        <is>
          <t>Your quotes</t>
        </is>
      </c>
      <c r="E9" s="33" t="n"/>
      <c r="F9" s="30" t="n"/>
    </row>
    <row r="10" ht="44" customHeight="1">
      <c r="A10" s="26" t="inlineStr">
        <is>
          <t>Design, engineering, plan review and building permits</t>
        </is>
      </c>
      <c r="B10" s="27" t="inlineStr">
        <is>
          <t>Architect's proposal; the city's fee schedule</t>
        </is>
      </c>
      <c r="C10" s="32" t="n"/>
      <c r="D10" s="25" t="inlineStr">
        <is>
          <t>Your quotes</t>
        </is>
      </c>
      <c r="E10" s="33" t="n"/>
      <c r="F10" s="30" t="n"/>
    </row>
    <row r="11" ht="44" customHeight="1">
      <c r="A11" s="26" t="inlineStr">
        <is>
          <t>State liquor license</t>
        </is>
      </c>
      <c r="B11" s="27" t="inlineStr">
        <is>
          <t>Your state ABC's fee schedule; in a quota state, the price of an existing license</t>
        </is>
      </c>
      <c r="C11" s="32" t="n">
        <v>1992</v>
      </c>
      <c r="D11" s="25" t="inlineStr">
        <is>
          <t>New York on-premises liquor license outside the cities in the SLA chart: $1,792 for two years + $200 filing fee</t>
        </is>
      </c>
      <c r="E11" s="33" t="n"/>
      <c r="F11" s="30" t="n"/>
    </row>
    <row r="12" ht="44" customHeight="1">
      <c r="A12" s="26" t="inlineStr">
        <is>
          <t>Local licenses and permits</t>
        </is>
      </c>
      <c r="B12" s="27" t="inlineStr">
        <is>
          <t>City and county fee schedules</t>
        </is>
      </c>
      <c r="C12" s="32" t="n"/>
      <c r="D12" s="25" t="inlineStr">
        <is>
          <t>Your city</t>
        </is>
      </c>
      <c r="E12" s="33" t="n"/>
      <c r="F12" s="30" t="n"/>
    </row>
    <row r="13" ht="44" customHeight="1">
      <c r="A13" s="26" t="inlineStr">
        <is>
          <t>Opening stock</t>
        </is>
      </c>
      <c r="B13" s="27" t="inlineStr">
        <is>
          <t>First estimate: 1.5 × a full-pace week of sales × pour cost %. Then build the order product by product from your pars</t>
        </is>
      </c>
      <c r="C13" s="32">
        <f>ROUND(1.5*'Sample forecast'!B4*'Sample forecast'!B5*'Sample forecast'!B8,0)</f>
        <v/>
      </c>
      <c r="D13" s="25" t="inlineStr">
        <is>
          <t>1.5 × (1,000 drinks × $15) × 20%</t>
        </is>
      </c>
      <c r="E13" s="33" t="n"/>
      <c r="F13" s="30" t="n"/>
    </row>
    <row r="14" ht="44" customHeight="1">
      <c r="A14" s="26" t="inlineStr">
        <is>
          <t>POS hardware and installation</t>
        </is>
      </c>
      <c r="B14" s="27" t="inlineStr">
        <is>
          <t>Two written quotes</t>
        </is>
      </c>
      <c r="C14" s="32" t="n"/>
      <c r="D14" s="25" t="inlineStr">
        <is>
          <t>Your quotes</t>
        </is>
      </c>
      <c r="E14" s="33" t="n"/>
      <c r="F14" s="30" t="n"/>
    </row>
    <row r="15" ht="44" customHeight="1">
      <c r="A15" s="26" t="inlineStr">
        <is>
          <t>Payroll before opening</t>
        </is>
      </c>
      <c r="B15" s="27" t="inlineStr">
        <is>
          <t>Manager's early months + training hours × rate + 7.65% employer taxes</t>
        </is>
      </c>
      <c r="C15" s="32">
        <f>ROUND((67320/12*2+10*30*16)*1.0765,0)</f>
        <v/>
      </c>
      <c r="D15" s="25" t="inlineStr">
        <is>
          <t>Manager 2 months at $67,320/yr (BLS OEWS May 2025 median, food service managers in US bars) + 10 staff × 30 h × $16, an example training rate + 7.65% employer taxes. Use the wage required where you open; staff earn no tips in training</t>
        </is>
      </c>
      <c r="E15" s="33" t="n"/>
      <c r="F15" s="30" t="n"/>
    </row>
    <row r="16" ht="44" customHeight="1">
      <c r="A16" s="26" t="inlineStr">
        <is>
          <t>Insurance, first premiums</t>
        </is>
      </c>
      <c r="B16" s="27" t="inlineStr">
        <is>
          <t>Broker quotes, liquor liability included</t>
        </is>
      </c>
      <c r="C16" s="32" t="n"/>
      <c r="D16" s="25" t="inlineStr">
        <is>
          <t>Your quotes</t>
        </is>
      </c>
      <c r="E16" s="33" t="n"/>
      <c r="F16" s="30" t="n"/>
    </row>
    <row r="17" ht="44" customHeight="1">
      <c r="A17" s="26" t="inlineStr">
        <is>
          <t>Professional fees</t>
        </is>
      </c>
      <c r="B17" s="27" t="inlineStr">
        <is>
          <t>Attorney, accountant, licensing consultant</t>
        </is>
      </c>
      <c r="C17" s="32" t="n"/>
      <c r="D17" s="25" t="inlineStr">
        <is>
          <t>Your quotes</t>
        </is>
      </c>
      <c r="E17" s="33" t="n"/>
      <c r="F17" s="30" t="n"/>
    </row>
    <row r="18" ht="44" customHeight="1">
      <c r="A18" s="26" t="inlineStr">
        <is>
          <t>Opening marketing</t>
        </is>
      </c>
      <c r="B18" s="27" t="inlineStr">
        <is>
          <t>Launch plan: signage design, events, ads</t>
        </is>
      </c>
      <c r="C18" s="32" t="n"/>
      <c r="D18" s="25" t="inlineStr">
        <is>
          <t>Your plan and quotes</t>
        </is>
      </c>
      <c r="E18" s="33" t="n"/>
      <c r="F18" s="30" t="n"/>
    </row>
    <row r="19" ht="44" customHeight="1">
      <c r="A19" s="26" t="inlineStr">
        <is>
          <t>SBA guarantee fee</t>
        </is>
      </c>
      <c r="B19" s="27" t="inlineStr">
        <is>
          <t>Your lender; up to 3% of the guaranteed 75% on a 7(a) loan of $150,001 to $700,000</t>
        </is>
      </c>
      <c r="C19" s="32">
        <f>ROUND(IF('Sample forecast'!B17&lt;=150000,'Sample forecast'!B17*0.85*0.02,IF('Sample forecast'!B17&lt;=700000,'Sample forecast'!B17*0.75*0.03,MIN('Sample forecast'!B17*0.75,1000000)*0.035+MAX('Sample forecast'!B17*0.75-1000000,0)*0.0375)),0)</f>
        <v/>
      </c>
      <c r="D19" s="25" t="inlineStr">
        <is>
          <t>The SBA maximum on the sample's loan: $450,000 × 0.75 × 0.03 (SOP 50 10 8.1). Some loans pay none. Can be paid from the loan</t>
        </is>
      </c>
      <c r="E19" s="33" t="n"/>
      <c r="F19" s="30" t="n"/>
    </row>
    <row r="20" ht="44" customHeight="1">
      <c r="A20" s="26" t="inlineStr">
        <is>
          <t>Loan interest during the build</t>
        </is>
      </c>
      <c r="B20" s="27" t="inlineStr">
        <is>
          <t>Ask the lender how draws and interest run before opening</t>
        </is>
      </c>
      <c r="C20" s="32" t="n"/>
      <c r="D20" s="25" t="inlineStr">
        <is>
          <t>Your lender</t>
        </is>
      </c>
      <c r="E20" s="33" t="n"/>
      <c r="F20" s="30" t="n"/>
    </row>
    <row r="21" ht="44" customHeight="1">
      <c r="A21" s="26" t="inlineStr">
        <is>
          <t>Opening cash reserve</t>
        </is>
      </c>
      <c r="B21" s="27" t="inlineStr">
        <is>
          <t>Start with the slower case's biggest shortfall; set it on the forecast sheet (B13)</t>
        </is>
      </c>
      <c r="C21" s="32">
        <f>'Sample forecast'!B13</f>
        <v/>
      </c>
      <c r="D21" s="25" t="inlineStr">
        <is>
          <t>From the Sample forecast, where it is left out. Its slower case needs about $90,000</t>
        </is>
      </c>
      <c r="E21" s="34">
        <f>'Your forecast'!B13</f>
        <v/>
      </c>
      <c r="F21" s="25" t="inlineStr">
        <is>
          <t>From Your forecast (B13)</t>
        </is>
      </c>
    </row>
    <row r="22" ht="30" customHeight="1">
      <c r="A22" s="26" t="inlineStr">
        <is>
          <t>Total before the reserve</t>
        </is>
      </c>
      <c r="C22" s="35">
        <f>SUM(C5:C20)</f>
        <v/>
      </c>
      <c r="D22" s="25" t="inlineStr">
        <is>
          <t>Sample: only the lines a public figure or the sample's math can price.</t>
        </is>
      </c>
      <c r="E22" s="35">
        <f>SUM(E5:E20)</f>
        <v/>
      </c>
      <c r="F22" s="25" t="inlineStr">
        <is>
          <t>Your forecast reads this (B12).</t>
        </is>
      </c>
    </row>
    <row r="23" ht="30" customHeight="1">
      <c r="A23" s="26" t="inlineStr">
        <is>
          <t>Total project</t>
        </is>
      </c>
      <c r="C23" s="35">
        <f>'Sample forecast'!B14</f>
        <v/>
      </c>
      <c r="D23" s="25" t="inlineStr">
        <is>
          <t>The sample's $500,000 project plus the reserve.</t>
        </is>
      </c>
      <c r="E23" s="35">
        <f>'Your forecast'!B14</f>
        <v/>
      </c>
      <c r="F23" s="25" t="inlineStr">
        <is>
          <t>From Your forecast.</t>
        </is>
      </c>
    </row>
    <row r="24" ht="30" customHeight="1">
      <c r="A24" s="26" t="inlineStr">
        <is>
          <t>Left for the build-out, equipment and the other quoted lines</t>
        </is>
      </c>
      <c r="C24" s="35">
        <f>'Sample forecast'!B12-C22</f>
        <v/>
      </c>
      <c r="D24" s="25" t="inlineStr">
        <is>
          <t>What the bids must fit inside for the sample's $500,000.</t>
        </is>
      </c>
    </row>
    <row r="25" ht="30" customHeight="1">
      <c r="A25" s="26" t="inlineStr">
        <is>
          <t>Your own money</t>
        </is>
      </c>
      <c r="C25" s="35">
        <f>'Sample forecast'!B16</f>
        <v/>
      </c>
      <c r="D25" s="25" t="inlineStr">
        <is>
          <t>10% of the project.</t>
        </is>
      </c>
      <c r="E25" s="35">
        <f>'Your forecast'!B16</f>
        <v/>
      </c>
      <c r="F25" s="25" t="inlineStr">
        <is>
          <t>From Your forecast.</t>
        </is>
      </c>
    </row>
    <row r="26" ht="30" customHeight="1">
      <c r="A26" s="26" t="inlineStr">
        <is>
          <t>Loan</t>
        </is>
      </c>
      <c r="C26" s="35">
        <f>'Sample forecast'!B17</f>
        <v/>
      </c>
      <c r="D26" s="25" t="inlineStr">
        <is>
          <t>The rest of the project.</t>
        </is>
      </c>
      <c r="E26" s="35">
        <f>'Your forecast'!B17</f>
        <v/>
      </c>
      <c r="F26" s="25" t="inlineStr">
        <is>
          <t>From Your forecast.</t>
        </is>
      </c>
    </row>
  </sheetData>
  <printOptions horizontalCentered="0"/>
  <pageMargins left="0.5" right="0.5" top="0.6" bottom="0.6" header="0.5" footer="0.5"/>
  <pageSetup orientation="landscape" paperSize="1" fitToHeight="0" fitToWidth="1"/>
</worksheet>
</file>

<file path=xl/worksheets/sheet4.xml><?xml version="1.0" encoding="utf-8"?>
<worksheet xmlns="http://schemas.openxmlformats.org/spreadsheetml/2006/main">
  <sheetPr>
    <outlinePr summaryBelow="1" summaryRight="1"/>
    <pageSetUpPr fitToPage="1"/>
  </sheetPr>
  <dimension ref="A1:N85"/>
  <sheetViews>
    <sheetView tabSelected="0" workbookViewId="0">
      <pane xSplit="1" ySplit="3" topLeftCell="B4" activePane="bottomRight" state="frozen"/>
      <selection pane="topRight"/>
      <selection pane="bottomLeft"/>
      <selection pane="bottomRight" activeCell="A1" sqref="A1"/>
    </sheetView>
  </sheetViews>
  <sheetFormatPr baseColWidth="8" defaultRowHeight="15"/>
  <cols>
    <col width="46" customWidth="1" min="1" max="1"/>
    <col width="16" customWidth="1" min="2" max="2"/>
    <col width="16" customWidth="1" min="3" max="3"/>
    <col width="14" customWidth="1" min="4" max="4"/>
    <col width="13" customWidth="1" min="5" max="5"/>
    <col width="12" customWidth="1" min="6" max="6"/>
    <col width="15" customWidth="1" min="7" max="7"/>
    <col width="15" customWidth="1" min="8" max="8"/>
    <col width="14" customWidth="1" min="9" max="9"/>
    <col width="15" customWidth="1" min="10" max="10"/>
    <col width="15" customWidth="1" min="11" max="11"/>
    <col width="14" customWidth="1" min="12" max="12"/>
    <col width="16" customWidth="1" min="13" max="13"/>
    <col width="17" customWidth="1" min="14" max="14"/>
  </cols>
  <sheetData>
    <row r="1">
      <c r="A1" s="28" t="inlineStr">
        <is>
          <t>Forecast: 24 months (sample cocktail bar)</t>
        </is>
      </c>
    </row>
    <row r="2">
      <c r="A2" s="31" t="inlineStr">
        <is>
          <t>Sample assumptions: replace the yellow cells with your own.</t>
        </is>
      </c>
    </row>
    <row r="3" ht="20" customHeight="1">
      <c r="A3" s="29" t="inlineStr">
        <is>
          <t>Input</t>
        </is>
      </c>
      <c r="B3" s="29" t="inlineStr">
        <is>
          <t>Value</t>
        </is>
      </c>
      <c r="C3" s="29" t="inlineStr">
        <is>
          <t>Where it comes from</t>
        </is>
      </c>
    </row>
    <row r="4">
      <c r="A4" s="36" t="inlineStr">
        <is>
          <t>Drinks per week at full pace</t>
        </is>
      </c>
      <c r="B4" s="37" t="n">
        <v>1000</v>
      </c>
      <c r="C4" s="31" t="inlineStr">
        <is>
          <t>Sample assumption. Build yours from seats, nights open and drinks per guest.</t>
        </is>
      </c>
    </row>
    <row r="5">
      <c r="A5" s="36" t="inlineStr">
        <is>
          <t>Net sales per drink ($)</t>
        </is>
      </c>
      <c r="B5" s="38" t="n">
        <v>15</v>
      </c>
      <c r="C5" s="31" t="inlineStr">
        <is>
          <t>Sample assumption. Average after discounts and before sales tax, across your real drink mix.</t>
        </is>
      </c>
    </row>
    <row r="6">
      <c r="A6" s="36" t="inlineStr">
        <is>
          <t>Weeks per year</t>
        </is>
      </c>
      <c r="B6" s="37" t="n">
        <v>52</v>
      </c>
    </row>
    <row r="7">
      <c r="A7" s="36" t="inlineStr">
        <is>
          <t>Full-pace sales per month ($)</t>
        </is>
      </c>
      <c r="B7" s="39">
        <f>B4*B5*B6/12</f>
        <v/>
      </c>
      <c r="C7" s="31" t="inlineStr">
        <is>
          <t>Formula: drinks a week × net sales per drink × 52 ÷ 12.</t>
        </is>
      </c>
    </row>
    <row r="8">
      <c r="A8" s="36" t="inlineStr">
        <is>
          <t>Drink cost (% of sales)</t>
        </is>
      </c>
      <c r="B8" s="40" t="n">
        <v>0.2</v>
      </c>
      <c r="C8" s="31" t="inlineStr">
        <is>
          <t>Middle case in jery.ai/learn/bar-profit-margin. Use your costed specs, plus a little.</t>
        </is>
      </c>
    </row>
    <row r="9">
      <c r="A9" s="36" t="inlineStr">
        <is>
          <t>Labor per month ($)</t>
        </is>
      </c>
      <c r="B9" s="41" t="n">
        <v>20800</v>
      </c>
      <c r="C9" s="31" t="inlineStr">
        <is>
          <t>Fixed. Wages plus payroll taxes, workers' comp and benefits: 32% of full-pace sales here.</t>
        </is>
      </c>
    </row>
    <row r="10">
      <c r="A10" s="36" t="inlineStr">
        <is>
          <t>Rent per month ($)</t>
        </is>
      </c>
      <c r="B10" s="41" t="n">
        <v>3900</v>
      </c>
      <c r="C10" s="31" t="inlineStr">
        <is>
          <t>Fixed. 6% of full-pace sales here. Use your lease.</t>
        </is>
      </c>
    </row>
    <row r="11">
      <c r="A11" s="36" t="inlineStr">
        <is>
          <t>Other operating costs (% of sales)</t>
        </is>
      </c>
      <c r="B11" s="40" t="n">
        <v>0.24</v>
      </c>
      <c r="C11" s="31" t="inlineStr">
        <is>
          <t>Card fees, utilities, insurance, repairs, music licenses, marketing, supplies.</t>
        </is>
      </c>
    </row>
    <row r="12">
      <c r="A12" s="36" t="inlineStr">
        <is>
          <t>Project cost before the reserve ($)</t>
        </is>
      </c>
      <c r="B12" s="41" t="n">
        <v>500000</v>
      </c>
      <c r="C12" s="31" t="inlineStr">
        <is>
          <t>Sample assumption: every cost of opening except the reserve.</t>
        </is>
      </c>
    </row>
    <row r="13">
      <c r="A13" s="36" t="inlineStr">
        <is>
          <t>Opening cash reserve in the project ($)</t>
        </is>
      </c>
      <c r="B13" s="41" t="n">
        <v>0</v>
      </c>
      <c r="C13" s="31" t="inlineStr">
        <is>
          <t>Left out of the sample. Enter 90000: the project becomes $590,000, the loan $531,000, $7,017 a month.</t>
        </is>
      </c>
    </row>
    <row r="14">
      <c r="A14" s="36" t="inlineStr">
        <is>
          <t>Total project cost ($)</t>
        </is>
      </c>
      <c r="B14" s="39">
        <f>B12+B13</f>
        <v/>
      </c>
      <c r="C14" s="31" t="inlineStr">
        <is>
          <t>Formula.</t>
        </is>
      </c>
    </row>
    <row r="15">
      <c r="A15" s="36" t="inlineStr">
        <is>
          <t>Your own money (% of project)</t>
        </is>
      </c>
      <c r="B15" s="42" t="n">
        <v>0.1</v>
      </c>
      <c r="C15" s="31" t="inlineStr">
        <is>
          <t>At least 10% for a start-up on an SBA 7(a) loan.</t>
        </is>
      </c>
    </row>
    <row r="16">
      <c r="A16" s="36" t="inlineStr">
        <is>
          <t>Your own money ($)</t>
        </is>
      </c>
      <c r="B16" s="39">
        <f>B14*B15</f>
        <v/>
      </c>
      <c r="C16" s="31" t="inlineStr">
        <is>
          <t>Formula.</t>
        </is>
      </c>
    </row>
    <row r="17">
      <c r="A17" s="36" t="inlineStr">
        <is>
          <t>Loan amount ($)</t>
        </is>
      </c>
      <c r="B17" s="39">
        <f>B14-B16</f>
        <v/>
      </c>
      <c r="C17" s="31" t="inlineStr">
        <is>
          <t>Formula.</t>
        </is>
      </c>
    </row>
    <row r="18">
      <c r="A18" s="36" t="inlineStr">
        <is>
          <t>Interest rate (yearly)</t>
        </is>
      </c>
      <c r="B18" s="43" t="n">
        <v>0.1</v>
      </c>
      <c r="C18" s="31" t="inlineStr">
        <is>
          <t>October 2026 assumption, not a quote: the SBA's top variable rate on a 7(a) loan over $350,000 (prime 7.00% + 3).</t>
        </is>
      </c>
    </row>
    <row r="19">
      <c r="A19" s="36" t="inlineStr">
        <is>
          <t>Loan term (months)</t>
        </is>
      </c>
      <c r="B19" s="37" t="n">
        <v>120</v>
      </c>
      <c r="C19" s="31" t="inlineStr">
        <is>
          <t>Up to 10 years for leasehold improvements under SBA rules.</t>
        </is>
      </c>
    </row>
    <row r="20">
      <c r="A20" s="36" t="inlineStr">
        <is>
          <t>Monthly loan payment ($)</t>
        </is>
      </c>
      <c r="B20" s="39">
        <f>IF(AND(B17&gt;0,B19&gt;0,ISNUMBER(B18)),PMT(B18/12,B19,-B17),0)</f>
        <v/>
      </c>
      <c r="C20" s="31" t="inlineStr">
        <is>
          <t>Formula.</t>
        </is>
      </c>
    </row>
    <row r="21">
      <c r="A21" s="36" t="inlineStr">
        <is>
          <t>Slower case: points of full pace lost every month</t>
        </is>
      </c>
      <c r="B21" s="42" t="n">
        <v>0.15</v>
      </c>
      <c r="C21" s="31" t="inlineStr">
        <is>
          <t>15 points: 45% instead of 60% in months 1 to 3, 85% from month 13.</t>
        </is>
      </c>
    </row>
    <row r="23">
      <c r="A23" s="31" t="inlineStr">
        <is>
          <t>Operating cash flow is before the loan, depreciation, income tax and anything the owners take. It is not net profit or cash for the owners.</t>
        </is>
      </c>
    </row>
    <row r="24" ht="32" customHeight="1">
      <c r="A24" s="29" t="inlineStr">
        <is>
          <t>Month</t>
        </is>
      </c>
      <c r="B24" s="29" t="inlineStr">
        <is>
          <t>Share of full pace</t>
        </is>
      </c>
      <c r="C24" s="29" t="inlineStr">
        <is>
          <t>Sales ($)</t>
        </is>
      </c>
      <c r="D24" s="29" t="inlineStr">
        <is>
          <t>Drink cost ($)</t>
        </is>
      </c>
      <c r="E24" s="29" t="inlineStr">
        <is>
          <t>Labor ($)</t>
        </is>
      </c>
      <c r="F24" s="29" t="inlineStr">
        <is>
          <t>Rent ($)</t>
        </is>
      </c>
      <c r="G24" s="29" t="inlineStr">
        <is>
          <t>Other operating costs ($)</t>
        </is>
      </c>
      <c r="H24" s="29" t="inlineStr">
        <is>
          <t>Operating cash flow ($)</t>
        </is>
      </c>
      <c r="I24" s="29" t="inlineStr">
        <is>
          <t>Loan payment ($)</t>
        </is>
      </c>
      <c r="J24" s="29" t="inlineStr">
        <is>
          <t>After the loan payment ($)</t>
        </is>
      </c>
      <c r="K24" s="29" t="inlineStr">
        <is>
          <t>Cash balance from $0 ($)</t>
        </is>
      </c>
      <c r="L24" s="29" t="inlineStr">
        <is>
          <t>Share of full pace, slower case</t>
        </is>
      </c>
      <c r="M24" s="29" t="inlineStr">
        <is>
          <t>Operating cash flow, slower case ($)</t>
        </is>
      </c>
      <c r="N24" s="29" t="inlineStr">
        <is>
          <t>Cash balance from $0, slower case ($)</t>
        </is>
      </c>
    </row>
    <row r="25">
      <c r="A25" s="44" t="n">
        <v>1</v>
      </c>
      <c r="B25" s="42" t="n">
        <v>0.6</v>
      </c>
      <c r="C25" s="45">
        <f>$B$7*B25</f>
        <v/>
      </c>
      <c r="D25" s="45">
        <f>C25*$B$8</f>
        <v/>
      </c>
      <c r="E25" s="45">
        <f>$B$9</f>
        <v/>
      </c>
      <c r="F25" s="45">
        <f>$B$10</f>
        <v/>
      </c>
      <c r="G25" s="45">
        <f>C25*$B$11</f>
        <v/>
      </c>
      <c r="H25" s="45">
        <f>C25-D25-E25-F25-G25</f>
        <v/>
      </c>
      <c r="I25" s="45">
        <f>IF(A25&lt;=$B$19,$B$20,0)</f>
        <v/>
      </c>
      <c r="J25" s="45">
        <f>H25-I25</f>
        <v/>
      </c>
      <c r="K25" s="45">
        <f>J25</f>
        <v/>
      </c>
      <c r="L25" s="46">
        <f>MAX(0,B25-$B$21)</f>
        <v/>
      </c>
      <c r="M25" s="45">
        <f>$B$7*L25*(1-$B$8-$B$11)-$B$9-$B$10</f>
        <v/>
      </c>
      <c r="N25" s="45">
        <f>M25-I25</f>
        <v/>
      </c>
    </row>
    <row r="26">
      <c r="A26" s="44" t="n">
        <v>2</v>
      </c>
      <c r="B26" s="42" t="n">
        <v>0.6</v>
      </c>
      <c r="C26" s="45">
        <f>$B$7*B26</f>
        <v/>
      </c>
      <c r="D26" s="45">
        <f>C26*$B$8</f>
        <v/>
      </c>
      <c r="E26" s="45">
        <f>$B$9</f>
        <v/>
      </c>
      <c r="F26" s="45">
        <f>$B$10</f>
        <v/>
      </c>
      <c r="G26" s="45">
        <f>C26*$B$11</f>
        <v/>
      </c>
      <c r="H26" s="45">
        <f>C26-D26-E26-F26-G26</f>
        <v/>
      </c>
      <c r="I26" s="45">
        <f>IF(A26&lt;=$B$19,$B$20,0)</f>
        <v/>
      </c>
      <c r="J26" s="45">
        <f>H26-I26</f>
        <v/>
      </c>
      <c r="K26" s="45">
        <f>K25+J26</f>
        <v/>
      </c>
      <c r="L26" s="46">
        <f>MAX(0,B26-$B$21)</f>
        <v/>
      </c>
      <c r="M26" s="45">
        <f>$B$7*L26*(1-$B$8-$B$11)-$B$9-$B$10</f>
        <v/>
      </c>
      <c r="N26" s="45">
        <f>N25+M26-I26</f>
        <v/>
      </c>
    </row>
    <row r="27">
      <c r="A27" s="44" t="n">
        <v>3</v>
      </c>
      <c r="B27" s="42" t="n">
        <v>0.6</v>
      </c>
      <c r="C27" s="45">
        <f>$B$7*B27</f>
        <v/>
      </c>
      <c r="D27" s="45">
        <f>C27*$B$8</f>
        <v/>
      </c>
      <c r="E27" s="45">
        <f>$B$9</f>
        <v/>
      </c>
      <c r="F27" s="45">
        <f>$B$10</f>
        <v/>
      </c>
      <c r="G27" s="45">
        <f>C27*$B$11</f>
        <v/>
      </c>
      <c r="H27" s="45">
        <f>C27-D27-E27-F27-G27</f>
        <v/>
      </c>
      <c r="I27" s="45">
        <f>IF(A27&lt;=$B$19,$B$20,0)</f>
        <v/>
      </c>
      <c r="J27" s="45">
        <f>H27-I27</f>
        <v/>
      </c>
      <c r="K27" s="45">
        <f>K26+J27</f>
        <v/>
      </c>
      <c r="L27" s="46">
        <f>MAX(0,B27-$B$21)</f>
        <v/>
      </c>
      <c r="M27" s="45">
        <f>$B$7*L27*(1-$B$8-$B$11)-$B$9-$B$10</f>
        <v/>
      </c>
      <c r="N27" s="45">
        <f>N26+M27-I27</f>
        <v/>
      </c>
    </row>
    <row r="28">
      <c r="A28" s="44" t="n">
        <v>4</v>
      </c>
      <c r="B28" s="42" t="n">
        <v>0.75</v>
      </c>
      <c r="C28" s="45">
        <f>$B$7*B28</f>
        <v/>
      </c>
      <c r="D28" s="45">
        <f>C28*$B$8</f>
        <v/>
      </c>
      <c r="E28" s="45">
        <f>$B$9</f>
        <v/>
      </c>
      <c r="F28" s="45">
        <f>$B$10</f>
        <v/>
      </c>
      <c r="G28" s="45">
        <f>C28*$B$11</f>
        <v/>
      </c>
      <c r="H28" s="45">
        <f>C28-D28-E28-F28-G28</f>
        <v/>
      </c>
      <c r="I28" s="45">
        <f>IF(A28&lt;=$B$19,$B$20,0)</f>
        <v/>
      </c>
      <c r="J28" s="45">
        <f>H28-I28</f>
        <v/>
      </c>
      <c r="K28" s="45">
        <f>K27+J28</f>
        <v/>
      </c>
      <c r="L28" s="46">
        <f>MAX(0,B28-$B$21)</f>
        <v/>
      </c>
      <c r="M28" s="45">
        <f>$B$7*L28*(1-$B$8-$B$11)-$B$9-$B$10</f>
        <v/>
      </c>
      <c r="N28" s="45">
        <f>N27+M28-I28</f>
        <v/>
      </c>
    </row>
    <row r="29">
      <c r="A29" s="44" t="n">
        <v>5</v>
      </c>
      <c r="B29" s="42" t="n">
        <v>0.75</v>
      </c>
      <c r="C29" s="45">
        <f>$B$7*B29</f>
        <v/>
      </c>
      <c r="D29" s="45">
        <f>C29*$B$8</f>
        <v/>
      </c>
      <c r="E29" s="45">
        <f>$B$9</f>
        <v/>
      </c>
      <c r="F29" s="45">
        <f>$B$10</f>
        <v/>
      </c>
      <c r="G29" s="45">
        <f>C29*$B$11</f>
        <v/>
      </c>
      <c r="H29" s="45">
        <f>C29-D29-E29-F29-G29</f>
        <v/>
      </c>
      <c r="I29" s="45">
        <f>IF(A29&lt;=$B$19,$B$20,0)</f>
        <v/>
      </c>
      <c r="J29" s="45">
        <f>H29-I29</f>
        <v/>
      </c>
      <c r="K29" s="45">
        <f>K28+J29</f>
        <v/>
      </c>
      <c r="L29" s="46">
        <f>MAX(0,B29-$B$21)</f>
        <v/>
      </c>
      <c r="M29" s="45">
        <f>$B$7*L29*(1-$B$8-$B$11)-$B$9-$B$10</f>
        <v/>
      </c>
      <c r="N29" s="45">
        <f>N28+M29-I29</f>
        <v/>
      </c>
    </row>
    <row r="30">
      <c r="A30" s="44" t="n">
        <v>6</v>
      </c>
      <c r="B30" s="42" t="n">
        <v>0.75</v>
      </c>
      <c r="C30" s="45">
        <f>$B$7*B30</f>
        <v/>
      </c>
      <c r="D30" s="45">
        <f>C30*$B$8</f>
        <v/>
      </c>
      <c r="E30" s="45">
        <f>$B$9</f>
        <v/>
      </c>
      <c r="F30" s="45">
        <f>$B$10</f>
        <v/>
      </c>
      <c r="G30" s="45">
        <f>C30*$B$11</f>
        <v/>
      </c>
      <c r="H30" s="45">
        <f>C30-D30-E30-F30-G30</f>
        <v/>
      </c>
      <c r="I30" s="45">
        <f>IF(A30&lt;=$B$19,$B$20,0)</f>
        <v/>
      </c>
      <c r="J30" s="45">
        <f>H30-I30</f>
        <v/>
      </c>
      <c r="K30" s="45">
        <f>K29+J30</f>
        <v/>
      </c>
      <c r="L30" s="46">
        <f>MAX(0,B30-$B$21)</f>
        <v/>
      </c>
      <c r="M30" s="45">
        <f>$B$7*L30*(1-$B$8-$B$11)-$B$9-$B$10</f>
        <v/>
      </c>
      <c r="N30" s="45">
        <f>N29+M30-I30</f>
        <v/>
      </c>
    </row>
    <row r="31">
      <c r="A31" s="44" t="n">
        <v>7</v>
      </c>
      <c r="B31" s="42" t="n">
        <v>0.9</v>
      </c>
      <c r="C31" s="45">
        <f>$B$7*B31</f>
        <v/>
      </c>
      <c r="D31" s="45">
        <f>C31*$B$8</f>
        <v/>
      </c>
      <c r="E31" s="45">
        <f>$B$9</f>
        <v/>
      </c>
      <c r="F31" s="45">
        <f>$B$10</f>
        <v/>
      </c>
      <c r="G31" s="45">
        <f>C31*$B$11</f>
        <v/>
      </c>
      <c r="H31" s="45">
        <f>C31-D31-E31-F31-G31</f>
        <v/>
      </c>
      <c r="I31" s="45">
        <f>IF(A31&lt;=$B$19,$B$20,0)</f>
        <v/>
      </c>
      <c r="J31" s="45">
        <f>H31-I31</f>
        <v/>
      </c>
      <c r="K31" s="45">
        <f>K30+J31</f>
        <v/>
      </c>
      <c r="L31" s="46">
        <f>MAX(0,B31-$B$21)</f>
        <v/>
      </c>
      <c r="M31" s="45">
        <f>$B$7*L31*(1-$B$8-$B$11)-$B$9-$B$10</f>
        <v/>
      </c>
      <c r="N31" s="45">
        <f>N30+M31-I31</f>
        <v/>
      </c>
    </row>
    <row r="32">
      <c r="A32" s="44" t="n">
        <v>8</v>
      </c>
      <c r="B32" s="42" t="n">
        <v>0.9</v>
      </c>
      <c r="C32" s="45">
        <f>$B$7*B32</f>
        <v/>
      </c>
      <c r="D32" s="45">
        <f>C32*$B$8</f>
        <v/>
      </c>
      <c r="E32" s="45">
        <f>$B$9</f>
        <v/>
      </c>
      <c r="F32" s="45">
        <f>$B$10</f>
        <v/>
      </c>
      <c r="G32" s="45">
        <f>C32*$B$11</f>
        <v/>
      </c>
      <c r="H32" s="45">
        <f>C32-D32-E32-F32-G32</f>
        <v/>
      </c>
      <c r="I32" s="45">
        <f>IF(A32&lt;=$B$19,$B$20,0)</f>
        <v/>
      </c>
      <c r="J32" s="45">
        <f>H32-I32</f>
        <v/>
      </c>
      <c r="K32" s="45">
        <f>K31+J32</f>
        <v/>
      </c>
      <c r="L32" s="46">
        <f>MAX(0,B32-$B$21)</f>
        <v/>
      </c>
      <c r="M32" s="45">
        <f>$B$7*L32*(1-$B$8-$B$11)-$B$9-$B$10</f>
        <v/>
      </c>
      <c r="N32" s="45">
        <f>N31+M32-I32</f>
        <v/>
      </c>
    </row>
    <row r="33">
      <c r="A33" s="44" t="n">
        <v>9</v>
      </c>
      <c r="B33" s="42" t="n">
        <v>0.9</v>
      </c>
      <c r="C33" s="45">
        <f>$B$7*B33</f>
        <v/>
      </c>
      <c r="D33" s="45">
        <f>C33*$B$8</f>
        <v/>
      </c>
      <c r="E33" s="45">
        <f>$B$9</f>
        <v/>
      </c>
      <c r="F33" s="45">
        <f>$B$10</f>
        <v/>
      </c>
      <c r="G33" s="45">
        <f>C33*$B$11</f>
        <v/>
      </c>
      <c r="H33" s="45">
        <f>C33-D33-E33-F33-G33</f>
        <v/>
      </c>
      <c r="I33" s="45">
        <f>IF(A33&lt;=$B$19,$B$20,0)</f>
        <v/>
      </c>
      <c r="J33" s="45">
        <f>H33-I33</f>
        <v/>
      </c>
      <c r="K33" s="45">
        <f>K32+J33</f>
        <v/>
      </c>
      <c r="L33" s="46">
        <f>MAX(0,B33-$B$21)</f>
        <v/>
      </c>
      <c r="M33" s="45">
        <f>$B$7*L33*(1-$B$8-$B$11)-$B$9-$B$10</f>
        <v/>
      </c>
      <c r="N33" s="45">
        <f>N32+M33-I33</f>
        <v/>
      </c>
    </row>
    <row r="34">
      <c r="A34" s="44" t="n">
        <v>10</v>
      </c>
      <c r="B34" s="42" t="n">
        <v>0.9</v>
      </c>
      <c r="C34" s="45">
        <f>$B$7*B34</f>
        <v/>
      </c>
      <c r="D34" s="45">
        <f>C34*$B$8</f>
        <v/>
      </c>
      <c r="E34" s="45">
        <f>$B$9</f>
        <v/>
      </c>
      <c r="F34" s="45">
        <f>$B$10</f>
        <v/>
      </c>
      <c r="G34" s="45">
        <f>C34*$B$11</f>
        <v/>
      </c>
      <c r="H34" s="45">
        <f>C34-D34-E34-F34-G34</f>
        <v/>
      </c>
      <c r="I34" s="45">
        <f>IF(A34&lt;=$B$19,$B$20,0)</f>
        <v/>
      </c>
      <c r="J34" s="45">
        <f>H34-I34</f>
        <v/>
      </c>
      <c r="K34" s="45">
        <f>K33+J34</f>
        <v/>
      </c>
      <c r="L34" s="46">
        <f>MAX(0,B34-$B$21)</f>
        <v/>
      </c>
      <c r="M34" s="45">
        <f>$B$7*L34*(1-$B$8-$B$11)-$B$9-$B$10</f>
        <v/>
      </c>
      <c r="N34" s="45">
        <f>N33+M34-I34</f>
        <v/>
      </c>
    </row>
    <row r="35">
      <c r="A35" s="44" t="n">
        <v>11</v>
      </c>
      <c r="B35" s="42" t="n">
        <v>0.9</v>
      </c>
      <c r="C35" s="45">
        <f>$B$7*B35</f>
        <v/>
      </c>
      <c r="D35" s="45">
        <f>C35*$B$8</f>
        <v/>
      </c>
      <c r="E35" s="45">
        <f>$B$9</f>
        <v/>
      </c>
      <c r="F35" s="45">
        <f>$B$10</f>
        <v/>
      </c>
      <c r="G35" s="45">
        <f>C35*$B$11</f>
        <v/>
      </c>
      <c r="H35" s="45">
        <f>C35-D35-E35-F35-G35</f>
        <v/>
      </c>
      <c r="I35" s="45">
        <f>IF(A35&lt;=$B$19,$B$20,0)</f>
        <v/>
      </c>
      <c r="J35" s="45">
        <f>H35-I35</f>
        <v/>
      </c>
      <c r="K35" s="45">
        <f>K34+J35</f>
        <v/>
      </c>
      <c r="L35" s="46">
        <f>MAX(0,B35-$B$21)</f>
        <v/>
      </c>
      <c r="M35" s="45">
        <f>$B$7*L35*(1-$B$8-$B$11)-$B$9-$B$10</f>
        <v/>
      </c>
      <c r="N35" s="45">
        <f>N34+M35-I35</f>
        <v/>
      </c>
    </row>
    <row r="36">
      <c r="A36" s="44" t="n">
        <v>12</v>
      </c>
      <c r="B36" s="42" t="n">
        <v>0.9</v>
      </c>
      <c r="C36" s="45">
        <f>$B$7*B36</f>
        <v/>
      </c>
      <c r="D36" s="45">
        <f>C36*$B$8</f>
        <v/>
      </c>
      <c r="E36" s="45">
        <f>$B$9</f>
        <v/>
      </c>
      <c r="F36" s="45">
        <f>$B$10</f>
        <v/>
      </c>
      <c r="G36" s="45">
        <f>C36*$B$11</f>
        <v/>
      </c>
      <c r="H36" s="45">
        <f>C36-D36-E36-F36-G36</f>
        <v/>
      </c>
      <c r="I36" s="45">
        <f>IF(A36&lt;=$B$19,$B$20,0)</f>
        <v/>
      </c>
      <c r="J36" s="45">
        <f>H36-I36</f>
        <v/>
      </c>
      <c r="K36" s="45">
        <f>K35+J36</f>
        <v/>
      </c>
      <c r="L36" s="46">
        <f>MAX(0,B36-$B$21)</f>
        <v/>
      </c>
      <c r="M36" s="45">
        <f>$B$7*L36*(1-$B$8-$B$11)-$B$9-$B$10</f>
        <v/>
      </c>
      <c r="N36" s="45">
        <f>N35+M36-I36</f>
        <v/>
      </c>
    </row>
    <row r="37">
      <c r="A37" s="44" t="n">
        <v>13</v>
      </c>
      <c r="B37" s="42" t="n">
        <v>1</v>
      </c>
      <c r="C37" s="45">
        <f>$B$7*B37</f>
        <v/>
      </c>
      <c r="D37" s="45">
        <f>C37*$B$8</f>
        <v/>
      </c>
      <c r="E37" s="45">
        <f>$B$9</f>
        <v/>
      </c>
      <c r="F37" s="45">
        <f>$B$10</f>
        <v/>
      </c>
      <c r="G37" s="45">
        <f>C37*$B$11</f>
        <v/>
      </c>
      <c r="H37" s="45">
        <f>C37-D37-E37-F37-G37</f>
        <v/>
      </c>
      <c r="I37" s="45">
        <f>IF(A37&lt;=$B$19,$B$20,0)</f>
        <v/>
      </c>
      <c r="J37" s="45">
        <f>H37-I37</f>
        <v/>
      </c>
      <c r="K37" s="45">
        <f>K36+J37</f>
        <v/>
      </c>
      <c r="L37" s="46">
        <f>MAX(0,B37-$B$21)</f>
        <v/>
      </c>
      <c r="M37" s="45">
        <f>$B$7*L37*(1-$B$8-$B$11)-$B$9-$B$10</f>
        <v/>
      </c>
      <c r="N37" s="45">
        <f>N36+M37-I37</f>
        <v/>
      </c>
    </row>
    <row r="38">
      <c r="A38" s="44" t="n">
        <v>14</v>
      </c>
      <c r="B38" s="42" t="n">
        <v>1</v>
      </c>
      <c r="C38" s="45">
        <f>$B$7*B38</f>
        <v/>
      </c>
      <c r="D38" s="45">
        <f>C38*$B$8</f>
        <v/>
      </c>
      <c r="E38" s="45">
        <f>$B$9</f>
        <v/>
      </c>
      <c r="F38" s="45">
        <f>$B$10</f>
        <v/>
      </c>
      <c r="G38" s="45">
        <f>C38*$B$11</f>
        <v/>
      </c>
      <c r="H38" s="45">
        <f>C38-D38-E38-F38-G38</f>
        <v/>
      </c>
      <c r="I38" s="45">
        <f>IF(A38&lt;=$B$19,$B$20,0)</f>
        <v/>
      </c>
      <c r="J38" s="45">
        <f>H38-I38</f>
        <v/>
      </c>
      <c r="K38" s="45">
        <f>K37+J38</f>
        <v/>
      </c>
      <c r="L38" s="46">
        <f>MAX(0,B38-$B$21)</f>
        <v/>
      </c>
      <c r="M38" s="45">
        <f>$B$7*L38*(1-$B$8-$B$11)-$B$9-$B$10</f>
        <v/>
      </c>
      <c r="N38" s="45">
        <f>N37+M38-I38</f>
        <v/>
      </c>
    </row>
    <row r="39">
      <c r="A39" s="44" t="n">
        <v>15</v>
      </c>
      <c r="B39" s="42" t="n">
        <v>1</v>
      </c>
      <c r="C39" s="45">
        <f>$B$7*B39</f>
        <v/>
      </c>
      <c r="D39" s="45">
        <f>C39*$B$8</f>
        <v/>
      </c>
      <c r="E39" s="45">
        <f>$B$9</f>
        <v/>
      </c>
      <c r="F39" s="45">
        <f>$B$10</f>
        <v/>
      </c>
      <c r="G39" s="45">
        <f>C39*$B$11</f>
        <v/>
      </c>
      <c r="H39" s="45">
        <f>C39-D39-E39-F39-G39</f>
        <v/>
      </c>
      <c r="I39" s="45">
        <f>IF(A39&lt;=$B$19,$B$20,0)</f>
        <v/>
      </c>
      <c r="J39" s="45">
        <f>H39-I39</f>
        <v/>
      </c>
      <c r="K39" s="45">
        <f>K38+J39</f>
        <v/>
      </c>
      <c r="L39" s="46">
        <f>MAX(0,B39-$B$21)</f>
        <v/>
      </c>
      <c r="M39" s="45">
        <f>$B$7*L39*(1-$B$8-$B$11)-$B$9-$B$10</f>
        <v/>
      </c>
      <c r="N39" s="45">
        <f>N38+M39-I39</f>
        <v/>
      </c>
    </row>
    <row r="40">
      <c r="A40" s="44" t="n">
        <v>16</v>
      </c>
      <c r="B40" s="42" t="n">
        <v>1</v>
      </c>
      <c r="C40" s="45">
        <f>$B$7*B40</f>
        <v/>
      </c>
      <c r="D40" s="45">
        <f>C40*$B$8</f>
        <v/>
      </c>
      <c r="E40" s="45">
        <f>$B$9</f>
        <v/>
      </c>
      <c r="F40" s="45">
        <f>$B$10</f>
        <v/>
      </c>
      <c r="G40" s="45">
        <f>C40*$B$11</f>
        <v/>
      </c>
      <c r="H40" s="45">
        <f>C40-D40-E40-F40-G40</f>
        <v/>
      </c>
      <c r="I40" s="45">
        <f>IF(A40&lt;=$B$19,$B$20,0)</f>
        <v/>
      </c>
      <c r="J40" s="45">
        <f>H40-I40</f>
        <v/>
      </c>
      <c r="K40" s="45">
        <f>K39+J40</f>
        <v/>
      </c>
      <c r="L40" s="46">
        <f>MAX(0,B40-$B$21)</f>
        <v/>
      </c>
      <c r="M40" s="45">
        <f>$B$7*L40*(1-$B$8-$B$11)-$B$9-$B$10</f>
        <v/>
      </c>
      <c r="N40" s="45">
        <f>N39+M40-I40</f>
        <v/>
      </c>
    </row>
    <row r="41">
      <c r="A41" s="44" t="n">
        <v>17</v>
      </c>
      <c r="B41" s="42" t="n">
        <v>1</v>
      </c>
      <c r="C41" s="45">
        <f>$B$7*B41</f>
        <v/>
      </c>
      <c r="D41" s="45">
        <f>C41*$B$8</f>
        <v/>
      </c>
      <c r="E41" s="45">
        <f>$B$9</f>
        <v/>
      </c>
      <c r="F41" s="45">
        <f>$B$10</f>
        <v/>
      </c>
      <c r="G41" s="45">
        <f>C41*$B$11</f>
        <v/>
      </c>
      <c r="H41" s="45">
        <f>C41-D41-E41-F41-G41</f>
        <v/>
      </c>
      <c r="I41" s="45">
        <f>IF(A41&lt;=$B$19,$B$20,0)</f>
        <v/>
      </c>
      <c r="J41" s="45">
        <f>H41-I41</f>
        <v/>
      </c>
      <c r="K41" s="45">
        <f>K40+J41</f>
        <v/>
      </c>
      <c r="L41" s="46">
        <f>MAX(0,B41-$B$21)</f>
        <v/>
      </c>
      <c r="M41" s="45">
        <f>$B$7*L41*(1-$B$8-$B$11)-$B$9-$B$10</f>
        <v/>
      </c>
      <c r="N41" s="45">
        <f>N40+M41-I41</f>
        <v/>
      </c>
    </row>
    <row r="42">
      <c r="A42" s="44" t="n">
        <v>18</v>
      </c>
      <c r="B42" s="42" t="n">
        <v>1</v>
      </c>
      <c r="C42" s="45">
        <f>$B$7*B42</f>
        <v/>
      </c>
      <c r="D42" s="45">
        <f>C42*$B$8</f>
        <v/>
      </c>
      <c r="E42" s="45">
        <f>$B$9</f>
        <v/>
      </c>
      <c r="F42" s="45">
        <f>$B$10</f>
        <v/>
      </c>
      <c r="G42" s="45">
        <f>C42*$B$11</f>
        <v/>
      </c>
      <c r="H42" s="45">
        <f>C42-D42-E42-F42-G42</f>
        <v/>
      </c>
      <c r="I42" s="45">
        <f>IF(A42&lt;=$B$19,$B$20,0)</f>
        <v/>
      </c>
      <c r="J42" s="45">
        <f>H42-I42</f>
        <v/>
      </c>
      <c r="K42" s="45">
        <f>K41+J42</f>
        <v/>
      </c>
      <c r="L42" s="46">
        <f>MAX(0,B42-$B$21)</f>
        <v/>
      </c>
      <c r="M42" s="45">
        <f>$B$7*L42*(1-$B$8-$B$11)-$B$9-$B$10</f>
        <v/>
      </c>
      <c r="N42" s="45">
        <f>N41+M42-I42</f>
        <v/>
      </c>
    </row>
    <row r="43">
      <c r="A43" s="44" t="n">
        <v>19</v>
      </c>
      <c r="B43" s="42" t="n">
        <v>1</v>
      </c>
      <c r="C43" s="45">
        <f>$B$7*B43</f>
        <v/>
      </c>
      <c r="D43" s="45">
        <f>C43*$B$8</f>
        <v/>
      </c>
      <c r="E43" s="45">
        <f>$B$9</f>
        <v/>
      </c>
      <c r="F43" s="45">
        <f>$B$10</f>
        <v/>
      </c>
      <c r="G43" s="45">
        <f>C43*$B$11</f>
        <v/>
      </c>
      <c r="H43" s="45">
        <f>C43-D43-E43-F43-G43</f>
        <v/>
      </c>
      <c r="I43" s="45">
        <f>IF(A43&lt;=$B$19,$B$20,0)</f>
        <v/>
      </c>
      <c r="J43" s="45">
        <f>H43-I43</f>
        <v/>
      </c>
      <c r="K43" s="45">
        <f>K42+J43</f>
        <v/>
      </c>
      <c r="L43" s="46">
        <f>MAX(0,B43-$B$21)</f>
        <v/>
      </c>
      <c r="M43" s="45">
        <f>$B$7*L43*(1-$B$8-$B$11)-$B$9-$B$10</f>
        <v/>
      </c>
      <c r="N43" s="45">
        <f>N42+M43-I43</f>
        <v/>
      </c>
    </row>
    <row r="44">
      <c r="A44" s="44" t="n">
        <v>20</v>
      </c>
      <c r="B44" s="42" t="n">
        <v>1</v>
      </c>
      <c r="C44" s="45">
        <f>$B$7*B44</f>
        <v/>
      </c>
      <c r="D44" s="45">
        <f>C44*$B$8</f>
        <v/>
      </c>
      <c r="E44" s="45">
        <f>$B$9</f>
        <v/>
      </c>
      <c r="F44" s="45">
        <f>$B$10</f>
        <v/>
      </c>
      <c r="G44" s="45">
        <f>C44*$B$11</f>
        <v/>
      </c>
      <c r="H44" s="45">
        <f>C44-D44-E44-F44-G44</f>
        <v/>
      </c>
      <c r="I44" s="45">
        <f>IF(A44&lt;=$B$19,$B$20,0)</f>
        <v/>
      </c>
      <c r="J44" s="45">
        <f>H44-I44</f>
        <v/>
      </c>
      <c r="K44" s="45">
        <f>K43+J44</f>
        <v/>
      </c>
      <c r="L44" s="46">
        <f>MAX(0,B44-$B$21)</f>
        <v/>
      </c>
      <c r="M44" s="45">
        <f>$B$7*L44*(1-$B$8-$B$11)-$B$9-$B$10</f>
        <v/>
      </c>
      <c r="N44" s="45">
        <f>N43+M44-I44</f>
        <v/>
      </c>
    </row>
    <row r="45">
      <c r="A45" s="44" t="n">
        <v>21</v>
      </c>
      <c r="B45" s="42" t="n">
        <v>1</v>
      </c>
      <c r="C45" s="45">
        <f>$B$7*B45</f>
        <v/>
      </c>
      <c r="D45" s="45">
        <f>C45*$B$8</f>
        <v/>
      </c>
      <c r="E45" s="45">
        <f>$B$9</f>
        <v/>
      </c>
      <c r="F45" s="45">
        <f>$B$10</f>
        <v/>
      </c>
      <c r="G45" s="45">
        <f>C45*$B$11</f>
        <v/>
      </c>
      <c r="H45" s="45">
        <f>C45-D45-E45-F45-G45</f>
        <v/>
      </c>
      <c r="I45" s="45">
        <f>IF(A45&lt;=$B$19,$B$20,0)</f>
        <v/>
      </c>
      <c r="J45" s="45">
        <f>H45-I45</f>
        <v/>
      </c>
      <c r="K45" s="45">
        <f>K44+J45</f>
        <v/>
      </c>
      <c r="L45" s="46">
        <f>MAX(0,B45-$B$21)</f>
        <v/>
      </c>
      <c r="M45" s="45">
        <f>$B$7*L45*(1-$B$8-$B$11)-$B$9-$B$10</f>
        <v/>
      </c>
      <c r="N45" s="45">
        <f>N44+M45-I45</f>
        <v/>
      </c>
    </row>
    <row r="46">
      <c r="A46" s="44" t="n">
        <v>22</v>
      </c>
      <c r="B46" s="42" t="n">
        <v>1</v>
      </c>
      <c r="C46" s="45">
        <f>$B$7*B46</f>
        <v/>
      </c>
      <c r="D46" s="45">
        <f>C46*$B$8</f>
        <v/>
      </c>
      <c r="E46" s="45">
        <f>$B$9</f>
        <v/>
      </c>
      <c r="F46" s="45">
        <f>$B$10</f>
        <v/>
      </c>
      <c r="G46" s="45">
        <f>C46*$B$11</f>
        <v/>
      </c>
      <c r="H46" s="45">
        <f>C46-D46-E46-F46-G46</f>
        <v/>
      </c>
      <c r="I46" s="45">
        <f>IF(A46&lt;=$B$19,$B$20,0)</f>
        <v/>
      </c>
      <c r="J46" s="45">
        <f>H46-I46</f>
        <v/>
      </c>
      <c r="K46" s="45">
        <f>K45+J46</f>
        <v/>
      </c>
      <c r="L46" s="46">
        <f>MAX(0,B46-$B$21)</f>
        <v/>
      </c>
      <c r="M46" s="45">
        <f>$B$7*L46*(1-$B$8-$B$11)-$B$9-$B$10</f>
        <v/>
      </c>
      <c r="N46" s="45">
        <f>N45+M46-I46</f>
        <v/>
      </c>
    </row>
    <row r="47">
      <c r="A47" s="44" t="n">
        <v>23</v>
      </c>
      <c r="B47" s="42" t="n">
        <v>1</v>
      </c>
      <c r="C47" s="45">
        <f>$B$7*B47</f>
        <v/>
      </c>
      <c r="D47" s="45">
        <f>C47*$B$8</f>
        <v/>
      </c>
      <c r="E47" s="45">
        <f>$B$9</f>
        <v/>
      </c>
      <c r="F47" s="45">
        <f>$B$10</f>
        <v/>
      </c>
      <c r="G47" s="45">
        <f>C47*$B$11</f>
        <v/>
      </c>
      <c r="H47" s="45">
        <f>C47-D47-E47-F47-G47</f>
        <v/>
      </c>
      <c r="I47" s="45">
        <f>IF(A47&lt;=$B$19,$B$20,0)</f>
        <v/>
      </c>
      <c r="J47" s="45">
        <f>H47-I47</f>
        <v/>
      </c>
      <c r="K47" s="45">
        <f>K46+J47</f>
        <v/>
      </c>
      <c r="L47" s="46">
        <f>MAX(0,B47-$B$21)</f>
        <v/>
      </c>
      <c r="M47" s="45">
        <f>$B$7*L47*(1-$B$8-$B$11)-$B$9-$B$10</f>
        <v/>
      </c>
      <c r="N47" s="45">
        <f>N46+M47-I47</f>
        <v/>
      </c>
    </row>
    <row r="48">
      <c r="A48" s="44" t="n">
        <v>24</v>
      </c>
      <c r="B48" s="42" t="n">
        <v>1</v>
      </c>
      <c r="C48" s="45">
        <f>$B$7*B48</f>
        <v/>
      </c>
      <c r="D48" s="45">
        <f>C48*$B$8</f>
        <v/>
      </c>
      <c r="E48" s="45">
        <f>$B$9</f>
        <v/>
      </c>
      <c r="F48" s="45">
        <f>$B$10</f>
        <v/>
      </c>
      <c r="G48" s="45">
        <f>C48*$B$11</f>
        <v/>
      </c>
      <c r="H48" s="45">
        <f>C48-D48-E48-F48-G48</f>
        <v/>
      </c>
      <c r="I48" s="45">
        <f>IF(A48&lt;=$B$19,$B$20,0)</f>
        <v/>
      </c>
      <c r="J48" s="45">
        <f>H48-I48</f>
        <v/>
      </c>
      <c r="K48" s="45">
        <f>K47+J48</f>
        <v/>
      </c>
      <c r="L48" s="46">
        <f>MAX(0,B48-$B$21)</f>
        <v/>
      </c>
      <c r="M48" s="45">
        <f>$B$7*L48*(1-$B$8-$B$11)-$B$9-$B$10</f>
        <v/>
      </c>
      <c r="N48" s="45">
        <f>N47+M48-I48</f>
        <v/>
      </c>
    </row>
    <row r="51">
      <c r="A51" s="28" t="inlineStr">
        <is>
          <t>Summary</t>
        </is>
      </c>
    </row>
    <row r="52" ht="20" customHeight="1">
      <c r="A52" s="29" t="inlineStr">
        <is>
          <t>A full-pace month</t>
        </is>
      </c>
      <c r="B52" s="29" t="inlineStr">
        <is>
          <t>Per month ($)</t>
        </is>
      </c>
      <c r="C52" s="29" t="inlineStr">
        <is>
          <t>Share of sales</t>
        </is>
      </c>
    </row>
    <row r="53">
      <c r="A53" s="36" t="inlineStr">
        <is>
          <t>Sales</t>
        </is>
      </c>
      <c r="B53" s="47">
        <f>B7</f>
        <v/>
      </c>
      <c r="C53" s="48">
        <f>IF($B$53&gt;0,B53/$B$53,"")</f>
        <v/>
      </c>
    </row>
    <row r="54">
      <c r="A54" s="36" t="inlineStr">
        <is>
          <t>Drink cost</t>
        </is>
      </c>
      <c r="B54" s="47">
        <f>B7*B8</f>
        <v/>
      </c>
      <c r="C54" s="48">
        <f>IF($B$53&gt;0,B54/$B$53,"")</f>
        <v/>
      </c>
    </row>
    <row r="55">
      <c r="A55" s="36" t="inlineStr">
        <is>
          <t>Labor</t>
        </is>
      </c>
      <c r="B55" s="47">
        <f>B9</f>
        <v/>
      </c>
      <c r="C55" s="48">
        <f>IF($B$53&gt;0,B55/$B$53,"")</f>
        <v/>
      </c>
    </row>
    <row r="56">
      <c r="A56" s="36" t="inlineStr">
        <is>
          <t>Rent</t>
        </is>
      </c>
      <c r="B56" s="47">
        <f>B10</f>
        <v/>
      </c>
      <c r="C56" s="48">
        <f>IF($B$53&gt;0,B56/$B$53,"")</f>
        <v/>
      </c>
    </row>
    <row r="57">
      <c r="A57" s="36" t="inlineStr">
        <is>
          <t>Other operating costs</t>
        </is>
      </c>
      <c r="B57" s="47">
        <f>B7*B11</f>
        <v/>
      </c>
      <c r="C57" s="48">
        <f>IF($B$53&gt;0,B57/$B$53,"")</f>
        <v/>
      </c>
    </row>
    <row r="58">
      <c r="A58" s="49" t="inlineStr">
        <is>
          <t>Operating cash flow</t>
        </is>
      </c>
      <c r="B58" s="47">
        <f>B53-B54-B55-B56-B57</f>
        <v/>
      </c>
      <c r="C58" s="48">
        <f>IF($B$53&gt;0,B58/$B$53,"")</f>
        <v/>
      </c>
    </row>
    <row r="60" ht="20" customHeight="1">
      <c r="A60" s="29" t="inlineStr">
        <is>
          <t>Result</t>
        </is>
      </c>
      <c r="B60" s="29" t="inlineStr">
        <is>
          <t>Value</t>
        </is>
      </c>
      <c r="C60" s="29" t="inlineStr">
        <is>
          <t>How it is worked out</t>
        </is>
      </c>
    </row>
    <row r="61">
      <c r="A61" s="36" t="inlineStr">
        <is>
          <t>Year 1 sales ($)</t>
        </is>
      </c>
      <c r="B61" s="47">
        <f>SUM(C25:C36)</f>
        <v/>
      </c>
    </row>
    <row r="62">
      <c r="A62" s="36" t="inlineStr">
        <is>
          <t>Year 2 sales ($)</t>
        </is>
      </c>
      <c r="B62" s="47">
        <f>SUM(C37:C48)</f>
        <v/>
      </c>
    </row>
    <row r="63">
      <c r="A63" s="36" t="inlineStr">
        <is>
          <t>Year 1 operating cash flow ($)</t>
        </is>
      </c>
      <c r="B63" s="47">
        <f>SUM(H25:H36)</f>
        <v/>
      </c>
    </row>
    <row r="64">
      <c r="A64" s="36" t="inlineStr">
        <is>
          <t>Year 2 operating cash flow ($)</t>
        </is>
      </c>
      <c r="B64" s="47">
        <f>SUM(H37:H48)</f>
        <v/>
      </c>
    </row>
    <row r="65">
      <c r="A65" s="36" t="inlineStr">
        <is>
          <t>Year 2 operating cash flow, % of sales</t>
        </is>
      </c>
      <c r="B65" s="48">
        <f>IF(B62&gt;0,B64/B62,"")</f>
        <v/>
      </c>
    </row>
    <row r="66">
      <c r="A66" s="36" t="inlineStr">
        <is>
          <t>Loan payments, year 1 ($)</t>
        </is>
      </c>
      <c r="B66" s="47">
        <f>SUM(I25:I36)</f>
        <v/>
      </c>
    </row>
    <row r="67">
      <c r="A67" s="36" t="inlineStr">
        <is>
          <t>Loan payments, year 2 ($)</t>
        </is>
      </c>
      <c r="B67" s="47">
        <f>SUM(I37:I48)</f>
        <v/>
      </c>
    </row>
    <row r="68">
      <c r="A68" s="36" t="inlineStr">
        <is>
          <t>Debt service coverage, year 1</t>
        </is>
      </c>
      <c r="B68" s="50">
        <f>IF(AND(B66&gt;0,B61&gt;0),B63/B66,"")</f>
        <v/>
      </c>
      <c r="C68" s="31" t="inlineStr">
        <is>
          <t>Operating cash flow ÷ loan payments. Add any other loans to the payments.</t>
        </is>
      </c>
    </row>
    <row r="69">
      <c r="A69" s="36" t="inlineStr">
        <is>
          <t>Debt service coverage, year 2</t>
        </is>
      </c>
      <c r="B69" s="50">
        <f>IF(AND(B67&gt;0,B62&gt;0),B64/B67,"")</f>
        <v/>
      </c>
      <c r="C69" s="31" t="inlineStr">
        <is>
          <t>SBA standard 7(a) over $350,000: at least 1.15 within 2 years.</t>
        </is>
      </c>
    </row>
    <row r="70">
      <c r="A70" s="36" t="inlineStr">
        <is>
          <t>Year 1 operating cash flow, slower case ($)</t>
        </is>
      </c>
      <c r="B70" s="47">
        <f>SUM(M25:M36)</f>
        <v/>
      </c>
    </row>
    <row r="71">
      <c r="A71" s="36" t="inlineStr">
        <is>
          <t>Year 2 operating cash flow, slower case ($)</t>
        </is>
      </c>
      <c r="B71" s="47">
        <f>SUM(M37:M48)</f>
        <v/>
      </c>
    </row>
    <row r="72">
      <c r="A72" s="36" t="inlineStr">
        <is>
          <t>Debt service coverage, year 1, slower case</t>
        </is>
      </c>
      <c r="B72" s="50">
        <f>IF(AND(B66&gt;0,B61&gt;0),B70/B66,"")</f>
        <v/>
      </c>
    </row>
    <row r="73">
      <c r="A73" s="36" t="inlineStr">
        <is>
          <t>Debt service coverage, year 2, slower case</t>
        </is>
      </c>
      <c r="B73" s="50">
        <f>IF(AND(B67&gt;0,B62&gt;0),B71/B67,"")</f>
        <v/>
      </c>
    </row>
    <row r="74">
      <c r="A74" s="36" t="inlineStr">
        <is>
          <t>Fixed costs per month ($)</t>
        </is>
      </c>
      <c r="B74" s="47">
        <f>B9+B10</f>
        <v/>
      </c>
      <c r="C74" s="31" t="inlineStr">
        <is>
          <t>Labor + rent.</t>
        </is>
      </c>
    </row>
    <row r="75">
      <c r="A75" s="36" t="inlineStr">
        <is>
          <t>Each dollar of sales keeps ($)</t>
        </is>
      </c>
      <c r="B75" s="51">
        <f>IF(AND(ISNUMBER(B8),ISNUMBER(B11)),1-B8-B11,"")</f>
        <v/>
      </c>
      <c r="C75" s="31" t="inlineStr">
        <is>
          <t>1 − drink cost % − other operating costs %.</t>
        </is>
      </c>
    </row>
    <row r="76">
      <c r="A76" s="36" t="inlineStr">
        <is>
          <t>Break-even sales per month, before the loan ($)</t>
        </is>
      </c>
      <c r="B76" s="47">
        <f>IF(ISNUMBER(B75),IF(AND(B75&gt;0,B74&gt;0),B74/B75,""),"")</f>
        <v/>
      </c>
      <c r="C76" s="31" t="inlineStr">
        <is>
          <t>Fixed costs ÷ what each dollar keeps.</t>
        </is>
      </c>
    </row>
    <row r="77">
      <c r="A77" s="36" t="inlineStr">
        <is>
          <t>Break-even before the loan, % of full pace</t>
        </is>
      </c>
      <c r="B77" s="48">
        <f>IF(AND(ISNUMBER(B76),B7&gt;0),B76/B7,"")</f>
        <v/>
      </c>
    </row>
    <row r="78">
      <c r="A78" s="36" t="inlineStr">
        <is>
          <t>Break-even sales per month, with the loan ($)</t>
        </is>
      </c>
      <c r="B78" s="47">
        <f>IF(ISNUMBER(B75),IF(AND(B75&gt;0,B74+B20&gt;0),(B74+B20)/B75,""),"")</f>
        <v/>
      </c>
      <c r="C78" s="31" t="inlineStr">
        <is>
          <t>(Fixed costs + loan payment) ÷ what each dollar keeps.</t>
        </is>
      </c>
    </row>
    <row r="79">
      <c r="A79" s="36" t="inlineStr">
        <is>
          <t>Break-even with the loan, % of full pace</t>
        </is>
      </c>
      <c r="B79" s="48">
        <f>IF(AND(ISNUMBER(B78),B7&gt;0),B78/B7,"")</f>
        <v/>
      </c>
    </row>
    <row r="80">
      <c r="A80" s="36" t="inlineStr">
        <is>
          <t>Break-even with the loan, drinks per week</t>
        </is>
      </c>
      <c r="B80" s="52">
        <f>IF(AND(ISNUMBER(B78),B5&gt;0,B6&gt;0),B78*12/B6/B5,"")</f>
        <v/>
      </c>
    </row>
    <row r="81">
      <c r="A81" s="36" t="inlineStr">
        <is>
          <t>Biggest shortfall, forecast ($)</t>
        </is>
      </c>
      <c r="B81" s="47">
        <f>IF(B7&gt;0,MIN(0,MIN(K25:K48)),"")</f>
        <v/>
      </c>
      <c r="C81" s="31" t="inlineStr">
        <is>
          <t>Lowest cash balance from $0 on opening day.</t>
        </is>
      </c>
    </row>
    <row r="82">
      <c r="A82" s="36" t="inlineStr">
        <is>
          <t>Month of the biggest shortfall, forecast</t>
        </is>
      </c>
      <c r="B82" s="52">
        <f>IF(AND(ISNUMBER(B81),B81&lt;0),MATCH(B81,K25:K48,0),"")</f>
        <v/>
      </c>
    </row>
    <row r="83">
      <c r="A83" s="36" t="inlineStr">
        <is>
          <t>Biggest shortfall, slower case ($)</t>
        </is>
      </c>
      <c r="B83" s="47">
        <f>IF(B7&gt;0,MIN(0,MIN(N25:N48)),"")</f>
        <v/>
      </c>
    </row>
    <row r="84">
      <c r="A84" s="36" t="inlineStr">
        <is>
          <t>Month of the biggest shortfall, slower case</t>
        </is>
      </c>
      <c r="B84" s="52">
        <f>IF(AND(ISNUMBER(B83),B83&lt;0),MATCH(B83,N25:N48,0),"")</f>
        <v/>
      </c>
    </row>
    <row r="85">
      <c r="A85" s="36" t="inlineStr">
        <is>
          <t>Reserve left at the slower case's low point ($)</t>
        </is>
      </c>
      <c r="B85" s="47">
        <f>IF(ISNUMBER(B83),B13+B83,"")</f>
        <v/>
      </c>
      <c r="C85" s="31" t="inlineStr">
        <is>
          <t>Below zero: raise the reserve (B13). That raises the loan, so check again.</t>
        </is>
      </c>
    </row>
  </sheetData>
  <printOptions horizontalCentered="0"/>
  <pageMargins left="0.5" right="0.5" top="0.6" bottom="0.6" header="0.5" footer="0.5"/>
  <pageSetup orientation="landscape" paperSize="1" fitToHeight="0" fitToWidth="1"/>
</worksheet>
</file>

<file path=xl/worksheets/sheet5.xml><?xml version="1.0" encoding="utf-8"?>
<worksheet xmlns="http://schemas.openxmlformats.org/spreadsheetml/2006/main">
  <sheetPr>
    <outlinePr summaryBelow="1" summaryRight="1"/>
    <pageSetUpPr fitToPage="1"/>
  </sheetPr>
  <dimension ref="A1:N85"/>
  <sheetViews>
    <sheetView tabSelected="0" workbookViewId="0">
      <pane xSplit="1" ySplit="3" topLeftCell="B4" activePane="bottomRight" state="frozen"/>
      <selection pane="topRight"/>
      <selection pane="bottomLeft"/>
      <selection pane="bottomRight" activeCell="A1" sqref="A1"/>
    </sheetView>
  </sheetViews>
  <sheetFormatPr baseColWidth="8" defaultRowHeight="15"/>
  <cols>
    <col width="46" customWidth="1" min="1" max="1"/>
    <col width="16" customWidth="1" min="2" max="2"/>
    <col width="16" customWidth="1" min="3" max="3"/>
    <col width="14" customWidth="1" min="4" max="4"/>
    <col width="13" customWidth="1" min="5" max="5"/>
    <col width="12" customWidth="1" min="6" max="6"/>
    <col width="15" customWidth="1" min="7" max="7"/>
    <col width="15" customWidth="1" min="8" max="8"/>
    <col width="14" customWidth="1" min="9" max="9"/>
    <col width="15" customWidth="1" min="10" max="10"/>
    <col width="15" customWidth="1" min="11" max="11"/>
    <col width="14" customWidth="1" min="12" max="12"/>
    <col width="16" customWidth="1" min="13" max="13"/>
    <col width="17" customWidth="1" min="14" max="14"/>
  </cols>
  <sheetData>
    <row r="1">
      <c r="A1" s="28" t="inlineStr">
        <is>
          <t>Forecast: 24 months, your bar</t>
        </is>
      </c>
    </row>
    <row r="2">
      <c r="A2" s="31" t="inlineStr">
        <is>
          <t>Fill the yellow cells. The white cells are formulas.</t>
        </is>
      </c>
    </row>
    <row r="3" ht="20" customHeight="1">
      <c r="A3" s="29" t="inlineStr">
        <is>
          <t>Input</t>
        </is>
      </c>
      <c r="B3" s="29" t="inlineStr">
        <is>
          <t>Value</t>
        </is>
      </c>
      <c r="C3" s="29" t="inlineStr">
        <is>
          <t>Where it comes from</t>
        </is>
      </c>
    </row>
    <row r="4">
      <c r="A4" s="36" t="inlineStr">
        <is>
          <t>Drinks per week at full pace</t>
        </is>
      </c>
      <c r="B4" s="37" t="n"/>
      <c r="C4" s="31" t="inlineStr">
        <is>
          <t>Build it from seats, nights open and drinks per guest.</t>
        </is>
      </c>
    </row>
    <row r="5">
      <c r="A5" s="36" t="inlineStr">
        <is>
          <t>Net sales per drink ($)</t>
        </is>
      </c>
      <c r="B5" s="38" t="n"/>
      <c r="C5" s="31" t="inlineStr">
        <is>
          <t>Average after discounts and before sales tax, across your real drink mix.</t>
        </is>
      </c>
    </row>
    <row r="6">
      <c r="A6" s="36" t="inlineStr">
        <is>
          <t>Weeks per year</t>
        </is>
      </c>
      <c r="B6" s="37" t="n">
        <v>52</v>
      </c>
    </row>
    <row r="7">
      <c r="A7" s="36" t="inlineStr">
        <is>
          <t>Full-pace sales per month ($)</t>
        </is>
      </c>
      <c r="B7" s="39">
        <f>B4*B5*B6/12</f>
        <v/>
      </c>
      <c r="C7" s="31" t="inlineStr">
        <is>
          <t>Formula: drinks a week × net sales per drink × 52 ÷ 12.</t>
        </is>
      </c>
    </row>
    <row r="8">
      <c r="A8" s="36" t="inlineStr">
        <is>
          <t>Drink cost (% of sales)</t>
        </is>
      </c>
      <c r="B8" s="40" t="n"/>
      <c r="C8" s="31" t="inlineStr">
        <is>
          <t>Your costed specs, plus a little for waste and overpours.</t>
        </is>
      </c>
    </row>
    <row r="9">
      <c r="A9" s="36" t="inlineStr">
        <is>
          <t>Labor per month ($)</t>
        </is>
      </c>
      <c r="B9" s="41" t="n"/>
      <c r="C9" s="31" t="inlineStr">
        <is>
          <t>Fixed. Wages plus payroll taxes, workers' comp and benefits, from a written schedule. Include your own salary.</t>
        </is>
      </c>
    </row>
    <row r="10">
      <c r="A10" s="36" t="inlineStr">
        <is>
          <t>Rent per month ($)</t>
        </is>
      </c>
      <c r="B10" s="41" t="n"/>
      <c r="C10" s="31" t="inlineStr">
        <is>
          <t>Fixed. From your lease or the landlord's proposed terms.</t>
        </is>
      </c>
    </row>
    <row r="11">
      <c r="A11" s="36" t="inlineStr">
        <is>
          <t>Other operating costs (% of sales)</t>
        </is>
      </c>
      <c r="B11" s="40" t="n"/>
      <c r="C11" s="31" t="inlineStr">
        <is>
          <t>Card fees, utilities, insurance, repairs, music licenses, marketing, supplies.</t>
        </is>
      </c>
    </row>
    <row r="12">
      <c r="A12" s="36" t="inlineStr">
        <is>
          <t>Project cost before the reserve ($)</t>
        </is>
      </c>
      <c r="B12" s="41">
        <f>'Startup budget'!E22</f>
        <v/>
      </c>
      <c r="C12" s="31" t="inlineStr">
        <is>
          <t>Filled from the Startup budget (total before the reserve). Type over it to use another figure.</t>
        </is>
      </c>
    </row>
    <row r="13">
      <c r="A13" s="36" t="inlineStr">
        <is>
          <t>Opening cash reserve in the project ($)</t>
        </is>
      </c>
      <c r="B13" s="41" t="n"/>
      <c r="C13" s="31" t="inlineStr">
        <is>
          <t>Start with the slower case's biggest shortfall (below), then change it until borrowing and reserve agree.</t>
        </is>
      </c>
    </row>
    <row r="14">
      <c r="A14" s="36" t="inlineStr">
        <is>
          <t>Total project cost ($)</t>
        </is>
      </c>
      <c r="B14" s="39">
        <f>B12+B13</f>
        <v/>
      </c>
      <c r="C14" s="31" t="inlineStr">
        <is>
          <t>Formula.</t>
        </is>
      </c>
    </row>
    <row r="15">
      <c r="A15" s="36" t="inlineStr">
        <is>
          <t>Your own money (% of project)</t>
        </is>
      </c>
      <c r="B15" s="42" t="n">
        <v>0.1</v>
      </c>
      <c r="C15" s="31" t="inlineStr">
        <is>
          <t>At least 10% for a start-up on an SBA 7(a) loan.</t>
        </is>
      </c>
    </row>
    <row r="16">
      <c r="A16" s="36" t="inlineStr">
        <is>
          <t>Your own money ($)</t>
        </is>
      </c>
      <c r="B16" s="39">
        <f>B14*B15</f>
        <v/>
      </c>
      <c r="C16" s="31" t="inlineStr">
        <is>
          <t>Formula.</t>
        </is>
      </c>
    </row>
    <row r="17">
      <c r="A17" s="36" t="inlineStr">
        <is>
          <t>Loan amount ($)</t>
        </is>
      </c>
      <c r="B17" s="39">
        <f>B14-B16</f>
        <v/>
      </c>
      <c r="C17" s="31" t="inlineStr">
        <is>
          <t>Formula.</t>
        </is>
      </c>
    </row>
    <row r="18">
      <c r="A18" s="36" t="inlineStr">
        <is>
          <t>Interest rate (yearly)</t>
        </is>
      </c>
      <c r="B18" s="43" t="n"/>
      <c r="C18" s="31" t="inlineStr">
        <is>
          <t>Your lender's rate. A variable rate can change.</t>
        </is>
      </c>
    </row>
    <row r="19">
      <c r="A19" s="36" t="inlineStr">
        <is>
          <t>Loan term (months)</t>
        </is>
      </c>
      <c r="B19" s="37" t="n">
        <v>120</v>
      </c>
      <c r="C19" s="31" t="inlineStr">
        <is>
          <t>Filled in with 10 years, the SBA limit for leasehold improvements. Use your loan's term.</t>
        </is>
      </c>
    </row>
    <row r="20">
      <c r="A20" s="36" t="inlineStr">
        <is>
          <t>Monthly loan payment ($)</t>
        </is>
      </c>
      <c r="B20" s="39">
        <f>IF(AND(B17&gt;0,B19&gt;0,ISNUMBER(B18)),PMT(B18/12,B19,-B17),0)</f>
        <v/>
      </c>
      <c r="C20" s="31" t="inlineStr">
        <is>
          <t>Formula. Needs a loan, a rate and a term.</t>
        </is>
      </c>
    </row>
    <row r="21">
      <c r="A21" s="36" t="inlineStr">
        <is>
          <t>Slower case: points of full pace lost every month</t>
        </is>
      </c>
      <c r="B21" s="42" t="n">
        <v>0.15</v>
      </c>
      <c r="C21" s="31" t="inlineStr">
        <is>
          <t>Filled in with 15 points. A lender will want to see a slower opening.</t>
        </is>
      </c>
    </row>
    <row r="23">
      <c r="A23" s="31" t="inlineStr">
        <is>
          <t>Operating cash flow is before the loan, depreciation, income tax and anything the owners take. It is not net profit or cash for the owners.</t>
        </is>
      </c>
    </row>
    <row r="24" ht="32" customHeight="1">
      <c r="A24" s="29" t="inlineStr">
        <is>
          <t>Month</t>
        </is>
      </c>
      <c r="B24" s="29" t="inlineStr">
        <is>
          <t>Share of full pace</t>
        </is>
      </c>
      <c r="C24" s="29" t="inlineStr">
        <is>
          <t>Sales ($)</t>
        </is>
      </c>
      <c r="D24" s="29" t="inlineStr">
        <is>
          <t>Drink cost ($)</t>
        </is>
      </c>
      <c r="E24" s="29" t="inlineStr">
        <is>
          <t>Labor ($)</t>
        </is>
      </c>
      <c r="F24" s="29" t="inlineStr">
        <is>
          <t>Rent ($)</t>
        </is>
      </c>
      <c r="G24" s="29" t="inlineStr">
        <is>
          <t>Other operating costs ($)</t>
        </is>
      </c>
      <c r="H24" s="29" t="inlineStr">
        <is>
          <t>Operating cash flow ($)</t>
        </is>
      </c>
      <c r="I24" s="29" t="inlineStr">
        <is>
          <t>Loan payment ($)</t>
        </is>
      </c>
      <c r="J24" s="29" t="inlineStr">
        <is>
          <t>After the loan payment ($)</t>
        </is>
      </c>
      <c r="K24" s="29" t="inlineStr">
        <is>
          <t>Cash balance from $0 ($)</t>
        </is>
      </c>
      <c r="L24" s="29" t="inlineStr">
        <is>
          <t>Share of full pace, slower case</t>
        </is>
      </c>
      <c r="M24" s="29" t="inlineStr">
        <is>
          <t>Operating cash flow, slower case ($)</t>
        </is>
      </c>
      <c r="N24" s="29" t="inlineStr">
        <is>
          <t>Cash balance from $0, slower case ($)</t>
        </is>
      </c>
    </row>
    <row r="25">
      <c r="A25" s="44" t="n">
        <v>1</v>
      </c>
      <c r="B25" s="42" t="n"/>
      <c r="C25" s="45">
        <f>$B$7*B25</f>
        <v/>
      </c>
      <c r="D25" s="45">
        <f>C25*$B$8</f>
        <v/>
      </c>
      <c r="E25" s="45">
        <f>$B$9</f>
        <v/>
      </c>
      <c r="F25" s="45">
        <f>$B$10</f>
        <v/>
      </c>
      <c r="G25" s="45">
        <f>C25*$B$11</f>
        <v/>
      </c>
      <c r="H25" s="45">
        <f>C25-D25-E25-F25-G25</f>
        <v/>
      </c>
      <c r="I25" s="45">
        <f>IF(A25&lt;=$B$19,$B$20,0)</f>
        <v/>
      </c>
      <c r="J25" s="45">
        <f>H25-I25</f>
        <v/>
      </c>
      <c r="K25" s="45">
        <f>J25</f>
        <v/>
      </c>
      <c r="L25" s="46">
        <f>MAX(0,B25-$B$21)</f>
        <v/>
      </c>
      <c r="M25" s="45">
        <f>$B$7*L25*(1-$B$8-$B$11)-$B$9-$B$10</f>
        <v/>
      </c>
      <c r="N25" s="45">
        <f>M25-I25</f>
        <v/>
      </c>
    </row>
    <row r="26">
      <c r="A26" s="44" t="n">
        <v>2</v>
      </c>
      <c r="B26" s="42" t="n"/>
      <c r="C26" s="45">
        <f>$B$7*B26</f>
        <v/>
      </c>
      <c r="D26" s="45">
        <f>C26*$B$8</f>
        <v/>
      </c>
      <c r="E26" s="45">
        <f>$B$9</f>
        <v/>
      </c>
      <c r="F26" s="45">
        <f>$B$10</f>
        <v/>
      </c>
      <c r="G26" s="45">
        <f>C26*$B$11</f>
        <v/>
      </c>
      <c r="H26" s="45">
        <f>C26-D26-E26-F26-G26</f>
        <v/>
      </c>
      <c r="I26" s="45">
        <f>IF(A26&lt;=$B$19,$B$20,0)</f>
        <v/>
      </c>
      <c r="J26" s="45">
        <f>H26-I26</f>
        <v/>
      </c>
      <c r="K26" s="45">
        <f>K25+J26</f>
        <v/>
      </c>
      <c r="L26" s="46">
        <f>MAX(0,B26-$B$21)</f>
        <v/>
      </c>
      <c r="M26" s="45">
        <f>$B$7*L26*(1-$B$8-$B$11)-$B$9-$B$10</f>
        <v/>
      </c>
      <c r="N26" s="45">
        <f>N25+M26-I26</f>
        <v/>
      </c>
    </row>
    <row r="27">
      <c r="A27" s="44" t="n">
        <v>3</v>
      </c>
      <c r="B27" s="42" t="n"/>
      <c r="C27" s="45">
        <f>$B$7*B27</f>
        <v/>
      </c>
      <c r="D27" s="45">
        <f>C27*$B$8</f>
        <v/>
      </c>
      <c r="E27" s="45">
        <f>$B$9</f>
        <v/>
      </c>
      <c r="F27" s="45">
        <f>$B$10</f>
        <v/>
      </c>
      <c r="G27" s="45">
        <f>C27*$B$11</f>
        <v/>
      </c>
      <c r="H27" s="45">
        <f>C27-D27-E27-F27-G27</f>
        <v/>
      </c>
      <c r="I27" s="45">
        <f>IF(A27&lt;=$B$19,$B$20,0)</f>
        <v/>
      </c>
      <c r="J27" s="45">
        <f>H27-I27</f>
        <v/>
      </c>
      <c r="K27" s="45">
        <f>K26+J27</f>
        <v/>
      </c>
      <c r="L27" s="46">
        <f>MAX(0,B27-$B$21)</f>
        <v/>
      </c>
      <c r="M27" s="45">
        <f>$B$7*L27*(1-$B$8-$B$11)-$B$9-$B$10</f>
        <v/>
      </c>
      <c r="N27" s="45">
        <f>N26+M27-I27</f>
        <v/>
      </c>
    </row>
    <row r="28">
      <c r="A28" s="44" t="n">
        <v>4</v>
      </c>
      <c r="B28" s="42" t="n"/>
      <c r="C28" s="45">
        <f>$B$7*B28</f>
        <v/>
      </c>
      <c r="D28" s="45">
        <f>C28*$B$8</f>
        <v/>
      </c>
      <c r="E28" s="45">
        <f>$B$9</f>
        <v/>
      </c>
      <c r="F28" s="45">
        <f>$B$10</f>
        <v/>
      </c>
      <c r="G28" s="45">
        <f>C28*$B$11</f>
        <v/>
      </c>
      <c r="H28" s="45">
        <f>C28-D28-E28-F28-G28</f>
        <v/>
      </c>
      <c r="I28" s="45">
        <f>IF(A28&lt;=$B$19,$B$20,0)</f>
        <v/>
      </c>
      <c r="J28" s="45">
        <f>H28-I28</f>
        <v/>
      </c>
      <c r="K28" s="45">
        <f>K27+J28</f>
        <v/>
      </c>
      <c r="L28" s="46">
        <f>MAX(0,B28-$B$21)</f>
        <v/>
      </c>
      <c r="M28" s="45">
        <f>$B$7*L28*(1-$B$8-$B$11)-$B$9-$B$10</f>
        <v/>
      </c>
      <c r="N28" s="45">
        <f>N27+M28-I28</f>
        <v/>
      </c>
    </row>
    <row r="29">
      <c r="A29" s="44" t="n">
        <v>5</v>
      </c>
      <c r="B29" s="42" t="n"/>
      <c r="C29" s="45">
        <f>$B$7*B29</f>
        <v/>
      </c>
      <c r="D29" s="45">
        <f>C29*$B$8</f>
        <v/>
      </c>
      <c r="E29" s="45">
        <f>$B$9</f>
        <v/>
      </c>
      <c r="F29" s="45">
        <f>$B$10</f>
        <v/>
      </c>
      <c r="G29" s="45">
        <f>C29*$B$11</f>
        <v/>
      </c>
      <c r="H29" s="45">
        <f>C29-D29-E29-F29-G29</f>
        <v/>
      </c>
      <c r="I29" s="45">
        <f>IF(A29&lt;=$B$19,$B$20,0)</f>
        <v/>
      </c>
      <c r="J29" s="45">
        <f>H29-I29</f>
        <v/>
      </c>
      <c r="K29" s="45">
        <f>K28+J29</f>
        <v/>
      </c>
      <c r="L29" s="46">
        <f>MAX(0,B29-$B$21)</f>
        <v/>
      </c>
      <c r="M29" s="45">
        <f>$B$7*L29*(1-$B$8-$B$11)-$B$9-$B$10</f>
        <v/>
      </c>
      <c r="N29" s="45">
        <f>N28+M29-I29</f>
        <v/>
      </c>
    </row>
    <row r="30">
      <c r="A30" s="44" t="n">
        <v>6</v>
      </c>
      <c r="B30" s="42" t="n"/>
      <c r="C30" s="45">
        <f>$B$7*B30</f>
        <v/>
      </c>
      <c r="D30" s="45">
        <f>C30*$B$8</f>
        <v/>
      </c>
      <c r="E30" s="45">
        <f>$B$9</f>
        <v/>
      </c>
      <c r="F30" s="45">
        <f>$B$10</f>
        <v/>
      </c>
      <c r="G30" s="45">
        <f>C30*$B$11</f>
        <v/>
      </c>
      <c r="H30" s="45">
        <f>C30-D30-E30-F30-G30</f>
        <v/>
      </c>
      <c r="I30" s="45">
        <f>IF(A30&lt;=$B$19,$B$20,0)</f>
        <v/>
      </c>
      <c r="J30" s="45">
        <f>H30-I30</f>
        <v/>
      </c>
      <c r="K30" s="45">
        <f>K29+J30</f>
        <v/>
      </c>
      <c r="L30" s="46">
        <f>MAX(0,B30-$B$21)</f>
        <v/>
      </c>
      <c r="M30" s="45">
        <f>$B$7*L30*(1-$B$8-$B$11)-$B$9-$B$10</f>
        <v/>
      </c>
      <c r="N30" s="45">
        <f>N29+M30-I30</f>
        <v/>
      </c>
    </row>
    <row r="31">
      <c r="A31" s="44" t="n">
        <v>7</v>
      </c>
      <c r="B31" s="42" t="n"/>
      <c r="C31" s="45">
        <f>$B$7*B31</f>
        <v/>
      </c>
      <c r="D31" s="45">
        <f>C31*$B$8</f>
        <v/>
      </c>
      <c r="E31" s="45">
        <f>$B$9</f>
        <v/>
      </c>
      <c r="F31" s="45">
        <f>$B$10</f>
        <v/>
      </c>
      <c r="G31" s="45">
        <f>C31*$B$11</f>
        <v/>
      </c>
      <c r="H31" s="45">
        <f>C31-D31-E31-F31-G31</f>
        <v/>
      </c>
      <c r="I31" s="45">
        <f>IF(A31&lt;=$B$19,$B$20,0)</f>
        <v/>
      </c>
      <c r="J31" s="45">
        <f>H31-I31</f>
        <v/>
      </c>
      <c r="K31" s="45">
        <f>K30+J31</f>
        <v/>
      </c>
      <c r="L31" s="46">
        <f>MAX(0,B31-$B$21)</f>
        <v/>
      </c>
      <c r="M31" s="45">
        <f>$B$7*L31*(1-$B$8-$B$11)-$B$9-$B$10</f>
        <v/>
      </c>
      <c r="N31" s="45">
        <f>N30+M31-I31</f>
        <v/>
      </c>
    </row>
    <row r="32">
      <c r="A32" s="44" t="n">
        <v>8</v>
      </c>
      <c r="B32" s="42" t="n"/>
      <c r="C32" s="45">
        <f>$B$7*B32</f>
        <v/>
      </c>
      <c r="D32" s="45">
        <f>C32*$B$8</f>
        <v/>
      </c>
      <c r="E32" s="45">
        <f>$B$9</f>
        <v/>
      </c>
      <c r="F32" s="45">
        <f>$B$10</f>
        <v/>
      </c>
      <c r="G32" s="45">
        <f>C32*$B$11</f>
        <v/>
      </c>
      <c r="H32" s="45">
        <f>C32-D32-E32-F32-G32</f>
        <v/>
      </c>
      <c r="I32" s="45">
        <f>IF(A32&lt;=$B$19,$B$20,0)</f>
        <v/>
      </c>
      <c r="J32" s="45">
        <f>H32-I32</f>
        <v/>
      </c>
      <c r="K32" s="45">
        <f>K31+J32</f>
        <v/>
      </c>
      <c r="L32" s="46">
        <f>MAX(0,B32-$B$21)</f>
        <v/>
      </c>
      <c r="M32" s="45">
        <f>$B$7*L32*(1-$B$8-$B$11)-$B$9-$B$10</f>
        <v/>
      </c>
      <c r="N32" s="45">
        <f>N31+M32-I32</f>
        <v/>
      </c>
    </row>
    <row r="33">
      <c r="A33" s="44" t="n">
        <v>9</v>
      </c>
      <c r="B33" s="42" t="n"/>
      <c r="C33" s="45">
        <f>$B$7*B33</f>
        <v/>
      </c>
      <c r="D33" s="45">
        <f>C33*$B$8</f>
        <v/>
      </c>
      <c r="E33" s="45">
        <f>$B$9</f>
        <v/>
      </c>
      <c r="F33" s="45">
        <f>$B$10</f>
        <v/>
      </c>
      <c r="G33" s="45">
        <f>C33*$B$11</f>
        <v/>
      </c>
      <c r="H33" s="45">
        <f>C33-D33-E33-F33-G33</f>
        <v/>
      </c>
      <c r="I33" s="45">
        <f>IF(A33&lt;=$B$19,$B$20,0)</f>
        <v/>
      </c>
      <c r="J33" s="45">
        <f>H33-I33</f>
        <v/>
      </c>
      <c r="K33" s="45">
        <f>K32+J33</f>
        <v/>
      </c>
      <c r="L33" s="46">
        <f>MAX(0,B33-$B$21)</f>
        <v/>
      </c>
      <c r="M33" s="45">
        <f>$B$7*L33*(1-$B$8-$B$11)-$B$9-$B$10</f>
        <v/>
      </c>
      <c r="N33" s="45">
        <f>N32+M33-I33</f>
        <v/>
      </c>
    </row>
    <row r="34">
      <c r="A34" s="44" t="n">
        <v>10</v>
      </c>
      <c r="B34" s="42" t="n"/>
      <c r="C34" s="45">
        <f>$B$7*B34</f>
        <v/>
      </c>
      <c r="D34" s="45">
        <f>C34*$B$8</f>
        <v/>
      </c>
      <c r="E34" s="45">
        <f>$B$9</f>
        <v/>
      </c>
      <c r="F34" s="45">
        <f>$B$10</f>
        <v/>
      </c>
      <c r="G34" s="45">
        <f>C34*$B$11</f>
        <v/>
      </c>
      <c r="H34" s="45">
        <f>C34-D34-E34-F34-G34</f>
        <v/>
      </c>
      <c r="I34" s="45">
        <f>IF(A34&lt;=$B$19,$B$20,0)</f>
        <v/>
      </c>
      <c r="J34" s="45">
        <f>H34-I34</f>
        <v/>
      </c>
      <c r="K34" s="45">
        <f>K33+J34</f>
        <v/>
      </c>
      <c r="L34" s="46">
        <f>MAX(0,B34-$B$21)</f>
        <v/>
      </c>
      <c r="M34" s="45">
        <f>$B$7*L34*(1-$B$8-$B$11)-$B$9-$B$10</f>
        <v/>
      </c>
      <c r="N34" s="45">
        <f>N33+M34-I34</f>
        <v/>
      </c>
    </row>
    <row r="35">
      <c r="A35" s="44" t="n">
        <v>11</v>
      </c>
      <c r="B35" s="42" t="n"/>
      <c r="C35" s="45">
        <f>$B$7*B35</f>
        <v/>
      </c>
      <c r="D35" s="45">
        <f>C35*$B$8</f>
        <v/>
      </c>
      <c r="E35" s="45">
        <f>$B$9</f>
        <v/>
      </c>
      <c r="F35" s="45">
        <f>$B$10</f>
        <v/>
      </c>
      <c r="G35" s="45">
        <f>C35*$B$11</f>
        <v/>
      </c>
      <c r="H35" s="45">
        <f>C35-D35-E35-F35-G35</f>
        <v/>
      </c>
      <c r="I35" s="45">
        <f>IF(A35&lt;=$B$19,$B$20,0)</f>
        <v/>
      </c>
      <c r="J35" s="45">
        <f>H35-I35</f>
        <v/>
      </c>
      <c r="K35" s="45">
        <f>K34+J35</f>
        <v/>
      </c>
      <c r="L35" s="46">
        <f>MAX(0,B35-$B$21)</f>
        <v/>
      </c>
      <c r="M35" s="45">
        <f>$B$7*L35*(1-$B$8-$B$11)-$B$9-$B$10</f>
        <v/>
      </c>
      <c r="N35" s="45">
        <f>N34+M35-I35</f>
        <v/>
      </c>
    </row>
    <row r="36">
      <c r="A36" s="44" t="n">
        <v>12</v>
      </c>
      <c r="B36" s="42" t="n"/>
      <c r="C36" s="45">
        <f>$B$7*B36</f>
        <v/>
      </c>
      <c r="D36" s="45">
        <f>C36*$B$8</f>
        <v/>
      </c>
      <c r="E36" s="45">
        <f>$B$9</f>
        <v/>
      </c>
      <c r="F36" s="45">
        <f>$B$10</f>
        <v/>
      </c>
      <c r="G36" s="45">
        <f>C36*$B$11</f>
        <v/>
      </c>
      <c r="H36" s="45">
        <f>C36-D36-E36-F36-G36</f>
        <v/>
      </c>
      <c r="I36" s="45">
        <f>IF(A36&lt;=$B$19,$B$20,0)</f>
        <v/>
      </c>
      <c r="J36" s="45">
        <f>H36-I36</f>
        <v/>
      </c>
      <c r="K36" s="45">
        <f>K35+J36</f>
        <v/>
      </c>
      <c r="L36" s="46">
        <f>MAX(0,B36-$B$21)</f>
        <v/>
      </c>
      <c r="M36" s="45">
        <f>$B$7*L36*(1-$B$8-$B$11)-$B$9-$B$10</f>
        <v/>
      </c>
      <c r="N36" s="45">
        <f>N35+M36-I36</f>
        <v/>
      </c>
    </row>
    <row r="37">
      <c r="A37" s="44" t="n">
        <v>13</v>
      </c>
      <c r="B37" s="42" t="n"/>
      <c r="C37" s="45">
        <f>$B$7*B37</f>
        <v/>
      </c>
      <c r="D37" s="45">
        <f>C37*$B$8</f>
        <v/>
      </c>
      <c r="E37" s="45">
        <f>$B$9</f>
        <v/>
      </c>
      <c r="F37" s="45">
        <f>$B$10</f>
        <v/>
      </c>
      <c r="G37" s="45">
        <f>C37*$B$11</f>
        <v/>
      </c>
      <c r="H37" s="45">
        <f>C37-D37-E37-F37-G37</f>
        <v/>
      </c>
      <c r="I37" s="45">
        <f>IF(A37&lt;=$B$19,$B$20,0)</f>
        <v/>
      </c>
      <c r="J37" s="45">
        <f>H37-I37</f>
        <v/>
      </c>
      <c r="K37" s="45">
        <f>K36+J37</f>
        <v/>
      </c>
      <c r="L37" s="46">
        <f>MAX(0,B37-$B$21)</f>
        <v/>
      </c>
      <c r="M37" s="45">
        <f>$B$7*L37*(1-$B$8-$B$11)-$B$9-$B$10</f>
        <v/>
      </c>
      <c r="N37" s="45">
        <f>N36+M37-I37</f>
        <v/>
      </c>
    </row>
    <row r="38">
      <c r="A38" s="44" t="n">
        <v>14</v>
      </c>
      <c r="B38" s="42" t="n"/>
      <c r="C38" s="45">
        <f>$B$7*B38</f>
        <v/>
      </c>
      <c r="D38" s="45">
        <f>C38*$B$8</f>
        <v/>
      </c>
      <c r="E38" s="45">
        <f>$B$9</f>
        <v/>
      </c>
      <c r="F38" s="45">
        <f>$B$10</f>
        <v/>
      </c>
      <c r="G38" s="45">
        <f>C38*$B$11</f>
        <v/>
      </c>
      <c r="H38" s="45">
        <f>C38-D38-E38-F38-G38</f>
        <v/>
      </c>
      <c r="I38" s="45">
        <f>IF(A38&lt;=$B$19,$B$20,0)</f>
        <v/>
      </c>
      <c r="J38" s="45">
        <f>H38-I38</f>
        <v/>
      </c>
      <c r="K38" s="45">
        <f>K37+J38</f>
        <v/>
      </c>
      <c r="L38" s="46">
        <f>MAX(0,B38-$B$21)</f>
        <v/>
      </c>
      <c r="M38" s="45">
        <f>$B$7*L38*(1-$B$8-$B$11)-$B$9-$B$10</f>
        <v/>
      </c>
      <c r="N38" s="45">
        <f>N37+M38-I38</f>
        <v/>
      </c>
    </row>
    <row r="39">
      <c r="A39" s="44" t="n">
        <v>15</v>
      </c>
      <c r="B39" s="42" t="n"/>
      <c r="C39" s="45">
        <f>$B$7*B39</f>
        <v/>
      </c>
      <c r="D39" s="45">
        <f>C39*$B$8</f>
        <v/>
      </c>
      <c r="E39" s="45">
        <f>$B$9</f>
        <v/>
      </c>
      <c r="F39" s="45">
        <f>$B$10</f>
        <v/>
      </c>
      <c r="G39" s="45">
        <f>C39*$B$11</f>
        <v/>
      </c>
      <c r="H39" s="45">
        <f>C39-D39-E39-F39-G39</f>
        <v/>
      </c>
      <c r="I39" s="45">
        <f>IF(A39&lt;=$B$19,$B$20,0)</f>
        <v/>
      </c>
      <c r="J39" s="45">
        <f>H39-I39</f>
        <v/>
      </c>
      <c r="K39" s="45">
        <f>K38+J39</f>
        <v/>
      </c>
      <c r="L39" s="46">
        <f>MAX(0,B39-$B$21)</f>
        <v/>
      </c>
      <c r="M39" s="45">
        <f>$B$7*L39*(1-$B$8-$B$11)-$B$9-$B$10</f>
        <v/>
      </c>
      <c r="N39" s="45">
        <f>N38+M39-I39</f>
        <v/>
      </c>
    </row>
    <row r="40">
      <c r="A40" s="44" t="n">
        <v>16</v>
      </c>
      <c r="B40" s="42" t="n"/>
      <c r="C40" s="45">
        <f>$B$7*B40</f>
        <v/>
      </c>
      <c r="D40" s="45">
        <f>C40*$B$8</f>
        <v/>
      </c>
      <c r="E40" s="45">
        <f>$B$9</f>
        <v/>
      </c>
      <c r="F40" s="45">
        <f>$B$10</f>
        <v/>
      </c>
      <c r="G40" s="45">
        <f>C40*$B$11</f>
        <v/>
      </c>
      <c r="H40" s="45">
        <f>C40-D40-E40-F40-G40</f>
        <v/>
      </c>
      <c r="I40" s="45">
        <f>IF(A40&lt;=$B$19,$B$20,0)</f>
        <v/>
      </c>
      <c r="J40" s="45">
        <f>H40-I40</f>
        <v/>
      </c>
      <c r="K40" s="45">
        <f>K39+J40</f>
        <v/>
      </c>
      <c r="L40" s="46">
        <f>MAX(0,B40-$B$21)</f>
        <v/>
      </c>
      <c r="M40" s="45">
        <f>$B$7*L40*(1-$B$8-$B$11)-$B$9-$B$10</f>
        <v/>
      </c>
      <c r="N40" s="45">
        <f>N39+M40-I40</f>
        <v/>
      </c>
    </row>
    <row r="41">
      <c r="A41" s="44" t="n">
        <v>17</v>
      </c>
      <c r="B41" s="42" t="n"/>
      <c r="C41" s="45">
        <f>$B$7*B41</f>
        <v/>
      </c>
      <c r="D41" s="45">
        <f>C41*$B$8</f>
        <v/>
      </c>
      <c r="E41" s="45">
        <f>$B$9</f>
        <v/>
      </c>
      <c r="F41" s="45">
        <f>$B$10</f>
        <v/>
      </c>
      <c r="G41" s="45">
        <f>C41*$B$11</f>
        <v/>
      </c>
      <c r="H41" s="45">
        <f>C41-D41-E41-F41-G41</f>
        <v/>
      </c>
      <c r="I41" s="45">
        <f>IF(A41&lt;=$B$19,$B$20,0)</f>
        <v/>
      </c>
      <c r="J41" s="45">
        <f>H41-I41</f>
        <v/>
      </c>
      <c r="K41" s="45">
        <f>K40+J41</f>
        <v/>
      </c>
      <c r="L41" s="46">
        <f>MAX(0,B41-$B$21)</f>
        <v/>
      </c>
      <c r="M41" s="45">
        <f>$B$7*L41*(1-$B$8-$B$11)-$B$9-$B$10</f>
        <v/>
      </c>
      <c r="N41" s="45">
        <f>N40+M41-I41</f>
        <v/>
      </c>
    </row>
    <row r="42">
      <c r="A42" s="44" t="n">
        <v>18</v>
      </c>
      <c r="B42" s="42" t="n"/>
      <c r="C42" s="45">
        <f>$B$7*B42</f>
        <v/>
      </c>
      <c r="D42" s="45">
        <f>C42*$B$8</f>
        <v/>
      </c>
      <c r="E42" s="45">
        <f>$B$9</f>
        <v/>
      </c>
      <c r="F42" s="45">
        <f>$B$10</f>
        <v/>
      </c>
      <c r="G42" s="45">
        <f>C42*$B$11</f>
        <v/>
      </c>
      <c r="H42" s="45">
        <f>C42-D42-E42-F42-G42</f>
        <v/>
      </c>
      <c r="I42" s="45">
        <f>IF(A42&lt;=$B$19,$B$20,0)</f>
        <v/>
      </c>
      <c r="J42" s="45">
        <f>H42-I42</f>
        <v/>
      </c>
      <c r="K42" s="45">
        <f>K41+J42</f>
        <v/>
      </c>
      <c r="L42" s="46">
        <f>MAX(0,B42-$B$21)</f>
        <v/>
      </c>
      <c r="M42" s="45">
        <f>$B$7*L42*(1-$B$8-$B$11)-$B$9-$B$10</f>
        <v/>
      </c>
      <c r="N42" s="45">
        <f>N41+M42-I42</f>
        <v/>
      </c>
    </row>
    <row r="43">
      <c r="A43" s="44" t="n">
        <v>19</v>
      </c>
      <c r="B43" s="42" t="n"/>
      <c r="C43" s="45">
        <f>$B$7*B43</f>
        <v/>
      </c>
      <c r="D43" s="45">
        <f>C43*$B$8</f>
        <v/>
      </c>
      <c r="E43" s="45">
        <f>$B$9</f>
        <v/>
      </c>
      <c r="F43" s="45">
        <f>$B$10</f>
        <v/>
      </c>
      <c r="G43" s="45">
        <f>C43*$B$11</f>
        <v/>
      </c>
      <c r="H43" s="45">
        <f>C43-D43-E43-F43-G43</f>
        <v/>
      </c>
      <c r="I43" s="45">
        <f>IF(A43&lt;=$B$19,$B$20,0)</f>
        <v/>
      </c>
      <c r="J43" s="45">
        <f>H43-I43</f>
        <v/>
      </c>
      <c r="K43" s="45">
        <f>K42+J43</f>
        <v/>
      </c>
      <c r="L43" s="46">
        <f>MAX(0,B43-$B$21)</f>
        <v/>
      </c>
      <c r="M43" s="45">
        <f>$B$7*L43*(1-$B$8-$B$11)-$B$9-$B$10</f>
        <v/>
      </c>
      <c r="N43" s="45">
        <f>N42+M43-I43</f>
        <v/>
      </c>
    </row>
    <row r="44">
      <c r="A44" s="44" t="n">
        <v>20</v>
      </c>
      <c r="B44" s="42" t="n"/>
      <c r="C44" s="45">
        <f>$B$7*B44</f>
        <v/>
      </c>
      <c r="D44" s="45">
        <f>C44*$B$8</f>
        <v/>
      </c>
      <c r="E44" s="45">
        <f>$B$9</f>
        <v/>
      </c>
      <c r="F44" s="45">
        <f>$B$10</f>
        <v/>
      </c>
      <c r="G44" s="45">
        <f>C44*$B$11</f>
        <v/>
      </c>
      <c r="H44" s="45">
        <f>C44-D44-E44-F44-G44</f>
        <v/>
      </c>
      <c r="I44" s="45">
        <f>IF(A44&lt;=$B$19,$B$20,0)</f>
        <v/>
      </c>
      <c r="J44" s="45">
        <f>H44-I44</f>
        <v/>
      </c>
      <c r="K44" s="45">
        <f>K43+J44</f>
        <v/>
      </c>
      <c r="L44" s="46">
        <f>MAX(0,B44-$B$21)</f>
        <v/>
      </c>
      <c r="M44" s="45">
        <f>$B$7*L44*(1-$B$8-$B$11)-$B$9-$B$10</f>
        <v/>
      </c>
      <c r="N44" s="45">
        <f>N43+M44-I44</f>
        <v/>
      </c>
    </row>
    <row r="45">
      <c r="A45" s="44" t="n">
        <v>21</v>
      </c>
      <c r="B45" s="42" t="n"/>
      <c r="C45" s="45">
        <f>$B$7*B45</f>
        <v/>
      </c>
      <c r="D45" s="45">
        <f>C45*$B$8</f>
        <v/>
      </c>
      <c r="E45" s="45">
        <f>$B$9</f>
        <v/>
      </c>
      <c r="F45" s="45">
        <f>$B$10</f>
        <v/>
      </c>
      <c r="G45" s="45">
        <f>C45*$B$11</f>
        <v/>
      </c>
      <c r="H45" s="45">
        <f>C45-D45-E45-F45-G45</f>
        <v/>
      </c>
      <c r="I45" s="45">
        <f>IF(A45&lt;=$B$19,$B$20,0)</f>
        <v/>
      </c>
      <c r="J45" s="45">
        <f>H45-I45</f>
        <v/>
      </c>
      <c r="K45" s="45">
        <f>K44+J45</f>
        <v/>
      </c>
      <c r="L45" s="46">
        <f>MAX(0,B45-$B$21)</f>
        <v/>
      </c>
      <c r="M45" s="45">
        <f>$B$7*L45*(1-$B$8-$B$11)-$B$9-$B$10</f>
        <v/>
      </c>
      <c r="N45" s="45">
        <f>N44+M45-I45</f>
        <v/>
      </c>
    </row>
    <row r="46">
      <c r="A46" s="44" t="n">
        <v>22</v>
      </c>
      <c r="B46" s="42" t="n"/>
      <c r="C46" s="45">
        <f>$B$7*B46</f>
        <v/>
      </c>
      <c r="D46" s="45">
        <f>C46*$B$8</f>
        <v/>
      </c>
      <c r="E46" s="45">
        <f>$B$9</f>
        <v/>
      </c>
      <c r="F46" s="45">
        <f>$B$10</f>
        <v/>
      </c>
      <c r="G46" s="45">
        <f>C46*$B$11</f>
        <v/>
      </c>
      <c r="H46" s="45">
        <f>C46-D46-E46-F46-G46</f>
        <v/>
      </c>
      <c r="I46" s="45">
        <f>IF(A46&lt;=$B$19,$B$20,0)</f>
        <v/>
      </c>
      <c r="J46" s="45">
        <f>H46-I46</f>
        <v/>
      </c>
      <c r="K46" s="45">
        <f>K45+J46</f>
        <v/>
      </c>
      <c r="L46" s="46">
        <f>MAX(0,B46-$B$21)</f>
        <v/>
      </c>
      <c r="M46" s="45">
        <f>$B$7*L46*(1-$B$8-$B$11)-$B$9-$B$10</f>
        <v/>
      </c>
      <c r="N46" s="45">
        <f>N45+M46-I46</f>
        <v/>
      </c>
    </row>
    <row r="47">
      <c r="A47" s="44" t="n">
        <v>23</v>
      </c>
      <c r="B47" s="42" t="n"/>
      <c r="C47" s="45">
        <f>$B$7*B47</f>
        <v/>
      </c>
      <c r="D47" s="45">
        <f>C47*$B$8</f>
        <v/>
      </c>
      <c r="E47" s="45">
        <f>$B$9</f>
        <v/>
      </c>
      <c r="F47" s="45">
        <f>$B$10</f>
        <v/>
      </c>
      <c r="G47" s="45">
        <f>C47*$B$11</f>
        <v/>
      </c>
      <c r="H47" s="45">
        <f>C47-D47-E47-F47-G47</f>
        <v/>
      </c>
      <c r="I47" s="45">
        <f>IF(A47&lt;=$B$19,$B$20,0)</f>
        <v/>
      </c>
      <c r="J47" s="45">
        <f>H47-I47</f>
        <v/>
      </c>
      <c r="K47" s="45">
        <f>K46+J47</f>
        <v/>
      </c>
      <c r="L47" s="46">
        <f>MAX(0,B47-$B$21)</f>
        <v/>
      </c>
      <c r="M47" s="45">
        <f>$B$7*L47*(1-$B$8-$B$11)-$B$9-$B$10</f>
        <v/>
      </c>
      <c r="N47" s="45">
        <f>N46+M47-I47</f>
        <v/>
      </c>
    </row>
    <row r="48">
      <c r="A48" s="44" t="n">
        <v>24</v>
      </c>
      <c r="B48" s="42" t="n"/>
      <c r="C48" s="45">
        <f>$B$7*B48</f>
        <v/>
      </c>
      <c r="D48" s="45">
        <f>C48*$B$8</f>
        <v/>
      </c>
      <c r="E48" s="45">
        <f>$B$9</f>
        <v/>
      </c>
      <c r="F48" s="45">
        <f>$B$10</f>
        <v/>
      </c>
      <c r="G48" s="45">
        <f>C48*$B$11</f>
        <v/>
      </c>
      <c r="H48" s="45">
        <f>C48-D48-E48-F48-G48</f>
        <v/>
      </c>
      <c r="I48" s="45">
        <f>IF(A48&lt;=$B$19,$B$20,0)</f>
        <v/>
      </c>
      <c r="J48" s="45">
        <f>H48-I48</f>
        <v/>
      </c>
      <c r="K48" s="45">
        <f>K47+J48</f>
        <v/>
      </c>
      <c r="L48" s="46">
        <f>MAX(0,B48-$B$21)</f>
        <v/>
      </c>
      <c r="M48" s="45">
        <f>$B$7*L48*(1-$B$8-$B$11)-$B$9-$B$10</f>
        <v/>
      </c>
      <c r="N48" s="45">
        <f>N47+M48-I48</f>
        <v/>
      </c>
    </row>
    <row r="51">
      <c r="A51" s="28" t="inlineStr">
        <is>
          <t>Summary</t>
        </is>
      </c>
    </row>
    <row r="52" ht="20" customHeight="1">
      <c r="A52" s="29" t="inlineStr">
        <is>
          <t>A full-pace month</t>
        </is>
      </c>
      <c r="B52" s="29" t="inlineStr">
        <is>
          <t>Per month ($)</t>
        </is>
      </c>
      <c r="C52" s="29" t="inlineStr">
        <is>
          <t>Share of sales</t>
        </is>
      </c>
    </row>
    <row r="53">
      <c r="A53" s="36" t="inlineStr">
        <is>
          <t>Sales</t>
        </is>
      </c>
      <c r="B53" s="47">
        <f>B7</f>
        <v/>
      </c>
      <c r="C53" s="48">
        <f>IF($B$53&gt;0,B53/$B$53,"")</f>
        <v/>
      </c>
    </row>
    <row r="54">
      <c r="A54" s="36" t="inlineStr">
        <is>
          <t>Drink cost</t>
        </is>
      </c>
      <c r="B54" s="47">
        <f>B7*B8</f>
        <v/>
      </c>
      <c r="C54" s="48">
        <f>IF($B$53&gt;0,B54/$B$53,"")</f>
        <v/>
      </c>
    </row>
    <row r="55">
      <c r="A55" s="36" t="inlineStr">
        <is>
          <t>Labor</t>
        </is>
      </c>
      <c r="B55" s="47">
        <f>B9</f>
        <v/>
      </c>
      <c r="C55" s="48">
        <f>IF($B$53&gt;0,B55/$B$53,"")</f>
        <v/>
      </c>
    </row>
    <row r="56">
      <c r="A56" s="36" t="inlineStr">
        <is>
          <t>Rent</t>
        </is>
      </c>
      <c r="B56" s="47">
        <f>B10</f>
        <v/>
      </c>
      <c r="C56" s="48">
        <f>IF($B$53&gt;0,B56/$B$53,"")</f>
        <v/>
      </c>
    </row>
    <row r="57">
      <c r="A57" s="36" t="inlineStr">
        <is>
          <t>Other operating costs</t>
        </is>
      </c>
      <c r="B57" s="47">
        <f>B7*B11</f>
        <v/>
      </c>
      <c r="C57" s="48">
        <f>IF($B$53&gt;0,B57/$B$53,"")</f>
        <v/>
      </c>
    </row>
    <row r="58">
      <c r="A58" s="49" t="inlineStr">
        <is>
          <t>Operating cash flow</t>
        </is>
      </c>
      <c r="B58" s="47">
        <f>B53-B54-B55-B56-B57</f>
        <v/>
      </c>
      <c r="C58" s="48">
        <f>IF($B$53&gt;0,B58/$B$53,"")</f>
        <v/>
      </c>
    </row>
    <row r="60" ht="20" customHeight="1">
      <c r="A60" s="29" t="inlineStr">
        <is>
          <t>Result</t>
        </is>
      </c>
      <c r="B60" s="29" t="inlineStr">
        <is>
          <t>Value</t>
        </is>
      </c>
      <c r="C60" s="29" t="inlineStr">
        <is>
          <t>How it is worked out</t>
        </is>
      </c>
    </row>
    <row r="61">
      <c r="A61" s="36" t="inlineStr">
        <is>
          <t>Year 1 sales ($)</t>
        </is>
      </c>
      <c r="B61" s="47">
        <f>SUM(C25:C36)</f>
        <v/>
      </c>
    </row>
    <row r="62">
      <c r="A62" s="36" t="inlineStr">
        <is>
          <t>Year 2 sales ($)</t>
        </is>
      </c>
      <c r="B62" s="47">
        <f>SUM(C37:C48)</f>
        <v/>
      </c>
    </row>
    <row r="63">
      <c r="A63" s="36" t="inlineStr">
        <is>
          <t>Year 1 operating cash flow ($)</t>
        </is>
      </c>
      <c r="B63" s="47">
        <f>SUM(H25:H36)</f>
        <v/>
      </c>
    </row>
    <row r="64">
      <c r="A64" s="36" t="inlineStr">
        <is>
          <t>Year 2 operating cash flow ($)</t>
        </is>
      </c>
      <c r="B64" s="47">
        <f>SUM(H37:H48)</f>
        <v/>
      </c>
    </row>
    <row r="65">
      <c r="A65" s="36" t="inlineStr">
        <is>
          <t>Year 2 operating cash flow, % of sales</t>
        </is>
      </c>
      <c r="B65" s="48">
        <f>IF(B62&gt;0,B64/B62,"")</f>
        <v/>
      </c>
    </row>
    <row r="66">
      <c r="A66" s="36" t="inlineStr">
        <is>
          <t>Loan payments, year 1 ($)</t>
        </is>
      </c>
      <c r="B66" s="47">
        <f>SUM(I25:I36)</f>
        <v/>
      </c>
    </row>
    <row r="67">
      <c r="A67" s="36" t="inlineStr">
        <is>
          <t>Loan payments, year 2 ($)</t>
        </is>
      </c>
      <c r="B67" s="47">
        <f>SUM(I37:I48)</f>
        <v/>
      </c>
    </row>
    <row r="68">
      <c r="A68" s="36" t="inlineStr">
        <is>
          <t>Debt service coverage, year 1</t>
        </is>
      </c>
      <c r="B68" s="50">
        <f>IF(AND(B66&gt;0,B61&gt;0),B63/B66,"")</f>
        <v/>
      </c>
      <c r="C68" s="31" t="inlineStr">
        <is>
          <t>Operating cash flow ÷ loan payments. Add any other loans to the payments.</t>
        </is>
      </c>
    </row>
    <row r="69">
      <c r="A69" s="36" t="inlineStr">
        <is>
          <t>Debt service coverage, year 2</t>
        </is>
      </c>
      <c r="B69" s="50">
        <f>IF(AND(B67&gt;0,B62&gt;0),B64/B67,"")</f>
        <v/>
      </c>
      <c r="C69" s="31" t="inlineStr">
        <is>
          <t>SBA standard 7(a) over $350,000: at least 1.15 within 2 years.</t>
        </is>
      </c>
    </row>
    <row r="70">
      <c r="A70" s="36" t="inlineStr">
        <is>
          <t>Year 1 operating cash flow, slower case ($)</t>
        </is>
      </c>
      <c r="B70" s="47">
        <f>SUM(M25:M36)</f>
        <v/>
      </c>
    </row>
    <row r="71">
      <c r="A71" s="36" t="inlineStr">
        <is>
          <t>Year 2 operating cash flow, slower case ($)</t>
        </is>
      </c>
      <c r="B71" s="47">
        <f>SUM(M37:M48)</f>
        <v/>
      </c>
    </row>
    <row r="72">
      <c r="A72" s="36" t="inlineStr">
        <is>
          <t>Debt service coverage, year 1, slower case</t>
        </is>
      </c>
      <c r="B72" s="50">
        <f>IF(AND(B66&gt;0,B61&gt;0),B70/B66,"")</f>
        <v/>
      </c>
    </row>
    <row r="73">
      <c r="A73" s="36" t="inlineStr">
        <is>
          <t>Debt service coverage, year 2, slower case</t>
        </is>
      </c>
      <c r="B73" s="50">
        <f>IF(AND(B67&gt;0,B62&gt;0),B71/B67,"")</f>
        <v/>
      </c>
    </row>
    <row r="74">
      <c r="A74" s="36" t="inlineStr">
        <is>
          <t>Fixed costs per month ($)</t>
        </is>
      </c>
      <c r="B74" s="47">
        <f>B9+B10</f>
        <v/>
      </c>
      <c r="C74" s="31" t="inlineStr">
        <is>
          <t>Labor + rent.</t>
        </is>
      </c>
    </row>
    <row r="75">
      <c r="A75" s="36" t="inlineStr">
        <is>
          <t>Each dollar of sales keeps ($)</t>
        </is>
      </c>
      <c r="B75" s="51">
        <f>IF(AND(ISNUMBER(B8),ISNUMBER(B11)),1-B8-B11,"")</f>
        <v/>
      </c>
      <c r="C75" s="31" t="inlineStr">
        <is>
          <t>1 − drink cost % − other operating costs %.</t>
        </is>
      </c>
    </row>
    <row r="76">
      <c r="A76" s="36" t="inlineStr">
        <is>
          <t>Break-even sales per month, before the loan ($)</t>
        </is>
      </c>
      <c r="B76" s="47">
        <f>IF(ISNUMBER(B75),IF(AND(B75&gt;0,B74&gt;0),B74/B75,""),"")</f>
        <v/>
      </c>
      <c r="C76" s="31" t="inlineStr">
        <is>
          <t>Fixed costs ÷ what each dollar keeps.</t>
        </is>
      </c>
    </row>
    <row r="77">
      <c r="A77" s="36" t="inlineStr">
        <is>
          <t>Break-even before the loan, % of full pace</t>
        </is>
      </c>
      <c r="B77" s="48">
        <f>IF(AND(ISNUMBER(B76),B7&gt;0),B76/B7,"")</f>
        <v/>
      </c>
    </row>
    <row r="78">
      <c r="A78" s="36" t="inlineStr">
        <is>
          <t>Break-even sales per month, with the loan ($)</t>
        </is>
      </c>
      <c r="B78" s="47">
        <f>IF(ISNUMBER(B75),IF(AND(B75&gt;0,B74+B20&gt;0),(B74+B20)/B75,""),"")</f>
        <v/>
      </c>
      <c r="C78" s="31" t="inlineStr">
        <is>
          <t>(Fixed costs + loan payment) ÷ what each dollar keeps.</t>
        </is>
      </c>
    </row>
    <row r="79">
      <c r="A79" s="36" t="inlineStr">
        <is>
          <t>Break-even with the loan, % of full pace</t>
        </is>
      </c>
      <c r="B79" s="48">
        <f>IF(AND(ISNUMBER(B78),B7&gt;0),B78/B7,"")</f>
        <v/>
      </c>
    </row>
    <row r="80">
      <c r="A80" s="36" t="inlineStr">
        <is>
          <t>Break-even with the loan, drinks per week</t>
        </is>
      </c>
      <c r="B80" s="52">
        <f>IF(AND(ISNUMBER(B78),B5&gt;0,B6&gt;0),B78*12/B6/B5,"")</f>
        <v/>
      </c>
    </row>
    <row r="81">
      <c r="A81" s="36" t="inlineStr">
        <is>
          <t>Biggest shortfall, forecast ($)</t>
        </is>
      </c>
      <c r="B81" s="47">
        <f>IF(B7&gt;0,MIN(0,MIN(K25:K48)),"")</f>
        <v/>
      </c>
      <c r="C81" s="31" t="inlineStr">
        <is>
          <t>Lowest cash balance from $0 on opening day.</t>
        </is>
      </c>
    </row>
    <row r="82">
      <c r="A82" s="36" t="inlineStr">
        <is>
          <t>Month of the biggest shortfall, forecast</t>
        </is>
      </c>
      <c r="B82" s="52">
        <f>IF(AND(ISNUMBER(B81),B81&lt;0),MATCH(B81,K25:K48,0),"")</f>
        <v/>
      </c>
    </row>
    <row r="83">
      <c r="A83" s="36" t="inlineStr">
        <is>
          <t>Biggest shortfall, slower case ($)</t>
        </is>
      </c>
      <c r="B83" s="47">
        <f>IF(B7&gt;0,MIN(0,MIN(N25:N48)),"")</f>
        <v/>
      </c>
    </row>
    <row r="84">
      <c r="A84" s="36" t="inlineStr">
        <is>
          <t>Month of the biggest shortfall, slower case</t>
        </is>
      </c>
      <c r="B84" s="52">
        <f>IF(AND(ISNUMBER(B83),B83&lt;0),MATCH(B83,N25:N48,0),"")</f>
        <v/>
      </c>
    </row>
    <row r="85">
      <c r="A85" s="36" t="inlineStr">
        <is>
          <t>Reserve left at the slower case's low point ($)</t>
        </is>
      </c>
      <c r="B85" s="47">
        <f>IF(ISNUMBER(B83),B13+B83,"")</f>
        <v/>
      </c>
      <c r="C85" s="31" t="inlineStr">
        <is>
          <t>Below zero: raise the reserve (B13). That raises the loan, so check again.</t>
        </is>
      </c>
    </row>
  </sheetData>
  <printOptions horizontalCentered="0"/>
  <pageMargins left="0.5" right="0.5" top="0.6" bottom="0.6"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2026-10-04T14:14:45Z</dcterms:created>
  <dcterms:modified xsi:type="dcterms:W3CDTF">2026-10-10T22:26:28Z</dcterms:modified>
</cp:coreProperties>
</file>