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ingt\Downloads\New folder\"/>
    </mc:Choice>
  </mc:AlternateContent>
  <bookViews>
    <workbookView xWindow="0" yWindow="0" windowWidth="19200" windowHeight="6930" tabRatio="662" firstSheet="1" activeTab="4"/>
  </bookViews>
  <sheets>
    <sheet name="📈 Yield &amp; ROI Calculator" sheetId="1" r:id="rId1"/>
    <sheet name="📅 10-Year Projection" sheetId="2" r:id="rId2"/>
    <sheet name="⚖️ Property Comparison" sheetId="3" r:id="rId3"/>
    <sheet name="🇺🇬 Uganda Benchmarks" sheetId="4" r:id="rId4"/>
    <sheet name="📋 How to Use" sheetId="5" r:id="rId5"/>
  </sheets>
  <calcPr calcId="162913" iterateDelta="1E-4"/>
</workbook>
</file>

<file path=xl/calcChain.xml><?xml version="1.0" encoding="utf-8"?>
<calcChain xmlns="http://schemas.openxmlformats.org/spreadsheetml/2006/main">
  <c r="B24" i="3" l="1"/>
  <c r="E21" i="3"/>
  <c r="D21" i="3"/>
  <c r="C21" i="3"/>
  <c r="E20" i="3"/>
  <c r="D20" i="3"/>
  <c r="C20" i="3"/>
  <c r="E19" i="3"/>
  <c r="D19" i="3"/>
  <c r="C19" i="3"/>
  <c r="E18" i="3"/>
  <c r="D18" i="3"/>
  <c r="C18" i="3"/>
  <c r="E17" i="3"/>
  <c r="D17" i="3"/>
  <c r="C17" i="3"/>
  <c r="E16" i="3"/>
  <c r="D16" i="3"/>
  <c r="C16" i="3"/>
  <c r="E15" i="3"/>
  <c r="D15" i="3"/>
  <c r="C15" i="3"/>
  <c r="E14" i="3"/>
  <c r="D14" i="3"/>
  <c r="C14" i="3"/>
  <c r="M21" i="2"/>
  <c r="L21" i="2"/>
  <c r="K21" i="2"/>
  <c r="J21" i="2"/>
  <c r="I21" i="2"/>
  <c r="H21" i="2"/>
  <c r="G21" i="2"/>
  <c r="F21" i="2"/>
  <c r="E21" i="2"/>
  <c r="D21" i="2"/>
  <c r="C21" i="2"/>
  <c r="M20" i="2"/>
  <c r="L20" i="2"/>
  <c r="K20" i="2"/>
  <c r="J20" i="2"/>
  <c r="I20" i="2"/>
  <c r="H20" i="2"/>
  <c r="G20" i="2"/>
  <c r="F20" i="2"/>
  <c r="E20" i="2"/>
  <c r="D20" i="2"/>
  <c r="C20" i="2"/>
  <c r="M19" i="2"/>
  <c r="L19" i="2"/>
  <c r="K19" i="2"/>
  <c r="J19" i="2"/>
  <c r="I19" i="2"/>
  <c r="H19" i="2"/>
  <c r="G19" i="2"/>
  <c r="F19" i="2"/>
  <c r="E19" i="2"/>
  <c r="D19" i="2"/>
  <c r="C19" i="2"/>
  <c r="M18" i="2"/>
  <c r="L18" i="2"/>
  <c r="K18" i="2"/>
  <c r="J18" i="2"/>
  <c r="I18" i="2"/>
  <c r="H18" i="2"/>
  <c r="G18" i="2"/>
  <c r="F18" i="2"/>
  <c r="E18" i="2"/>
  <c r="D18" i="2"/>
  <c r="C18" i="2"/>
  <c r="M17" i="2"/>
  <c r="L17" i="2"/>
  <c r="K17" i="2"/>
  <c r="J17" i="2"/>
  <c r="I17" i="2"/>
  <c r="H17" i="2"/>
  <c r="G17" i="2"/>
  <c r="F17" i="2"/>
  <c r="E17" i="2"/>
  <c r="D17" i="2"/>
  <c r="C17" i="2"/>
  <c r="M15" i="2"/>
  <c r="L15" i="2"/>
  <c r="K15" i="2"/>
  <c r="J15" i="2"/>
  <c r="I15" i="2"/>
  <c r="H15" i="2"/>
  <c r="G15" i="2"/>
  <c r="F15" i="2"/>
  <c r="E15" i="2"/>
  <c r="D15" i="2"/>
  <c r="C15" i="2"/>
  <c r="M14" i="2"/>
  <c r="L14" i="2"/>
  <c r="K14" i="2"/>
  <c r="J14" i="2"/>
  <c r="I14" i="2"/>
  <c r="H14" i="2"/>
  <c r="G14" i="2"/>
  <c r="F14" i="2"/>
  <c r="E14" i="2"/>
  <c r="D14" i="2"/>
  <c r="C14" i="2"/>
  <c r="M13" i="2"/>
  <c r="L13" i="2"/>
  <c r="K13" i="2"/>
  <c r="J13" i="2"/>
  <c r="I13" i="2"/>
  <c r="H13" i="2"/>
  <c r="G13" i="2"/>
  <c r="F13" i="2"/>
  <c r="E13" i="2"/>
  <c r="D13" i="2"/>
  <c r="C13" i="2"/>
  <c r="M11" i="2"/>
  <c r="L11" i="2"/>
  <c r="K11" i="2"/>
  <c r="J11" i="2"/>
  <c r="I11" i="2"/>
  <c r="H11" i="2"/>
  <c r="G11" i="2"/>
  <c r="F11" i="2"/>
  <c r="E11" i="2"/>
  <c r="D11" i="2"/>
  <c r="C11" i="2"/>
  <c r="M10" i="2"/>
  <c r="L10" i="2"/>
  <c r="K10" i="2"/>
  <c r="J10" i="2"/>
  <c r="I10" i="2"/>
  <c r="H10" i="2"/>
  <c r="G10" i="2"/>
  <c r="F10" i="2"/>
  <c r="E10" i="2"/>
  <c r="D10" i="2"/>
  <c r="C10" i="2"/>
  <c r="M8" i="2"/>
  <c r="L8" i="2"/>
  <c r="K8" i="2"/>
  <c r="J8" i="2"/>
  <c r="I8" i="2"/>
  <c r="H8" i="2"/>
  <c r="G8" i="2"/>
  <c r="F8" i="2"/>
  <c r="E8" i="2"/>
  <c r="D8" i="2"/>
  <c r="C8" i="2"/>
  <c r="M7" i="2"/>
  <c r="L7" i="2"/>
  <c r="K7" i="2"/>
  <c r="J7" i="2"/>
  <c r="I7" i="2"/>
  <c r="H7" i="2"/>
  <c r="G7" i="2"/>
  <c r="F7" i="2"/>
  <c r="E7" i="2"/>
  <c r="D7" i="2"/>
  <c r="C7" i="2"/>
  <c r="C43" i="1"/>
  <c r="I35" i="1"/>
  <c r="H35" i="1"/>
  <c r="G35" i="1"/>
  <c r="I34" i="1"/>
  <c r="H34" i="1"/>
  <c r="G34" i="1"/>
  <c r="I33" i="1"/>
  <c r="H33" i="1"/>
  <c r="G33" i="1"/>
  <c r="I32" i="1"/>
  <c r="H32" i="1"/>
  <c r="G32" i="1"/>
  <c r="I31" i="1"/>
  <c r="H31" i="1"/>
  <c r="G31" i="1"/>
  <c r="I30" i="1"/>
  <c r="H30" i="1"/>
  <c r="G30" i="1"/>
  <c r="C30" i="1"/>
  <c r="H26" i="1"/>
  <c r="G26" i="1"/>
  <c r="H25" i="1"/>
  <c r="G25" i="1"/>
  <c r="H24" i="1"/>
  <c r="G24" i="1"/>
  <c r="H23" i="1"/>
  <c r="G23" i="1"/>
  <c r="C22" i="1"/>
  <c r="C21" i="1"/>
  <c r="F19" i="1"/>
  <c r="H16" i="1"/>
  <c r="F16" i="1"/>
  <c r="H13" i="1"/>
  <c r="F13" i="1"/>
  <c r="C13" i="1"/>
  <c r="H10" i="1"/>
  <c r="F10" i="1"/>
  <c r="H7" i="1"/>
  <c r="F7" i="1"/>
</calcChain>
</file>

<file path=xl/sharedStrings.xml><?xml version="1.0" encoding="utf-8"?>
<sst xmlns="http://schemas.openxmlformats.org/spreadsheetml/2006/main" count="348" uniqueCount="286">
  <si>
    <t>RENTAL YIELD &amp; ROI CALCULATOR  |  THREALTY UGANDA</t>
  </si>
  <si>
    <t>Gross yield · Net yield · Cash-on-cash return · Capital growth · 10-year IRR · Payback period  |  Uganda property market</t>
  </si>
  <si>
    <t xml:space="preserve">  🏗️  ACQUISITION DETAILS</t>
  </si>
  <si>
    <t xml:space="preserve">  🏆  KEY PERFORMANCE METRICS</t>
  </si>
  <si>
    <t>Input</t>
  </si>
  <si>
    <t>Amount (UGX)</t>
  </si>
  <si>
    <t>Notes</t>
  </si>
  <si>
    <t>Gross Rental Yield</t>
  </si>
  <si>
    <t>Net Rental Yield</t>
  </si>
  <si>
    <t>Property purchase price</t>
  </si>
  <si>
    <t>Market / agreed price</t>
  </si>
  <si>
    <t>Stamp duty (%)</t>
  </si>
  <si>
    <t>1% of purchase price</t>
  </si>
  <si>
    <t>Legal / conveyancing fees</t>
  </si>
  <si>
    <t>Lawyer + survey fees</t>
  </si>
  <si>
    <t>NOI (Net Operating Income)</t>
  </si>
  <si>
    <t>Annual Mortgage Cost</t>
  </si>
  <si>
    <t>Renovation / fit-out costs</t>
  </si>
  <si>
    <t>If applicable</t>
  </si>
  <si>
    <t>Agent / finder fee</t>
  </si>
  <si>
    <t>Buying agent, if any</t>
  </si>
  <si>
    <t>Other acquisition costs</t>
  </si>
  <si>
    <t>Registration, misc.</t>
  </si>
  <si>
    <t>Cash-on-Cash Return</t>
  </si>
  <si>
    <t>Monthly Net Cash Flow</t>
  </si>
  <si>
    <t>TOTAL ACQUISITION COST</t>
  </si>
  <si>
    <t>All-in cost to investor</t>
  </si>
  <si>
    <t xml:space="preserve">  🏦  FINANCING (leave 0 if cash purchase)</t>
  </si>
  <si>
    <t>Total Acquisition Cost (UGX)</t>
  </si>
  <si>
    <t>Equity Invested (UGX)</t>
  </si>
  <si>
    <t>Value</t>
  </si>
  <si>
    <t>Loan amount (UGX)</t>
  </si>
  <si>
    <t>0 = cash purchase</t>
  </si>
  <si>
    <t>Annual interest rate</t>
  </si>
  <si>
    <t>Uganda bank avg ~18-22%</t>
  </si>
  <si>
    <t xml:space="preserve">  🎯  INVESTMENT VERDICT</t>
  </si>
  <si>
    <t>Loan term (years)</t>
  </si>
  <si>
    <t>Typical 10-15 yrs</t>
  </si>
  <si>
    <t>Loan arrangement fee</t>
  </si>
  <si>
    <t>One-time bank fee</t>
  </si>
  <si>
    <t>Equity invested (cash out-of-pocket)</t>
  </si>
  <si>
    <t>Your actual cash invested</t>
  </si>
  <si>
    <t xml:space="preserve">  ⏱️  PAYBACK &amp; BREAKEVEN</t>
  </si>
  <si>
    <t>Monthly mortgage payment</t>
  </si>
  <si>
    <t>Auto-calculated via PMT formula</t>
  </si>
  <si>
    <t>Metric</t>
  </si>
  <si>
    <t>USD Equiv.</t>
  </si>
  <si>
    <t>Payback period (gross)</t>
  </si>
  <si>
    <t>Acquisition cost / gross rent</t>
  </si>
  <si>
    <t xml:space="preserve">  💰  ANNUAL INCOME</t>
  </si>
  <si>
    <t>Payback period (net)</t>
  </si>
  <si>
    <t>Acquisition cost / NOI</t>
  </si>
  <si>
    <t>Break-even annual rent needed</t>
  </si>
  <si>
    <t>To achieve 5% CoC return</t>
  </si>
  <si>
    <t>Monthly rent (UGX)</t>
  </si>
  <si>
    <t>Market / agreed rent</t>
  </si>
  <si>
    <t>Current rent vs break-even</t>
  </si>
  <si>
    <t>Positive = above break-even</t>
  </si>
  <si>
    <t>Number of rentable units</t>
  </si>
  <si>
    <t>Units generating income</t>
  </si>
  <si>
    <t>Expected vacancy rate</t>
  </si>
  <si>
    <t>8% = ~1 month/year</t>
  </si>
  <si>
    <t xml:space="preserve">  🔄  QUICK SCENARIO SENSITIVITY</t>
  </si>
  <si>
    <t>Other income (parking, etc.)</t>
  </si>
  <si>
    <t>Per month, all units</t>
  </si>
  <si>
    <t>Scenario</t>
  </si>
  <si>
    <t>Gross Yield</t>
  </si>
  <si>
    <t>Net Yield</t>
  </si>
  <si>
    <t>Cash-on-Cash</t>
  </si>
  <si>
    <t>Gross annual rental income</t>
  </si>
  <si>
    <t>After vacancy deduction</t>
  </si>
  <si>
    <t>Base case (your inputs)</t>
  </si>
  <si>
    <t>Rent +10%</t>
  </si>
  <si>
    <t xml:space="preserve">  🔧  ANNUAL OPERATING EXPENSES</t>
  </si>
  <si>
    <t>Rent -10%</t>
  </si>
  <si>
    <t>Expense</t>
  </si>
  <si>
    <t>Price -10% (negotiated)</t>
  </si>
  <si>
    <t>Property management fee</t>
  </si>
  <si>
    <t>Threalty: 10% of rent</t>
  </si>
  <si>
    <t>Price +10% (over-bid)</t>
  </si>
  <si>
    <t>KCCA / local authority rates</t>
  </si>
  <si>
    <t>~6% of annual rental value</t>
  </si>
  <si>
    <t>Full expenses loaded</t>
  </si>
  <si>
    <t>Insurance (annual)</t>
  </si>
  <si>
    <t>Fire, contents, liability</t>
  </si>
  <si>
    <t>Repairs &amp; maintenance</t>
  </si>
  <si>
    <t>Budget 1-2% of value/yr</t>
  </si>
  <si>
    <t>Security</t>
  </si>
  <si>
    <t>Guard, CCTV, alarm</t>
  </si>
  <si>
    <t>Water &amp; electricity (common)</t>
  </si>
  <si>
    <t>Common area utilities</t>
  </si>
  <si>
    <t>Ground rent / lease fees</t>
  </si>
  <si>
    <t>If leasehold</t>
  </si>
  <si>
    <t>URA rental income tax</t>
  </si>
  <si>
    <t>12% above threshold</t>
  </si>
  <si>
    <t>Other operating costs</t>
  </si>
  <si>
    <t>Misc.</t>
  </si>
  <si>
    <t>TOTAL ANNUAL EXPENSES</t>
  </si>
  <si>
    <t>Excl. mortgage payments</t>
  </si>
  <si>
    <t xml:space="preserve">  📊  GROWTH ASSUMPTIONS (for 10-yr projection)</t>
  </si>
  <si>
    <t>Assumption</t>
  </si>
  <si>
    <t>Rate</t>
  </si>
  <si>
    <t>Annual rent growth rate</t>
  </si>
  <si>
    <t>Uganda avg ~4-7%/yr</t>
  </si>
  <si>
    <t>Annual property value growth</t>
  </si>
  <si>
    <t>Kampala avg ~5-8%/yr</t>
  </si>
  <si>
    <t>Annual expense inflation</t>
  </si>
  <si>
    <t>Cost of living increase</t>
  </si>
  <si>
    <t>USD/UGX exchange rate</t>
  </si>
  <si>
    <t>BOU rate Apr 2025</t>
  </si>
  <si>
    <t>10-YEAR INVESTMENT PROJECTION  |  THREALTY UGANDA</t>
  </si>
  <si>
    <t>All figures in UGX · Inputs from Calculator sheet · Assumes rent &amp; property value grow at stated annual rates</t>
  </si>
  <si>
    <t>Year 1</t>
  </si>
  <si>
    <t>Year 2</t>
  </si>
  <si>
    <t>Year 3</t>
  </si>
  <si>
    <t>Year 4</t>
  </si>
  <si>
    <t>Year 5</t>
  </si>
  <si>
    <t>Year 6</t>
  </si>
  <si>
    <t>Year 7</t>
  </si>
  <si>
    <t>Year 8</t>
  </si>
  <si>
    <t>Year 9</t>
  </si>
  <si>
    <t>Year 10</t>
  </si>
  <si>
    <t>10-Yr Total / Yr10</t>
  </si>
  <si>
    <t>── INCOME ──</t>
  </si>
  <si>
    <t>Gross monthly rent (UGX)</t>
  </si>
  <si>
    <t>Annual gross rent</t>
  </si>
  <si>
    <t>── EXPENSES ──</t>
  </si>
  <si>
    <t>Annual operating expenses</t>
  </si>
  <si>
    <t>Annual mortgage payments</t>
  </si>
  <si>
    <t>── RETURNS ──</t>
  </si>
  <si>
    <t>Net Operating Income (NOI)</t>
  </si>
  <si>
    <t>Net cash flow after mortgage</t>
  </si>
  <si>
    <t>Cumulative net cash flow</t>
  </si>
  <si>
    <t>── CAPITAL ──</t>
  </si>
  <si>
    <t>Property value (UGX)</t>
  </si>
  <si>
    <t>Capital gain to date</t>
  </si>
  <si>
    <t>Total return (cash+capital)</t>
  </si>
  <si>
    <t>Total ROI %</t>
  </si>
  <si>
    <t>Gross yield that year</t>
  </si>
  <si>
    <t>Note: Growth rate assumptions from 📈 Yield &amp; ROI Calculator sheet. Change C47, C48, C49 on that sheet to update this projection.</t>
  </si>
  <si>
    <t>COMPARE UP TO 3 PROPERTIES  |  THREALTY YIELD ANALYSER</t>
  </si>
  <si>
    <t>Enter details for up to 3 properties to find your best investment. Blue cells = enter data.</t>
  </si>
  <si>
    <t>Input / Metric</t>
  </si>
  <si>
    <t>Property A</t>
  </si>
  <si>
    <t>Property B</t>
  </si>
  <si>
    <t>Property C</t>
  </si>
  <si>
    <t>── PROPERTY INPUTS ──</t>
  </si>
  <si>
    <t>Property description</t>
  </si>
  <si>
    <t>Ntinda Apartment</t>
  </si>
  <si>
    <t>Kira Townhouse</t>
  </si>
  <si>
    <t>Kololo Bungalow</t>
  </si>
  <si>
    <t>Purchase price (UGX)</t>
  </si>
  <si>
    <t>No. of units</t>
  </si>
  <si>
    <t>Vacancy rate</t>
  </si>
  <si>
    <t>Total annual expenses</t>
  </si>
  <si>
    <t>── RESULTS ──</t>
  </si>
  <si>
    <t>Gross yield</t>
  </si>
  <si>
    <t>Net yield</t>
  </si>
  <si>
    <t>Annual NOI (UGX)</t>
  </si>
  <si>
    <t>NOI (USD equiv.)</t>
  </si>
  <si>
    <t>Monthly net cash flow</t>
  </si>
  <si>
    <t>Est. value in 10 yrs (UGX)</t>
  </si>
  <si>
    <t>Verdict</t>
  </si>
  <si>
    <t>UGANDA PROPERTY INVESTMENT BENCHMARKS  |  THREALTY 2025/2026</t>
  </si>
  <si>
    <t>Reference data for evaluating your investment. Sources: Knight Frank Uganda 2024, BOU, URA, AfricanVestor 2026.</t>
  </si>
  <si>
    <t xml:space="preserve">  🏡 YIELD BENCHMARKS — What's a good return?</t>
  </si>
  <si>
    <t>Context</t>
  </si>
  <si>
    <t>Source</t>
  </si>
  <si>
    <t>Updated</t>
  </si>
  <si>
    <t>Minimum acceptable gross yield</t>
  </si>
  <si>
    <t>7%</t>
  </si>
  <si>
    <t>Below this: overpaying for the property</t>
  </si>
  <si>
    <t>Threalty / Knight Frank</t>
  </si>
  <si>
    <t>2025</t>
  </si>
  <si>
    <t>Target gross yield (residential)</t>
  </si>
  <si>
    <t>8-12%</t>
  </si>
  <si>
    <t>Sweet spot for Kampala residential</t>
  </si>
  <si>
    <t>Knight Frank Uganda H2 2024</t>
  </si>
  <si>
    <t>2024</t>
  </si>
  <si>
    <t>Target net yield (residential)</t>
  </si>
  <si>
    <t>5-8%</t>
  </si>
  <si>
    <t>After expenses, before tax</t>
  </si>
  <si>
    <t>Threalty field data</t>
  </si>
  <si>
    <t>Prime area gross yield (Kololo)</t>
  </si>
  <si>
    <t>5-7%</t>
  </si>
  <si>
    <t>Lower yield, higher capital growth</t>
  </si>
  <si>
    <t>Knight Frank Uganda</t>
  </si>
  <si>
    <t>Emerging area gross yield (Kira)</t>
  </si>
  <si>
    <t>9-13%</t>
  </si>
  <si>
    <t>Higher yield, growing capital gains</t>
  </si>
  <si>
    <t>Threalty / AfricanVestor</t>
  </si>
  <si>
    <t>2026</t>
  </si>
  <si>
    <t>Commercial property gross yield</t>
  </si>
  <si>
    <t>8-11%</t>
  </si>
  <si>
    <t>Shops, offices in Kampala CBD belt</t>
  </si>
  <si>
    <t xml:space="preserve">  📈 CAPITAL GROWTH — Historical &amp; forecast</t>
  </si>
  <si>
    <t>Kampala residential growth (avg)</t>
  </si>
  <si>
    <t>5-8%/yr</t>
  </si>
  <si>
    <t>Annual price appreciation 2019-2024</t>
  </si>
  <si>
    <t>Prime areas (Kololo, Nakasero)</t>
  </si>
  <si>
    <t>3-5%/yr</t>
  </si>
  <si>
    <t>Slower growth, stable high values</t>
  </si>
  <si>
    <t>Emerging areas (Kira, Buwaate)</t>
  </si>
  <si>
    <t>6-10%/yr</t>
  </si>
  <si>
    <t>Fast-growing corridors, high demand</t>
  </si>
  <si>
    <t>AfricanVestor / Threalty</t>
  </si>
  <si>
    <t>Commercial property appreciation</t>
  </si>
  <si>
    <t>4-7%/yr</t>
  </si>
  <si>
    <t>CBD and industrial belt</t>
  </si>
  <si>
    <t>Land values (Kampala outskirts)</t>
  </si>
  <si>
    <t>8-12%/yr</t>
  </si>
  <si>
    <t>Land bank highest performer</t>
  </si>
  <si>
    <t xml:space="preserve">  🏦 FINANCING — Uganda bank rates 2025</t>
  </si>
  <si>
    <t>Average mortgage rate (UGX)</t>
  </si>
  <si>
    <t>18-22%</t>
  </si>
  <si>
    <t>dfcu, Stanbic, Absa, NCBA Uganda</t>
  </si>
  <si>
    <t>BOU / bank websites</t>
  </si>
  <si>
    <t>Apr 2025</t>
  </si>
  <si>
    <t>Average mortgage rate (USD)</t>
  </si>
  <si>
    <t>USD loans for eligible borrowers</t>
  </si>
  <si>
    <t>Stanbic / ABSA Uganda</t>
  </si>
  <si>
    <t>Typical loan term</t>
  </si>
  <si>
    <t>10-20 yrs</t>
  </si>
  <si>
    <t>Max 20 yrs for residential</t>
  </si>
  <si>
    <t>Bank of Uganda</t>
  </si>
  <si>
    <t>Max LTV (loan-to-value)</t>
  </si>
  <si>
    <t>70-80%</t>
  </si>
  <si>
    <t>Requires 20-30% deposit</t>
  </si>
  <si>
    <t>BOU prudential guidelines</t>
  </si>
  <si>
    <t>Arrangement / processing fee</t>
  </si>
  <si>
    <t>1-2%</t>
  </si>
  <si>
    <t>One-time fee on loan amount</t>
  </si>
  <si>
    <t>Various Uganda banks</t>
  </si>
  <si>
    <t xml:space="preserve">  🧾 TAX &amp; COSTS — Uganda property investor obligations</t>
  </si>
  <si>
    <t>Rental income tax rate (individual)</t>
  </si>
  <si>
    <t>12%</t>
  </si>
  <si>
    <t>On income above UGX 2.82M/yr threshold</t>
  </si>
  <si>
    <t>URA Income Tax Act</t>
  </si>
  <si>
    <t>Corporate rental income tax</t>
  </si>
  <si>
    <t>30%</t>
  </si>
  <si>
    <t>Company-owned property</t>
  </si>
  <si>
    <t>URA</t>
  </si>
  <si>
    <t>KCCA property rates</t>
  </si>
  <si>
    <t>6%</t>
  </si>
  <si>
    <t>Of annual rental value, residential</t>
  </si>
  <si>
    <t>KCCA ordinance</t>
  </si>
  <si>
    <t>Stamp duty on purchase</t>
  </si>
  <si>
    <t>1%</t>
  </si>
  <si>
    <t>Of purchase price</t>
  </si>
  <si>
    <t>URA / Land Registry</t>
  </si>
  <si>
    <t>Capital gains tax (CGT)</t>
  </si>
  <si>
    <t>On profit from property sale</t>
  </si>
  <si>
    <t>Agent / conveyancing fees</t>
  </si>
  <si>
    <t>Buyer's legal + valuation costs</t>
  </si>
  <si>
    <t>Uganda Law Society</t>
  </si>
  <si>
    <t>HOW TO USE THE THREALTY YIELD &amp; ROI CALCULATOR</t>
  </si>
  <si>
    <t>SECTION</t>
  </si>
  <si>
    <t>WHAT TO DO &amp; WHY IT MATTERS</t>
  </si>
  <si>
    <t>📈 Yield &amp; ROI Calculator</t>
  </si>
  <si>
    <t>START HERE. Enter your property details in the yellow cells — purchase price, rent, expenses, financing. The KPI cards on the right update instantly. Focus on Net Yield (aim for 5%+) and Cash-on-Cash Return.</t>
  </si>
  <si>
    <t>📅 10-Year Projection</t>
  </si>
  <si>
    <t>Automatically populated from your inputs. Shows how income, expenses, property value and total ROI evolve over 10 years. Change growth assumptions (C47–C49 on Calculator sheet) to run optimistic/pessimistic scenarios.</t>
  </si>
  <si>
    <t>⚖️ Property Comparison</t>
  </si>
  <si>
    <t>Comparing two or three deals? Enter each one here side by side. The tool automatically highlights the best net yield. Enter all figures as annual UGX amounts in the blue cells.</t>
  </si>
  <si>
    <t>🇺🇬 Uganda Benchmarks</t>
  </si>
  <si>
    <t>Reference data for Uganda — what's a good yield, current bank rates, tax rates, KCCA obligations. Use this to calibrate your expectations and verify your inputs are realistic.</t>
  </si>
  <si>
    <t>KEY METRICS EXPLAINED</t>
  </si>
  <si>
    <t>Annual rent ÷ purchase price. Quick filter — if below 7%, the asking price is likely too high for Kampala. Formula: (Monthly rent × 12) / Purchase price.</t>
  </si>
  <si>
    <t>Annual rent minus all operating expenses, divided by purchase price. The honest yield figure. Aim for 5–8% in mid-market Kampala. Below 5% = renegotiate.</t>
  </si>
  <si>
    <t>Annual net cash flow ÷ equity actually invested. Most relevant if using a mortgage. If you put in UGX 200M and earn UGX 20M net per year, that's 10% cash-on-cash.</t>
  </si>
  <si>
    <t>Gross rent minus operating expenses, before mortgage and tax. The cleanest measure of property performance independent of financing.</t>
  </si>
  <si>
    <t>Payback Period</t>
  </si>
  <si>
    <t>How many years until cumulative rent income equals your acquisition cost. 14–18 years is typical for good Kampala properties.</t>
  </si>
  <si>
    <t>10-year tab: cumulative net cash flow + capital gain, divided by your equity invested. This is the full picture — rental income AND property appreciation.</t>
  </si>
  <si>
    <t>THREALTY NOTE</t>
  </si>
  <si>
    <t>Management fee</t>
  </si>
  <si>
    <t>Threalty's standard fee is 10% of collected rent. Enter this in C34 on the Calculator sheet. Self-managed? Leave it at 0 — but factor in your own time.</t>
  </si>
  <si>
    <t>Getting a valuation</t>
  </si>
  <si>
    <t>If you need a formal property valuation for bank financing or legal purposes, contact Threalty. We work with certified valuers across Kampala.</t>
  </si>
  <si>
    <t>Updating benchmarks</t>
  </si>
  <si>
    <t>We recommend refreshing the Uganda Benchmarks sheet quarterly. Rental rates and bank rates change — always use current data for new investment decisions.</t>
  </si>
  <si>
    <t>Contact Threalty</t>
  </si>
  <si>
    <t>⚠️  TAX DISCLAIMER: Tax rates and thresholds change. Always verify with a URA-registered tax advisor before making investment or tax-filing decisions. Rates shown are indicative as of 2025. Threalty is not a tax advisor and accepts no liability for tax-related decisions.
www.threalty.site  |  Threalty Services Limited, Kampala, Uganda</t>
  </si>
  <si>
    <t>A free tool from Threalty Services Limited · www.threalty.site · Kampala, Uganda</t>
  </si>
  <si>
    <t>www.threalty.site  |  Kampala, Uganda +256 758 445298
This tool is free to share. Please keep the Threalty branding intact.</t>
  </si>
  <si>
    <t>⚠️  DISCLAIMER — For indicative purposes only. This calculator uses user-provided inputs and published Uganda market benchmarks. Tax calculations should be verified with a URA-registered tax advisor. Interest rate assumptions are illustrative; confirm with your bank. Threalty accepts no liability for investment decisions made based on this tool. Capital growth projections are estimates, not guarantees.
www.threalty.site  |  Threalty Services Limited, Kampala, Uganda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</si>
</sst>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quot; yrs&quot;"/>
    <numFmt numFmtId="166" formatCode="\$#,##0"/>
    <numFmt numFmtId="167" formatCode="0.0&quot; yrs&quot;"/>
  </numFmts>
  <fonts count="28" x14ac:knownFonts="1">
    <font>
      <sz val="11"/>
      <color theme="1"/>
      <name val="Calibri"/>
      <family val="2"/>
      <charset val="1"/>
    </font>
    <font>
      <b/>
      <sz val="18"/>
      <color rgb="FFFFFFFF"/>
      <name val="Arial"/>
      <charset val="1"/>
    </font>
    <font>
      <i/>
      <sz val="10"/>
      <color rgb="FFFFFFFF"/>
      <name val="Arial"/>
      <charset val="1"/>
    </font>
    <font>
      <b/>
      <sz val="10"/>
      <color rgb="FFFFFFFF"/>
      <name val="Arial"/>
      <charset val="1"/>
    </font>
    <font>
      <b/>
      <sz val="9"/>
      <color rgb="FFFFFFFF"/>
      <name val="Arial"/>
      <charset val="1"/>
    </font>
    <font>
      <sz val="10"/>
      <color rgb="FF1A1A2E"/>
      <name val="Arial"/>
      <charset val="1"/>
    </font>
    <font>
      <b/>
      <sz val="10"/>
      <color rgb="FF0000FF"/>
      <name val="Arial"/>
      <charset val="1"/>
    </font>
    <font>
      <i/>
      <sz val="9"/>
      <color rgb="FF888888"/>
      <name val="Arial"/>
      <charset val="1"/>
    </font>
    <font>
      <b/>
      <sz val="18"/>
      <color rgb="FF0A7C6E"/>
      <name val="Arial"/>
      <charset val="1"/>
    </font>
    <font>
      <b/>
      <sz val="18"/>
      <color rgb="FF166534"/>
      <name val="Arial"/>
      <charset val="1"/>
    </font>
    <font>
      <b/>
      <sz val="18"/>
      <color rgb="FFE07B00"/>
      <name val="Arial"/>
      <charset val="1"/>
    </font>
    <font>
      <b/>
      <sz val="10"/>
      <color rgb="FF0A7C6E"/>
      <name val="Arial"/>
      <charset val="1"/>
    </font>
    <font>
      <i/>
      <sz val="9"/>
      <color rgb="FF666666"/>
      <name val="Arial"/>
      <charset val="1"/>
    </font>
    <font>
      <b/>
      <sz val="18"/>
      <color rgb="FFB8860B"/>
      <name val="Arial"/>
      <charset val="1"/>
    </font>
    <font>
      <b/>
      <sz val="18"/>
      <color rgb="FF1A1A2E"/>
      <name val="Arial"/>
      <charset val="1"/>
    </font>
    <font>
      <b/>
      <sz val="11"/>
      <color rgb="FF1A1A2E"/>
      <name val="Arial"/>
      <charset val="1"/>
    </font>
    <font>
      <b/>
      <sz val="10"/>
      <color rgb="FFB8860B"/>
      <name val="Arial"/>
      <charset val="1"/>
    </font>
    <font>
      <b/>
      <sz val="10"/>
      <color rgb="FF1A1A2E"/>
      <name val="Arial"/>
      <charset val="1"/>
    </font>
    <font>
      <b/>
      <sz val="10"/>
      <color rgb="FF166534"/>
      <name val="Arial"/>
      <charset val="1"/>
    </font>
    <font>
      <b/>
      <sz val="10"/>
      <color rgb="FF991B1B"/>
      <name val="Arial"/>
      <charset val="1"/>
    </font>
    <font>
      <i/>
      <sz val="8.5"/>
      <color rgb="FF666666"/>
      <name val="Arial"/>
      <charset val="1"/>
    </font>
    <font>
      <sz val="10"/>
      <color rgb="FFB8860B"/>
      <name val="Arial"/>
      <charset val="1"/>
    </font>
    <font>
      <b/>
      <sz val="12"/>
      <color rgb="FFFFFFFF"/>
      <name val="Arial"/>
      <charset val="1"/>
    </font>
    <font>
      <b/>
      <sz val="11"/>
      <color rgb="FFFFFFFF"/>
      <name val="Arial"/>
      <charset val="1"/>
    </font>
    <font>
      <i/>
      <sz val="9"/>
      <color rgb="FF1A1A2E"/>
      <name val="Arial"/>
      <charset val="1"/>
    </font>
    <font>
      <i/>
      <sz val="8"/>
      <color rgb="FF888888"/>
      <name val="Arial"/>
      <charset val="1"/>
    </font>
    <font>
      <sz val="9"/>
      <color rgb="FF1A1A2E"/>
      <name val="Arial"/>
      <charset val="1"/>
    </font>
    <font>
      <b/>
      <sz val="14"/>
      <color rgb="FFFFFFFF"/>
      <name val="Arial"/>
      <charset val="1"/>
    </font>
  </fonts>
  <fills count="17">
    <fill>
      <patternFill patternType="none"/>
    </fill>
    <fill>
      <patternFill patternType="gray125"/>
    </fill>
    <fill>
      <patternFill patternType="solid">
        <fgColor rgb="FF0D1F3C"/>
        <bgColor rgb="FF1A1A2E"/>
      </patternFill>
    </fill>
    <fill>
      <patternFill patternType="solid">
        <fgColor rgb="FF138D7A"/>
        <bgColor rgb="FF0A7C6E"/>
      </patternFill>
    </fill>
    <fill>
      <patternFill patternType="solid">
        <fgColor rgb="FF1A3A5C"/>
        <bgColor rgb="FF0D1F3C"/>
      </patternFill>
    </fill>
    <fill>
      <patternFill patternType="solid">
        <fgColor rgb="FFFFFFFF"/>
        <bgColor rgb="FFF7F8FA"/>
      </patternFill>
    </fill>
    <fill>
      <patternFill patternType="solid">
        <fgColor rgb="FFFFFACC"/>
        <bgColor rgb="FFFDF3DC"/>
      </patternFill>
    </fill>
    <fill>
      <patternFill patternType="solid">
        <fgColor rgb="FFEAECEE"/>
        <bgColor rgb="FFF7F8FA"/>
      </patternFill>
    </fill>
    <fill>
      <patternFill patternType="solid">
        <fgColor rgb="FFD0EFEB"/>
        <bgColor rgb="FFDCFCE7"/>
      </patternFill>
    </fill>
    <fill>
      <patternFill patternType="solid">
        <fgColor rgb="FFF7F8FA"/>
        <bgColor rgb="FFFFF7ED"/>
      </patternFill>
    </fill>
    <fill>
      <patternFill patternType="solid">
        <fgColor rgb="FF0A7C6E"/>
        <bgColor rgb="FF138D7A"/>
      </patternFill>
    </fill>
    <fill>
      <patternFill patternType="solid">
        <fgColor rgb="FFDCFCE7"/>
        <bgColor rgb="FFD0EFEB"/>
      </patternFill>
    </fill>
    <fill>
      <patternFill patternType="solid">
        <fgColor rgb="FFFFF7ED"/>
        <bgColor rgb="FFF7F8FA"/>
      </patternFill>
    </fill>
    <fill>
      <patternFill patternType="solid">
        <fgColor rgb="FFFDF3DC"/>
        <bgColor rgb="FFFFF7ED"/>
      </patternFill>
    </fill>
    <fill>
      <patternFill patternType="solid">
        <fgColor rgb="FF991B1B"/>
        <bgColor rgb="FF800000"/>
      </patternFill>
    </fill>
    <fill>
      <patternFill patternType="solid">
        <fgColor rgb="FFFEE2E2"/>
        <bgColor rgb="FFFDF3DC"/>
      </patternFill>
    </fill>
    <fill>
      <patternFill patternType="solid">
        <fgColor rgb="FFB8860B"/>
        <bgColor rgb="FFE07B00"/>
      </patternFill>
    </fill>
  </fills>
  <borders count="9">
    <border>
      <left/>
      <right/>
      <top/>
      <bottom/>
      <diagonal/>
    </border>
    <border>
      <left style="thin">
        <color rgb="FF0A7C6E"/>
      </left>
      <right style="thin">
        <color rgb="FF0A7C6E"/>
      </right>
      <top style="thin">
        <color rgb="FF0A7C6E"/>
      </top>
      <bottom style="thin">
        <color rgb="FF0A7C6E"/>
      </bottom>
      <diagonal/>
    </border>
    <border>
      <left style="thin">
        <color rgb="FF0A7C6E"/>
      </left>
      <right/>
      <top style="thin">
        <color rgb="FF0A7C6E"/>
      </top>
      <bottom style="thin">
        <color rgb="FF0A7C6E"/>
      </bottom>
      <diagonal/>
    </border>
    <border>
      <left style="thin">
        <color rgb="FFCDD2D7"/>
      </left>
      <right style="thin">
        <color rgb="FFCDD2D7"/>
      </right>
      <top style="thin">
        <color rgb="FFCDD2D7"/>
      </top>
      <bottom style="thin">
        <color rgb="FFCDD2D7"/>
      </bottom>
      <diagonal/>
    </border>
    <border>
      <left style="thin">
        <color rgb="FFB8860B"/>
      </left>
      <right style="thin">
        <color rgb="FFB8860B"/>
      </right>
      <top style="thin">
        <color rgb="FFB8860B"/>
      </top>
      <bottom style="thin">
        <color rgb="FFB8860B"/>
      </bottom>
      <diagonal/>
    </border>
    <border>
      <left style="thin">
        <color rgb="FFCDD2D7"/>
      </left>
      <right/>
      <top style="thin">
        <color rgb="FFCDD2D7"/>
      </top>
      <bottom/>
      <diagonal/>
    </border>
    <border>
      <left style="thin">
        <color rgb="FF991B1B"/>
      </left>
      <right style="thin">
        <color rgb="FF991B1B"/>
      </right>
      <top style="thin">
        <color rgb="FF991B1B"/>
      </top>
      <bottom style="thin">
        <color rgb="FF991B1B"/>
      </bottom>
      <diagonal/>
    </border>
    <border>
      <left style="thin">
        <color rgb="FF0D1F3C"/>
      </left>
      <right style="thin">
        <color rgb="FF0D1F3C"/>
      </right>
      <top style="thin">
        <color rgb="FF0D1F3C"/>
      </top>
      <bottom style="thin">
        <color rgb="FF0D1F3C"/>
      </bottom>
      <diagonal/>
    </border>
    <border>
      <left style="thin">
        <color rgb="FFCDD2D7"/>
      </left>
      <right/>
      <top style="thin">
        <color rgb="FFCDD2D7"/>
      </top>
      <bottom style="thin">
        <color rgb="FFCDD2D7"/>
      </bottom>
      <diagonal/>
    </border>
  </borders>
  <cellStyleXfs count="1">
    <xf numFmtId="0" fontId="0" fillId="0" borderId="0"/>
  </cellStyleXfs>
  <cellXfs count="93">
    <xf numFmtId="0" fontId="0" fillId="0" borderId="0" xfId="0"/>
    <xf numFmtId="0" fontId="0" fillId="0" borderId="0" xfId="0" applyAlignment="1"/>
    <xf numFmtId="0" fontId="4" fillId="4" borderId="1" xfId="0" applyFont="1" applyFill="1" applyBorder="1" applyAlignment="1">
      <alignment horizontal="center" vertical="center" wrapText="1"/>
    </xf>
    <xf numFmtId="0" fontId="5" fillId="5" borderId="3" xfId="0" applyFont="1" applyFill="1" applyBorder="1" applyAlignment="1">
      <alignment horizontal="left" vertical="center" wrapText="1"/>
    </xf>
    <xf numFmtId="3" fontId="6" fillId="6" borderId="4" xfId="0" applyNumberFormat="1" applyFont="1" applyFill="1" applyBorder="1" applyAlignment="1">
      <alignment horizontal="center" vertical="center" wrapText="1"/>
    </xf>
    <xf numFmtId="0" fontId="7" fillId="7" borderId="3" xfId="0" applyFont="1" applyFill="1" applyBorder="1" applyAlignment="1">
      <alignment horizontal="left" vertical="center" wrapText="1"/>
    </xf>
    <xf numFmtId="0" fontId="5" fillId="9" borderId="3" xfId="0" applyFont="1" applyFill="1" applyBorder="1" applyAlignment="1">
      <alignment horizontal="left" vertical="center" wrapText="1"/>
    </xf>
    <xf numFmtId="164" fontId="6" fillId="6" borderId="4" xfId="0" applyNumberFormat="1" applyFont="1" applyFill="1" applyBorder="1" applyAlignment="1">
      <alignment horizontal="center" vertical="center" wrapText="1"/>
    </xf>
    <xf numFmtId="0" fontId="11" fillId="8" borderId="3" xfId="0" applyFont="1" applyFill="1" applyBorder="1" applyAlignment="1">
      <alignment horizontal="left" vertical="center" wrapText="1"/>
    </xf>
    <xf numFmtId="3" fontId="11" fillId="8" borderId="3" xfId="0" applyNumberFormat="1" applyFont="1" applyFill="1" applyBorder="1" applyAlignment="1">
      <alignment horizontal="center" vertical="center" wrapText="1"/>
    </xf>
    <xf numFmtId="0" fontId="12" fillId="8" borderId="3" xfId="0" applyFont="1" applyFill="1" applyBorder="1" applyAlignment="1">
      <alignment horizontal="left" vertical="center" wrapText="1"/>
    </xf>
    <xf numFmtId="0" fontId="16" fillId="13" borderId="3" xfId="0" applyFont="1" applyFill="1" applyBorder="1" applyAlignment="1">
      <alignment horizontal="left" vertical="center" wrapText="1"/>
    </xf>
    <xf numFmtId="3" fontId="16" fillId="13" borderId="3" xfId="0" applyNumberFormat="1" applyFont="1" applyFill="1" applyBorder="1" applyAlignment="1">
      <alignment horizontal="center" vertical="center" wrapText="1"/>
    </xf>
    <xf numFmtId="0" fontId="12" fillId="13" borderId="3" xfId="0" applyFont="1" applyFill="1" applyBorder="1" applyAlignment="1">
      <alignment horizontal="left" vertical="center" wrapText="1"/>
    </xf>
    <xf numFmtId="165" fontId="17" fillId="9" borderId="3" xfId="0" applyNumberFormat="1" applyFont="1" applyFill="1" applyBorder="1" applyAlignment="1">
      <alignment horizontal="center" vertical="center" wrapText="1"/>
    </xf>
    <xf numFmtId="165" fontId="5" fillId="9" borderId="3" xfId="0" applyNumberFormat="1" applyFont="1" applyFill="1" applyBorder="1" applyAlignment="1">
      <alignment horizontal="center" vertical="center" wrapText="1"/>
    </xf>
    <xf numFmtId="0" fontId="12" fillId="9" borderId="3" xfId="0" applyFont="1" applyFill="1" applyBorder="1" applyAlignment="1">
      <alignment horizontal="left" vertical="center" wrapText="1"/>
    </xf>
    <xf numFmtId="0" fontId="5" fillId="11" borderId="3" xfId="0" applyFont="1" applyFill="1" applyBorder="1" applyAlignment="1">
      <alignment horizontal="left" vertical="center" wrapText="1"/>
    </xf>
    <xf numFmtId="165" fontId="17" fillId="11" borderId="3" xfId="0" applyNumberFormat="1" applyFont="1" applyFill="1" applyBorder="1" applyAlignment="1">
      <alignment horizontal="center" vertical="center" wrapText="1"/>
    </xf>
    <xf numFmtId="165" fontId="5" fillId="11" borderId="3" xfId="0" applyNumberFormat="1" applyFont="1" applyFill="1" applyBorder="1" applyAlignment="1">
      <alignment horizontal="center" vertical="center" wrapText="1"/>
    </xf>
    <xf numFmtId="0" fontId="12" fillId="11" borderId="3" xfId="0" applyFont="1" applyFill="1" applyBorder="1" applyAlignment="1">
      <alignment horizontal="left" vertical="center" wrapText="1"/>
    </xf>
    <xf numFmtId="0" fontId="4" fillId="10" borderId="1" xfId="0" applyFont="1" applyFill="1" applyBorder="1" applyAlignment="1">
      <alignment horizontal="center" vertical="center" wrapText="1"/>
    </xf>
    <xf numFmtId="3" fontId="17" fillId="9" borderId="3" xfId="0" applyNumberFormat="1" applyFont="1" applyFill="1" applyBorder="1" applyAlignment="1">
      <alignment horizontal="center" vertical="center" wrapText="1"/>
    </xf>
    <xf numFmtId="3" fontId="5" fillId="9" borderId="3" xfId="0" applyNumberFormat="1" applyFont="1" applyFill="1" applyBorder="1" applyAlignment="1">
      <alignment horizontal="center" vertical="center" wrapText="1"/>
    </xf>
    <xf numFmtId="3" fontId="17" fillId="11" borderId="3" xfId="0" applyNumberFormat="1" applyFont="1" applyFill="1" applyBorder="1" applyAlignment="1">
      <alignment horizontal="center" vertical="center" wrapText="1"/>
    </xf>
    <xf numFmtId="3" fontId="5" fillId="11" borderId="3" xfId="0" applyNumberFormat="1" applyFont="1" applyFill="1" applyBorder="1" applyAlignment="1">
      <alignment horizontal="center" vertical="center" wrapText="1"/>
    </xf>
    <xf numFmtId="0" fontId="18" fillId="11" borderId="3" xfId="0" applyFont="1" applyFill="1" applyBorder="1" applyAlignment="1">
      <alignment horizontal="left" vertical="center" wrapText="1"/>
    </xf>
    <xf numFmtId="3" fontId="18" fillId="11" borderId="3" xfId="0" applyNumberFormat="1" applyFont="1" applyFill="1" applyBorder="1" applyAlignment="1">
      <alignment horizontal="center" vertical="center" wrapText="1"/>
    </xf>
    <xf numFmtId="0" fontId="17" fillId="8" borderId="3" xfId="0" applyFont="1" applyFill="1" applyBorder="1" applyAlignment="1">
      <alignment horizontal="left" vertical="center" wrapText="1"/>
    </xf>
    <xf numFmtId="10" fontId="17" fillId="8" borderId="3" xfId="0" applyNumberFormat="1" applyFont="1" applyFill="1" applyBorder="1" applyAlignment="1">
      <alignment horizontal="center" vertical="center" wrapText="1"/>
    </xf>
    <xf numFmtId="10" fontId="5" fillId="5" borderId="3" xfId="0" applyNumberFormat="1" applyFont="1" applyFill="1" applyBorder="1" applyAlignment="1">
      <alignment horizontal="center" vertical="center" wrapText="1"/>
    </xf>
    <xf numFmtId="10" fontId="5" fillId="9" borderId="3" xfId="0" applyNumberFormat="1" applyFont="1" applyFill="1" applyBorder="1" applyAlignment="1">
      <alignment horizontal="center" vertical="center" wrapText="1"/>
    </xf>
    <xf numFmtId="0" fontId="4" fillId="14" borderId="1" xfId="0" applyFont="1" applyFill="1" applyBorder="1" applyAlignment="1">
      <alignment horizontal="center" vertical="center" wrapText="1"/>
    </xf>
    <xf numFmtId="0" fontId="19" fillId="15" borderId="3" xfId="0" applyFont="1" applyFill="1" applyBorder="1" applyAlignment="1">
      <alignment horizontal="left" vertical="center" wrapText="1"/>
    </xf>
    <xf numFmtId="3" fontId="19" fillId="15" borderId="3" xfId="0" applyNumberFormat="1" applyFont="1" applyFill="1" applyBorder="1" applyAlignment="1">
      <alignment horizontal="center" vertical="center" wrapText="1"/>
    </xf>
    <xf numFmtId="0" fontId="12" fillId="15" borderId="3"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10" borderId="3" xfId="0" applyFont="1" applyFill="1" applyBorder="1" applyAlignment="1">
      <alignment horizontal="left" vertical="center" wrapText="1"/>
    </xf>
    <xf numFmtId="0" fontId="0" fillId="10" borderId="1" xfId="0" applyFill="1" applyBorder="1" applyAlignment="1"/>
    <xf numFmtId="3" fontId="11" fillId="8" borderId="1" xfId="0" applyNumberFormat="1" applyFont="1" applyFill="1" applyBorder="1" applyAlignment="1">
      <alignment horizontal="center" vertical="center" wrapText="1"/>
    </xf>
    <xf numFmtId="3" fontId="5" fillId="5" borderId="3" xfId="0" applyNumberFormat="1" applyFont="1" applyFill="1" applyBorder="1" applyAlignment="1">
      <alignment horizontal="center" vertical="center" wrapText="1"/>
    </xf>
    <xf numFmtId="0" fontId="4" fillId="14" borderId="3" xfId="0" applyFont="1" applyFill="1" applyBorder="1" applyAlignment="1">
      <alignment horizontal="left" vertical="center" wrapText="1"/>
    </xf>
    <xf numFmtId="0" fontId="0" fillId="14" borderId="6" xfId="0" applyFill="1" applyBorder="1" applyAlignment="1"/>
    <xf numFmtId="0" fontId="4" fillId="2" borderId="3" xfId="0" applyFont="1" applyFill="1" applyBorder="1" applyAlignment="1">
      <alignment horizontal="left" vertical="center" wrapText="1"/>
    </xf>
    <xf numFmtId="0" fontId="0" fillId="2" borderId="7" xfId="0" applyFill="1" applyBorder="1" applyAlignment="1"/>
    <xf numFmtId="0" fontId="17" fillId="5" borderId="3" xfId="0" applyFont="1" applyFill="1" applyBorder="1" applyAlignment="1">
      <alignment horizontal="left" vertical="center" wrapText="1"/>
    </xf>
    <xf numFmtId="0" fontId="17" fillId="9" borderId="3" xfId="0" applyFont="1" applyFill="1" applyBorder="1" applyAlignment="1">
      <alignment horizontal="left" vertical="center" wrapText="1"/>
    </xf>
    <xf numFmtId="0" fontId="4" fillId="16" borderId="3" xfId="0" applyFont="1" applyFill="1" applyBorder="1" applyAlignment="1">
      <alignment horizontal="left" vertical="center" wrapText="1"/>
    </xf>
    <xf numFmtId="0" fontId="0" fillId="16" borderId="4" xfId="0" applyFill="1" applyBorder="1" applyAlignment="1"/>
    <xf numFmtId="3" fontId="21" fillId="13" borderId="3" xfId="0" applyNumberFormat="1" applyFont="1" applyFill="1" applyBorder="1" applyAlignment="1">
      <alignment horizontal="center" vertical="center" wrapText="1"/>
    </xf>
    <xf numFmtId="164" fontId="11" fillId="8" borderId="3" xfId="0" applyNumberFormat="1" applyFont="1" applyFill="1" applyBorder="1" applyAlignment="1">
      <alignment horizontal="center" vertical="center" wrapText="1"/>
    </xf>
    <xf numFmtId="164" fontId="11" fillId="8" borderId="1" xfId="0" applyNumberFormat="1" applyFont="1" applyFill="1" applyBorder="1" applyAlignment="1">
      <alignment horizontal="center" vertical="center" wrapText="1"/>
    </xf>
    <xf numFmtId="10" fontId="11" fillId="8" borderId="1" xfId="0" applyNumberFormat="1" applyFont="1" applyFill="1" applyBorder="1" applyAlignment="1">
      <alignment horizontal="center" vertical="center" wrapText="1"/>
    </xf>
    <xf numFmtId="0" fontId="22" fillId="10" borderId="3"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16" borderId="3" xfId="0" applyFont="1" applyFill="1" applyBorder="1" applyAlignment="1">
      <alignment horizontal="center" vertical="center" wrapText="1"/>
    </xf>
    <xf numFmtId="0" fontId="0" fillId="2" borderId="3" xfId="0" applyFill="1" applyBorder="1" applyAlignment="1"/>
    <xf numFmtId="0" fontId="17" fillId="6" borderId="3" xfId="0" applyFont="1" applyFill="1" applyBorder="1" applyAlignment="1">
      <alignment horizontal="center" vertical="center" wrapText="1"/>
    </xf>
    <xf numFmtId="3" fontId="6" fillId="6" borderId="3" xfId="0" applyNumberFormat="1" applyFont="1" applyFill="1" applyBorder="1" applyAlignment="1">
      <alignment horizontal="center" vertical="center" wrapText="1"/>
    </xf>
    <xf numFmtId="164" fontId="6" fillId="6" borderId="3" xfId="0" applyNumberFormat="1" applyFont="1" applyFill="1" applyBorder="1" applyAlignment="1">
      <alignment horizontal="center" vertical="center" wrapText="1"/>
    </xf>
    <xf numFmtId="0" fontId="0" fillId="10" borderId="3" xfId="0" applyFill="1" applyBorder="1" applyAlignment="1"/>
    <xf numFmtId="10" fontId="11" fillId="8" borderId="3" xfId="0" applyNumberFormat="1" applyFont="1" applyFill="1" applyBorder="1" applyAlignment="1">
      <alignment horizontal="center" vertical="center" wrapText="1"/>
    </xf>
    <xf numFmtId="166" fontId="18" fillId="11" borderId="3" xfId="0" applyNumberFormat="1" applyFont="1" applyFill="1" applyBorder="1" applyAlignment="1">
      <alignment horizontal="center" vertical="center" wrapText="1"/>
    </xf>
    <xf numFmtId="167" fontId="17" fillId="9" borderId="3" xfId="0" applyNumberFormat="1" applyFont="1" applyFill="1" applyBorder="1" applyAlignment="1">
      <alignment horizontal="center" vertical="center" wrapText="1"/>
    </xf>
    <xf numFmtId="0" fontId="17" fillId="9"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24" fillId="9" borderId="3" xfId="0" applyFont="1" applyFill="1" applyBorder="1" applyAlignment="1">
      <alignment horizontal="left" vertical="center" wrapText="1"/>
    </xf>
    <xf numFmtId="0" fontId="25" fillId="9" borderId="3" xfId="0" applyFont="1" applyFill="1" applyBorder="1" applyAlignment="1">
      <alignment horizontal="left" vertical="center" wrapText="1"/>
    </xf>
    <xf numFmtId="0" fontId="26" fillId="9" borderId="3" xfId="0" applyFont="1" applyFill="1" applyBorder="1" applyAlignment="1">
      <alignment horizontal="left" vertical="center" wrapText="1"/>
    </xf>
    <xf numFmtId="0" fontId="24" fillId="5" borderId="3" xfId="0" applyFont="1" applyFill="1" applyBorder="1" applyAlignment="1">
      <alignment horizontal="left" vertical="center" wrapText="1"/>
    </xf>
    <xf numFmtId="0" fontId="25" fillId="5" borderId="3" xfId="0" applyFont="1" applyFill="1" applyBorder="1" applyAlignment="1">
      <alignment horizontal="left" vertical="center" wrapText="1"/>
    </xf>
    <xf numFmtId="0" fontId="26" fillId="5" borderId="3" xfId="0" applyFont="1" applyFill="1" applyBorder="1" applyAlignment="1">
      <alignment horizontal="left" vertical="center" wrapText="1"/>
    </xf>
    <xf numFmtId="0" fontId="3" fillId="10" borderId="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14" borderId="0" xfId="0" applyFont="1" applyFill="1" applyBorder="1" applyAlignment="1">
      <alignment horizontal="left" vertical="center" wrapText="1"/>
    </xf>
    <xf numFmtId="0" fontId="20" fillId="9" borderId="5" xfId="0" applyFont="1" applyFill="1" applyBorder="1" applyAlignment="1">
      <alignment horizontal="left" vertical="top" wrapText="1"/>
    </xf>
    <xf numFmtId="3" fontId="14" fillId="9" borderId="2" xfId="0" applyNumberFormat="1" applyFont="1" applyFill="1" applyBorder="1" applyAlignment="1">
      <alignment horizontal="center" vertical="center" wrapText="1"/>
    </xf>
    <xf numFmtId="0" fontId="15" fillId="9" borderId="2" xfId="0" applyFont="1" applyFill="1" applyBorder="1" applyAlignment="1">
      <alignment horizontal="left" vertical="center" wrapText="1"/>
    </xf>
    <xf numFmtId="0" fontId="3" fillId="4" borderId="0" xfId="0" applyFont="1" applyFill="1" applyBorder="1" applyAlignment="1">
      <alignment horizontal="left" vertical="center" wrapText="1"/>
    </xf>
    <xf numFmtId="0" fontId="4" fillId="2" borderId="2" xfId="0" applyFont="1" applyFill="1" applyBorder="1" applyAlignment="1">
      <alignment horizontal="center" vertical="center" wrapText="1"/>
    </xf>
    <xf numFmtId="10" fontId="13" fillId="13" borderId="2" xfId="0" applyNumberFormat="1" applyFont="1" applyFill="1" applyBorder="1" applyAlignment="1">
      <alignment horizontal="center" vertical="center" wrapText="1"/>
    </xf>
    <xf numFmtId="3" fontId="9" fillId="11" borderId="2"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10" fontId="8" fillId="8" borderId="2" xfId="0" applyNumberFormat="1" applyFont="1" applyFill="1" applyBorder="1" applyAlignment="1">
      <alignment horizontal="center" vertical="center" wrapText="1"/>
    </xf>
    <xf numFmtId="0" fontId="4" fillId="10" borderId="2" xfId="0" applyFont="1" applyFill="1" applyBorder="1" applyAlignment="1">
      <alignment horizontal="center" vertical="center" wrapText="1"/>
    </xf>
    <xf numFmtId="3" fontId="10" fillId="12" borderId="2"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2" fillId="9" borderId="8" xfId="0" applyFont="1" applyFill="1" applyBorder="1" applyAlignment="1">
      <alignment horizontal="left" vertical="center" wrapText="1"/>
    </xf>
    <xf numFmtId="0" fontId="23" fillId="10" borderId="2" xfId="0" applyFont="1" applyFill="1" applyBorder="1" applyAlignment="1">
      <alignment horizontal="center" vertical="center" wrapText="1"/>
    </xf>
    <xf numFmtId="0" fontId="3" fillId="16" borderId="0" xfId="0" applyFont="1" applyFill="1" applyBorder="1" applyAlignment="1">
      <alignment horizontal="left" vertical="center" wrapText="1"/>
    </xf>
    <xf numFmtId="0" fontId="27" fillId="2"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66534"/>
      <rgbColor rgb="FF000080"/>
      <rgbColor rgb="FFB8860B"/>
      <rgbColor rgb="FF800080"/>
      <rgbColor rgb="FF0A7C6E"/>
      <rgbColor rgb="FFF7F8FA"/>
      <rgbColor rgb="FF888888"/>
      <rgbColor rgb="FF9999FF"/>
      <rgbColor rgb="FF993366"/>
      <rgbColor rgb="FFFFFACC"/>
      <rgbColor rgb="FFDCFCE7"/>
      <rgbColor rgb="FF660066"/>
      <rgbColor rgb="FFFF8080"/>
      <rgbColor rgb="FF0066CC"/>
      <rgbColor rgb="FFCDD2D7"/>
      <rgbColor rgb="FF000080"/>
      <rgbColor rgb="FFFF00FF"/>
      <rgbColor rgb="FFFFFF00"/>
      <rgbColor rgb="FF00FFFF"/>
      <rgbColor rgb="FF800080"/>
      <rgbColor rgb="FF800000"/>
      <rgbColor rgb="FF138D7A"/>
      <rgbColor rgb="FF0000FF"/>
      <rgbColor rgb="FF00CCFF"/>
      <rgbColor rgb="FFD0EFEB"/>
      <rgbColor rgb="FFEAECEE"/>
      <rgbColor rgb="FFFDF3DC"/>
      <rgbColor rgb="FFFFF7ED"/>
      <rgbColor rgb="FFFF99CC"/>
      <rgbColor rgb="FFCC99FF"/>
      <rgbColor rgb="FFFEE2E2"/>
      <rgbColor rgb="FF3366FF"/>
      <rgbColor rgb="FF33CCCC"/>
      <rgbColor rgb="FF99CC00"/>
      <rgbColor rgb="FFFFCC00"/>
      <rgbColor rgb="FFFF9900"/>
      <rgbColor rgb="FFE07B00"/>
      <rgbColor rgb="FF626567"/>
      <rgbColor rgb="FF666666"/>
      <rgbColor rgb="FF1A3A5C"/>
      <rgbColor rgb="FF339966"/>
      <rgbColor rgb="FF0D1F3C"/>
      <rgbColor rgb="FF333300"/>
      <rgbColor rgb="FF991B1B"/>
      <rgbColor rgb="FF993366"/>
      <rgbColor rgb="FF333399"/>
      <rgbColor rgb="FF1A1A2E"/>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1F3C"/>
  </sheetPr>
  <dimension ref="A1:I55"/>
  <sheetViews>
    <sheetView showGridLines="0" zoomScaleNormal="100" workbookViewId="0">
      <pane xSplit="1" ySplit="5" topLeftCell="B45" activePane="bottomRight" state="frozen"/>
      <selection pane="topRight" activeCell="B1" sqref="B1"/>
      <selection pane="bottomLeft" activeCell="A6" sqref="A6"/>
      <selection pane="bottomRight" activeCell="B13" sqref="B13"/>
    </sheetView>
  </sheetViews>
  <sheetFormatPr defaultColWidth="8.6328125" defaultRowHeight="14.5" x14ac:dyDescent="0.35"/>
  <cols>
    <col min="1" max="1" width="2" style="1" customWidth="1"/>
    <col min="2" max="2" width="34.26953125" style="1" customWidth="1"/>
    <col min="3" max="4" width="20" style="1" customWidth="1"/>
    <col min="5" max="5" width="3" style="1" customWidth="1"/>
    <col min="6" max="6" width="28" style="1" customWidth="1"/>
    <col min="7" max="9" width="20" style="1" customWidth="1"/>
  </cols>
  <sheetData>
    <row r="1" spans="2:9" ht="7.5" customHeight="1" x14ac:dyDescent="0.35"/>
    <row r="2" spans="2:9" ht="45.75" customHeight="1" x14ac:dyDescent="0.35">
      <c r="B2" s="87" t="s">
        <v>0</v>
      </c>
      <c r="C2" s="87"/>
      <c r="D2" s="87"/>
      <c r="E2" s="87"/>
      <c r="F2" s="87"/>
      <c r="G2" s="87"/>
      <c r="H2" s="87"/>
      <c r="I2" s="87"/>
    </row>
    <row r="3" spans="2:9" ht="19.5" customHeight="1" x14ac:dyDescent="0.35">
      <c r="B3" s="88" t="s">
        <v>1</v>
      </c>
      <c r="C3" s="88"/>
      <c r="D3" s="88"/>
      <c r="E3" s="88"/>
      <c r="F3" s="88"/>
      <c r="G3" s="88"/>
      <c r="H3" s="88"/>
      <c r="I3" s="88"/>
    </row>
    <row r="4" spans="2:9" ht="9.75" customHeight="1" x14ac:dyDescent="0.35"/>
    <row r="5" spans="2:9" ht="21.75" customHeight="1" x14ac:dyDescent="0.35">
      <c r="B5" s="74" t="s">
        <v>2</v>
      </c>
      <c r="C5" s="74"/>
      <c r="D5" s="74"/>
      <c r="F5" s="74" t="s">
        <v>3</v>
      </c>
      <c r="G5" s="74"/>
      <c r="H5" s="74"/>
      <c r="I5" s="74"/>
    </row>
    <row r="6" spans="2:9" ht="19.5" customHeight="1" x14ac:dyDescent="0.35">
      <c r="B6" s="2" t="s">
        <v>4</v>
      </c>
      <c r="C6" s="2" t="s">
        <v>5</v>
      </c>
      <c r="D6" s="2" t="s">
        <v>6</v>
      </c>
      <c r="F6" s="80" t="s">
        <v>7</v>
      </c>
      <c r="G6" s="80"/>
      <c r="H6" s="80" t="s">
        <v>8</v>
      </c>
      <c r="I6" s="80"/>
    </row>
    <row r="7" spans="2:9" ht="36" customHeight="1" x14ac:dyDescent="0.35">
      <c r="B7" s="3" t="s">
        <v>9</v>
      </c>
      <c r="C7" s="4">
        <v>800000000</v>
      </c>
      <c r="D7" s="5" t="s">
        <v>10</v>
      </c>
      <c r="F7" s="84">
        <f>IFERROR(C30/C7,0)</f>
        <v>2.76E-2</v>
      </c>
      <c r="G7" s="84"/>
      <c r="H7" s="84">
        <f>IFERROR((C30-C43)/C7,0)</f>
        <v>2.76E-2</v>
      </c>
      <c r="I7" s="84"/>
    </row>
    <row r="8" spans="2:9" ht="24.5" customHeight="1" x14ac:dyDescent="0.35">
      <c r="B8" s="6" t="s">
        <v>11</v>
      </c>
      <c r="C8" s="7">
        <v>0.01</v>
      </c>
      <c r="D8" s="5" t="s">
        <v>12</v>
      </c>
    </row>
    <row r="9" spans="2:9" ht="19.5" customHeight="1" x14ac:dyDescent="0.35">
      <c r="B9" s="3" t="s">
        <v>13</v>
      </c>
      <c r="C9" s="4">
        <v>8000000</v>
      </c>
      <c r="D9" s="5" t="s">
        <v>14</v>
      </c>
      <c r="F9" s="85" t="s">
        <v>15</v>
      </c>
      <c r="G9" s="85"/>
      <c r="H9" s="85" t="s">
        <v>16</v>
      </c>
      <c r="I9" s="85"/>
    </row>
    <row r="10" spans="2:9" ht="36" customHeight="1" x14ac:dyDescent="0.35">
      <c r="B10" s="6" t="s">
        <v>17</v>
      </c>
      <c r="C10" s="4">
        <v>25000000</v>
      </c>
      <c r="D10" s="5" t="s">
        <v>18</v>
      </c>
      <c r="F10" s="82">
        <f>C30-C43</f>
        <v>22080000</v>
      </c>
      <c r="G10" s="82"/>
      <c r="H10" s="86">
        <f>C22*12</f>
        <v>0</v>
      </c>
      <c r="I10" s="86"/>
    </row>
    <row r="11" spans="2:9" ht="29" customHeight="1" x14ac:dyDescent="0.35">
      <c r="B11" s="3" t="s">
        <v>19</v>
      </c>
      <c r="C11" s="4">
        <v>8000000</v>
      </c>
      <c r="D11" s="5" t="s">
        <v>20</v>
      </c>
    </row>
    <row r="12" spans="2:9" ht="19.5" customHeight="1" x14ac:dyDescent="0.35">
      <c r="B12" s="6" t="s">
        <v>21</v>
      </c>
      <c r="C12" s="4">
        <v>5000000</v>
      </c>
      <c r="D12" s="5" t="s">
        <v>22</v>
      </c>
      <c r="F12" s="80" t="s">
        <v>23</v>
      </c>
      <c r="G12" s="80"/>
      <c r="H12" s="80" t="s">
        <v>24</v>
      </c>
      <c r="I12" s="80"/>
    </row>
    <row r="13" spans="2:9" ht="36" customHeight="1" x14ac:dyDescent="0.35">
      <c r="B13" s="8" t="s">
        <v>25</v>
      </c>
      <c r="C13" s="9">
        <f>SUM(C7,C7*C8,C9,C10,C11,C12)</f>
        <v>854000000</v>
      </c>
      <c r="D13" s="10" t="s">
        <v>26</v>
      </c>
      <c r="F13" s="81">
        <f>IFERROR((C30-C43-C22*12)/C21,0)</f>
        <v>2.585480093676815E-2</v>
      </c>
      <c r="G13" s="81"/>
      <c r="H13" s="82">
        <f>(C30-C43)/12-C22</f>
        <v>1840000</v>
      </c>
      <c r="I13" s="82"/>
    </row>
    <row r="14" spans="2:9" ht="6" customHeight="1" x14ac:dyDescent="0.35"/>
    <row r="15" spans="2:9" ht="19.5" customHeight="1" x14ac:dyDescent="0.35">
      <c r="B15" s="79" t="s">
        <v>27</v>
      </c>
      <c r="C15" s="79"/>
      <c r="D15" s="79"/>
      <c r="F15" s="83" t="s">
        <v>28</v>
      </c>
      <c r="G15" s="83"/>
      <c r="H15" s="83" t="s">
        <v>29</v>
      </c>
      <c r="I15" s="83"/>
    </row>
    <row r="16" spans="2:9" ht="36" customHeight="1" x14ac:dyDescent="0.35">
      <c r="B16" s="2" t="s">
        <v>4</v>
      </c>
      <c r="C16" s="2" t="s">
        <v>30</v>
      </c>
      <c r="D16" s="2" t="s">
        <v>6</v>
      </c>
      <c r="F16" s="77">
        <f>C13</f>
        <v>854000000</v>
      </c>
      <c r="G16" s="77"/>
      <c r="H16" s="77">
        <f>C21</f>
        <v>854000000</v>
      </c>
      <c r="I16" s="77"/>
    </row>
    <row r="17" spans="2:9" ht="21.75" customHeight="1" x14ac:dyDescent="0.35">
      <c r="B17" s="3" t="s">
        <v>31</v>
      </c>
      <c r="C17" s="4">
        <v>0</v>
      </c>
      <c r="D17" s="5" t="s">
        <v>32</v>
      </c>
    </row>
    <row r="18" spans="2:9" ht="21.75" customHeight="1" x14ac:dyDescent="0.35">
      <c r="B18" s="6" t="s">
        <v>33</v>
      </c>
      <c r="C18" s="7">
        <v>0.2</v>
      </c>
      <c r="D18" s="5" t="s">
        <v>34</v>
      </c>
      <c r="F18" s="73" t="s">
        <v>35</v>
      </c>
      <c r="G18" s="73"/>
      <c r="H18" s="73"/>
      <c r="I18" s="73"/>
    </row>
    <row r="19" spans="2:9" ht="35.5" customHeight="1" x14ac:dyDescent="0.35">
      <c r="B19" s="3" t="s">
        <v>36</v>
      </c>
      <c r="C19" s="4">
        <v>10</v>
      </c>
      <c r="D19" s="5" t="s">
        <v>37</v>
      </c>
      <c r="F19" s="78" t="str">
        <f>IF(IFERROR((C30-C43)/C7,0)&gt;=0.08,"✅ STRONG INVESTMENT — Net yield above 8%. This property performs well by Kampala standards.",IF(IFERROR((C30-C43)/C7,0)&gt;=0.05,"⚠️ ACCEPTABLE — Net yield 5-8%. Viable but review expenses or negotiate purchase price.","❌ WEAK RETURN — Net yield below 5%. Renegotiate price, reduce costs, or reconsider."))</f>
        <v>❌ WEAK RETURN — Net yield below 5%. Renegotiate price, reduce costs, or reconsider.</v>
      </c>
      <c r="G19" s="78"/>
      <c r="H19" s="78"/>
      <c r="I19" s="78"/>
    </row>
    <row r="20" spans="2:9" ht="26" customHeight="1" x14ac:dyDescent="0.35">
      <c r="B20" s="6" t="s">
        <v>38</v>
      </c>
      <c r="C20" s="4">
        <v>0</v>
      </c>
      <c r="D20" s="5" t="s">
        <v>39</v>
      </c>
    </row>
    <row r="21" spans="2:9" ht="31.5" customHeight="1" x14ac:dyDescent="0.35">
      <c r="B21" s="11" t="s">
        <v>40</v>
      </c>
      <c r="C21" s="12">
        <f>C13-C17+C20</f>
        <v>854000000</v>
      </c>
      <c r="D21" s="13" t="s">
        <v>41</v>
      </c>
      <c r="F21" s="79" t="s">
        <v>42</v>
      </c>
      <c r="G21" s="79"/>
      <c r="H21" s="79"/>
      <c r="I21" s="79"/>
    </row>
    <row r="22" spans="2:9" ht="21.75" customHeight="1" x14ac:dyDescent="0.35">
      <c r="B22" s="11" t="s">
        <v>43</v>
      </c>
      <c r="C22" s="12">
        <f>IFERROR(IF(C17=0,0,PMT(C18/12,C19*12,-C17)),0)</f>
        <v>0</v>
      </c>
      <c r="D22" s="13" t="s">
        <v>44</v>
      </c>
      <c r="F22" s="2" t="s">
        <v>45</v>
      </c>
      <c r="G22" s="2" t="s">
        <v>30</v>
      </c>
      <c r="H22" s="2" t="s">
        <v>46</v>
      </c>
      <c r="I22" s="2" t="s">
        <v>6</v>
      </c>
    </row>
    <row r="23" spans="2:9" ht="21.75" customHeight="1" x14ac:dyDescent="0.35">
      <c r="F23" s="6" t="s">
        <v>47</v>
      </c>
      <c r="G23" s="14">
        <f>IFERROR(C13/C30,0)</f>
        <v>38.677536231884055</v>
      </c>
      <c r="H23" s="15">
        <f>IFERROR(C13/C30,0)</f>
        <v>38.677536231884055</v>
      </c>
      <c r="I23" s="16" t="s">
        <v>48</v>
      </c>
    </row>
    <row r="24" spans="2:9" ht="21.75" customHeight="1" x14ac:dyDescent="0.35">
      <c r="B24" s="73" t="s">
        <v>49</v>
      </c>
      <c r="C24" s="73"/>
      <c r="D24" s="73"/>
      <c r="F24" s="17" t="s">
        <v>50</v>
      </c>
      <c r="G24" s="18">
        <f>IFERROR(C13/(C30-C43),0)</f>
        <v>38.677536231884055</v>
      </c>
      <c r="H24" s="19">
        <f>IFERROR(C13/(C30-C43),0)</f>
        <v>38.677536231884055</v>
      </c>
      <c r="I24" s="20" t="s">
        <v>51</v>
      </c>
    </row>
    <row r="25" spans="2:9" ht="21.75" customHeight="1" x14ac:dyDescent="0.35">
      <c r="B25" s="21" t="s">
        <v>4</v>
      </c>
      <c r="C25" s="21" t="s">
        <v>5</v>
      </c>
      <c r="D25" s="21" t="s">
        <v>6</v>
      </c>
      <c r="F25" s="6" t="s">
        <v>52</v>
      </c>
      <c r="G25" s="22">
        <f>IFERROR(C43+C22*12+C21*0.05,0)</f>
        <v>42700000</v>
      </c>
      <c r="H25" s="23">
        <f>IFERROR((C43+C22*12+C21*0.05)/C50,0)</f>
        <v>10948.717948717949</v>
      </c>
      <c r="I25" s="16" t="s">
        <v>53</v>
      </c>
    </row>
    <row r="26" spans="2:9" ht="21.75" customHeight="1" x14ac:dyDescent="0.35">
      <c r="B26" s="6" t="s">
        <v>54</v>
      </c>
      <c r="C26" s="4">
        <v>2000000</v>
      </c>
      <c r="D26" s="5" t="s">
        <v>55</v>
      </c>
      <c r="F26" s="17" t="s">
        <v>56</v>
      </c>
      <c r="G26" s="24">
        <f>IFERROR(C30-(C43+C22*12+C21*0.05),0)</f>
        <v>-20620000</v>
      </c>
      <c r="H26" s="25">
        <f>IFERROR((C30-(C43+C22*12+C21*0.05))/C50,0)</f>
        <v>-5287.1794871794873</v>
      </c>
      <c r="I26" s="20" t="s">
        <v>57</v>
      </c>
    </row>
    <row r="27" spans="2:9" ht="21" customHeight="1" x14ac:dyDescent="0.35">
      <c r="B27" s="3" t="s">
        <v>58</v>
      </c>
      <c r="C27" s="4">
        <v>1</v>
      </c>
      <c r="D27" s="5" t="s">
        <v>59</v>
      </c>
    </row>
    <row r="28" spans="2:9" ht="21.75" customHeight="1" x14ac:dyDescent="0.35">
      <c r="B28" s="6" t="s">
        <v>60</v>
      </c>
      <c r="C28" s="7">
        <v>0.08</v>
      </c>
      <c r="D28" s="5" t="s">
        <v>61</v>
      </c>
      <c r="F28" s="74" t="s">
        <v>62</v>
      </c>
      <c r="G28" s="74"/>
      <c r="H28" s="74"/>
      <c r="I28" s="74"/>
    </row>
    <row r="29" spans="2:9" ht="21.75" customHeight="1" x14ac:dyDescent="0.35">
      <c r="B29" s="3" t="s">
        <v>63</v>
      </c>
      <c r="C29" s="4">
        <v>0</v>
      </c>
      <c r="D29" s="5" t="s">
        <v>64</v>
      </c>
      <c r="F29" s="2" t="s">
        <v>65</v>
      </c>
      <c r="G29" s="2" t="s">
        <v>66</v>
      </c>
      <c r="H29" s="2" t="s">
        <v>67</v>
      </c>
      <c r="I29" s="2" t="s">
        <v>68</v>
      </c>
    </row>
    <row r="30" spans="2:9" ht="19.5" customHeight="1" x14ac:dyDescent="0.35">
      <c r="B30" s="26" t="s">
        <v>69</v>
      </c>
      <c r="C30" s="27">
        <f>C26*12*C27*(1-C28)+(C29*12*C27)</f>
        <v>22080000</v>
      </c>
      <c r="D30" s="20" t="s">
        <v>70</v>
      </c>
      <c r="F30" s="28" t="s">
        <v>71</v>
      </c>
      <c r="G30" s="29">
        <f>IFERROR(((C26)*12*C27*(1-C28))/(C7),0)</f>
        <v>2.76E-2</v>
      </c>
      <c r="H30" s="29">
        <f>IFERROR(((C26)*12*C27*(1-C28)-SUM(C34:C42))/(C7),0)</f>
        <v>2.76E-2</v>
      </c>
      <c r="I30" s="29">
        <f>IFERROR(((C26)*12*C27*(1-C28)-SUM(C34:C42)-C22*12)/(C7-C17+C20),0)</f>
        <v>2.76E-2</v>
      </c>
    </row>
    <row r="31" spans="2:9" ht="19.5" customHeight="1" x14ac:dyDescent="0.35">
      <c r="F31" s="3" t="s">
        <v>72</v>
      </c>
      <c r="G31" s="30">
        <f>IFERROR(((C26*1.1)*12*C27*(1-C28))/(C7),0)</f>
        <v>3.0360000000000002E-2</v>
      </c>
      <c r="H31" s="30">
        <f>IFERROR(((C26*1.1)*12*C27*(1-C28)-SUM(C34:C42))/(C7),0)</f>
        <v>3.0360000000000002E-2</v>
      </c>
      <c r="I31" s="30">
        <f>IFERROR(((C26*1.1)*12*C27*(1-C28)-SUM(C34:C42)-C22*12)/(C7-C17+C20),0)</f>
        <v>3.0360000000000002E-2</v>
      </c>
    </row>
    <row r="32" spans="2:9" ht="19.5" customHeight="1" x14ac:dyDescent="0.35">
      <c r="B32" s="75" t="s">
        <v>73</v>
      </c>
      <c r="C32" s="75"/>
      <c r="D32" s="75"/>
      <c r="F32" s="6" t="s">
        <v>74</v>
      </c>
      <c r="G32" s="31">
        <f>IFERROR(((C26*0.9)*12*C27*(1-C28))/(C7),0)</f>
        <v>2.4840000000000001E-2</v>
      </c>
      <c r="H32" s="31">
        <f>IFERROR(((C26*0.9)*12*C27*(1-C28)-SUM(C34:C42))/(C7),0)</f>
        <v>2.4840000000000001E-2</v>
      </c>
      <c r="I32" s="31">
        <f>IFERROR(((C26*0.9)*12*C27*(1-C28)-SUM(C34:C42)-C22*12)/(C7-C17+C20),0)</f>
        <v>2.4840000000000001E-2</v>
      </c>
    </row>
    <row r="33" spans="2:9" ht="19.5" customHeight="1" x14ac:dyDescent="0.35">
      <c r="B33" s="32" t="s">
        <v>75</v>
      </c>
      <c r="C33" s="32" t="s">
        <v>5</v>
      </c>
      <c r="D33" s="32" t="s">
        <v>6</v>
      </c>
      <c r="F33" s="3" t="s">
        <v>76</v>
      </c>
      <c r="G33" s="30">
        <f>IFERROR(((C26)*12*C27*(1-C28))/(C7*0.9),0)</f>
        <v>3.0666666666666665E-2</v>
      </c>
      <c r="H33" s="30">
        <f>IFERROR(((C26)*12*C27*(1-C28)-SUM(C34:C42))/(C7*0.9),0)</f>
        <v>3.0666666666666665E-2</v>
      </c>
      <c r="I33" s="30">
        <f>IFERROR(((C26)*12*C27*(1-C28)-SUM(C34:C42)-C22*12)/(C7*0.9-C17+C20),0)</f>
        <v>3.0666666666666665E-2</v>
      </c>
    </row>
    <row r="34" spans="2:9" ht="19.5" customHeight="1" x14ac:dyDescent="0.35">
      <c r="B34" s="6" t="s">
        <v>77</v>
      </c>
      <c r="C34" s="4">
        <v>0</v>
      </c>
      <c r="D34" s="5" t="s">
        <v>78</v>
      </c>
      <c r="F34" s="6" t="s">
        <v>79</v>
      </c>
      <c r="G34" s="31">
        <f>IFERROR(((C26)*12*C27*(1-C28))/(C7*1.1),0)</f>
        <v>2.5090909090909087E-2</v>
      </c>
      <c r="H34" s="31">
        <f>IFERROR(((C26)*12*C27*(1-C28)-SUM(C34:C42))/(C7*1.1),0)</f>
        <v>2.5090909090909087E-2</v>
      </c>
      <c r="I34" s="31">
        <f>IFERROR(((C26)*12*C27*(1-C28)-SUM(C34:C42)-C22*12)/(C7*1.1-C17+C20),0)</f>
        <v>2.5090909090909087E-2</v>
      </c>
    </row>
    <row r="35" spans="2:9" ht="19.5" customHeight="1" x14ac:dyDescent="0.35">
      <c r="B35" s="3" t="s">
        <v>80</v>
      </c>
      <c r="C35" s="4">
        <v>0</v>
      </c>
      <c r="D35" s="5" t="s">
        <v>81</v>
      </c>
      <c r="F35" s="3" t="s">
        <v>82</v>
      </c>
      <c r="G35" s="30">
        <f>IFERROR(((C26)*12*C27*(1-C28))/(C7),0)</f>
        <v>2.76E-2</v>
      </c>
      <c r="H35" s="30">
        <f>IFERROR(((C26)*12*C27*(1-C28)-SUM(C34:C42))/(C7),0)</f>
        <v>2.76E-2</v>
      </c>
      <c r="I35" s="30">
        <f>IFERROR(((C26)*12*C27*(1-C28)-SUM(C34:C42)-C22*12)/(C7-C17+C20),0)</f>
        <v>2.76E-2</v>
      </c>
    </row>
    <row r="36" spans="2:9" ht="9.75" customHeight="1" x14ac:dyDescent="0.35">
      <c r="B36" s="6" t="s">
        <v>83</v>
      </c>
      <c r="C36" s="4">
        <v>0</v>
      </c>
      <c r="D36" s="5" t="s">
        <v>84</v>
      </c>
    </row>
    <row r="37" spans="2:9" ht="21.75" customHeight="1" x14ac:dyDescent="0.35">
      <c r="B37" s="3" t="s">
        <v>85</v>
      </c>
      <c r="C37" s="4">
        <v>0</v>
      </c>
      <c r="D37" s="5" t="s">
        <v>86</v>
      </c>
    </row>
    <row r="38" spans="2:9" ht="21.75" customHeight="1" x14ac:dyDescent="0.35">
      <c r="B38" s="6" t="s">
        <v>87</v>
      </c>
      <c r="C38" s="4">
        <v>0</v>
      </c>
      <c r="D38" s="5" t="s">
        <v>88</v>
      </c>
    </row>
    <row r="39" spans="2:9" ht="21.75" customHeight="1" x14ac:dyDescent="0.35">
      <c r="B39" s="3" t="s">
        <v>89</v>
      </c>
      <c r="C39" s="4">
        <v>0</v>
      </c>
      <c r="D39" s="5" t="s">
        <v>90</v>
      </c>
    </row>
    <row r="40" spans="2:9" ht="21.75" customHeight="1" x14ac:dyDescent="0.35">
      <c r="B40" s="6" t="s">
        <v>91</v>
      </c>
      <c r="C40" s="4">
        <v>0</v>
      </c>
      <c r="D40" s="5" t="s">
        <v>92</v>
      </c>
    </row>
    <row r="41" spans="2:9" ht="21.75" customHeight="1" x14ac:dyDescent="0.35">
      <c r="B41" s="3" t="s">
        <v>93</v>
      </c>
      <c r="C41" s="4">
        <v>0</v>
      </c>
      <c r="D41" s="5" t="s">
        <v>94</v>
      </c>
    </row>
    <row r="42" spans="2:9" ht="21.75" customHeight="1" x14ac:dyDescent="0.35">
      <c r="B42" s="6" t="s">
        <v>95</v>
      </c>
      <c r="C42" s="4">
        <v>0</v>
      </c>
      <c r="D42" s="5" t="s">
        <v>96</v>
      </c>
    </row>
    <row r="43" spans="2:9" ht="21.75" customHeight="1" x14ac:dyDescent="0.35">
      <c r="B43" s="33" t="s">
        <v>97</v>
      </c>
      <c r="C43" s="34">
        <f>SUM(C34:C42)</f>
        <v>0</v>
      </c>
      <c r="D43" s="35" t="s">
        <v>98</v>
      </c>
    </row>
    <row r="44" spans="2:9" ht="7.5" customHeight="1" x14ac:dyDescent="0.35"/>
    <row r="45" spans="2:9" ht="21.75" customHeight="1" x14ac:dyDescent="0.35">
      <c r="B45" s="74" t="s">
        <v>99</v>
      </c>
      <c r="C45" s="74"/>
      <c r="D45" s="74"/>
    </row>
    <row r="46" spans="2:9" ht="21.75" customHeight="1" x14ac:dyDescent="0.35">
      <c r="B46" s="2" t="s">
        <v>100</v>
      </c>
      <c r="C46" s="2" t="s">
        <v>101</v>
      </c>
      <c r="D46" s="2" t="s">
        <v>6</v>
      </c>
    </row>
    <row r="47" spans="2:9" ht="21.75" customHeight="1" x14ac:dyDescent="0.35">
      <c r="B47" s="3" t="s">
        <v>102</v>
      </c>
      <c r="C47" s="7">
        <v>0.05</v>
      </c>
      <c r="D47" s="5" t="s">
        <v>103</v>
      </c>
    </row>
    <row r="48" spans="2:9" ht="21.75" customHeight="1" x14ac:dyDescent="0.35">
      <c r="B48" s="6" t="s">
        <v>104</v>
      </c>
      <c r="C48" s="7">
        <v>0.06</v>
      </c>
      <c r="D48" s="5" t="s">
        <v>105</v>
      </c>
    </row>
    <row r="49" spans="2:9" ht="21.75" customHeight="1" x14ac:dyDescent="0.35">
      <c r="B49" s="3" t="s">
        <v>106</v>
      </c>
      <c r="C49" s="7">
        <v>0.04</v>
      </c>
      <c r="D49" s="5" t="s">
        <v>107</v>
      </c>
    </row>
    <row r="50" spans="2:9" ht="21.75" customHeight="1" x14ac:dyDescent="0.35">
      <c r="B50" s="6" t="s">
        <v>108</v>
      </c>
      <c r="C50" s="4">
        <v>3900</v>
      </c>
      <c r="D50" s="5" t="s">
        <v>109</v>
      </c>
    </row>
    <row r="51" spans="2:9" ht="7.5" customHeight="1" x14ac:dyDescent="0.35"/>
    <row r="52" spans="2:9" ht="13.5" customHeight="1" x14ac:dyDescent="0.35">
      <c r="B52" s="76" t="s">
        <v>285</v>
      </c>
      <c r="C52" s="76"/>
      <c r="D52" s="76"/>
      <c r="E52" s="76"/>
      <c r="F52" s="76"/>
      <c r="G52" s="76"/>
      <c r="H52" s="76"/>
      <c r="I52" s="76"/>
    </row>
    <row r="53" spans="2:9" ht="13.5" customHeight="1" x14ac:dyDescent="0.35">
      <c r="B53" s="76"/>
      <c r="C53" s="76"/>
      <c r="D53" s="76"/>
      <c r="E53" s="76"/>
      <c r="F53" s="76"/>
      <c r="G53" s="76"/>
      <c r="H53" s="76"/>
      <c r="I53" s="76"/>
    </row>
    <row r="54" spans="2:9" ht="13.5" customHeight="1" x14ac:dyDescent="0.35">
      <c r="B54" s="76"/>
      <c r="C54" s="76"/>
      <c r="D54" s="76"/>
      <c r="E54" s="76"/>
      <c r="F54" s="76"/>
      <c r="G54" s="76"/>
      <c r="H54" s="76"/>
      <c r="I54" s="76"/>
    </row>
    <row r="55" spans="2:9" ht="13.5" customHeight="1" x14ac:dyDescent="0.35">
      <c r="B55" s="76"/>
      <c r="C55" s="76"/>
      <c r="D55" s="76"/>
      <c r="E55" s="76"/>
      <c r="F55" s="76"/>
      <c r="G55" s="76"/>
      <c r="H55" s="76"/>
      <c r="I55" s="76"/>
    </row>
  </sheetData>
  <mergeCells count="29">
    <mergeCell ref="B2:I2"/>
    <mergeCell ref="B3:I3"/>
    <mergeCell ref="B5:D5"/>
    <mergeCell ref="F5:I5"/>
    <mergeCell ref="F6:G6"/>
    <mergeCell ref="H6:I6"/>
    <mergeCell ref="F7:G7"/>
    <mergeCell ref="H7:I7"/>
    <mergeCell ref="F9:G9"/>
    <mergeCell ref="H9:I9"/>
    <mergeCell ref="F10:G10"/>
    <mergeCell ref="H10:I10"/>
    <mergeCell ref="F12:G12"/>
    <mergeCell ref="H12:I12"/>
    <mergeCell ref="F13:G13"/>
    <mergeCell ref="H13:I13"/>
    <mergeCell ref="B15:D15"/>
    <mergeCell ref="F15:G15"/>
    <mergeCell ref="H15:I15"/>
    <mergeCell ref="F16:G16"/>
    <mergeCell ref="H16:I16"/>
    <mergeCell ref="F18:I18"/>
    <mergeCell ref="F19:I19"/>
    <mergeCell ref="F21:I21"/>
    <mergeCell ref="B24:D24"/>
    <mergeCell ref="F28:I28"/>
    <mergeCell ref="B32:D32"/>
    <mergeCell ref="B45:D45"/>
    <mergeCell ref="B52:I55"/>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A7C6E"/>
  </sheetPr>
  <dimension ref="A2:M28"/>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8.6328125" defaultRowHeight="14.5" x14ac:dyDescent="0.35"/>
  <cols>
    <col min="1" max="1" width="2" style="1" customWidth="1"/>
    <col min="2" max="2" width="28" style="1" customWidth="1"/>
    <col min="3" max="13" width="16" style="1" customWidth="1"/>
  </cols>
  <sheetData>
    <row r="2" spans="2:13" ht="45.75" customHeight="1" x14ac:dyDescent="0.35">
      <c r="B2" s="87" t="s">
        <v>110</v>
      </c>
      <c r="C2" s="87"/>
      <c r="D2" s="87"/>
      <c r="E2" s="87"/>
      <c r="F2" s="87"/>
      <c r="G2" s="87"/>
      <c r="H2" s="87"/>
      <c r="I2" s="87"/>
      <c r="J2" s="87"/>
      <c r="K2" s="87"/>
      <c r="L2" s="87"/>
      <c r="M2" s="87"/>
    </row>
    <row r="3" spans="2:13" ht="19.5" customHeight="1" x14ac:dyDescent="0.35">
      <c r="B3" s="88" t="s">
        <v>111</v>
      </c>
      <c r="C3" s="88"/>
      <c r="D3" s="88"/>
      <c r="E3" s="88"/>
      <c r="F3" s="88"/>
      <c r="G3" s="88"/>
      <c r="H3" s="88"/>
      <c r="I3" s="88"/>
      <c r="J3" s="88"/>
      <c r="K3" s="88"/>
      <c r="L3" s="88"/>
      <c r="M3" s="88"/>
    </row>
    <row r="4" spans="2:13" ht="9.75" customHeight="1" x14ac:dyDescent="0.35"/>
    <row r="5" spans="2:13" ht="21.75" customHeight="1" x14ac:dyDescent="0.35">
      <c r="B5" s="36" t="s">
        <v>45</v>
      </c>
      <c r="C5" s="37" t="s">
        <v>112</v>
      </c>
      <c r="D5" s="37" t="s">
        <v>113</v>
      </c>
      <c r="E5" s="37" t="s">
        <v>114</v>
      </c>
      <c r="F5" s="37" t="s">
        <v>115</v>
      </c>
      <c r="G5" s="37" t="s">
        <v>116</v>
      </c>
      <c r="H5" s="37" t="s">
        <v>117</v>
      </c>
      <c r="I5" s="37" t="s">
        <v>118</v>
      </c>
      <c r="J5" s="37" t="s">
        <v>119</v>
      </c>
      <c r="K5" s="37" t="s">
        <v>120</v>
      </c>
      <c r="L5" s="37" t="s">
        <v>121</v>
      </c>
      <c r="M5" s="21" t="s">
        <v>122</v>
      </c>
    </row>
    <row r="6" spans="2:13" ht="21.75" customHeight="1" x14ac:dyDescent="0.35">
      <c r="B6" s="38" t="s">
        <v>123</v>
      </c>
      <c r="C6" s="39"/>
      <c r="D6" s="39"/>
      <c r="E6" s="39"/>
      <c r="F6" s="39"/>
      <c r="G6" s="39"/>
      <c r="H6" s="39"/>
      <c r="I6" s="39"/>
      <c r="J6" s="39"/>
      <c r="K6" s="39"/>
      <c r="L6" s="39"/>
      <c r="M6" s="39"/>
    </row>
    <row r="7" spans="2:13" ht="21.75" customHeight="1" x14ac:dyDescent="0.35">
      <c r="B7" s="3" t="s">
        <v>124</v>
      </c>
      <c r="C7" s="23">
        <f>'📈 Yield &amp; ROI Calculator'!C26*((1+'📈 Yield &amp; ROI Calculator'!C47)^(1-1))</f>
        <v>2000000</v>
      </c>
      <c r="D7" s="23">
        <f>'📈 Yield &amp; ROI Calculator'!C26*((1+'📈 Yield &amp; ROI Calculator'!C47)^(2-1))</f>
        <v>2100000</v>
      </c>
      <c r="E7" s="23">
        <f>'📈 Yield &amp; ROI Calculator'!C26*((1+'📈 Yield &amp; ROI Calculator'!C47)^(3-1))</f>
        <v>2205000</v>
      </c>
      <c r="F7" s="23">
        <f>'📈 Yield &amp; ROI Calculator'!C26*((1+'📈 Yield &amp; ROI Calculator'!C47)^(4-1))</f>
        <v>2315250.0000000005</v>
      </c>
      <c r="G7" s="23">
        <f>'📈 Yield &amp; ROI Calculator'!C26*((1+'📈 Yield &amp; ROI Calculator'!C47)^(5-1))</f>
        <v>2431012.5</v>
      </c>
      <c r="H7" s="23">
        <f>'📈 Yield &amp; ROI Calculator'!C26*((1+'📈 Yield &amp; ROI Calculator'!C47)^(6-1))</f>
        <v>2552563.1250000005</v>
      </c>
      <c r="I7" s="23">
        <f>'📈 Yield &amp; ROI Calculator'!C26*((1+'📈 Yield &amp; ROI Calculator'!C47)^(7-1))</f>
        <v>2680191.28125</v>
      </c>
      <c r="J7" s="23">
        <f>'📈 Yield &amp; ROI Calculator'!C26*((1+'📈 Yield &amp; ROI Calculator'!C47)^(8-1))</f>
        <v>2814200.8453125004</v>
      </c>
      <c r="K7" s="23">
        <f>'📈 Yield &amp; ROI Calculator'!C26*((1+'📈 Yield &amp; ROI Calculator'!C47)^(9-1))</f>
        <v>2954910.8875781251</v>
      </c>
      <c r="L7" s="23">
        <f>'📈 Yield &amp; ROI Calculator'!C26*((1+'📈 Yield &amp; ROI Calculator'!C47)^(10-1))</f>
        <v>3102656.4319570316</v>
      </c>
      <c r="M7" s="40">
        <f>L7</f>
        <v>3102656.4319570316</v>
      </c>
    </row>
    <row r="8" spans="2:13" ht="21.75" customHeight="1" x14ac:dyDescent="0.35">
      <c r="B8" s="6" t="s">
        <v>125</v>
      </c>
      <c r="C8" s="41">
        <f>'📈 Yield &amp; ROI Calculator'!C26*12*'📈 Yield &amp; ROI Calculator'!C27*(1-'📈 Yield &amp; ROI Calculator'!C28)*((1+'📈 Yield &amp; ROI Calculator'!C47)^(1-1))</f>
        <v>22080000</v>
      </c>
      <c r="D8" s="41">
        <f>'📈 Yield &amp; ROI Calculator'!C26*12*'📈 Yield &amp; ROI Calculator'!C27*(1-'📈 Yield &amp; ROI Calculator'!C28)*((1+'📈 Yield &amp; ROI Calculator'!C47)^(2-1))</f>
        <v>23184000</v>
      </c>
      <c r="E8" s="41">
        <f>'📈 Yield &amp; ROI Calculator'!C26*12*'📈 Yield &amp; ROI Calculator'!C27*(1-'📈 Yield &amp; ROI Calculator'!C28)*((1+'📈 Yield &amp; ROI Calculator'!C47)^(3-1))</f>
        <v>24343200</v>
      </c>
      <c r="F8" s="41">
        <f>'📈 Yield &amp; ROI Calculator'!C26*12*'📈 Yield &amp; ROI Calculator'!C27*(1-'📈 Yield &amp; ROI Calculator'!C28)*((1+'📈 Yield &amp; ROI Calculator'!C47)^(4-1))</f>
        <v>25560360.000000004</v>
      </c>
      <c r="G8" s="41">
        <f>'📈 Yield &amp; ROI Calculator'!C26*12*'📈 Yield &amp; ROI Calculator'!C27*(1-'📈 Yield &amp; ROI Calculator'!C28)*((1+'📈 Yield &amp; ROI Calculator'!C47)^(5-1))</f>
        <v>26838378</v>
      </c>
      <c r="H8" s="41">
        <f>'📈 Yield &amp; ROI Calculator'!C26*12*'📈 Yield &amp; ROI Calculator'!C27*(1-'📈 Yield &amp; ROI Calculator'!C28)*((1+'📈 Yield &amp; ROI Calculator'!C47)^(6-1))</f>
        <v>28180296.900000002</v>
      </c>
      <c r="I8" s="41">
        <f>'📈 Yield &amp; ROI Calculator'!C26*12*'📈 Yield &amp; ROI Calculator'!C27*(1-'📈 Yield &amp; ROI Calculator'!C28)*((1+'📈 Yield &amp; ROI Calculator'!C47)^(7-1))</f>
        <v>29589311.745000001</v>
      </c>
      <c r="J8" s="41">
        <f>'📈 Yield &amp; ROI Calculator'!C26*12*'📈 Yield &amp; ROI Calculator'!C27*(1-'📈 Yield &amp; ROI Calculator'!C28)*((1+'📈 Yield &amp; ROI Calculator'!C47)^(8-1))</f>
        <v>31068777.332250006</v>
      </c>
      <c r="K8" s="41">
        <f>'📈 Yield &amp; ROI Calculator'!C26*12*'📈 Yield &amp; ROI Calculator'!C27*(1-'📈 Yield &amp; ROI Calculator'!C28)*((1+'📈 Yield &amp; ROI Calculator'!C47)^(9-1))</f>
        <v>32622216.1988625</v>
      </c>
      <c r="L8" s="41">
        <f>'📈 Yield &amp; ROI Calculator'!C26*12*'📈 Yield &amp; ROI Calculator'!C27*(1-'📈 Yield &amp; ROI Calculator'!C28)*((1+'📈 Yield &amp; ROI Calculator'!C47)^(10-1))</f>
        <v>34253327.008805625</v>
      </c>
      <c r="M8" s="40">
        <f>SUM(C8:L8)</f>
        <v>277719867.18491811</v>
      </c>
    </row>
    <row r="9" spans="2:13" ht="21.75" customHeight="1" x14ac:dyDescent="0.35">
      <c r="B9" s="42" t="s">
        <v>126</v>
      </c>
      <c r="C9" s="43"/>
      <c r="D9" s="43"/>
      <c r="E9" s="43"/>
      <c r="F9" s="43"/>
      <c r="G9" s="43"/>
      <c r="H9" s="43"/>
      <c r="I9" s="43"/>
      <c r="J9" s="43"/>
      <c r="K9" s="43"/>
      <c r="L9" s="43"/>
      <c r="M9" s="43"/>
    </row>
    <row r="10" spans="2:13" ht="21.75" customHeight="1" x14ac:dyDescent="0.35">
      <c r="B10" s="6" t="s">
        <v>127</v>
      </c>
      <c r="C10" s="23">
        <f>'📈 Yield &amp; ROI Calculator'!C43*((1+'📈 Yield &amp; ROI Calculator'!C49)^(1-1))</f>
        <v>0</v>
      </c>
      <c r="D10" s="23">
        <f>'📈 Yield &amp; ROI Calculator'!C43*((1+'📈 Yield &amp; ROI Calculator'!C49)^(2-1))</f>
        <v>0</v>
      </c>
      <c r="E10" s="23">
        <f>'📈 Yield &amp; ROI Calculator'!C43*((1+'📈 Yield &amp; ROI Calculator'!C49)^(3-1))</f>
        <v>0</v>
      </c>
      <c r="F10" s="23">
        <f>'📈 Yield &amp; ROI Calculator'!C43*((1+'📈 Yield &amp; ROI Calculator'!C49)^(4-1))</f>
        <v>0</v>
      </c>
      <c r="G10" s="23">
        <f>'📈 Yield &amp; ROI Calculator'!C43*((1+'📈 Yield &amp; ROI Calculator'!C49)^(5-1))</f>
        <v>0</v>
      </c>
      <c r="H10" s="23">
        <f>'📈 Yield &amp; ROI Calculator'!C43*((1+'📈 Yield &amp; ROI Calculator'!C49)^(6-1))</f>
        <v>0</v>
      </c>
      <c r="I10" s="23">
        <f>'📈 Yield &amp; ROI Calculator'!C43*((1+'📈 Yield &amp; ROI Calculator'!C49)^(7-1))</f>
        <v>0</v>
      </c>
      <c r="J10" s="23">
        <f>'📈 Yield &amp; ROI Calculator'!C43*((1+'📈 Yield &amp; ROI Calculator'!C49)^(8-1))</f>
        <v>0</v>
      </c>
      <c r="K10" s="23">
        <f>'📈 Yield &amp; ROI Calculator'!C43*((1+'📈 Yield &amp; ROI Calculator'!C49)^(9-1))</f>
        <v>0</v>
      </c>
      <c r="L10" s="23">
        <f>'📈 Yield &amp; ROI Calculator'!C43*((1+'📈 Yield &amp; ROI Calculator'!C49)^(10-1))</f>
        <v>0</v>
      </c>
      <c r="M10" s="40">
        <f>SUM(C10:L10)</f>
        <v>0</v>
      </c>
    </row>
    <row r="11" spans="2:13" ht="21.75" customHeight="1" x14ac:dyDescent="0.35">
      <c r="B11" s="3" t="s">
        <v>128</v>
      </c>
      <c r="C11" s="41">
        <f>'📈 Yield &amp; ROI Calculator'!C22*12</f>
        <v>0</v>
      </c>
      <c r="D11" s="41">
        <f>'📈 Yield &amp; ROI Calculator'!C22*12</f>
        <v>0</v>
      </c>
      <c r="E11" s="41">
        <f>'📈 Yield &amp; ROI Calculator'!C22*12</f>
        <v>0</v>
      </c>
      <c r="F11" s="41">
        <f>'📈 Yield &amp; ROI Calculator'!C22*12</f>
        <v>0</v>
      </c>
      <c r="G11" s="41">
        <f>'📈 Yield &amp; ROI Calculator'!C22*12</f>
        <v>0</v>
      </c>
      <c r="H11" s="41">
        <f>'📈 Yield &amp; ROI Calculator'!C22*12</f>
        <v>0</v>
      </c>
      <c r="I11" s="41">
        <f>'📈 Yield &amp; ROI Calculator'!C22*12</f>
        <v>0</v>
      </c>
      <c r="J11" s="41">
        <f>'📈 Yield &amp; ROI Calculator'!C22*12</f>
        <v>0</v>
      </c>
      <c r="K11" s="41">
        <f>'📈 Yield &amp; ROI Calculator'!C22*12</f>
        <v>0</v>
      </c>
      <c r="L11" s="41">
        <f>'📈 Yield &amp; ROI Calculator'!C22*12</f>
        <v>0</v>
      </c>
      <c r="M11" s="40">
        <f>SUM(C11:L11)</f>
        <v>0</v>
      </c>
    </row>
    <row r="12" spans="2:13" ht="21.75" customHeight="1" x14ac:dyDescent="0.35">
      <c r="B12" s="44" t="s">
        <v>129</v>
      </c>
      <c r="C12" s="45"/>
      <c r="D12" s="45"/>
      <c r="E12" s="45"/>
      <c r="F12" s="45"/>
      <c r="G12" s="45"/>
      <c r="H12" s="45"/>
      <c r="I12" s="45"/>
      <c r="J12" s="45"/>
      <c r="K12" s="45"/>
      <c r="L12" s="45"/>
      <c r="M12" s="45"/>
    </row>
    <row r="13" spans="2:13" ht="21.75" customHeight="1" x14ac:dyDescent="0.35">
      <c r="B13" s="46" t="s">
        <v>130</v>
      </c>
      <c r="C13" s="9">
        <f>'📈 Yield &amp; ROI Calculator'!C26*12*'📈 Yield &amp; ROI Calculator'!C27*(1-'📈 Yield &amp; ROI Calculator'!C28)*((1+'📈 Yield &amp; ROI Calculator'!C47)^(1-1))-'📈 Yield &amp; ROI Calculator'!C43*((1+'📈 Yield &amp; ROI Calculator'!C49)^(1-1))</f>
        <v>22080000</v>
      </c>
      <c r="D13" s="9">
        <f>'📈 Yield &amp; ROI Calculator'!C26*12*'📈 Yield &amp; ROI Calculator'!C27*(1-'📈 Yield &amp; ROI Calculator'!C28)*((1+'📈 Yield &amp; ROI Calculator'!C47)^(2-1))-'📈 Yield &amp; ROI Calculator'!C43*((1+'📈 Yield &amp; ROI Calculator'!C49)^(2-1))</f>
        <v>23184000</v>
      </c>
      <c r="E13" s="9">
        <f>'📈 Yield &amp; ROI Calculator'!C26*12*'📈 Yield &amp; ROI Calculator'!C27*(1-'📈 Yield &amp; ROI Calculator'!C28)*((1+'📈 Yield &amp; ROI Calculator'!C47)^(3-1))-'📈 Yield &amp; ROI Calculator'!C43*((1+'📈 Yield &amp; ROI Calculator'!C49)^(3-1))</f>
        <v>24343200</v>
      </c>
      <c r="F13" s="9">
        <f>'📈 Yield &amp; ROI Calculator'!C26*12*'📈 Yield &amp; ROI Calculator'!C27*(1-'📈 Yield &amp; ROI Calculator'!C28)*((1+'📈 Yield &amp; ROI Calculator'!C47)^(4-1))-'📈 Yield &amp; ROI Calculator'!C43*((1+'📈 Yield &amp; ROI Calculator'!C49)^(4-1))</f>
        <v>25560360.000000004</v>
      </c>
      <c r="G13" s="9">
        <f>'📈 Yield &amp; ROI Calculator'!C26*12*'📈 Yield &amp; ROI Calculator'!C27*(1-'📈 Yield &amp; ROI Calculator'!C28)*((1+'📈 Yield &amp; ROI Calculator'!C47)^(5-1))-'📈 Yield &amp; ROI Calculator'!C43*((1+'📈 Yield &amp; ROI Calculator'!C49)^(5-1))</f>
        <v>26838378</v>
      </c>
      <c r="H13" s="9">
        <f>'📈 Yield &amp; ROI Calculator'!C26*12*'📈 Yield &amp; ROI Calculator'!C27*(1-'📈 Yield &amp; ROI Calculator'!C28)*((1+'📈 Yield &amp; ROI Calculator'!C47)^(6-1))-'📈 Yield &amp; ROI Calculator'!C43*((1+'📈 Yield &amp; ROI Calculator'!C49)^(6-1))</f>
        <v>28180296.900000002</v>
      </c>
      <c r="I13" s="9">
        <f>'📈 Yield &amp; ROI Calculator'!C26*12*'📈 Yield &amp; ROI Calculator'!C27*(1-'📈 Yield &amp; ROI Calculator'!C28)*((1+'📈 Yield &amp; ROI Calculator'!C47)^(7-1))-'📈 Yield &amp; ROI Calculator'!C43*((1+'📈 Yield &amp; ROI Calculator'!C49)^(7-1))</f>
        <v>29589311.745000001</v>
      </c>
      <c r="J13" s="9">
        <f>'📈 Yield &amp; ROI Calculator'!C26*12*'📈 Yield &amp; ROI Calculator'!C27*(1-'📈 Yield &amp; ROI Calculator'!C28)*((1+'📈 Yield &amp; ROI Calculator'!C47)^(8-1))-'📈 Yield &amp; ROI Calculator'!C43*((1+'📈 Yield &amp; ROI Calculator'!C49)^(8-1))</f>
        <v>31068777.332250006</v>
      </c>
      <c r="K13" s="9">
        <f>'📈 Yield &amp; ROI Calculator'!C26*12*'📈 Yield &amp; ROI Calculator'!C27*(1-'📈 Yield &amp; ROI Calculator'!C28)*((1+'📈 Yield &amp; ROI Calculator'!C47)^(9-1))-'📈 Yield &amp; ROI Calculator'!C43*((1+'📈 Yield &amp; ROI Calculator'!C49)^(9-1))</f>
        <v>32622216.1988625</v>
      </c>
      <c r="L13" s="9">
        <f>'📈 Yield &amp; ROI Calculator'!C26*12*'📈 Yield &amp; ROI Calculator'!C27*(1-'📈 Yield &amp; ROI Calculator'!C28)*((1+'📈 Yield &amp; ROI Calculator'!C47)^(10-1))-'📈 Yield &amp; ROI Calculator'!C43*((1+'📈 Yield &amp; ROI Calculator'!C49)^(10-1))</f>
        <v>34253327.008805625</v>
      </c>
      <c r="M13" s="40">
        <f>SUM(C13:L13)</f>
        <v>277719867.18491811</v>
      </c>
    </row>
    <row r="14" spans="2:13" ht="21.75" customHeight="1" x14ac:dyDescent="0.35">
      <c r="B14" s="47" t="s">
        <v>131</v>
      </c>
      <c r="C14" s="27">
        <f>'📈 Yield &amp; ROI Calculator'!C26*12*'📈 Yield &amp; ROI Calculator'!C27*(1-'📈 Yield &amp; ROI Calculator'!C28)*((1+'📈 Yield &amp; ROI Calculator'!C47)^(1-1))-'📈 Yield &amp; ROI Calculator'!C43*((1+'📈 Yield &amp; ROI Calculator'!C49)^(1-1))-'📈 Yield &amp; ROI Calculator'!C22*12</f>
        <v>22080000</v>
      </c>
      <c r="D14" s="27">
        <f>'📈 Yield &amp; ROI Calculator'!C26*12*'📈 Yield &amp; ROI Calculator'!C27*(1-'📈 Yield &amp; ROI Calculator'!C28)*((1+'📈 Yield &amp; ROI Calculator'!C47)^(2-1))-'📈 Yield &amp; ROI Calculator'!C43*((1+'📈 Yield &amp; ROI Calculator'!C49)^(2-1))-'📈 Yield &amp; ROI Calculator'!C22*12</f>
        <v>23184000</v>
      </c>
      <c r="E14" s="27">
        <f>'📈 Yield &amp; ROI Calculator'!C26*12*'📈 Yield &amp; ROI Calculator'!C27*(1-'📈 Yield &amp; ROI Calculator'!C28)*((1+'📈 Yield &amp; ROI Calculator'!C47)^(3-1))-'📈 Yield &amp; ROI Calculator'!C43*((1+'📈 Yield &amp; ROI Calculator'!C49)^(3-1))-'📈 Yield &amp; ROI Calculator'!C22*12</f>
        <v>24343200</v>
      </c>
      <c r="F14" s="27">
        <f>'📈 Yield &amp; ROI Calculator'!C26*12*'📈 Yield &amp; ROI Calculator'!C27*(1-'📈 Yield &amp; ROI Calculator'!C28)*((1+'📈 Yield &amp; ROI Calculator'!C47)^(4-1))-'📈 Yield &amp; ROI Calculator'!C43*((1+'📈 Yield &amp; ROI Calculator'!C49)^(4-1))-'📈 Yield &amp; ROI Calculator'!C22*12</f>
        <v>25560360.000000004</v>
      </c>
      <c r="G14" s="27">
        <f>'📈 Yield &amp; ROI Calculator'!C26*12*'📈 Yield &amp; ROI Calculator'!C27*(1-'📈 Yield &amp; ROI Calculator'!C28)*((1+'📈 Yield &amp; ROI Calculator'!C47)^(5-1))-'📈 Yield &amp; ROI Calculator'!C43*((1+'📈 Yield &amp; ROI Calculator'!C49)^(5-1))-'📈 Yield &amp; ROI Calculator'!C22*12</f>
        <v>26838378</v>
      </c>
      <c r="H14" s="27">
        <f>'📈 Yield &amp; ROI Calculator'!C26*12*'📈 Yield &amp; ROI Calculator'!C27*(1-'📈 Yield &amp; ROI Calculator'!C28)*((1+'📈 Yield &amp; ROI Calculator'!C47)^(6-1))-'📈 Yield &amp; ROI Calculator'!C43*((1+'📈 Yield &amp; ROI Calculator'!C49)^(6-1))-'📈 Yield &amp; ROI Calculator'!C22*12</f>
        <v>28180296.900000002</v>
      </c>
      <c r="I14" s="27">
        <f>'📈 Yield &amp; ROI Calculator'!C26*12*'📈 Yield &amp; ROI Calculator'!C27*(1-'📈 Yield &amp; ROI Calculator'!C28)*((1+'📈 Yield &amp; ROI Calculator'!C47)^(7-1))-'📈 Yield &amp; ROI Calculator'!C43*((1+'📈 Yield &amp; ROI Calculator'!C49)^(7-1))-'📈 Yield &amp; ROI Calculator'!C22*12</f>
        <v>29589311.745000001</v>
      </c>
      <c r="J14" s="27">
        <f>'📈 Yield &amp; ROI Calculator'!C26*12*'📈 Yield &amp; ROI Calculator'!C27*(1-'📈 Yield &amp; ROI Calculator'!C28)*((1+'📈 Yield &amp; ROI Calculator'!C47)^(8-1))-'📈 Yield &amp; ROI Calculator'!C43*((1+'📈 Yield &amp; ROI Calculator'!C49)^(8-1))-'📈 Yield &amp; ROI Calculator'!C22*12</f>
        <v>31068777.332250006</v>
      </c>
      <c r="K14" s="27">
        <f>'📈 Yield &amp; ROI Calculator'!C26*12*'📈 Yield &amp; ROI Calculator'!C27*(1-'📈 Yield &amp; ROI Calculator'!C28)*((1+'📈 Yield &amp; ROI Calculator'!C47)^(9-1))-'📈 Yield &amp; ROI Calculator'!C43*((1+'📈 Yield &amp; ROI Calculator'!C49)^(9-1))-'📈 Yield &amp; ROI Calculator'!C22*12</f>
        <v>32622216.1988625</v>
      </c>
      <c r="L14" s="27">
        <f>'📈 Yield &amp; ROI Calculator'!C26*12*'📈 Yield &amp; ROI Calculator'!C27*(1-'📈 Yield &amp; ROI Calculator'!C28)*((1+'📈 Yield &amp; ROI Calculator'!C47)^(10-1))-'📈 Yield &amp; ROI Calculator'!C43*((1+'📈 Yield &amp; ROI Calculator'!C49)^(10-1))-'📈 Yield &amp; ROI Calculator'!C22*12</f>
        <v>34253327.008805625</v>
      </c>
      <c r="M14" s="40">
        <f>SUM(C14:L14)</f>
        <v>277719867.18491811</v>
      </c>
    </row>
    <row r="15" spans="2:13" ht="21.75" customHeight="1" x14ac:dyDescent="0.35">
      <c r="B15" s="3" t="s">
        <v>132</v>
      </c>
      <c r="C15" s="23">
        <f>SUM(C14:C14)</f>
        <v>22080000</v>
      </c>
      <c r="D15" s="23">
        <f t="shared" ref="D15:L15" si="0">C15+D14</f>
        <v>45264000</v>
      </c>
      <c r="E15" s="23">
        <f t="shared" si="0"/>
        <v>69607200</v>
      </c>
      <c r="F15" s="23">
        <f t="shared" si="0"/>
        <v>95167560</v>
      </c>
      <c r="G15" s="23">
        <f t="shared" si="0"/>
        <v>122005938</v>
      </c>
      <c r="H15" s="23">
        <f t="shared" si="0"/>
        <v>150186234.90000001</v>
      </c>
      <c r="I15" s="23">
        <f t="shared" si="0"/>
        <v>179775546.64500001</v>
      </c>
      <c r="J15" s="23">
        <f t="shared" si="0"/>
        <v>210844323.97725001</v>
      </c>
      <c r="K15" s="23">
        <f t="shared" si="0"/>
        <v>243466540.1761125</v>
      </c>
      <c r="L15" s="23">
        <f t="shared" si="0"/>
        <v>277719867.18491811</v>
      </c>
      <c r="M15" s="40">
        <f>L15</f>
        <v>277719867.18491811</v>
      </c>
    </row>
    <row r="16" spans="2:13" ht="21.75" customHeight="1" x14ac:dyDescent="0.35">
      <c r="B16" s="48" t="s">
        <v>133</v>
      </c>
      <c r="C16" s="49"/>
      <c r="D16" s="49"/>
      <c r="E16" s="49"/>
      <c r="F16" s="49"/>
      <c r="G16" s="49"/>
      <c r="H16" s="49"/>
      <c r="I16" s="49"/>
      <c r="J16" s="49"/>
      <c r="K16" s="49"/>
      <c r="L16" s="49"/>
      <c r="M16" s="49"/>
    </row>
    <row r="17" spans="2:13" ht="21.75" customHeight="1" x14ac:dyDescent="0.35">
      <c r="B17" s="3" t="s">
        <v>134</v>
      </c>
      <c r="C17" s="50">
        <f>'📈 Yield &amp; ROI Calculator'!C7*((1+'📈 Yield &amp; ROI Calculator'!C48)^1)</f>
        <v>848000000</v>
      </c>
      <c r="D17" s="50">
        <f>'📈 Yield &amp; ROI Calculator'!C7*((1+'📈 Yield &amp; ROI Calculator'!C48)^2)</f>
        <v>898880000.00000012</v>
      </c>
      <c r="E17" s="50">
        <f>'📈 Yield &amp; ROI Calculator'!C7*((1+'📈 Yield &amp; ROI Calculator'!C48)^3)</f>
        <v>952812800.00000024</v>
      </c>
      <c r="F17" s="50">
        <f>'📈 Yield &amp; ROI Calculator'!C7*((1+'📈 Yield &amp; ROI Calculator'!C48)^4)</f>
        <v>1009981568.0000002</v>
      </c>
      <c r="G17" s="50">
        <f>'📈 Yield &amp; ROI Calculator'!C7*((1+'📈 Yield &amp; ROI Calculator'!C48)^5)</f>
        <v>1070580462.0800004</v>
      </c>
      <c r="H17" s="50">
        <f>'📈 Yield &amp; ROI Calculator'!C7*((1+'📈 Yield &amp; ROI Calculator'!C48)^6)</f>
        <v>1134815289.8048005</v>
      </c>
      <c r="I17" s="50">
        <f>'📈 Yield &amp; ROI Calculator'!C7*((1+'📈 Yield &amp; ROI Calculator'!C48)^7)</f>
        <v>1202904207.1930888</v>
      </c>
      <c r="J17" s="50">
        <f>'📈 Yield &amp; ROI Calculator'!C7*((1+'📈 Yield &amp; ROI Calculator'!C48)^8)</f>
        <v>1275078459.6246738</v>
      </c>
      <c r="K17" s="50">
        <f>'📈 Yield &amp; ROI Calculator'!C7*((1+'📈 Yield &amp; ROI Calculator'!C48)^9)</f>
        <v>1351583167.2021542</v>
      </c>
      <c r="L17" s="50">
        <f>'📈 Yield &amp; ROI Calculator'!C7*((1+'📈 Yield &amp; ROI Calculator'!C48)^10)</f>
        <v>1432678157.2342837</v>
      </c>
      <c r="M17" s="40">
        <f>L17</f>
        <v>1432678157.2342837</v>
      </c>
    </row>
    <row r="18" spans="2:13" ht="21.75" customHeight="1" x14ac:dyDescent="0.35">
      <c r="B18" s="6" t="s">
        <v>135</v>
      </c>
      <c r="C18" s="50">
        <f>'📈 Yield &amp; ROI Calculator'!C7*((1+'📈 Yield &amp; ROI Calculator'!C48)^1)-'📈 Yield &amp; ROI Calculator'!C7</f>
        <v>48000000</v>
      </c>
      <c r="D18" s="50">
        <f>'📈 Yield &amp; ROI Calculator'!C7*((1+'📈 Yield &amp; ROI Calculator'!C48)^2)-'📈 Yield &amp; ROI Calculator'!C7</f>
        <v>98880000.000000119</v>
      </c>
      <c r="E18" s="50">
        <f>'📈 Yield &amp; ROI Calculator'!C7*((1+'📈 Yield &amp; ROI Calculator'!C48)^3)-'📈 Yield &amp; ROI Calculator'!C7</f>
        <v>152812800.00000024</v>
      </c>
      <c r="F18" s="50">
        <f>'📈 Yield &amp; ROI Calculator'!C7*((1+'📈 Yield &amp; ROI Calculator'!C48)^4)-'📈 Yield &amp; ROI Calculator'!C7</f>
        <v>209981568.00000024</v>
      </c>
      <c r="G18" s="50">
        <f>'📈 Yield &amp; ROI Calculator'!C7*((1+'📈 Yield &amp; ROI Calculator'!C48)^5)-'📈 Yield &amp; ROI Calculator'!C7</f>
        <v>270580462.0800004</v>
      </c>
      <c r="H18" s="50">
        <f>'📈 Yield &amp; ROI Calculator'!C7*((1+'📈 Yield &amp; ROI Calculator'!C48)^6)-'📈 Yield &amp; ROI Calculator'!C7</f>
        <v>334815289.80480051</v>
      </c>
      <c r="I18" s="50">
        <f>'📈 Yield &amp; ROI Calculator'!C7*((1+'📈 Yield &amp; ROI Calculator'!C48)^7)-'📈 Yield &amp; ROI Calculator'!C7</f>
        <v>402904207.19308877</v>
      </c>
      <c r="J18" s="50">
        <f>'📈 Yield &amp; ROI Calculator'!C7*((1+'📈 Yield &amp; ROI Calculator'!C48)^8)-'📈 Yield &amp; ROI Calculator'!C7</f>
        <v>475078459.62467384</v>
      </c>
      <c r="K18" s="50">
        <f>'📈 Yield &amp; ROI Calculator'!C7*((1+'📈 Yield &amp; ROI Calculator'!C48)^9)-'📈 Yield &amp; ROI Calculator'!C7</f>
        <v>551583167.20215416</v>
      </c>
      <c r="L18" s="50">
        <f>'📈 Yield &amp; ROI Calculator'!C7*((1+'📈 Yield &amp; ROI Calculator'!C48)^10)-'📈 Yield &amp; ROI Calculator'!C7</f>
        <v>632678157.23428369</v>
      </c>
      <c r="M18" s="40">
        <f>L18</f>
        <v>632678157.23428369</v>
      </c>
    </row>
    <row r="19" spans="2:13" ht="21.75" customHeight="1" x14ac:dyDescent="0.35">
      <c r="B19" s="46" t="s">
        <v>136</v>
      </c>
      <c r="C19" s="12">
        <f t="shared" ref="C19:L19" si="1">C15+C18</f>
        <v>70080000</v>
      </c>
      <c r="D19" s="12">
        <f t="shared" si="1"/>
        <v>144144000.00000012</v>
      </c>
      <c r="E19" s="12">
        <f t="shared" si="1"/>
        <v>222420000.00000024</v>
      </c>
      <c r="F19" s="12">
        <f t="shared" si="1"/>
        <v>305149128.00000024</v>
      </c>
      <c r="G19" s="12">
        <f t="shared" si="1"/>
        <v>392586400.0800004</v>
      </c>
      <c r="H19" s="12">
        <f t="shared" si="1"/>
        <v>485001524.70480049</v>
      </c>
      <c r="I19" s="12">
        <f t="shared" si="1"/>
        <v>582679753.83808875</v>
      </c>
      <c r="J19" s="12">
        <f t="shared" si="1"/>
        <v>685922783.60192382</v>
      </c>
      <c r="K19" s="12">
        <f t="shared" si="1"/>
        <v>795049707.37826669</v>
      </c>
      <c r="L19" s="12">
        <f t="shared" si="1"/>
        <v>910398024.41920185</v>
      </c>
      <c r="M19" s="40">
        <f>L19</f>
        <v>910398024.41920185</v>
      </c>
    </row>
    <row r="20" spans="2:13" ht="21.75" customHeight="1" x14ac:dyDescent="0.35">
      <c r="B20" s="47" t="s">
        <v>137</v>
      </c>
      <c r="C20" s="51">
        <f>IFERROR(C19/'📈 Yield &amp; ROI Calculator'!C21,0)</f>
        <v>8.2060889929742392E-2</v>
      </c>
      <c r="D20" s="51">
        <f>IFERROR(D19/'📈 Yield &amp; ROI Calculator'!C21,0)</f>
        <v>0.16878688524590177</v>
      </c>
      <c r="E20" s="51">
        <f>IFERROR(E19/'📈 Yield &amp; ROI Calculator'!C21,0)</f>
        <v>0.26044496487119467</v>
      </c>
      <c r="F20" s="51">
        <f>IFERROR(F19/'📈 Yield &amp; ROI Calculator'!C21,0)</f>
        <v>0.35731748009367709</v>
      </c>
      <c r="G20" s="51">
        <f>IFERROR(G19/'📈 Yield &amp; ROI Calculator'!C21,0)</f>
        <v>0.45970304459016442</v>
      </c>
      <c r="H20" s="51">
        <f>IFERROR(H19/'📈 Yield &amp; ROI Calculator'!C21,0)</f>
        <v>0.56791747623512934</v>
      </c>
      <c r="I20" s="51">
        <f>IFERROR(I19/'📈 Yield &amp; ROI Calculator'!C21,0)</f>
        <v>0.68229479372141544</v>
      </c>
      <c r="J20" s="51">
        <f>IFERROR(J19/'📈 Yield &amp; ROI Calculator'!C21,0)</f>
        <v>0.80318827119663216</v>
      </c>
      <c r="K20" s="51">
        <f>IFERROR(K19/'📈 Yield &amp; ROI Calculator'!C21,0)</f>
        <v>0.93097155430710388</v>
      </c>
      <c r="L20" s="51">
        <f>IFERROR(L19/'📈 Yield &amp; ROI Calculator'!C21,0)</f>
        <v>1.0660398412402832</v>
      </c>
      <c r="M20" s="52">
        <f>IFERROR(L19/'📈 Yield &amp; ROI Calculator'!C21,0)</f>
        <v>1.0660398412402832</v>
      </c>
    </row>
    <row r="21" spans="2:13" ht="21.75" customHeight="1" x14ac:dyDescent="0.35">
      <c r="B21" s="3" t="s">
        <v>138</v>
      </c>
      <c r="C21" s="31">
        <f>IFERROR(('📈 Yield &amp; ROI Calculator'!C26*12*'📈 Yield &amp; ROI Calculator'!C27*(1-'📈 Yield &amp; ROI Calculator'!C28)*((1+'📈 Yield &amp; ROI Calculator'!C47)^(1-1)))/('📈 Yield &amp; ROI Calculator'!C7*((1+'📈 Yield &amp; ROI Calculator'!C48)^(1-1))),0)</f>
        <v>2.76E-2</v>
      </c>
      <c r="D21" s="31">
        <f>IFERROR(('📈 Yield &amp; ROI Calculator'!C26*12*'📈 Yield &amp; ROI Calculator'!C27*(1-'📈 Yield &amp; ROI Calculator'!C28)*((1+'📈 Yield &amp; ROI Calculator'!C47)^(2-1)))/('📈 Yield &amp; ROI Calculator'!C7*((1+'📈 Yield &amp; ROI Calculator'!C48)^(2-1))),0)</f>
        <v>2.7339622641509433E-2</v>
      </c>
      <c r="E21" s="31">
        <f>IFERROR(('📈 Yield &amp; ROI Calculator'!C26*12*'📈 Yield &amp; ROI Calculator'!C27*(1-'📈 Yield &amp; ROI Calculator'!C28)*((1+'📈 Yield &amp; ROI Calculator'!C47)^(3-1)))/('📈 Yield &amp; ROI Calculator'!C7*((1+'📈 Yield &amp; ROI Calculator'!C48)^(3-1))),0)</f>
        <v>2.7081701673193303E-2</v>
      </c>
      <c r="F21" s="31">
        <f>IFERROR(('📈 Yield &amp; ROI Calculator'!C26*12*'📈 Yield &amp; ROI Calculator'!C27*(1-'📈 Yield &amp; ROI Calculator'!C28)*((1+'📈 Yield &amp; ROI Calculator'!C47)^(4-1)))/('📈 Yield &amp; ROI Calculator'!C7*((1+'📈 Yield &amp; ROI Calculator'!C48)^(4-1))),0)</f>
        <v>2.6826213921559407E-2</v>
      </c>
      <c r="G21" s="31">
        <f>IFERROR(('📈 Yield &amp; ROI Calculator'!C26*12*'📈 Yield &amp; ROI Calculator'!C27*(1-'📈 Yield &amp; ROI Calculator'!C28)*((1+'📈 Yield &amp; ROI Calculator'!C47)^(5-1)))/('📈 Yield &amp; ROI Calculator'!C7*((1+'📈 Yield &amp; ROI Calculator'!C48)^(5-1))),0)</f>
        <v>2.6573136431733368E-2</v>
      </c>
      <c r="H21" s="31">
        <f>IFERROR(('📈 Yield &amp; ROI Calculator'!C26*12*'📈 Yield &amp; ROI Calculator'!C27*(1-'📈 Yield &amp; ROI Calculator'!C28)*((1+'📈 Yield &amp; ROI Calculator'!C47)^(6-1)))/('📈 Yield &amp; ROI Calculator'!C7*((1+'📈 Yield &amp; ROI Calculator'!C48)^(6-1))),0)</f>
        <v>2.6322446465396263E-2</v>
      </c>
      <c r="I21" s="31">
        <f>IFERROR(('📈 Yield &amp; ROI Calculator'!C26*12*'📈 Yield &amp; ROI Calculator'!C27*(1-'📈 Yield &amp; ROI Calculator'!C28)*((1+'📈 Yield &amp; ROI Calculator'!C47)^(7-1)))/('📈 Yield &amp; ROI Calculator'!C7*((1+'📈 Yield &amp; ROI Calculator'!C48)^(7-1))),0)</f>
        <v>2.6074121498741575E-2</v>
      </c>
      <c r="J21" s="31">
        <f>IFERROR(('📈 Yield &amp; ROI Calculator'!C26*12*'📈 Yield &amp; ROI Calculator'!C27*(1-'📈 Yield &amp; ROI Calculator'!C28)*((1+'📈 Yield &amp; ROI Calculator'!C47)^(8-1)))/('📈 Yield &amp; ROI Calculator'!C7*((1+'📈 Yield &amp; ROI Calculator'!C48)^(8-1))),0)</f>
        <v>2.582813922045156E-2</v>
      </c>
      <c r="K21" s="31">
        <f>IFERROR(('📈 Yield &amp; ROI Calculator'!C26*12*'📈 Yield &amp; ROI Calculator'!C27*(1-'📈 Yield &amp; ROI Calculator'!C28)*((1+'📈 Yield &amp; ROI Calculator'!C47)^(9-1)))/('📈 Yield &amp; ROI Calculator'!C7*((1+'📈 Yield &amp; ROI Calculator'!C48)^(9-1))),0)</f>
        <v>2.5584477529692583E-2</v>
      </c>
      <c r="L21" s="31">
        <f>IFERROR(('📈 Yield &amp; ROI Calculator'!C26*12*'📈 Yield &amp; ROI Calculator'!C27*(1-'📈 Yield &amp; ROI Calculator'!C28)*((1+'📈 Yield &amp; ROI Calculator'!C47)^(10-1)))/('📈 Yield &amp; ROI Calculator'!C7*((1+'📈 Yield &amp; ROI Calculator'!C48)^(10-1))),0)</f>
        <v>2.5343114534129449E-2</v>
      </c>
      <c r="M21" s="53">
        <f>IFERROR(SUM(C21:L21)/10,0)</f>
        <v>2.6457297391640693E-2</v>
      </c>
    </row>
    <row r="28" spans="2:13" ht="13.5" customHeight="1" x14ac:dyDescent="0.35">
      <c r="B28" s="89" t="s">
        <v>139</v>
      </c>
      <c r="C28" s="89"/>
      <c r="D28" s="89"/>
      <c r="E28" s="89"/>
      <c r="F28" s="89"/>
      <c r="G28" s="89"/>
      <c r="H28" s="89"/>
      <c r="I28" s="89"/>
      <c r="J28" s="89"/>
      <c r="K28" s="89"/>
      <c r="L28" s="89"/>
      <c r="M28" s="89"/>
    </row>
  </sheetData>
  <mergeCells count="3">
    <mergeCell ref="B2:M2"/>
    <mergeCell ref="B3:M3"/>
    <mergeCell ref="B28:M28"/>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8860B"/>
  </sheetPr>
  <dimension ref="A2:J24"/>
  <sheetViews>
    <sheetView showGridLines="0" zoomScaleNormal="100" workbookViewId="0">
      <pane xSplit="2" ySplit="5" topLeftCell="C24" activePane="bottomRight" state="frozen"/>
      <selection pane="topRight" activeCell="C1" sqref="C1"/>
      <selection pane="bottomLeft" activeCell="A6" sqref="A6"/>
      <selection pane="bottomRight" activeCell="C20" sqref="C20"/>
    </sheetView>
  </sheetViews>
  <sheetFormatPr defaultColWidth="8.6328125" defaultRowHeight="14.5" x14ac:dyDescent="0.35"/>
  <cols>
    <col min="1" max="1" width="2" style="1" customWidth="1"/>
    <col min="2" max="2" width="26" style="1" customWidth="1"/>
    <col min="3" max="5" width="18" style="1" customWidth="1"/>
    <col min="6" max="6" width="3" style="1" customWidth="1"/>
    <col min="7" max="7" width="26" style="1" customWidth="1"/>
    <col min="8" max="10" width="18" style="1" customWidth="1"/>
  </cols>
  <sheetData>
    <row r="2" spans="2:10" ht="45.75" customHeight="1" x14ac:dyDescent="0.35">
      <c r="B2" s="87" t="s">
        <v>140</v>
      </c>
      <c r="C2" s="87"/>
      <c r="D2" s="87"/>
      <c r="E2" s="87"/>
      <c r="F2" s="87"/>
      <c r="G2" s="87"/>
      <c r="H2" s="87"/>
      <c r="I2" s="87"/>
      <c r="J2" s="87"/>
    </row>
    <row r="3" spans="2:10" ht="19.5" customHeight="1" x14ac:dyDescent="0.35">
      <c r="B3" s="88" t="s">
        <v>141</v>
      </c>
      <c r="C3" s="88"/>
      <c r="D3" s="88"/>
      <c r="E3" s="88"/>
      <c r="F3" s="88"/>
      <c r="G3" s="88"/>
      <c r="H3" s="88"/>
      <c r="I3" s="88"/>
      <c r="J3" s="88"/>
    </row>
    <row r="4" spans="2:10" ht="9.75" customHeight="1" x14ac:dyDescent="0.35"/>
    <row r="5" spans="2:10" ht="27.75" customHeight="1" x14ac:dyDescent="0.35">
      <c r="B5" s="36" t="s">
        <v>142</v>
      </c>
      <c r="C5" s="54" t="s">
        <v>143</v>
      </c>
      <c r="D5" s="55" t="s">
        <v>144</v>
      </c>
      <c r="E5" s="56" t="s">
        <v>145</v>
      </c>
    </row>
    <row r="6" spans="2:10" ht="21.75" customHeight="1" x14ac:dyDescent="0.35">
      <c r="B6" s="44" t="s">
        <v>146</v>
      </c>
      <c r="C6" s="57"/>
      <c r="D6" s="57"/>
      <c r="E6" s="57"/>
    </row>
    <row r="7" spans="2:10" ht="21.75" customHeight="1" x14ac:dyDescent="0.35">
      <c r="B7" s="46" t="s">
        <v>147</v>
      </c>
      <c r="C7" s="58" t="s">
        <v>148</v>
      </c>
      <c r="D7" s="58" t="s">
        <v>149</v>
      </c>
      <c r="E7" s="58" t="s">
        <v>150</v>
      </c>
    </row>
    <row r="8" spans="2:10" ht="21.75" customHeight="1" x14ac:dyDescent="0.35">
      <c r="B8" s="47" t="s">
        <v>151</v>
      </c>
      <c r="C8" s="59">
        <v>600000000</v>
      </c>
      <c r="D8" s="59">
        <v>450000000</v>
      </c>
      <c r="E8" s="59">
        <v>1200000000</v>
      </c>
    </row>
    <row r="9" spans="2:10" ht="21.75" customHeight="1" x14ac:dyDescent="0.35">
      <c r="B9" s="46" t="s">
        <v>54</v>
      </c>
      <c r="C9" s="59">
        <v>1800000</v>
      </c>
      <c r="D9" s="59">
        <v>1400000</v>
      </c>
      <c r="E9" s="59">
        <v>4000000</v>
      </c>
    </row>
    <row r="10" spans="2:10" ht="21.75" customHeight="1" x14ac:dyDescent="0.35">
      <c r="B10" s="47" t="s">
        <v>152</v>
      </c>
      <c r="C10" s="59">
        <v>1</v>
      </c>
      <c r="D10" s="59">
        <v>1</v>
      </c>
      <c r="E10" s="59">
        <v>1</v>
      </c>
    </row>
    <row r="11" spans="2:10" ht="21.75" customHeight="1" x14ac:dyDescent="0.35">
      <c r="B11" s="46" t="s">
        <v>153</v>
      </c>
      <c r="C11" s="60">
        <v>0.08</v>
      </c>
      <c r="D11" s="60">
        <v>0.08</v>
      </c>
      <c r="E11" s="60">
        <v>0.06</v>
      </c>
    </row>
    <row r="12" spans="2:10" ht="21.75" customHeight="1" x14ac:dyDescent="0.35">
      <c r="B12" s="47" t="s">
        <v>154</v>
      </c>
      <c r="C12" s="59">
        <v>18000000</v>
      </c>
      <c r="D12" s="59">
        <v>15000000</v>
      </c>
      <c r="E12" s="59">
        <v>45000000</v>
      </c>
    </row>
    <row r="13" spans="2:10" ht="21.75" customHeight="1" x14ac:dyDescent="0.35">
      <c r="B13" s="38" t="s">
        <v>155</v>
      </c>
      <c r="C13" s="61"/>
      <c r="D13" s="61"/>
      <c r="E13" s="61"/>
    </row>
    <row r="14" spans="2:10" ht="21.75" customHeight="1" x14ac:dyDescent="0.35">
      <c r="B14" s="47" t="s">
        <v>156</v>
      </c>
      <c r="C14" s="62">
        <f>IFERROR(C9*12*C10*(1-C11)/C8,0)</f>
        <v>3.3119999999999997E-2</v>
      </c>
      <c r="D14" s="62">
        <f>IFERROR(D9*12*D10*(1-D11)/D8,0)</f>
        <v>3.4346666666666664E-2</v>
      </c>
      <c r="E14" s="62">
        <f>IFERROR(E9*12*E10*(1-E11)/E8,0)</f>
        <v>3.7600000000000001E-2</v>
      </c>
    </row>
    <row r="15" spans="2:10" ht="21.75" customHeight="1" x14ac:dyDescent="0.35">
      <c r="B15" s="46" t="s">
        <v>157</v>
      </c>
      <c r="C15" s="62">
        <f>IFERROR((C9*12*C10*(1-C11)-C12)/C8,0)</f>
        <v>3.1199999999999999E-3</v>
      </c>
      <c r="D15" s="62">
        <f>IFERROR((D9*12*D10*(1-D11)-D12)/D8,0)</f>
        <v>1.0133333333333333E-3</v>
      </c>
      <c r="E15" s="62">
        <f>IFERROR((E9*12*E10*(1-E11)-E12)/E8,0)</f>
        <v>1E-4</v>
      </c>
    </row>
    <row r="16" spans="2:10" ht="21.75" customHeight="1" x14ac:dyDescent="0.35">
      <c r="B16" s="47" t="s">
        <v>158</v>
      </c>
      <c r="C16" s="27">
        <f>C9*12*C10*(1-C11)-C12</f>
        <v>1872000</v>
      </c>
      <c r="D16" s="27">
        <f>D9*12*D10*(1-D11)-D12</f>
        <v>456000</v>
      </c>
      <c r="E16" s="27">
        <f>E9*12*E10*(1-E11)-E12</f>
        <v>120000</v>
      </c>
    </row>
    <row r="17" spans="2:10" ht="21.75" customHeight="1" x14ac:dyDescent="0.35">
      <c r="B17" s="46" t="s">
        <v>159</v>
      </c>
      <c r="C17" s="63">
        <f>IFERROR(C16/3900,0)</f>
        <v>480</v>
      </c>
      <c r="D17" s="63">
        <f>IFERROR(D16/3900,0)</f>
        <v>116.92307692307692</v>
      </c>
      <c r="E17" s="63">
        <f>IFERROR(E16/3900,0)</f>
        <v>30.76923076923077</v>
      </c>
    </row>
    <row r="18" spans="2:10" ht="21.75" customHeight="1" x14ac:dyDescent="0.35">
      <c r="B18" s="47" t="s">
        <v>160</v>
      </c>
      <c r="C18" s="22">
        <f>C16/12</f>
        <v>156000</v>
      </c>
      <c r="D18" s="22">
        <f>D16/12</f>
        <v>38000</v>
      </c>
      <c r="E18" s="22">
        <f>E16/12</f>
        <v>10000</v>
      </c>
    </row>
    <row r="19" spans="2:10" ht="21.75" customHeight="1" x14ac:dyDescent="0.35">
      <c r="B19" s="46" t="s">
        <v>50</v>
      </c>
      <c r="C19" s="64">
        <f>IFERROR(C8/C16,0)</f>
        <v>320.5128205128205</v>
      </c>
      <c r="D19" s="64">
        <f>IFERROR(D8/D16,0)</f>
        <v>986.84210526315792</v>
      </c>
      <c r="E19" s="64">
        <f>IFERROR(E8/E16,0)</f>
        <v>10000</v>
      </c>
    </row>
    <row r="20" spans="2:10" ht="21.75" customHeight="1" x14ac:dyDescent="0.35">
      <c r="B20" s="47" t="s">
        <v>161</v>
      </c>
      <c r="C20" s="12">
        <f>C8*(1+0.06)^10</f>
        <v>1074508617.9257128</v>
      </c>
      <c r="D20" s="12">
        <f>D8*(1+0.06)^10</f>
        <v>805881463.44428456</v>
      </c>
      <c r="E20" s="12">
        <f>E8*(1+0.06)^10</f>
        <v>2149017235.8514256</v>
      </c>
    </row>
    <row r="21" spans="2:10" ht="21.75" customHeight="1" x14ac:dyDescent="0.35">
      <c r="B21" s="46" t="s">
        <v>162</v>
      </c>
      <c r="C21" s="65" t="str">
        <f>IF(C15&gt;=0.08,"✅ Strong",IF(C15&gt;=0.05,"⚠️ OK","❌ Weak"))</f>
        <v>❌ Weak</v>
      </c>
      <c r="D21" s="65" t="str">
        <f>IF(D15&gt;=0.08,"✅ Strong",IF(D15&gt;=0.05,"⚠️ OK","❌ Weak"))</f>
        <v>❌ Weak</v>
      </c>
      <c r="E21" s="65" t="str">
        <f>IF(E15&gt;=0.08,"✅ Strong",IF(E15&gt;=0.05,"⚠️ OK","❌ Weak"))</f>
        <v>❌ Weak</v>
      </c>
    </row>
    <row r="23" spans="2:10" ht="7.5" customHeight="1" x14ac:dyDescent="0.35"/>
    <row r="24" spans="2:10" ht="27.75" customHeight="1" x14ac:dyDescent="0.35">
      <c r="B24" s="90" t="str">
        <f>CHOOSE(MATCH(MAX(C15:E15),C15:E15,0),"🏆 BEST NET YIELD: Property A — Consider this one first.","🏆 BEST NET YIELD: Property B — Consider this one first.","🏆 BEST NET YIELD: Property C — Consider this one first.")</f>
        <v>🏆 BEST NET YIELD: Property A — Consider this one first.</v>
      </c>
      <c r="C24" s="90"/>
      <c r="D24" s="90"/>
      <c r="E24" s="90"/>
      <c r="F24" s="90"/>
      <c r="G24" s="90"/>
      <c r="H24" s="90"/>
      <c r="I24" s="90"/>
      <c r="J24" s="90"/>
    </row>
  </sheetData>
  <mergeCells count="3">
    <mergeCell ref="B2:J2"/>
    <mergeCell ref="B3:J3"/>
    <mergeCell ref="B24:J24"/>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66534"/>
  </sheetPr>
  <dimension ref="A2:F42"/>
  <sheetViews>
    <sheetView showGridLines="0" zoomScaleNormal="100" workbookViewId="0">
      <pane xSplit="2" ySplit="5" topLeftCell="C39" activePane="bottomRight" state="frozen"/>
      <selection pane="topRight" activeCell="C1" sqref="C1"/>
      <selection pane="bottomLeft" activeCell="A6" sqref="A6"/>
      <selection pane="bottomRight" activeCell="G10" sqref="G10"/>
    </sheetView>
  </sheetViews>
  <sheetFormatPr defaultColWidth="8.6328125" defaultRowHeight="14.5" x14ac:dyDescent="0.35"/>
  <cols>
    <col min="1" max="1" width="2" style="1" customWidth="1"/>
    <col min="2" max="2" width="28" style="1" customWidth="1"/>
    <col min="3" max="6" width="20" style="1" customWidth="1"/>
  </cols>
  <sheetData>
    <row r="2" spans="2:6" ht="45.75" customHeight="1" x14ac:dyDescent="0.35">
      <c r="B2" s="87" t="s">
        <v>163</v>
      </c>
      <c r="C2" s="87"/>
      <c r="D2" s="87"/>
      <c r="E2" s="87"/>
      <c r="F2" s="87"/>
    </row>
    <row r="3" spans="2:6" ht="19.5" customHeight="1" x14ac:dyDescent="0.35">
      <c r="B3" s="88" t="s">
        <v>164</v>
      </c>
      <c r="C3" s="88"/>
      <c r="D3" s="88"/>
      <c r="E3" s="88"/>
      <c r="F3" s="88"/>
    </row>
    <row r="4" spans="2:6" ht="9.75" customHeight="1" x14ac:dyDescent="0.35"/>
    <row r="5" spans="2:6" ht="21.75" customHeight="1" x14ac:dyDescent="0.35">
      <c r="B5" s="73" t="s">
        <v>165</v>
      </c>
      <c r="C5" s="73"/>
      <c r="D5" s="73"/>
      <c r="E5" s="73"/>
      <c r="F5" s="73"/>
    </row>
    <row r="6" spans="2:6" ht="21.75" customHeight="1" x14ac:dyDescent="0.35">
      <c r="B6" s="2" t="s">
        <v>45</v>
      </c>
      <c r="C6" s="2" t="s">
        <v>30</v>
      </c>
      <c r="D6" s="2" t="s">
        <v>166</v>
      </c>
      <c r="E6" s="2" t="s">
        <v>167</v>
      </c>
      <c r="F6" s="2" t="s">
        <v>168</v>
      </c>
    </row>
    <row r="7" spans="2:6" ht="21.75" customHeight="1" x14ac:dyDescent="0.35">
      <c r="B7" s="6" t="s">
        <v>169</v>
      </c>
      <c r="C7" s="66" t="s">
        <v>170</v>
      </c>
      <c r="D7" s="67" t="s">
        <v>171</v>
      </c>
      <c r="E7" s="68" t="s">
        <v>172</v>
      </c>
      <c r="F7" s="69" t="s">
        <v>173</v>
      </c>
    </row>
    <row r="8" spans="2:6" ht="21.75" customHeight="1" x14ac:dyDescent="0.35">
      <c r="B8" s="3" t="s">
        <v>174</v>
      </c>
      <c r="C8" s="66" t="s">
        <v>175</v>
      </c>
      <c r="D8" s="70" t="s">
        <v>176</v>
      </c>
      <c r="E8" s="71" t="s">
        <v>177</v>
      </c>
      <c r="F8" s="72" t="s">
        <v>178</v>
      </c>
    </row>
    <row r="9" spans="2:6" ht="21.75" customHeight="1" x14ac:dyDescent="0.35">
      <c r="B9" s="6" t="s">
        <v>179</v>
      </c>
      <c r="C9" s="66" t="s">
        <v>180</v>
      </c>
      <c r="D9" s="67" t="s">
        <v>181</v>
      </c>
      <c r="E9" s="68" t="s">
        <v>182</v>
      </c>
      <c r="F9" s="69" t="s">
        <v>173</v>
      </c>
    </row>
    <row r="10" spans="2:6" ht="21.75" customHeight="1" x14ac:dyDescent="0.35">
      <c r="B10" s="3" t="s">
        <v>183</v>
      </c>
      <c r="C10" s="66" t="s">
        <v>184</v>
      </c>
      <c r="D10" s="70" t="s">
        <v>185</v>
      </c>
      <c r="E10" s="71" t="s">
        <v>186</v>
      </c>
      <c r="F10" s="72" t="s">
        <v>178</v>
      </c>
    </row>
    <row r="11" spans="2:6" ht="21.75" customHeight="1" x14ac:dyDescent="0.35">
      <c r="B11" s="6" t="s">
        <v>187</v>
      </c>
      <c r="C11" s="66" t="s">
        <v>188</v>
      </c>
      <c r="D11" s="67" t="s">
        <v>189</v>
      </c>
      <c r="E11" s="68" t="s">
        <v>190</v>
      </c>
      <c r="F11" s="69" t="s">
        <v>191</v>
      </c>
    </row>
    <row r="12" spans="2:6" ht="21.75" customHeight="1" x14ac:dyDescent="0.35">
      <c r="B12" s="3" t="s">
        <v>192</v>
      </c>
      <c r="C12" s="66" t="s">
        <v>193</v>
      </c>
      <c r="D12" s="70" t="s">
        <v>194</v>
      </c>
      <c r="E12" s="71" t="s">
        <v>186</v>
      </c>
      <c r="F12" s="72" t="s">
        <v>178</v>
      </c>
    </row>
    <row r="14" spans="2:6" ht="21.75" customHeight="1" x14ac:dyDescent="0.35">
      <c r="B14" s="74" t="s">
        <v>195</v>
      </c>
      <c r="C14" s="74"/>
      <c r="D14" s="74"/>
      <c r="E14" s="74"/>
      <c r="F14" s="74"/>
    </row>
    <row r="15" spans="2:6" ht="21.75" customHeight="1" x14ac:dyDescent="0.35">
      <c r="B15" s="2" t="s">
        <v>45</v>
      </c>
      <c r="C15" s="2" t="s">
        <v>30</v>
      </c>
      <c r="D15" s="2" t="s">
        <v>166</v>
      </c>
      <c r="E15" s="2" t="s">
        <v>167</v>
      </c>
      <c r="F15" s="2" t="s">
        <v>168</v>
      </c>
    </row>
    <row r="16" spans="2:6" ht="21.75" customHeight="1" x14ac:dyDescent="0.35">
      <c r="B16" s="6" t="s">
        <v>196</v>
      </c>
      <c r="C16" s="66" t="s">
        <v>197</v>
      </c>
      <c r="D16" s="67" t="s">
        <v>198</v>
      </c>
      <c r="E16" s="68" t="s">
        <v>186</v>
      </c>
      <c r="F16" s="69" t="s">
        <v>178</v>
      </c>
    </row>
    <row r="17" spans="2:6" ht="21.75" customHeight="1" x14ac:dyDescent="0.35">
      <c r="B17" s="3" t="s">
        <v>199</v>
      </c>
      <c r="C17" s="66" t="s">
        <v>200</v>
      </c>
      <c r="D17" s="70" t="s">
        <v>201</v>
      </c>
      <c r="E17" s="71" t="s">
        <v>177</v>
      </c>
      <c r="F17" s="72" t="s">
        <v>178</v>
      </c>
    </row>
    <row r="18" spans="2:6" ht="21.75" customHeight="1" x14ac:dyDescent="0.35">
      <c r="B18" s="6" t="s">
        <v>202</v>
      </c>
      <c r="C18" s="66" t="s">
        <v>203</v>
      </c>
      <c r="D18" s="67" t="s">
        <v>204</v>
      </c>
      <c r="E18" s="68" t="s">
        <v>205</v>
      </c>
      <c r="F18" s="69" t="s">
        <v>191</v>
      </c>
    </row>
    <row r="19" spans="2:6" ht="21.75" customHeight="1" x14ac:dyDescent="0.35">
      <c r="B19" s="3" t="s">
        <v>206</v>
      </c>
      <c r="C19" s="66" t="s">
        <v>207</v>
      </c>
      <c r="D19" s="70" t="s">
        <v>208</v>
      </c>
      <c r="E19" s="71" t="s">
        <v>186</v>
      </c>
      <c r="F19" s="72" t="s">
        <v>178</v>
      </c>
    </row>
    <row r="20" spans="2:6" ht="21.75" customHeight="1" x14ac:dyDescent="0.35">
      <c r="B20" s="6" t="s">
        <v>209</v>
      </c>
      <c r="C20" s="66" t="s">
        <v>210</v>
      </c>
      <c r="D20" s="67" t="s">
        <v>211</v>
      </c>
      <c r="E20" s="68" t="s">
        <v>182</v>
      </c>
      <c r="F20" s="69" t="s">
        <v>173</v>
      </c>
    </row>
    <row r="22" spans="2:6" ht="21.75" customHeight="1" x14ac:dyDescent="0.35">
      <c r="B22" s="75" t="s">
        <v>212</v>
      </c>
      <c r="C22" s="75"/>
      <c r="D22" s="75"/>
      <c r="E22" s="75"/>
      <c r="F22" s="75"/>
    </row>
    <row r="23" spans="2:6" ht="21.75" customHeight="1" x14ac:dyDescent="0.35">
      <c r="B23" s="2" t="s">
        <v>45</v>
      </c>
      <c r="C23" s="2" t="s">
        <v>30</v>
      </c>
      <c r="D23" s="2" t="s">
        <v>166</v>
      </c>
      <c r="E23" s="2" t="s">
        <v>167</v>
      </c>
      <c r="F23" s="2" t="s">
        <v>168</v>
      </c>
    </row>
    <row r="24" spans="2:6" ht="21.75" customHeight="1" x14ac:dyDescent="0.35">
      <c r="B24" s="6" t="s">
        <v>213</v>
      </c>
      <c r="C24" s="66" t="s">
        <v>214</v>
      </c>
      <c r="D24" s="67" t="s">
        <v>215</v>
      </c>
      <c r="E24" s="68" t="s">
        <v>216</v>
      </c>
      <c r="F24" s="69" t="s">
        <v>217</v>
      </c>
    </row>
    <row r="25" spans="2:6" ht="21.75" customHeight="1" x14ac:dyDescent="0.35">
      <c r="B25" s="3" t="s">
        <v>218</v>
      </c>
      <c r="C25" s="66" t="s">
        <v>175</v>
      </c>
      <c r="D25" s="70" t="s">
        <v>219</v>
      </c>
      <c r="E25" s="71" t="s">
        <v>220</v>
      </c>
      <c r="F25" s="72" t="s">
        <v>217</v>
      </c>
    </row>
    <row r="26" spans="2:6" ht="21.75" customHeight="1" x14ac:dyDescent="0.35">
      <c r="B26" s="6" t="s">
        <v>221</v>
      </c>
      <c r="C26" s="65" t="s">
        <v>222</v>
      </c>
      <c r="D26" s="67" t="s">
        <v>223</v>
      </c>
      <c r="E26" s="68" t="s">
        <v>224</v>
      </c>
      <c r="F26" s="69" t="s">
        <v>173</v>
      </c>
    </row>
    <row r="27" spans="2:6" ht="21.75" customHeight="1" x14ac:dyDescent="0.35">
      <c r="B27" s="3" t="s">
        <v>225</v>
      </c>
      <c r="C27" s="66" t="s">
        <v>226</v>
      </c>
      <c r="D27" s="70" t="s">
        <v>227</v>
      </c>
      <c r="E27" s="71" t="s">
        <v>228</v>
      </c>
      <c r="F27" s="72" t="s">
        <v>173</v>
      </c>
    </row>
    <row r="28" spans="2:6" ht="21.75" customHeight="1" x14ac:dyDescent="0.35">
      <c r="B28" s="6" t="s">
        <v>229</v>
      </c>
      <c r="C28" s="66" t="s">
        <v>230</v>
      </c>
      <c r="D28" s="67" t="s">
        <v>231</v>
      </c>
      <c r="E28" s="68" t="s">
        <v>232</v>
      </c>
      <c r="F28" s="69" t="s">
        <v>173</v>
      </c>
    </row>
    <row r="30" spans="2:6" ht="21.75" customHeight="1" x14ac:dyDescent="0.35">
      <c r="B30" s="91" t="s">
        <v>233</v>
      </c>
      <c r="C30" s="91"/>
      <c r="D30" s="91"/>
      <c r="E30" s="91"/>
      <c r="F30" s="91"/>
    </row>
    <row r="31" spans="2:6" ht="21.75" customHeight="1" x14ac:dyDescent="0.35">
      <c r="B31" s="2" t="s">
        <v>45</v>
      </c>
      <c r="C31" s="2" t="s">
        <v>30</v>
      </c>
      <c r="D31" s="2" t="s">
        <v>166</v>
      </c>
      <c r="E31" s="2" t="s">
        <v>167</v>
      </c>
      <c r="F31" s="2" t="s">
        <v>168</v>
      </c>
    </row>
    <row r="32" spans="2:6" ht="21.75" customHeight="1" x14ac:dyDescent="0.35">
      <c r="B32" s="6" t="s">
        <v>234</v>
      </c>
      <c r="C32" s="66" t="s">
        <v>235</v>
      </c>
      <c r="D32" s="67" t="s">
        <v>236</v>
      </c>
      <c r="E32" s="68" t="s">
        <v>237</v>
      </c>
      <c r="F32" s="69" t="s">
        <v>173</v>
      </c>
    </row>
    <row r="33" spans="2:6" ht="21.75" customHeight="1" x14ac:dyDescent="0.35">
      <c r="B33" s="3" t="s">
        <v>238</v>
      </c>
      <c r="C33" s="66" t="s">
        <v>239</v>
      </c>
      <c r="D33" s="70" t="s">
        <v>240</v>
      </c>
      <c r="E33" s="71" t="s">
        <v>241</v>
      </c>
      <c r="F33" s="72" t="s">
        <v>173</v>
      </c>
    </row>
    <row r="34" spans="2:6" ht="21.75" customHeight="1" x14ac:dyDescent="0.35">
      <c r="B34" s="6" t="s">
        <v>242</v>
      </c>
      <c r="C34" s="66" t="s">
        <v>243</v>
      </c>
      <c r="D34" s="67" t="s">
        <v>244</v>
      </c>
      <c r="E34" s="68" t="s">
        <v>245</v>
      </c>
      <c r="F34" s="69" t="s">
        <v>173</v>
      </c>
    </row>
    <row r="35" spans="2:6" ht="21.75" customHeight="1" x14ac:dyDescent="0.35">
      <c r="B35" s="3" t="s">
        <v>246</v>
      </c>
      <c r="C35" s="66" t="s">
        <v>247</v>
      </c>
      <c r="D35" s="70" t="s">
        <v>248</v>
      </c>
      <c r="E35" s="71" t="s">
        <v>249</v>
      </c>
      <c r="F35" s="72" t="s">
        <v>173</v>
      </c>
    </row>
    <row r="36" spans="2:6" ht="21.75" customHeight="1" x14ac:dyDescent="0.35">
      <c r="B36" s="6" t="s">
        <v>250</v>
      </c>
      <c r="C36" s="66" t="s">
        <v>239</v>
      </c>
      <c r="D36" s="67" t="s">
        <v>251</v>
      </c>
      <c r="E36" s="68" t="s">
        <v>237</v>
      </c>
      <c r="F36" s="69" t="s">
        <v>173</v>
      </c>
    </row>
    <row r="37" spans="2:6" ht="21.75" customHeight="1" x14ac:dyDescent="0.35">
      <c r="B37" s="3" t="s">
        <v>252</v>
      </c>
      <c r="C37" s="66" t="s">
        <v>230</v>
      </c>
      <c r="D37" s="70" t="s">
        <v>253</v>
      </c>
      <c r="E37" s="71" t="s">
        <v>254</v>
      </c>
      <c r="F37" s="72" t="s">
        <v>173</v>
      </c>
    </row>
    <row r="39" spans="2:6" ht="7.5" customHeight="1" x14ac:dyDescent="0.35"/>
    <row r="40" spans="2:6" ht="13.5" customHeight="1" x14ac:dyDescent="0.35">
      <c r="B40" s="76" t="s">
        <v>282</v>
      </c>
      <c r="C40" s="76"/>
      <c r="D40" s="76"/>
      <c r="E40" s="76"/>
      <c r="F40" s="76"/>
    </row>
    <row r="41" spans="2:6" ht="13.5" customHeight="1" x14ac:dyDescent="0.35">
      <c r="B41" s="76"/>
      <c r="C41" s="76"/>
      <c r="D41" s="76"/>
      <c r="E41" s="76"/>
      <c r="F41" s="76"/>
    </row>
    <row r="42" spans="2:6" ht="13.5" customHeight="1" x14ac:dyDescent="0.35">
      <c r="B42" s="76"/>
      <c r="C42" s="76"/>
      <c r="D42" s="76"/>
      <c r="E42" s="76"/>
      <c r="F42" s="76"/>
    </row>
  </sheetData>
  <mergeCells count="7">
    <mergeCell ref="B30:F30"/>
    <mergeCell ref="B40:F42"/>
    <mergeCell ref="B2:F2"/>
    <mergeCell ref="B3:F3"/>
    <mergeCell ref="B5:F5"/>
    <mergeCell ref="B14:F14"/>
    <mergeCell ref="B22:F22"/>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26567"/>
  </sheetPr>
  <dimension ref="A2:C23"/>
  <sheetViews>
    <sheetView showGridLines="0" tabSelected="1" topLeftCell="A18" zoomScaleNormal="100" workbookViewId="0">
      <selection activeCell="E22" sqref="E22"/>
    </sheetView>
  </sheetViews>
  <sheetFormatPr defaultColWidth="8.6328125" defaultRowHeight="14.5" x14ac:dyDescent="0.35"/>
  <cols>
    <col min="1" max="1" width="2" style="1" customWidth="1"/>
    <col min="2" max="2" width="28" style="1" customWidth="1"/>
    <col min="3" max="3" width="62" style="1" customWidth="1"/>
  </cols>
  <sheetData>
    <row r="2" spans="2:3" ht="45.75" customHeight="1" x14ac:dyDescent="0.35">
      <c r="B2" s="92" t="s">
        <v>255</v>
      </c>
      <c r="C2" s="92"/>
    </row>
    <row r="3" spans="2:3" ht="19.5" customHeight="1" x14ac:dyDescent="0.35">
      <c r="B3" s="88" t="s">
        <v>283</v>
      </c>
      <c r="C3" s="88"/>
    </row>
    <row r="4" spans="2:3" ht="9.75" customHeight="1" x14ac:dyDescent="0.35"/>
    <row r="5" spans="2:3" ht="37.5" customHeight="1" x14ac:dyDescent="0.35">
      <c r="B5" s="36" t="s">
        <v>256</v>
      </c>
      <c r="C5" s="36" t="s">
        <v>257</v>
      </c>
    </row>
    <row r="6" spans="2:3" ht="37.5" customHeight="1" x14ac:dyDescent="0.35">
      <c r="B6" s="6" t="s">
        <v>258</v>
      </c>
      <c r="C6" s="6" t="s">
        <v>259</v>
      </c>
    </row>
    <row r="7" spans="2:3" ht="37.5" customHeight="1" x14ac:dyDescent="0.35">
      <c r="B7" s="3" t="s">
        <v>260</v>
      </c>
      <c r="C7" s="3" t="s">
        <v>261</v>
      </c>
    </row>
    <row r="8" spans="2:3" ht="37.5" customHeight="1" x14ac:dyDescent="0.35">
      <c r="B8" s="6" t="s">
        <v>262</v>
      </c>
      <c r="C8" s="6" t="s">
        <v>263</v>
      </c>
    </row>
    <row r="9" spans="2:3" ht="37.5" customHeight="1" x14ac:dyDescent="0.35">
      <c r="B9" s="3" t="s">
        <v>264</v>
      </c>
      <c r="C9" s="3" t="s">
        <v>265</v>
      </c>
    </row>
    <row r="10" spans="2:3" ht="37.5" customHeight="1" x14ac:dyDescent="0.35">
      <c r="B10" s="6"/>
      <c r="C10" s="6"/>
    </row>
    <row r="11" spans="2:3" ht="37.5" customHeight="1" x14ac:dyDescent="0.35">
      <c r="B11" s="36" t="s">
        <v>266</v>
      </c>
      <c r="C11" s="36"/>
    </row>
    <row r="12" spans="2:3" ht="37.5" customHeight="1" x14ac:dyDescent="0.35">
      <c r="B12" s="6" t="s">
        <v>7</v>
      </c>
      <c r="C12" s="6" t="s">
        <v>267</v>
      </c>
    </row>
    <row r="13" spans="2:3" ht="37.5" customHeight="1" x14ac:dyDescent="0.35">
      <c r="B13" s="3" t="s">
        <v>8</v>
      </c>
      <c r="C13" s="3" t="s">
        <v>268</v>
      </c>
    </row>
    <row r="14" spans="2:3" ht="37.5" customHeight="1" x14ac:dyDescent="0.35">
      <c r="B14" s="6" t="s">
        <v>23</v>
      </c>
      <c r="C14" s="6" t="s">
        <v>269</v>
      </c>
    </row>
    <row r="15" spans="2:3" ht="37.5" customHeight="1" x14ac:dyDescent="0.35">
      <c r="B15" s="3" t="s">
        <v>15</v>
      </c>
      <c r="C15" s="3" t="s">
        <v>270</v>
      </c>
    </row>
    <row r="16" spans="2:3" ht="37.5" customHeight="1" x14ac:dyDescent="0.35">
      <c r="B16" s="6" t="s">
        <v>271</v>
      </c>
      <c r="C16" s="6" t="s">
        <v>272</v>
      </c>
    </row>
    <row r="17" spans="2:3" ht="37.5" customHeight="1" x14ac:dyDescent="0.35">
      <c r="B17" s="3" t="s">
        <v>137</v>
      </c>
      <c r="C17" s="3" t="s">
        <v>273</v>
      </c>
    </row>
    <row r="18" spans="2:3" ht="37.5" customHeight="1" x14ac:dyDescent="0.35">
      <c r="B18" s="6"/>
      <c r="C18" s="6"/>
    </row>
    <row r="19" spans="2:3" ht="37.5" customHeight="1" x14ac:dyDescent="0.35">
      <c r="B19" s="36" t="s">
        <v>274</v>
      </c>
      <c r="C19" s="36"/>
    </row>
    <row r="20" spans="2:3" ht="37.5" customHeight="1" x14ac:dyDescent="0.35">
      <c r="B20" s="6" t="s">
        <v>275</v>
      </c>
      <c r="C20" s="6" t="s">
        <v>276</v>
      </c>
    </row>
    <row r="21" spans="2:3" ht="37.5" customHeight="1" x14ac:dyDescent="0.35">
      <c r="B21" s="3" t="s">
        <v>277</v>
      </c>
      <c r="C21" s="3" t="s">
        <v>278</v>
      </c>
    </row>
    <row r="22" spans="2:3" ht="37.5" customHeight="1" x14ac:dyDescent="0.35">
      <c r="B22" s="6" t="s">
        <v>279</v>
      </c>
      <c r="C22" s="6" t="s">
        <v>280</v>
      </c>
    </row>
    <row r="23" spans="2:3" ht="37.5" customHeight="1" x14ac:dyDescent="0.35">
      <c r="B23" s="3" t="s">
        <v>281</v>
      </c>
      <c r="C23" s="3" t="s">
        <v>284</v>
      </c>
    </row>
  </sheetData>
  <mergeCells count="2">
    <mergeCell ref="B2:C2"/>
    <mergeCell ref="B3:C3"/>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 Yield &amp; ROI Calculator</vt:lpstr>
      <vt:lpstr>📅 10-Year Projection</vt:lpstr>
      <vt:lpstr>⚖️ Property Comparison</vt:lpstr>
      <vt:lpstr>🇺🇬 Uganda Benchmarks</vt:lpstr>
      <vt:lpstr>📋 How to 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Raymond Kirungi Akiiki;Threalty Services Limited</dc:creator>
  <dc:description/>
  <cp:lastModifiedBy>Raymond Kirungi</cp:lastModifiedBy>
  <cp:revision>0</cp:revision>
  <dcterms:created xsi:type="dcterms:W3CDTF">2026-04-22T05:32:13Z</dcterms:created>
  <dcterms:modified xsi:type="dcterms:W3CDTF">2026-04-23T07:09:12Z</dcterms:modified>
  <dc:language>en-US</dc:language>
</cp:coreProperties>
</file>