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ngt\Downloads\New folder\"/>
    </mc:Choice>
  </mc:AlternateContent>
  <bookViews>
    <workbookView xWindow="0" yWindow="0" windowWidth="19200" windowHeight="6930" tabRatio="500"/>
  </bookViews>
  <sheets>
    <sheet name="🏠 Rent Estimator" sheetId="1" r:id="rId1"/>
    <sheet name="📊 Data &amp; Logic" sheetId="2" r:id="rId2"/>
    <sheet name="📍 Area Index" sheetId="3" r:id="rId3"/>
    <sheet name="📋 How to Use" sheetId="4" r:id="rId4"/>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H21" i="2" l="1"/>
  <c r="H20" i="1" s="1"/>
  <c r="H18" i="2"/>
  <c r="G19" i="1" s="1"/>
  <c r="H16" i="2"/>
  <c r="G18" i="1" s="1"/>
  <c r="H15" i="2"/>
  <c r="N14" i="2"/>
  <c r="H29" i="1" s="1"/>
  <c r="M14" i="2"/>
  <c r="H14" i="2"/>
  <c r="N13" i="2"/>
  <c r="H28" i="1" s="1"/>
  <c r="M13" i="2"/>
  <c r="N12" i="2"/>
  <c r="M12" i="2"/>
  <c r="G27" i="1" s="1"/>
  <c r="H12" i="2"/>
  <c r="H13" i="2" s="1"/>
  <c r="H16" i="1" s="1"/>
  <c r="N11" i="2"/>
  <c r="H26" i="1" s="1"/>
  <c r="M11" i="2"/>
  <c r="G26" i="1" s="1"/>
  <c r="N10" i="2"/>
  <c r="H25" i="1" s="1"/>
  <c r="M10" i="2"/>
  <c r="G25" i="1" s="1"/>
  <c r="H10" i="2"/>
  <c r="H11" i="2" s="1"/>
  <c r="H15" i="1" s="1"/>
  <c r="N9" i="2"/>
  <c r="H24" i="1" s="1"/>
  <c r="M9" i="2"/>
  <c r="G24" i="1" s="1"/>
  <c r="H3" i="2"/>
  <c r="H5" i="2" s="1"/>
  <c r="G29" i="1"/>
  <c r="F29" i="1"/>
  <c r="G28" i="1"/>
  <c r="F28" i="1"/>
  <c r="H27" i="1"/>
  <c r="F27" i="1"/>
  <c r="F26" i="1"/>
  <c r="F25" i="1"/>
  <c r="F24" i="1"/>
  <c r="H17" i="1"/>
  <c r="G17" i="1"/>
  <c r="G15" i="1" l="1"/>
  <c r="H10" i="1"/>
  <c r="G10" i="1"/>
  <c r="G8" i="1"/>
  <c r="G16" i="1"/>
  <c r="C25" i="1"/>
  <c r="C27" i="1"/>
  <c r="H8" i="1"/>
  <c r="H17" i="2"/>
  <c r="H18" i="1" s="1"/>
  <c r="C22" i="1"/>
  <c r="H2" i="2"/>
  <c r="H19" i="2"/>
  <c r="H19" i="1" s="1"/>
  <c r="C23" i="1"/>
  <c r="C24" i="1"/>
  <c r="C26" i="1"/>
  <c r="H4" i="2"/>
  <c r="H20" i="2"/>
  <c r="G20" i="1" s="1"/>
  <c r="H9" i="1" l="1"/>
  <c r="G9" i="1"/>
  <c r="H7" i="1"/>
  <c r="G7" i="1"/>
</calcChain>
</file>

<file path=xl/sharedStrings.xml><?xml version="1.0" encoding="utf-8"?>
<sst xmlns="http://schemas.openxmlformats.org/spreadsheetml/2006/main" count="290" uniqueCount="213">
  <si>
    <t>KAMPALA RENT ESTIMATOR  |  THREALTY</t>
  </si>
  <si>
    <t>Estimate market-rate rental ranges for residential &amp; commercial property in Greater Kampala · 2025/2026 benchmarks</t>
  </si>
  <si>
    <t xml:space="preserve">  📍  STEP 1 — PROPERTY DETAILS</t>
  </si>
  <si>
    <t xml:space="preserve">  📊  ESTIMATED RENT RANGE (UGX / month)</t>
  </si>
  <si>
    <t>Area / Neighbourhood</t>
  </si>
  <si>
    <t>Nakasero</t>
  </si>
  <si>
    <t>e.g. Kololo, Ntinda, Kira…</t>
  </si>
  <si>
    <t>Tier</t>
  </si>
  <si>
    <t>UGX / Month</t>
  </si>
  <si>
    <t>USD Equiv.</t>
  </si>
  <si>
    <t>Property Type</t>
  </si>
  <si>
    <t>Studio / Bedsitter</t>
  </si>
  <si>
    <t>Apartment / Bungalow / Townhouse…</t>
  </si>
  <si>
    <t>🔽  Low end</t>
  </si>
  <si>
    <t>Number of Bedrooms</t>
  </si>
  <si>
    <t>Studio / 1BR / 2BR / 3BR / 4BR+</t>
  </si>
  <si>
    <t>✅  Mid-market</t>
  </si>
  <si>
    <t>Floor (for apartments)</t>
  </si>
  <si>
    <t>3rd floor+</t>
  </si>
  <si>
    <t>Ground / 1st / 2nd / 3rd+</t>
  </si>
  <si>
    <t>🔼  High end</t>
  </si>
  <si>
    <t>Furnishing Status</t>
  </si>
  <si>
    <t>Semi-furnished</t>
  </si>
  <si>
    <t>Unfurnished / Semi / Fully</t>
  </si>
  <si>
    <t>📍  Your estimate</t>
  </si>
  <si>
    <t>Parking Available?</t>
  </si>
  <si>
    <t>Yes</t>
  </si>
  <si>
    <t>Yes / No</t>
  </si>
  <si>
    <t>Exchange rate: ~3,900 UGX/USD  (update in Data sheet)</t>
  </si>
  <si>
    <t>Security (guard / CCTV)</t>
  </si>
  <si>
    <t>Generator / Backup Power</t>
  </si>
  <si>
    <t xml:space="preserve">  🔍  PREMIUM / DISCOUNT FACTORS</t>
  </si>
  <si>
    <t>Swimming Pool</t>
  </si>
  <si>
    <t>No</t>
  </si>
  <si>
    <t>Factor</t>
  </si>
  <si>
    <t>Adjustment</t>
  </si>
  <si>
    <t>Impact</t>
  </si>
  <si>
    <t>Borehole / Water Tank</t>
  </si>
  <si>
    <t>Area tier</t>
  </si>
  <si>
    <t>Internet / Fibre Ready</t>
  </si>
  <si>
    <t>Property type</t>
  </si>
  <si>
    <t>Air Conditioning</t>
  </si>
  <si>
    <t>Bedroom count</t>
  </si>
  <si>
    <t>Furnishing</t>
  </si>
  <si>
    <t>Floor level</t>
  </si>
  <si>
    <t xml:space="preserve">  📈  STEP 2 — ANNUAL PROJECTIONS</t>
  </si>
  <si>
    <t>Amenities bonus</t>
  </si>
  <si>
    <t>Metric</t>
  </si>
  <si>
    <t>Using Mid Estimate</t>
  </si>
  <si>
    <t>Notes</t>
  </si>
  <si>
    <t>Monthly rent (mid)</t>
  </si>
  <si>
    <t xml:space="preserve">  🏘️  AREA COMPARABLES (same bed count)</t>
  </si>
  <si>
    <t>Annual gross rent</t>
  </si>
  <si>
    <t>12 months full occupancy</t>
  </si>
  <si>
    <t>Neighbourhood</t>
  </si>
  <si>
    <t>Typical Low (UGX)</t>
  </si>
  <si>
    <t>Typical High (UGX)</t>
  </si>
  <si>
    <t>Est. vacancy loss (8%)</t>
  </si>
  <si>
    <t>~1 month/year empty</t>
  </si>
  <si>
    <t>Net annual income</t>
  </si>
  <si>
    <t>After vacancy</t>
  </si>
  <si>
    <t>Management fee (10%)</t>
  </si>
  <si>
    <t>Threalty rate</t>
  </si>
  <si>
    <t>Net to landlord</t>
  </si>
  <si>
    <t>After mgmt fee</t>
  </si>
  <si>
    <t>AREA BASE RENT TABLE (UGX/month)</t>
  </si>
  <si>
    <t>CALCULATION ENGINE</t>
  </si>
  <si>
    <t>AMENITY PREMIUMS (added to base)</t>
  </si>
  <si>
    <t>AREA COMPARABLES</t>
  </si>
  <si>
    <t>Area</t>
  </si>
  <si>
    <t>Studio</t>
  </si>
  <si>
    <t>1 Bedroom</t>
  </si>
  <si>
    <t>2 Bedrooms</t>
  </si>
  <si>
    <t>3 Bedrooms</t>
  </si>
  <si>
    <t>4 Bedrooms+</t>
  </si>
  <si>
    <t>Amenity</t>
  </si>
  <si>
    <t>Low Premium</t>
  </si>
  <si>
    <t>Low (UGX)</t>
  </si>
  <si>
    <t>High (UGX)</t>
  </si>
  <si>
    <t>Kololo</t>
  </si>
  <si>
    <t>Parking</t>
  </si>
  <si>
    <t>Security (guard/CCTV)</t>
  </si>
  <si>
    <t>Muyenga</t>
  </si>
  <si>
    <t>Generator</t>
  </si>
  <si>
    <t>Naguru</t>
  </si>
  <si>
    <t>Bugolobi</t>
  </si>
  <si>
    <t>Ntinda</t>
  </si>
  <si>
    <t>Internet / Fibre</t>
  </si>
  <si>
    <t>Bukoto</t>
  </si>
  <si>
    <t>Kisaasi</t>
  </si>
  <si>
    <t>Kyanja</t>
  </si>
  <si>
    <t>Kira</t>
  </si>
  <si>
    <t>USD EXCHANGE RATE</t>
  </si>
  <si>
    <t>Naalya</t>
  </si>
  <si>
    <t>Rate (UGX per USD)</t>
  </si>
  <si>
    <t>Najjera</t>
  </si>
  <si>
    <t>Source / Date</t>
  </si>
  <si>
    <t>BOU rate, Apr 2025</t>
  </si>
  <si>
    <t>Namugongo</t>
  </si>
  <si>
    <t>Buwaate</t>
  </si>
  <si>
    <t>Lubowa</t>
  </si>
  <si>
    <t>Entebbe Road</t>
  </si>
  <si>
    <t>Makindye</t>
  </si>
  <si>
    <t>Kabalagala</t>
  </si>
  <si>
    <t>Mutungo</t>
  </si>
  <si>
    <t>Luzira</t>
  </si>
  <si>
    <t>Nkumba</t>
  </si>
  <si>
    <t>Bweyogerere</t>
  </si>
  <si>
    <t>PROPERTY TYPE MULTIPLIERS</t>
  </si>
  <si>
    <t>Multiplier</t>
  </si>
  <si>
    <t>Apartment</t>
  </si>
  <si>
    <t>Bungalow / Stand-alone</t>
  </si>
  <si>
    <t>Townhouse</t>
  </si>
  <si>
    <t>Commercial Office</t>
  </si>
  <si>
    <t>Retail / Shop</t>
  </si>
  <si>
    <t>FURNISHING MULTIPLIERS</t>
  </si>
  <si>
    <t>Unfurnished</t>
  </si>
  <si>
    <t>Fully furnished</t>
  </si>
  <si>
    <t>FLOOR PREMIUM</t>
  </si>
  <si>
    <t>Floor</t>
  </si>
  <si>
    <t>Ground floor</t>
  </si>
  <si>
    <t>1st floor</t>
  </si>
  <si>
    <t>2nd floor</t>
  </si>
  <si>
    <t>Not applicable</t>
  </si>
  <si>
    <t>KAMPALA RENTAL AREA INDEX  |  Threalty Market Data  |  2025/2026</t>
  </si>
  <si>
    <t>Monthly rent benchmarks in UGX. Based on Knight Frank Uganda H2 2024, Threalty field data Q1 2026, AfricanVestor 2026.</t>
  </si>
  <si>
    <t>4BR+</t>
  </si>
  <si>
    <t>Trend (YoY)</t>
  </si>
  <si>
    <t>⭐⭐⭐⭐⭐ Prime</t>
  </si>
  <si>
    <t>+1.5%</t>
  </si>
  <si>
    <t>Diplomatic belt, embassies, highest demand</t>
  </si>
  <si>
    <t>+0.8%</t>
  </si>
  <si>
    <t>CBD adjacent, gov/corporate tenants</t>
  </si>
  <si>
    <t>⭐⭐⭐⭐ High</t>
  </si>
  <si>
    <t>+2.1%</t>
  </si>
  <si>
    <t>Lake views, expat market</t>
  </si>
  <si>
    <t>+2.5%</t>
  </si>
  <si>
    <t>Low-density, large plots, quiet</t>
  </si>
  <si>
    <t>+3.0%</t>
  </si>
  <si>
    <t>Flat Iron area, popular with expats</t>
  </si>
  <si>
    <t>⭐⭐⭐ Mid</t>
  </si>
  <si>
    <t>+4.2%</t>
  </si>
  <si>
    <t>Fast-growing, good transport links</t>
  </si>
  <si>
    <t>+3.8%</t>
  </si>
  <si>
    <t>Mixed market, near Ntinda</t>
  </si>
  <si>
    <t>+4.5%</t>
  </si>
  <si>
    <t>High demand, affordable mid-market</t>
  </si>
  <si>
    <t>+5.1%</t>
  </si>
  <si>
    <t>New developments, young professionals</t>
  </si>
  <si>
    <t>+5.8%</t>
  </si>
  <si>
    <t>Municipality, strong rental growth corridor</t>
  </si>
  <si>
    <t>+5.3%</t>
  </si>
  <si>
    <t>Growing suburb, good for families</t>
  </si>
  <si>
    <t>⭐⭐ Emerging</t>
  </si>
  <si>
    <t>+6.2%</t>
  </si>
  <si>
    <t>Budget friendly, high occupancy</t>
  </si>
  <si>
    <t>+6.5%</t>
  </si>
  <si>
    <t>Pilgrimage area, steady demand</t>
  </si>
  <si>
    <t>+6.8%</t>
  </si>
  <si>
    <t>Fast-growing near Kira, recommended zone</t>
  </si>
  <si>
    <t>+3.5%</t>
  </si>
  <si>
    <t>Quiet, embassy staff, luxury belt</t>
  </si>
  <si>
    <t>+3.2%</t>
  </si>
  <si>
    <t>Airport corridor, mixed commercial</t>
  </si>
  <si>
    <t>+2.8%</t>
  </si>
  <si>
    <t>Dense residential, affordable</t>
  </si>
  <si>
    <t>+4.0%</t>
  </si>
  <si>
    <t>Vibrant nightlife area, mixed tenant base</t>
  </si>
  <si>
    <t>+3.7%</t>
  </si>
  <si>
    <t>Lake view area, good mid-market</t>
  </si>
  <si>
    <t>+2.2%</t>
  </si>
  <si>
    <t>Industrial area, budget residential</t>
  </si>
  <si>
    <t>⭐ Budget</t>
  </si>
  <si>
    <t>+1.8%</t>
  </si>
  <si>
    <t>Entebbe area, lakeside, specialist market</t>
  </si>
  <si>
    <t>+5.0%</t>
  </si>
  <si>
    <t>Industrial satellite, affordable growing</t>
  </si>
  <si>
    <t>Source: Knight Frank Uganda Residential Report H2 2024 · Threalty field data Q1 2026 · AfricanVestor 2026 · Bank of Uganda FX rates. All figures indicative only.</t>
  </si>
  <si>
    <t>📋  HOW TO USE THE KAMPALA RENT ESTIMATOR</t>
  </si>
  <si>
    <t>STEP</t>
  </si>
  <si>
    <t>WHAT TO DO</t>
  </si>
  <si>
    <t>1. Open Rent Estimator sheet</t>
  </si>
  <si>
    <t>Select the area, property type, bedrooms and features using the yellow dropdown cells in columns B-D.</t>
  </si>
  <si>
    <t>2. Read your estimate</t>
  </si>
  <si>
    <t>The right panel instantly shows you the Low / Mid / High rent range and your estimated figure in UGX and USD.</t>
  </si>
  <si>
    <t>3. Review the premiums</t>
  </si>
  <si>
    <t>The Premium / Discount Factors section explains exactly why the estimate is what it is — area tier, furnishing, amenities.</t>
  </si>
  <si>
    <t>4. Check annual projections</t>
  </si>
  <si>
    <t>Step 2 on the estimator sheet shows annual gross income, vacancy loss, and net income after management fees.</t>
  </si>
  <si>
    <t>5. Browse the Area Index</t>
  </si>
  <si>
    <t>The Area Index sheet shows market benchmarks for all major Kampala suburbs — great for comparing areas.</t>
  </si>
  <si>
    <t>6. Update FX rate</t>
  </si>
  <si>
    <t>Go to the Data &amp; Logic sheet, cell K13, to update the UGX/USD exchange rate if needed.</t>
  </si>
  <si>
    <t>WHO IS THIS FOR?</t>
  </si>
  <si>
    <t>Self-managing landlords</t>
  </si>
  <si>
    <t>Use it to set a fair, evidence-based rent for your unit — not too low (you leave money behind), not too high (unit stays empty).</t>
  </si>
  <si>
    <t>Property investors</t>
  </si>
  <si>
    <t>Quickly estimate achievable rent before acquiring a property. Pair with the Yield Calculator for full investment analysis.</t>
  </si>
  <si>
    <t>Property managers</t>
  </si>
  <si>
    <t>Share with your landlord clients as a transparent evidence base when recommending a rent level.</t>
  </si>
  <si>
    <t>Tenants</t>
  </si>
  <si>
    <t>Use the tool to check whether a quoted rent is in line with the market for that area and spec.</t>
  </si>
  <si>
    <t>IMPORTANT NOTES</t>
  </si>
  <si>
    <t>Ranges not guarantees</t>
  </si>
  <si>
    <t>This tool provides indicative ranges based on published benchmarks. Actual rent depends on your specific unit's condition, views, and current demand.</t>
  </si>
  <si>
    <t>Update the data</t>
  </si>
  <si>
    <t>Rent benchmarks change quarterly. The Data &amp; Logic sheet is designed for easy updates — refresh area base rents once a quarter.</t>
  </si>
  <si>
    <t>Furnished premium</t>
  </si>
  <si>
    <t>A fully furnished unit commands 30-35% above unfurnished. If in doubt, semi-furnished is usually the optimum value-to-cost ratio.</t>
  </si>
  <si>
    <t>About Threalty</t>
  </si>
  <si>
    <t>Threalty is a Kampala-based property management firm. We manage residential and commercial properties across Greater Kampala. Contact us to discuss management of your property.</t>
  </si>
  <si>
    <t>A free tool by Threalty Services Limited  |  www.threalty.site</t>
  </si>
  <si>
    <t xml:space="preserve">⚠️  DISCLAIMER
This tool provides indicative rental estimates based on Kampala market benchmarks (Knight Frank Uganda H2 2024, Q1 2026 data). Actual rents depend on individual property condition, lease terms, negotiation, and current demand. Threalty accepts no liability for decisions made based solely on these estimates. For a formal valuation, contact Threalty.
www.threalty.site  |  Powered by Threalty Services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</si>
</sst>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family val="2"/>
      <charset val="1"/>
    </font>
    <font>
      <b/>
      <sz val="22"/>
      <color rgb="FFFFFFFF"/>
      <name val="Arial"/>
      <charset val="1"/>
    </font>
    <font>
      <i/>
      <sz val="10"/>
      <color rgb="FFFFFFFF"/>
      <name val="Arial"/>
      <charset val="1"/>
    </font>
    <font>
      <b/>
      <sz val="11"/>
      <color rgb="FFFFFFFF"/>
      <name val="Arial"/>
      <charset val="1"/>
    </font>
    <font>
      <sz val="10"/>
      <color rgb="FF000000"/>
      <name val="Arial"/>
      <charset val="1"/>
    </font>
    <font>
      <b/>
      <sz val="10"/>
      <color rgb="FF0000FF"/>
      <name val="Arial"/>
      <charset val="1"/>
    </font>
    <font>
      <i/>
      <sz val="9"/>
      <color rgb="FF888888"/>
      <name val="Arial"/>
      <charset val="1"/>
    </font>
    <font>
      <b/>
      <sz val="9"/>
      <color rgb="FFFFFFFF"/>
      <name val="Arial"/>
      <charset val="1"/>
    </font>
    <font>
      <b/>
      <sz val="10"/>
      <color rgb="FF1D6A3A"/>
      <name val="Arial"/>
      <charset val="1"/>
    </font>
    <font>
      <b/>
      <sz val="13"/>
      <color rgb="FF1D6A3A"/>
      <name val="Arial"/>
      <charset val="1"/>
    </font>
    <font>
      <sz val="10"/>
      <color rgb="FF1D6A3A"/>
      <name val="Arial"/>
      <charset val="1"/>
    </font>
    <font>
      <b/>
      <sz val="10"/>
      <color rgb="FF0E7C6B"/>
      <name val="Arial"/>
      <charset val="1"/>
    </font>
    <font>
      <b/>
      <sz val="13"/>
      <color rgb="FF0E7C6B"/>
      <name val="Arial"/>
      <charset val="1"/>
    </font>
    <font>
      <sz val="10"/>
      <color rgb="FF0E7C6B"/>
      <name val="Arial"/>
      <charset val="1"/>
    </font>
    <font>
      <b/>
      <sz val="10"/>
      <color rgb="FFC8860A"/>
      <name val="Arial"/>
      <charset val="1"/>
    </font>
    <font>
      <b/>
      <sz val="13"/>
      <color rgb="FFC8860A"/>
      <name val="Arial"/>
      <charset val="1"/>
    </font>
    <font>
      <sz val="10"/>
      <color rgb="FFC8860A"/>
      <name val="Arial"/>
      <charset val="1"/>
    </font>
    <font>
      <b/>
      <sz val="10"/>
      <color rgb="FF1A2B4A"/>
      <name val="Arial"/>
      <charset val="1"/>
    </font>
    <font>
      <b/>
      <sz val="13"/>
      <color rgb="FF1A2B4A"/>
      <name val="Arial"/>
      <charset val="1"/>
    </font>
    <font>
      <sz val="10"/>
      <color rgb="FF1A2B4A"/>
      <name val="Arial"/>
      <charset val="1"/>
    </font>
    <font>
      <b/>
      <sz val="10"/>
      <color rgb="FF000000"/>
      <name val="Arial"/>
      <charset val="1"/>
    </font>
    <font>
      <i/>
      <sz val="9"/>
      <color rgb="FF666666"/>
      <name val="Arial"/>
      <charset val="1"/>
    </font>
    <font>
      <i/>
      <sz val="8.5"/>
      <color rgb="FF555555"/>
      <name val="Arial"/>
      <charset val="1"/>
    </font>
    <font>
      <b/>
      <sz val="10"/>
      <color rgb="FFFFFFFF"/>
      <name val="Arial"/>
      <charset val="1"/>
    </font>
    <font>
      <b/>
      <sz val="9"/>
      <name val="Arial"/>
      <charset val="1"/>
    </font>
    <font>
      <sz val="9"/>
      <name val="Arial"/>
      <charset val="1"/>
    </font>
    <font>
      <i/>
      <sz val="9"/>
      <name val="Arial"/>
      <charset val="1"/>
    </font>
    <font>
      <b/>
      <sz val="16"/>
      <color rgb="FFFFFFFF"/>
      <name val="Arial"/>
      <charset val="1"/>
    </font>
    <font>
      <i/>
      <sz val="9"/>
      <color rgb="FFFFFFFF"/>
      <name val="Arial"/>
      <charset val="1"/>
    </font>
    <font>
      <i/>
      <sz val="8"/>
      <color rgb="FF777777"/>
      <name val="Arial"/>
      <charset val="1"/>
    </font>
    <font>
      <b/>
      <sz val="15"/>
      <color rgb="FFFFFFFF"/>
      <name val="Arial"/>
      <charset val="1"/>
    </font>
  </fonts>
  <fills count="15">
    <fill>
      <patternFill patternType="none"/>
    </fill>
    <fill>
      <patternFill patternType="gray125"/>
    </fill>
    <fill>
      <patternFill patternType="solid">
        <fgColor rgb="FF1A2B4A"/>
        <bgColor rgb="FF2C3E50"/>
      </patternFill>
    </fill>
    <fill>
      <patternFill patternType="solid">
        <fgColor rgb="FF1A9E88"/>
        <bgColor rgb="FF008080"/>
      </patternFill>
    </fill>
    <fill>
      <patternFill patternType="solid">
        <fgColor rgb="FF0E7C6B"/>
        <bgColor rgb="FF008080"/>
      </patternFill>
    </fill>
    <fill>
      <patternFill patternType="solid">
        <fgColor rgb="FFF8F9FA"/>
        <bgColor rgb="FFF2F3F4"/>
      </patternFill>
    </fill>
    <fill>
      <patternFill patternType="solid">
        <fgColor rgb="FFFFFF99"/>
        <bgColor rgb="FFFDF3DC"/>
      </patternFill>
    </fill>
    <fill>
      <patternFill patternType="solid">
        <fgColor rgb="FFF2F3F4"/>
        <bgColor rgb="FFF8F9FA"/>
      </patternFill>
    </fill>
    <fill>
      <patternFill patternType="solid">
        <fgColor rgb="FFD5F5E3"/>
        <bgColor rgb="FFD4F0EB"/>
      </patternFill>
    </fill>
    <fill>
      <patternFill patternType="solid">
        <fgColor rgb="FFD4F0EB"/>
        <bgColor rgb="FFD5F5E3"/>
      </patternFill>
    </fill>
    <fill>
      <patternFill patternType="solid">
        <fgColor rgb="FFFDF3DC"/>
        <bgColor rgb="FFF2F3F4"/>
      </patternFill>
    </fill>
    <fill>
      <patternFill patternType="solid">
        <fgColor rgb="FFE8F4FD"/>
        <bgColor rgb="FFF2F3F4"/>
      </patternFill>
    </fill>
    <fill>
      <patternFill patternType="solid">
        <fgColor rgb="FFFFFFFF"/>
        <bgColor rgb="FFF8F9FA"/>
      </patternFill>
    </fill>
    <fill>
      <patternFill patternType="solid">
        <fgColor rgb="FF2C3E50"/>
        <bgColor rgb="FF1A2B4A"/>
      </patternFill>
    </fill>
    <fill>
      <patternFill patternType="solid">
        <fgColor rgb="FFFADBD8"/>
        <bgColor rgb="FFFDF3DC"/>
      </patternFill>
    </fill>
  </fills>
  <borders count="8">
    <border>
      <left/>
      <right/>
      <top/>
      <bottom/>
      <diagonal/>
    </border>
    <border>
      <left style="thin">
        <color rgb="FF0E7C6B"/>
      </left>
      <right/>
      <top style="thin">
        <color rgb="FF0E7C6B"/>
      </top>
      <bottom style="thin">
        <color rgb="FF0E7C6B"/>
      </bottom>
      <diagonal/>
    </border>
    <border>
      <left style="thin">
        <color rgb="FFD5D8DC"/>
      </left>
      <right style="thin">
        <color rgb="FFD5D8DC"/>
      </right>
      <top style="thin">
        <color rgb="FFD5D8DC"/>
      </top>
      <bottom style="thin">
        <color rgb="FFD5D8DC"/>
      </bottom>
      <diagonal/>
    </border>
    <border>
      <left style="thin">
        <color rgb="FFC8860A"/>
      </left>
      <right style="thin">
        <color rgb="FFC8860A"/>
      </right>
      <top style="thin">
        <color rgb="FFC8860A"/>
      </top>
      <bottom style="thin">
        <color rgb="FFC8860A"/>
      </bottom>
      <diagonal/>
    </border>
    <border>
      <left style="thin">
        <color rgb="FFD5D8DC"/>
      </left>
      <right/>
      <top style="thin">
        <color rgb="FFD5D8DC"/>
      </top>
      <bottom/>
      <diagonal/>
    </border>
    <border>
      <left/>
      <right/>
      <top/>
      <bottom style="thin">
        <color rgb="FFD5D8DC"/>
      </bottom>
      <diagonal/>
    </border>
    <border>
      <left style="thin">
        <color rgb="FF0E7C6B"/>
      </left>
      <right style="thin">
        <color rgb="FF0E7C6B"/>
      </right>
      <top style="thin">
        <color rgb="FF0E7C6B"/>
      </top>
      <bottom style="thin">
        <color rgb="FF0E7C6B"/>
      </bottom>
      <diagonal/>
    </border>
    <border>
      <left style="thin">
        <color rgb="FFD5D8DC"/>
      </left>
      <right/>
      <top style="thin">
        <color rgb="FFD5D8DC"/>
      </top>
      <bottom style="thin">
        <color rgb="FFD5D8DC"/>
      </bottom>
      <diagonal/>
    </border>
  </borders>
  <cellStyleXfs count="1">
    <xf numFmtId="0" fontId="0" fillId="0" borderId="0"/>
  </cellStyleXfs>
  <cellXfs count="84">
    <xf numFmtId="0" fontId="0" fillId="0" borderId="0" xfId="0"/>
    <xf numFmtId="0" fontId="0" fillId="0" borderId="0" xfId="0" applyAlignment="1"/>
    <xf numFmtId="0" fontId="4" fillId="5" borderId="2" xfId="0" applyFont="1" applyFill="1" applyBorder="1" applyAlignment="1">
      <alignment horizontal="left" vertical="center" wrapText="1"/>
    </xf>
    <xf numFmtId="0" fontId="5" fillId="6" borderId="3" xfId="0" applyFont="1" applyFill="1" applyBorder="1" applyAlignment="1">
      <alignment horizontal="center" vertical="center" wrapText="1"/>
    </xf>
    <xf numFmtId="0" fontId="6" fillId="7"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8" fillId="8" borderId="2" xfId="0" applyFont="1" applyFill="1" applyBorder="1" applyAlignment="1">
      <alignment horizontal="left" vertical="center" wrapText="1"/>
    </xf>
    <xf numFmtId="3" fontId="9" fillId="8" borderId="2" xfId="0" applyNumberFormat="1" applyFont="1" applyFill="1" applyBorder="1" applyAlignment="1">
      <alignment horizontal="center" vertical="center" wrapText="1"/>
    </xf>
    <xf numFmtId="3" fontId="10" fillId="8" borderId="2" xfId="0" applyNumberFormat="1" applyFont="1" applyFill="1" applyBorder="1" applyAlignment="1">
      <alignment horizontal="center" vertical="center" wrapText="1"/>
    </xf>
    <xf numFmtId="0" fontId="11" fillId="9" borderId="2" xfId="0" applyFont="1" applyFill="1" applyBorder="1" applyAlignment="1">
      <alignment horizontal="left" vertical="center" wrapText="1"/>
    </xf>
    <xf numFmtId="3" fontId="12" fillId="9" borderId="2" xfId="0" applyNumberFormat="1" applyFont="1" applyFill="1" applyBorder="1" applyAlignment="1">
      <alignment horizontal="center" vertical="center" wrapText="1"/>
    </xf>
    <xf numFmtId="3" fontId="13" fillId="9" borderId="2" xfId="0" applyNumberFormat="1" applyFont="1" applyFill="1" applyBorder="1" applyAlignment="1">
      <alignment horizontal="center" vertical="center" wrapText="1"/>
    </xf>
    <xf numFmtId="0" fontId="14" fillId="10" borderId="2" xfId="0" applyFont="1" applyFill="1" applyBorder="1" applyAlignment="1">
      <alignment horizontal="left" vertical="center" wrapText="1"/>
    </xf>
    <xf numFmtId="3" fontId="15" fillId="10" borderId="2" xfId="0" applyNumberFormat="1" applyFont="1" applyFill="1" applyBorder="1" applyAlignment="1">
      <alignment horizontal="center" vertical="center" wrapText="1"/>
    </xf>
    <xf numFmtId="3" fontId="16" fillId="10" borderId="2" xfId="0" applyNumberFormat="1" applyFont="1" applyFill="1" applyBorder="1" applyAlignment="1">
      <alignment horizontal="center" vertical="center" wrapText="1"/>
    </xf>
    <xf numFmtId="0" fontId="17" fillId="11" borderId="2" xfId="0" applyFont="1" applyFill="1" applyBorder="1" applyAlignment="1">
      <alignment horizontal="left" vertical="center" wrapText="1"/>
    </xf>
    <xf numFmtId="3" fontId="18" fillId="11" borderId="2" xfId="0" applyNumberFormat="1" applyFont="1" applyFill="1" applyBorder="1" applyAlignment="1">
      <alignment horizontal="center" vertical="center" wrapText="1"/>
    </xf>
    <xf numFmtId="3" fontId="19" fillId="11" borderId="2" xfId="0" applyNumberFormat="1" applyFont="1" applyFill="1" applyBorder="1" applyAlignment="1">
      <alignment horizontal="center" vertical="center" wrapText="1"/>
    </xf>
    <xf numFmtId="0" fontId="7" fillId="13" borderId="2" xfId="0"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3" fontId="4" fillId="5" borderId="2" xfId="0" applyNumberFormat="1" applyFont="1" applyFill="1" applyBorder="1" applyAlignment="1">
      <alignment horizontal="center" vertical="center" wrapText="1"/>
    </xf>
    <xf numFmtId="0" fontId="4" fillId="12" borderId="2" xfId="0" applyFont="1" applyFill="1" applyBorder="1" applyAlignment="1">
      <alignment horizontal="left" vertical="center" wrapText="1"/>
    </xf>
    <xf numFmtId="164" fontId="4" fillId="12" borderId="2" xfId="0" applyNumberFormat="1" applyFont="1" applyFill="1" applyBorder="1" applyAlignment="1">
      <alignment horizontal="center" vertical="center" wrapText="1"/>
    </xf>
    <xf numFmtId="3" fontId="4" fillId="12" borderId="2" xfId="0" applyNumberFormat="1" applyFont="1" applyFill="1" applyBorder="1" applyAlignment="1">
      <alignment horizontal="center" vertical="center" wrapText="1"/>
    </xf>
    <xf numFmtId="0" fontId="20" fillId="12" borderId="2" xfId="0" applyFont="1" applyFill="1" applyBorder="1" applyAlignment="1">
      <alignment horizontal="left" vertical="center" wrapText="1"/>
    </xf>
    <xf numFmtId="3" fontId="20" fillId="12" borderId="2" xfId="0" applyNumberFormat="1" applyFont="1" applyFill="1" applyBorder="1" applyAlignment="1">
      <alignment horizontal="center" vertical="center" wrapText="1"/>
    </xf>
    <xf numFmtId="0" fontId="21" fillId="12"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3" fontId="4" fillId="8" borderId="2" xfId="0" applyNumberFormat="1" applyFont="1" applyFill="1" applyBorder="1" applyAlignment="1">
      <alignment horizontal="center" vertical="center" wrapText="1"/>
    </xf>
    <xf numFmtId="0" fontId="21" fillId="8" borderId="2" xfId="0" applyFont="1" applyFill="1" applyBorder="1" applyAlignment="1">
      <alignment horizontal="left" vertical="center" wrapText="1"/>
    </xf>
    <xf numFmtId="0" fontId="4" fillId="14" borderId="2" xfId="0" applyFont="1" applyFill="1" applyBorder="1" applyAlignment="1">
      <alignment horizontal="left" vertical="center" wrapText="1"/>
    </xf>
    <xf numFmtId="3" fontId="4" fillId="14" borderId="2" xfId="0" applyNumberFormat="1" applyFont="1" applyFill="1" applyBorder="1" applyAlignment="1">
      <alignment horizontal="center" vertical="center" wrapText="1"/>
    </xf>
    <xf numFmtId="0" fontId="21" fillId="14"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3" fontId="4" fillId="9" borderId="2" xfId="0" applyNumberFormat="1" applyFont="1" applyFill="1" applyBorder="1" applyAlignment="1">
      <alignment horizontal="center" vertical="center" wrapText="1"/>
    </xf>
    <xf numFmtId="0" fontId="21" fillId="9"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3" fontId="4" fillId="10" borderId="2" xfId="0" applyNumberFormat="1" applyFont="1" applyFill="1" applyBorder="1" applyAlignment="1">
      <alignment horizontal="center" vertical="center" wrapText="1"/>
    </xf>
    <xf numFmtId="0" fontId="21" fillId="10" borderId="2" xfId="0" applyFont="1" applyFill="1" applyBorder="1" applyAlignment="1">
      <alignment horizontal="left" vertical="center" wrapText="1"/>
    </xf>
    <xf numFmtId="0" fontId="20" fillId="8" borderId="2" xfId="0" applyFont="1" applyFill="1" applyBorder="1" applyAlignment="1">
      <alignment horizontal="left" vertical="center" wrapText="1"/>
    </xf>
    <xf numFmtId="3" fontId="20" fillId="8" borderId="2" xfId="0" applyNumberFormat="1" applyFont="1" applyFill="1" applyBorder="1" applyAlignment="1">
      <alignment horizontal="center" vertical="center" wrapText="1"/>
    </xf>
    <xf numFmtId="0" fontId="23" fillId="4" borderId="0" xfId="0" applyFont="1" applyFill="1" applyAlignment="1"/>
    <xf numFmtId="0" fontId="7" fillId="13" borderId="2" xfId="0" applyFont="1" applyFill="1" applyBorder="1" applyAlignment="1">
      <alignment horizontal="center" vertical="center"/>
    </xf>
    <xf numFmtId="0" fontId="23" fillId="2" borderId="0" xfId="0" applyFont="1" applyFill="1" applyAlignment="1"/>
    <xf numFmtId="0" fontId="7" fillId="2" borderId="0" xfId="0" applyFont="1" applyFill="1" applyAlignment="1"/>
    <xf numFmtId="0" fontId="7" fillId="4" borderId="2" xfId="0" applyFont="1" applyFill="1" applyBorder="1" applyAlignment="1">
      <alignment horizontal="center" vertical="center" wrapText="1"/>
    </xf>
    <xf numFmtId="0" fontId="24" fillId="9" borderId="2" xfId="0" applyFont="1" applyFill="1" applyBorder="1" applyAlignment="1">
      <alignment horizontal="center" vertical="center" wrapText="1"/>
    </xf>
    <xf numFmtId="3" fontId="11" fillId="9" borderId="6" xfId="0" applyNumberFormat="1" applyFont="1" applyFill="1" applyBorder="1" applyAlignment="1">
      <alignment horizontal="center" vertical="center" wrapText="1"/>
    </xf>
    <xf numFmtId="0" fontId="24" fillId="10"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3" fontId="25" fillId="12" borderId="2" xfId="0" applyNumberFormat="1" applyFont="1" applyFill="1" applyBorder="1" applyAlignment="1">
      <alignment horizontal="center" vertical="center" wrapText="1"/>
    </xf>
    <xf numFmtId="3" fontId="25" fillId="5" borderId="2" xfId="0" applyNumberFormat="1" applyFont="1" applyFill="1" applyBorder="1" applyAlignment="1">
      <alignment horizontal="center" vertical="center" wrapText="1"/>
    </xf>
    <xf numFmtId="0" fontId="25" fillId="5" borderId="2" xfId="0" applyFont="1" applyFill="1" applyBorder="1" applyAlignment="1">
      <alignment horizontal="center" vertical="center" wrapText="1"/>
    </xf>
    <xf numFmtId="3" fontId="25" fillId="0" borderId="2" xfId="0" applyNumberFormat="1" applyFont="1" applyBorder="1" applyAlignment="1">
      <alignment horizontal="center" vertical="center" wrapText="1"/>
    </xf>
    <xf numFmtId="3" fontId="23" fillId="4" borderId="2" xfId="0" applyNumberFormat="1" applyFont="1" applyFill="1" applyBorder="1" applyAlignment="1">
      <alignment horizontal="center" vertical="center" wrapText="1"/>
    </xf>
    <xf numFmtId="164" fontId="25" fillId="5" borderId="2"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3" fontId="24" fillId="9" borderId="2"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wrapText="1"/>
    </xf>
    <xf numFmtId="0" fontId="26" fillId="0" borderId="2" xfId="0" applyFont="1" applyBorder="1" applyAlignment="1">
      <alignment horizontal="center" vertical="center" wrapText="1"/>
    </xf>
    <xf numFmtId="0" fontId="25" fillId="10" borderId="2" xfId="0" applyFont="1" applyFill="1" applyBorder="1" applyAlignment="1">
      <alignment horizontal="center" vertical="center" wrapText="1"/>
    </xf>
    <xf numFmtId="3" fontId="25" fillId="10" borderId="2" xfId="0" applyNumberFormat="1" applyFont="1" applyFill="1" applyBorder="1" applyAlignment="1">
      <alignment horizontal="center" vertical="center" wrapText="1"/>
    </xf>
    <xf numFmtId="0" fontId="25" fillId="10" borderId="2" xfId="0" applyFont="1" applyFill="1" applyBorder="1" applyAlignment="1">
      <alignment horizontal="left" vertical="center" wrapText="1"/>
    </xf>
    <xf numFmtId="0" fontId="25" fillId="9" borderId="2" xfId="0" applyFont="1" applyFill="1" applyBorder="1" applyAlignment="1">
      <alignment horizontal="center" vertical="center" wrapText="1"/>
    </xf>
    <xf numFmtId="3" fontId="25" fillId="9" borderId="2" xfId="0" applyNumberFormat="1" applyFont="1" applyFill="1" applyBorder="1" applyAlignment="1">
      <alignment horizontal="center" vertical="center" wrapText="1"/>
    </xf>
    <xf numFmtId="0" fontId="25" fillId="9" borderId="2" xfId="0" applyFont="1" applyFill="1" applyBorder="1" applyAlignment="1">
      <alignment horizontal="left" vertical="center" wrapText="1"/>
    </xf>
    <xf numFmtId="0" fontId="24" fillId="5" borderId="2" xfId="0" applyFont="1" applyFill="1" applyBorder="1" applyAlignment="1">
      <alignment horizontal="center" vertical="center" wrapText="1"/>
    </xf>
    <xf numFmtId="0" fontId="25" fillId="5" borderId="2" xfId="0" applyFont="1" applyFill="1" applyBorder="1" applyAlignment="1">
      <alignment horizontal="left" vertical="center" wrapText="1"/>
    </xf>
    <xf numFmtId="0" fontId="24" fillId="7"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3" fontId="25" fillId="7" borderId="2" xfId="0" applyNumberFormat="1" applyFont="1" applyFill="1" applyBorder="1" applyAlignment="1">
      <alignment horizontal="center" vertical="center" wrapText="1"/>
    </xf>
    <xf numFmtId="0" fontId="25" fillId="7" borderId="2"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22" fillId="5" borderId="4" xfId="0" applyFont="1" applyFill="1" applyBorder="1" applyAlignment="1">
      <alignment horizontal="left" vertical="top" wrapText="1"/>
    </xf>
    <xf numFmtId="0" fontId="1"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3" fillId="2" borderId="5" xfId="0" applyFont="1" applyFill="1" applyBorder="1" applyAlignment="1">
      <alignment horizontal="left"/>
    </xf>
    <xf numFmtId="0" fontId="27" fillId="2"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30" fillId="2"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D6A3A"/>
      <rgbColor rgb="FF000080"/>
      <rgbColor rgb="FF666666"/>
      <rgbColor rgb="FF800080"/>
      <rgbColor rgb="FF0E7C6B"/>
      <rgbColor rgb="FFF2F3F4"/>
      <rgbColor rgb="FF888888"/>
      <rgbColor rgb="FF9999FF"/>
      <rgbColor rgb="FF993366"/>
      <rgbColor rgb="FFFDF3DC"/>
      <rgbColor rgb="FFD4F0EB"/>
      <rgbColor rgb="FF660066"/>
      <rgbColor rgb="FFFF8080"/>
      <rgbColor rgb="FF0066CC"/>
      <rgbColor rgb="FFD5D8DC"/>
      <rgbColor rgb="FF000080"/>
      <rgbColor rgb="FFFF00FF"/>
      <rgbColor rgb="FFFFFF00"/>
      <rgbColor rgb="FF00FFFF"/>
      <rgbColor rgb="FF800080"/>
      <rgbColor rgb="FF800000"/>
      <rgbColor rgb="FF008080"/>
      <rgbColor rgb="FF0000FF"/>
      <rgbColor rgb="FF00CCFF"/>
      <rgbColor rgb="FFE8F4FD"/>
      <rgbColor rgb="FFD5F5E3"/>
      <rgbColor rgb="FFFFFF99"/>
      <rgbColor rgb="FFF8F9FA"/>
      <rgbColor rgb="FFFF99CC"/>
      <rgbColor rgb="FFCC99FF"/>
      <rgbColor rgb="FFFADBD8"/>
      <rgbColor rgb="FF3366FF"/>
      <rgbColor rgb="FF33CCCC"/>
      <rgbColor rgb="FF99CC00"/>
      <rgbColor rgb="FFFFCC00"/>
      <rgbColor rgb="FFC8860A"/>
      <rgbColor rgb="FFFF6600"/>
      <rgbColor rgb="FF626567"/>
      <rgbColor rgb="FF777777"/>
      <rgbColor rgb="FF1A2B4A"/>
      <rgbColor rgb="FF1A9E88"/>
      <rgbColor rgb="FF003300"/>
      <rgbColor rgb="FF333300"/>
      <rgbColor rgb="FF993300"/>
      <rgbColor rgb="FF993366"/>
      <rgbColor rgb="FF555555"/>
      <rgbColor rgb="FF2C3E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A2B4A"/>
  </sheetPr>
  <dimension ref="A1:H33"/>
  <sheetViews>
    <sheetView showGridLines="0" tabSelected="1" zoomScaleNormal="100" workbookViewId="0">
      <pane xSplit="1" ySplit="5" topLeftCell="B27" activePane="bottomRight" state="frozen"/>
      <selection pane="topRight" activeCell="B1" sqref="B1"/>
      <selection pane="bottomLeft" activeCell="A27" sqref="A27"/>
      <selection pane="bottomRight" activeCell="H35" sqref="H35"/>
    </sheetView>
  </sheetViews>
  <sheetFormatPr defaultColWidth="8.6328125" defaultRowHeight="14.5" x14ac:dyDescent="0.35"/>
  <cols>
    <col min="1" max="1" width="2.453125" style="1" customWidth="1"/>
    <col min="2" max="2" width="30" style="1" customWidth="1"/>
    <col min="3" max="4" width="22" style="1" customWidth="1"/>
    <col min="5" max="5" width="2.453125" style="1" customWidth="1"/>
    <col min="6" max="6" width="28" style="1" customWidth="1"/>
    <col min="7" max="8" width="22" style="1" customWidth="1"/>
  </cols>
  <sheetData>
    <row r="1" spans="2:8" ht="7.5" customHeight="1" x14ac:dyDescent="0.35"/>
    <row r="2" spans="2:8" ht="45.75" customHeight="1" x14ac:dyDescent="0.35">
      <c r="B2" s="76" t="s">
        <v>0</v>
      </c>
      <c r="C2" s="76"/>
      <c r="D2" s="76"/>
      <c r="E2" s="76"/>
      <c r="F2" s="76"/>
      <c r="G2" s="76"/>
      <c r="H2" s="76"/>
    </row>
    <row r="3" spans="2:8" ht="21.75" customHeight="1" x14ac:dyDescent="0.35">
      <c r="B3" s="77" t="s">
        <v>1</v>
      </c>
      <c r="C3" s="77"/>
      <c r="D3" s="77"/>
      <c r="E3" s="77"/>
      <c r="F3" s="77"/>
      <c r="G3" s="77"/>
      <c r="H3" s="77"/>
    </row>
    <row r="4" spans="2:8" ht="7.5" customHeight="1" x14ac:dyDescent="0.35"/>
    <row r="5" spans="2:8" ht="24" customHeight="1" x14ac:dyDescent="0.35">
      <c r="B5" s="74" t="s">
        <v>2</v>
      </c>
      <c r="C5" s="74"/>
      <c r="D5" s="74"/>
      <c r="F5" s="74" t="s">
        <v>3</v>
      </c>
      <c r="G5" s="74"/>
      <c r="H5" s="74"/>
    </row>
    <row r="6" spans="2:8" ht="21.75" customHeight="1" x14ac:dyDescent="0.35">
      <c r="B6" s="2" t="s">
        <v>4</v>
      </c>
      <c r="C6" s="3" t="s">
        <v>91</v>
      </c>
      <c r="D6" s="4" t="s">
        <v>6</v>
      </c>
      <c r="F6" s="5" t="s">
        <v>7</v>
      </c>
      <c r="G6" s="5" t="s">
        <v>8</v>
      </c>
      <c r="H6" s="5" t="s">
        <v>9</v>
      </c>
    </row>
    <row r="7" spans="2:8" ht="27.75" customHeight="1" x14ac:dyDescent="0.35">
      <c r="B7" s="2" t="s">
        <v>10</v>
      </c>
      <c r="C7" s="3" t="s">
        <v>11</v>
      </c>
      <c r="D7" s="4" t="s">
        <v>12</v>
      </c>
      <c r="F7" s="6" t="s">
        <v>13</v>
      </c>
      <c r="G7" s="7">
        <f>'📊 Data &amp; Logic'!H2</f>
        <v>472000</v>
      </c>
      <c r="H7" s="8">
        <f>'📊 Data &amp; Logic'!H2/'📊 Data &amp; Logic'!$K$13</f>
        <v>121.02564102564102</v>
      </c>
    </row>
    <row r="8" spans="2:8" ht="27.75" customHeight="1" x14ac:dyDescent="0.35">
      <c r="B8" s="2" t="s">
        <v>14</v>
      </c>
      <c r="C8" s="3" t="s">
        <v>70</v>
      </c>
      <c r="D8" s="4" t="s">
        <v>15</v>
      </c>
      <c r="F8" s="9" t="s">
        <v>16</v>
      </c>
      <c r="G8" s="10">
        <f>'📊 Data &amp; Logic'!H3</f>
        <v>575000</v>
      </c>
      <c r="H8" s="11">
        <f>'📊 Data &amp; Logic'!H3/'📊 Data &amp; Logic'!$K$13</f>
        <v>147.43589743589743</v>
      </c>
    </row>
    <row r="9" spans="2:8" ht="27.75" customHeight="1" x14ac:dyDescent="0.35">
      <c r="B9" s="2" t="s">
        <v>17</v>
      </c>
      <c r="C9" s="3" t="s">
        <v>123</v>
      </c>
      <c r="D9" s="4" t="s">
        <v>19</v>
      </c>
      <c r="F9" s="12" t="s">
        <v>20</v>
      </c>
      <c r="G9" s="13">
        <f>'📊 Data &amp; Logic'!H4</f>
        <v>702000</v>
      </c>
      <c r="H9" s="14">
        <f>'📊 Data &amp; Logic'!H4/'📊 Data &amp; Logic'!$K$13</f>
        <v>180</v>
      </c>
    </row>
    <row r="10" spans="2:8" ht="27.75" customHeight="1" x14ac:dyDescent="0.35">
      <c r="B10" s="2" t="s">
        <v>21</v>
      </c>
      <c r="C10" s="3" t="s">
        <v>116</v>
      </c>
      <c r="D10" s="4" t="s">
        <v>23</v>
      </c>
      <c r="F10" s="15" t="s">
        <v>24</v>
      </c>
      <c r="G10" s="16">
        <f>'📊 Data &amp; Logic'!H5</f>
        <v>575000</v>
      </c>
      <c r="H10" s="17">
        <f>'📊 Data &amp; Logic'!H5/'📊 Data &amp; Logic'!$K$13</f>
        <v>147.43589743589743</v>
      </c>
    </row>
    <row r="11" spans="2:8" ht="18" customHeight="1" x14ac:dyDescent="0.35">
      <c r="B11" s="2" t="s">
        <v>25</v>
      </c>
      <c r="C11" s="3" t="s">
        <v>26</v>
      </c>
      <c r="D11" s="4" t="s">
        <v>27</v>
      </c>
      <c r="F11" s="78" t="s">
        <v>28</v>
      </c>
      <c r="G11" s="78"/>
      <c r="H11" s="78"/>
    </row>
    <row r="12" spans="2:8" ht="17.25" customHeight="1" x14ac:dyDescent="0.35">
      <c r="B12" s="2" t="s">
        <v>29</v>
      </c>
      <c r="C12" s="3" t="s">
        <v>26</v>
      </c>
      <c r="D12" s="4" t="s">
        <v>27</v>
      </c>
    </row>
    <row r="13" spans="2:8" ht="24" customHeight="1" x14ac:dyDescent="0.35">
      <c r="B13" s="2" t="s">
        <v>30</v>
      </c>
      <c r="C13" s="3" t="s">
        <v>33</v>
      </c>
      <c r="D13" s="4" t="s">
        <v>27</v>
      </c>
      <c r="F13" s="73" t="s">
        <v>31</v>
      </c>
      <c r="G13" s="73"/>
      <c r="H13" s="73"/>
    </row>
    <row r="14" spans="2:8" ht="19.5" customHeight="1" x14ac:dyDescent="0.35">
      <c r="B14" s="2" t="s">
        <v>32</v>
      </c>
      <c r="C14" s="3" t="s">
        <v>33</v>
      </c>
      <c r="D14" s="4" t="s">
        <v>27</v>
      </c>
      <c r="F14" s="18" t="s">
        <v>34</v>
      </c>
      <c r="G14" s="18" t="s">
        <v>35</v>
      </c>
      <c r="H14" s="18" t="s">
        <v>36</v>
      </c>
    </row>
    <row r="15" spans="2:8" ht="19.5" customHeight="1" x14ac:dyDescent="0.35">
      <c r="B15" s="2" t="s">
        <v>37</v>
      </c>
      <c r="C15" s="3" t="s">
        <v>26</v>
      </c>
      <c r="D15" s="4" t="s">
        <v>27</v>
      </c>
      <c r="F15" s="2" t="s">
        <v>38</v>
      </c>
      <c r="G15" s="19">
        <f>'📊 Data &amp; Logic'!H10</f>
        <v>-0.4</v>
      </c>
      <c r="H15" s="20">
        <f>'📊 Data &amp; Logic'!H11</f>
        <v>-200000</v>
      </c>
    </row>
    <row r="16" spans="2:8" ht="19.5" customHeight="1" x14ac:dyDescent="0.35">
      <c r="B16" s="2" t="s">
        <v>39</v>
      </c>
      <c r="C16" s="3" t="s">
        <v>26</v>
      </c>
      <c r="D16" s="4" t="s">
        <v>27</v>
      </c>
      <c r="F16" s="21" t="s">
        <v>40</v>
      </c>
      <c r="G16" s="22">
        <f>'📊 Data &amp; Logic'!H12</f>
        <v>-0.30000000000000004</v>
      </c>
      <c r="H16" s="23">
        <f>'📊 Data &amp; Logic'!H13</f>
        <v>-150000</v>
      </c>
    </row>
    <row r="17" spans="2:8" ht="19.5" customHeight="1" x14ac:dyDescent="0.35">
      <c r="B17" s="2" t="s">
        <v>41</v>
      </c>
      <c r="C17" s="3" t="s">
        <v>33</v>
      </c>
      <c r="D17" s="4" t="s">
        <v>27</v>
      </c>
      <c r="F17" s="2" t="s">
        <v>42</v>
      </c>
      <c r="G17" s="19">
        <f>'📊 Data &amp; Logic'!H14</f>
        <v>0</v>
      </c>
      <c r="H17" s="20">
        <f>'📊 Data &amp; Logic'!H15</f>
        <v>0</v>
      </c>
    </row>
    <row r="18" spans="2:8" ht="19.5" customHeight="1" x14ac:dyDescent="0.35">
      <c r="F18" s="21" t="s">
        <v>43</v>
      </c>
      <c r="G18" s="22">
        <f>'📊 Data &amp; Logic'!H16</f>
        <v>0</v>
      </c>
      <c r="H18" s="23">
        <f>'📊 Data &amp; Logic'!H17</f>
        <v>0</v>
      </c>
    </row>
    <row r="19" spans="2:8" ht="20.5" customHeight="1" x14ac:dyDescent="0.35">
      <c r="F19" s="2" t="s">
        <v>44</v>
      </c>
      <c r="G19" s="19">
        <f>'📊 Data &amp; Logic'!H18</f>
        <v>0</v>
      </c>
      <c r="H19" s="20">
        <f>'📊 Data &amp; Logic'!H19</f>
        <v>0</v>
      </c>
    </row>
    <row r="20" spans="2:8" ht="24" customHeight="1" x14ac:dyDescent="0.35">
      <c r="B20" s="74" t="s">
        <v>45</v>
      </c>
      <c r="C20" s="74"/>
      <c r="D20" s="74"/>
      <c r="F20" s="21" t="s">
        <v>46</v>
      </c>
      <c r="G20" s="22">
        <f>'📊 Data &amp; Logic'!H20</f>
        <v>0.39130434782608697</v>
      </c>
      <c r="H20" s="23">
        <f>'📊 Data &amp; Logic'!H21</f>
        <v>225000</v>
      </c>
    </row>
    <row r="21" spans="2:8" ht="19.5" customHeight="1" x14ac:dyDescent="0.35">
      <c r="B21" s="18" t="s">
        <v>47</v>
      </c>
      <c r="C21" s="18" t="s">
        <v>48</v>
      </c>
      <c r="D21" s="18" t="s">
        <v>49</v>
      </c>
    </row>
    <row r="22" spans="2:8" ht="21.75" customHeight="1" x14ac:dyDescent="0.35">
      <c r="B22" s="24" t="s">
        <v>50</v>
      </c>
      <c r="C22" s="25">
        <f>'📊 Data &amp; Logic'!H3</f>
        <v>575000</v>
      </c>
      <c r="D22" s="26"/>
      <c r="F22" s="74" t="s">
        <v>51</v>
      </c>
      <c r="G22" s="74"/>
      <c r="H22" s="74"/>
    </row>
    <row r="23" spans="2:8" ht="21.75" customHeight="1" x14ac:dyDescent="0.35">
      <c r="B23" s="27" t="s">
        <v>52</v>
      </c>
      <c r="C23" s="28">
        <f>'📊 Data &amp; Logic'!H3*12</f>
        <v>6900000</v>
      </c>
      <c r="D23" s="29" t="s">
        <v>53</v>
      </c>
      <c r="F23" s="5" t="s">
        <v>54</v>
      </c>
      <c r="G23" s="5" t="s">
        <v>55</v>
      </c>
      <c r="H23" s="5" t="s">
        <v>56</v>
      </c>
    </row>
    <row r="24" spans="2:8" ht="21.75" customHeight="1" x14ac:dyDescent="0.35">
      <c r="B24" s="30" t="s">
        <v>57</v>
      </c>
      <c r="C24" s="31">
        <f>'📊 Data &amp; Logic'!H3*12*0.08</f>
        <v>552000</v>
      </c>
      <c r="D24" s="32" t="s">
        <v>58</v>
      </c>
      <c r="F24" s="2" t="str">
        <f>'📊 Data &amp; Logic'!L9</f>
        <v>Kololo</v>
      </c>
      <c r="G24" s="20">
        <f>'📊 Data &amp; Logic'!M9</f>
        <v>861000</v>
      </c>
      <c r="H24" s="20">
        <f>'📊 Data &amp; Logic'!N9</f>
        <v>1281000</v>
      </c>
    </row>
    <row r="25" spans="2:8" ht="21.75" customHeight="1" x14ac:dyDescent="0.35">
      <c r="B25" s="33" t="s">
        <v>59</v>
      </c>
      <c r="C25" s="34">
        <f>'📊 Data &amp; Logic'!H3*12*0.92</f>
        <v>6348000</v>
      </c>
      <c r="D25" s="35" t="s">
        <v>60</v>
      </c>
      <c r="F25" s="21" t="str">
        <f>'📊 Data &amp; Logic'!L10</f>
        <v>Nakasero</v>
      </c>
      <c r="G25" s="23">
        <f>'📊 Data &amp; Logic'!M10</f>
        <v>820000</v>
      </c>
      <c r="H25" s="23">
        <f>'📊 Data &amp; Logic'!N10</f>
        <v>1220000</v>
      </c>
    </row>
    <row r="26" spans="2:8" ht="21.75" customHeight="1" x14ac:dyDescent="0.35">
      <c r="B26" s="36" t="s">
        <v>61</v>
      </c>
      <c r="C26" s="37">
        <f>'📊 Data &amp; Logic'!H3*12*0.1</f>
        <v>690000</v>
      </c>
      <c r="D26" s="38" t="s">
        <v>62</v>
      </c>
      <c r="F26" s="2" t="str">
        <f>'📊 Data &amp; Logic'!L11</f>
        <v>Muyenga</v>
      </c>
      <c r="G26" s="20">
        <f>'📊 Data &amp; Logic'!M11</f>
        <v>697000</v>
      </c>
      <c r="H26" s="20">
        <f>'📊 Data &amp; Logic'!N11</f>
        <v>1037000</v>
      </c>
    </row>
    <row r="27" spans="2:8" ht="21.75" customHeight="1" x14ac:dyDescent="0.35">
      <c r="B27" s="39" t="s">
        <v>63</v>
      </c>
      <c r="C27" s="40">
        <f>'📊 Data &amp; Logic'!H3*12*0.92-'📊 Data &amp; Logic'!H3*12*0.1</f>
        <v>5658000</v>
      </c>
      <c r="D27" s="29" t="s">
        <v>64</v>
      </c>
      <c r="F27" s="21" t="str">
        <f>'📊 Data &amp; Logic'!L12</f>
        <v>Naguru</v>
      </c>
      <c r="G27" s="23">
        <f>'📊 Data &amp; Logic'!M12</f>
        <v>656000</v>
      </c>
      <c r="H27" s="23">
        <f>'📊 Data &amp; Logic'!N12</f>
        <v>976000</v>
      </c>
    </row>
    <row r="28" spans="2:8" ht="20" customHeight="1" x14ac:dyDescent="0.35">
      <c r="F28" s="2" t="str">
        <f>'📊 Data &amp; Logic'!L13</f>
        <v>Bugolobi</v>
      </c>
      <c r="G28" s="20">
        <f>'📊 Data &amp; Logic'!M13</f>
        <v>656000</v>
      </c>
      <c r="H28" s="20">
        <f>'📊 Data &amp; Logic'!N13</f>
        <v>976000</v>
      </c>
    </row>
    <row r="29" spans="2:8" ht="15.75" customHeight="1" x14ac:dyDescent="0.35">
      <c r="B29" s="75" t="s">
        <v>212</v>
      </c>
      <c r="C29" s="75"/>
      <c r="D29" s="75"/>
      <c r="F29" s="21" t="str">
        <f>'📊 Data &amp; Logic'!L14</f>
        <v>Ntinda</v>
      </c>
      <c r="G29" s="23">
        <f>'📊 Data &amp; Logic'!M14</f>
        <v>533000</v>
      </c>
      <c r="H29" s="23">
        <f>'📊 Data &amp; Logic'!N14</f>
        <v>793000</v>
      </c>
    </row>
    <row r="30" spans="2:8" ht="15.75" customHeight="1" x14ac:dyDescent="0.35">
      <c r="B30" s="75"/>
      <c r="C30" s="75"/>
      <c r="D30" s="75"/>
    </row>
    <row r="31" spans="2:8" ht="15.75" customHeight="1" x14ac:dyDescent="0.35">
      <c r="B31" s="75"/>
      <c r="C31" s="75"/>
      <c r="D31" s="75"/>
    </row>
    <row r="32" spans="2:8" ht="15.75" customHeight="1" x14ac:dyDescent="0.35">
      <c r="B32" s="75"/>
      <c r="C32" s="75"/>
      <c r="D32" s="75"/>
    </row>
    <row r="33" spans="2:4" ht="15.75" customHeight="1" x14ac:dyDescent="0.35">
      <c r="B33" s="75"/>
      <c r="C33" s="75"/>
      <c r="D33" s="75"/>
    </row>
  </sheetData>
  <mergeCells count="9">
    <mergeCell ref="F13:H13"/>
    <mergeCell ref="B20:D20"/>
    <mergeCell ref="F22:H22"/>
    <mergeCell ref="B29:D33"/>
    <mergeCell ref="B2:H2"/>
    <mergeCell ref="B3:H3"/>
    <mergeCell ref="B5:D5"/>
    <mergeCell ref="F5:H5"/>
    <mergeCell ref="F11:H11"/>
  </mergeCells>
  <dataValidations count="6">
    <dataValidation type="list" allowBlank="1" sqref="C6">
      <formula1>"Kololo,Nakasero,Muyenga,Naguru,Bugolobi,Ntinda,Bukoto,Kisaasi,Kyanja,Kira,Naalya,Najjera,Namugongo,Buwaate,Lubowa,Entebbe Road,Makindye,Kabalagala,Mutungo,Luzira,Nkumba,Bweyogerere"</formula1>
      <formula2>0</formula2>
    </dataValidation>
    <dataValidation type="list" allowBlank="1" sqref="C7">
      <formula1>"Apartment,Bungalow / Stand-alone,Townhouse,Studio / Bedsitter,Commercial Office,Retail / Shop"</formula1>
      <formula2>0</formula2>
    </dataValidation>
    <dataValidation type="list" allowBlank="1" sqref="C8">
      <formula1>"Studio,1 Bedroom,2 Bedrooms,3 Bedrooms,4 Bedrooms,5+ Bedrooms"</formula1>
      <formula2>0</formula2>
    </dataValidation>
    <dataValidation type="list" allowBlank="1" sqref="C9">
      <formula1>"Ground floor,1st floor,2nd floor,3rd floor+,Not applicable"</formula1>
      <formula2>0</formula2>
    </dataValidation>
    <dataValidation type="list" allowBlank="1" sqref="C10">
      <formula1>"Unfurnished,Semi-furnished,Fully furnished"</formula1>
      <formula2>0</formula2>
    </dataValidation>
    <dataValidation type="list" allowBlank="1" sqref="C11:C17">
      <formula1>"Yes,No"</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E7C6B"/>
  </sheetPr>
  <dimension ref="A1:N48"/>
  <sheetViews>
    <sheetView showGridLines="0" topLeftCell="A34" zoomScaleNormal="100" workbookViewId="0">
      <selection activeCell="J16" sqref="J16"/>
    </sheetView>
  </sheetViews>
  <sheetFormatPr defaultColWidth="8.6328125" defaultRowHeight="14.5" x14ac:dyDescent="0.35"/>
  <cols>
    <col min="1" max="1" width="31.81640625" style="1" customWidth="1"/>
    <col min="2" max="4" width="16" style="1" customWidth="1"/>
    <col min="5" max="5" width="15.453125" style="1" customWidth="1"/>
    <col min="6" max="6" width="31" style="1" customWidth="1"/>
    <col min="7" max="7" width="16" style="1" customWidth="1"/>
    <col min="8" max="8" width="23.1796875" style="1" customWidth="1"/>
    <col min="9" max="9" width="3" style="1" customWidth="1"/>
    <col min="10" max="10" width="33" style="1" customWidth="1"/>
    <col min="11" max="11" width="16" style="1" customWidth="1"/>
    <col min="12" max="12" width="22" style="1" customWidth="1"/>
    <col min="13" max="14" width="18" style="1" customWidth="1"/>
  </cols>
  <sheetData>
    <row r="1" spans="1:14" ht="15" customHeight="1" x14ac:dyDescent="0.35">
      <c r="A1" s="79" t="s">
        <v>65</v>
      </c>
      <c r="B1" s="79"/>
      <c r="F1" s="41"/>
      <c r="H1" s="42" t="s">
        <v>66</v>
      </c>
      <c r="J1" s="43" t="s">
        <v>67</v>
      </c>
      <c r="L1" s="44" t="s">
        <v>68</v>
      </c>
    </row>
    <row r="2" spans="1:14" ht="53.25" customHeight="1" x14ac:dyDescent="0.35">
      <c r="A2" s="45" t="s">
        <v>69</v>
      </c>
      <c r="B2" s="45" t="s">
        <v>70</v>
      </c>
      <c r="C2" s="45" t="s">
        <v>71</v>
      </c>
      <c r="D2" s="45" t="s">
        <v>72</v>
      </c>
      <c r="E2" s="45" t="s">
        <v>73</v>
      </c>
      <c r="F2" s="46" t="s">
        <v>74</v>
      </c>
      <c r="G2" s="46" t="s">
        <v>7</v>
      </c>
      <c r="H2" s="47">
        <f>ROUND(H3*0.82,-3)</f>
        <v>472000</v>
      </c>
      <c r="J2" s="48" t="s">
        <v>75</v>
      </c>
      <c r="K2" s="48" t="s">
        <v>76</v>
      </c>
      <c r="L2" s="45" t="s">
        <v>69</v>
      </c>
      <c r="M2" s="45" t="s">
        <v>77</v>
      </c>
      <c r="N2" s="45" t="s">
        <v>78</v>
      </c>
    </row>
    <row r="3" spans="1:14" ht="15" customHeight="1" x14ac:dyDescent="0.35">
      <c r="A3" s="49" t="s">
        <v>79</v>
      </c>
      <c r="B3" s="50">
        <v>1050000</v>
      </c>
      <c r="C3" s="50">
        <v>2050000</v>
      </c>
      <c r="D3" s="50">
        <v>3700000</v>
      </c>
      <c r="E3" s="50">
        <v>6300000</v>
      </c>
      <c r="F3" s="51">
        <v>10350000</v>
      </c>
      <c r="G3" s="52">
        <v>5</v>
      </c>
      <c r="H3" s="47">
        <f>ROUND((IFERROR(VLOOKUP('🏠 Rent Estimator'!C6,'📊 Data &amp; Logic'!$A$3:$F$25,MIN(MATCH('🏠 Rent Estimator'!C8,{"Studio","1 Bedroom","2 Bedrooms","3 Bedrooms","4 Bedrooms","5+ Bedrooms"},0),5)+1,0),1500000))*IFERROR(VLOOKUP('🏠 Rent Estimator'!C7,'📊 Data &amp; Logic'!$F$29:$G$34,2,0),1)*IFERROR(VLOOKUP('🏠 Rent Estimator'!C10,'📊 Data &amp; Logic'!$F$38:$G$40,2,0),1)*IFERROR(VLOOKUP('🏠 Rent Estimator'!C9,'📊 Data &amp; Logic'!$F$44:$G$48,2,0),1)+IF('🏠 Rent Estimator'!C11="Yes",'📊 Data &amp; Logic'!$K$3,0)+IF('🏠 Rent Estimator'!C12="Yes",'📊 Data &amp; Logic'!$K$4,0)+IF('🏠 Rent Estimator'!C13="Yes",'📊 Data &amp; Logic'!$K$5,0)+IF('🏠 Rent Estimator'!C14="Yes",'📊 Data &amp; Logic'!$K$6,0)+IF('🏠 Rent Estimator'!C15="Yes",'📊 Data &amp; Logic'!$K$7,0)+IF('🏠 Rent Estimator'!C16="Yes",'📊 Data &amp; Logic'!$K$8,0)+IF('🏠 Rent Estimator'!C17="Yes",'📊 Data &amp; Logic'!$K$9,0),-3)</f>
        <v>575000</v>
      </c>
      <c r="J3" s="52" t="s">
        <v>80</v>
      </c>
      <c r="K3" s="51">
        <v>55000</v>
      </c>
      <c r="L3" s="53"/>
    </row>
    <row r="4" spans="1:14" ht="15" customHeight="1" x14ac:dyDescent="0.35">
      <c r="A4" s="52" t="s">
        <v>5</v>
      </c>
      <c r="B4" s="51">
        <v>1000000</v>
      </c>
      <c r="C4" s="51">
        <v>1850000</v>
      </c>
      <c r="D4" s="51">
        <v>3350000</v>
      </c>
      <c r="E4" s="51">
        <v>5750000</v>
      </c>
      <c r="F4" s="50">
        <v>9200000</v>
      </c>
      <c r="G4" s="49">
        <v>5</v>
      </c>
      <c r="H4" s="47">
        <f>ROUND(H3*1.22,-3)</f>
        <v>702000</v>
      </c>
      <c r="J4" s="49" t="s">
        <v>81</v>
      </c>
      <c r="K4" s="50">
        <v>90000</v>
      </c>
      <c r="L4" s="53"/>
    </row>
    <row r="5" spans="1:14" ht="15" customHeight="1" x14ac:dyDescent="0.35">
      <c r="A5" s="49" t="s">
        <v>82</v>
      </c>
      <c r="B5" s="50">
        <v>850000</v>
      </c>
      <c r="C5" s="50">
        <v>1600000</v>
      </c>
      <c r="D5" s="50">
        <v>3000000</v>
      </c>
      <c r="E5" s="50">
        <v>5200000</v>
      </c>
      <c r="F5" s="51">
        <v>8600000</v>
      </c>
      <c r="G5" s="52">
        <v>4</v>
      </c>
      <c r="H5" s="47">
        <f>H3</f>
        <v>575000</v>
      </c>
      <c r="J5" s="52" t="s">
        <v>83</v>
      </c>
      <c r="K5" s="51">
        <v>70000</v>
      </c>
      <c r="L5" s="53"/>
    </row>
    <row r="6" spans="1:14" ht="15" customHeight="1" x14ac:dyDescent="0.35">
      <c r="A6" s="52" t="s">
        <v>84</v>
      </c>
      <c r="B6" s="51">
        <v>800000</v>
      </c>
      <c r="C6" s="51">
        <v>1500000</v>
      </c>
      <c r="D6" s="51">
        <v>2750000</v>
      </c>
      <c r="E6" s="51">
        <v>4850000</v>
      </c>
      <c r="F6" s="50">
        <v>8050000</v>
      </c>
      <c r="G6" s="49">
        <v>4</v>
      </c>
      <c r="J6" s="49" t="s">
        <v>32</v>
      </c>
      <c r="K6" s="50">
        <v>230000</v>
      </c>
      <c r="L6" s="53"/>
    </row>
    <row r="7" spans="1:14" ht="15" customHeight="1" x14ac:dyDescent="0.35">
      <c r="A7" s="49" t="s">
        <v>85</v>
      </c>
      <c r="B7" s="50">
        <v>800000</v>
      </c>
      <c r="C7" s="50">
        <v>1450000</v>
      </c>
      <c r="D7" s="50">
        <v>2650000</v>
      </c>
      <c r="E7" s="50">
        <v>4600000</v>
      </c>
      <c r="F7" s="51">
        <v>7450000</v>
      </c>
      <c r="G7" s="52">
        <v>4</v>
      </c>
      <c r="J7" s="52" t="s">
        <v>37</v>
      </c>
      <c r="K7" s="51">
        <v>45000</v>
      </c>
      <c r="L7" s="53"/>
    </row>
    <row r="8" spans="1:14" ht="15" customHeight="1" x14ac:dyDescent="0.35">
      <c r="A8" s="52" t="s">
        <v>86</v>
      </c>
      <c r="B8" s="51">
        <v>650000</v>
      </c>
      <c r="C8" s="51">
        <v>1150000</v>
      </c>
      <c r="D8" s="51">
        <v>2050000</v>
      </c>
      <c r="E8" s="51">
        <v>3700000</v>
      </c>
      <c r="F8" s="50">
        <v>6300000</v>
      </c>
      <c r="G8" s="49">
        <v>3</v>
      </c>
      <c r="J8" s="49" t="s">
        <v>87</v>
      </c>
      <c r="K8" s="50">
        <v>35000</v>
      </c>
      <c r="L8" s="53"/>
    </row>
    <row r="9" spans="1:14" ht="15" customHeight="1" x14ac:dyDescent="0.35">
      <c r="A9" s="49" t="s">
        <v>88</v>
      </c>
      <c r="B9" s="50">
        <v>600000</v>
      </c>
      <c r="C9" s="50">
        <v>1150000</v>
      </c>
      <c r="D9" s="50">
        <v>2000000</v>
      </c>
      <c r="E9" s="50">
        <v>3550000</v>
      </c>
      <c r="F9" s="50">
        <v>6000000</v>
      </c>
      <c r="G9" s="49">
        <v>3</v>
      </c>
      <c r="J9" s="52" t="s">
        <v>41</v>
      </c>
      <c r="K9" s="51">
        <v>115000</v>
      </c>
      <c r="L9" s="51" t="s">
        <v>79</v>
      </c>
      <c r="M9" s="50">
        <f>IFERROR(ROUND(VLOOKUP("Kololo",$A$3:$F$25,MIN(MATCH('🏠 Rent Estimator'!C8,{"Studio","1 Bedroom","2 Bedrooms","3 Bedrooms","4 Bedrooms","5+ Bedrooms"},0),5)+1,0)*0.82,-3),"-")</f>
        <v>861000</v>
      </c>
      <c r="N9" s="50">
        <f>IFERROR(ROUND(VLOOKUP("Kololo",$A$3:$F$25,MIN(MATCH('🏠 Rent Estimator'!C8,{"Studio","1 Bedroom","2 Bedrooms","3 Bedrooms","4 Bedrooms","5+ Bedrooms"},0),5)+1,0)*1.22,-3),"-")</f>
        <v>1281000</v>
      </c>
    </row>
    <row r="10" spans="1:14" ht="23.25" customHeight="1" x14ac:dyDescent="0.35">
      <c r="A10" s="52" t="s">
        <v>89</v>
      </c>
      <c r="B10" s="51">
        <v>600000</v>
      </c>
      <c r="C10" s="51">
        <v>1100000</v>
      </c>
      <c r="D10" s="51">
        <v>1950000</v>
      </c>
      <c r="E10" s="51">
        <v>3450000</v>
      </c>
      <c r="F10" s="54">
        <v>5750000</v>
      </c>
      <c r="G10" s="52">
        <v>3</v>
      </c>
      <c r="H10" s="55">
        <f>IFERROR(VLOOKUP('🏠 Rent Estimator'!C6,'📊 Data &amp; Logic'!$A$3:$G$25,7,0)/5-1,0)</f>
        <v>-0.4</v>
      </c>
      <c r="L10" s="56" t="s">
        <v>5</v>
      </c>
      <c r="M10" s="51">
        <f>IFERROR(ROUND(VLOOKUP("Nakasero",$A$3:$F$25,MIN(MATCH('🏠 Rent Estimator'!C8,{"Studio","1 Bedroom","2 Bedrooms","3 Bedrooms","4 Bedrooms","5+ Bedrooms"},0),5)+1,0)*0.82,-3),"-")</f>
        <v>820000</v>
      </c>
      <c r="N10" s="51">
        <f>IFERROR(ROUND(VLOOKUP("Nakasero",$A$3:$F$25,MIN(MATCH('🏠 Rent Estimator'!C8,{"Studio","1 Bedroom","2 Bedrooms","3 Bedrooms","4 Bedrooms","5+ Bedrooms"},0),5)+1,0)*1.22,-3),"-")</f>
        <v>1220000</v>
      </c>
    </row>
    <row r="11" spans="1:14" ht="15" customHeight="1" x14ac:dyDescent="0.35">
      <c r="A11" s="49" t="s">
        <v>90</v>
      </c>
      <c r="B11" s="50">
        <v>550000</v>
      </c>
      <c r="C11" s="50">
        <v>1050000</v>
      </c>
      <c r="D11" s="50">
        <v>1850000</v>
      </c>
      <c r="E11" s="50">
        <v>3200000</v>
      </c>
      <c r="F11" s="57">
        <v>5500000</v>
      </c>
      <c r="G11" s="46">
        <v>3</v>
      </c>
      <c r="H11" s="51">
        <f>ROUND((IFERROR(VLOOKUP('🏠 Rent Estimator'!C6,'📊 Data &amp; Logic'!$A$3:$F$25,MIN(MATCH('🏠 Rent Estimator'!C8,{"Studio","1 Bedroom","2 Bedrooms","3 Bedrooms","4 Bedrooms","5+ Bedrooms"},0),5)+1,0),1500000))*H10,0)</f>
        <v>-200000</v>
      </c>
      <c r="L11" s="56" t="s">
        <v>82</v>
      </c>
      <c r="M11" s="50">
        <f>IFERROR(ROUND(VLOOKUP("Muyenga",$A$3:$F$25,MIN(MATCH('🏠 Rent Estimator'!C8,{"Studio","1 Bedroom","2 Bedrooms","3 Bedrooms","4 Bedrooms","5+ Bedrooms"},0),5)+1,0)*0.82,-3),"-")</f>
        <v>697000</v>
      </c>
      <c r="N11" s="50">
        <f>IFERROR(ROUND(VLOOKUP("Muyenga",$A$3:$F$25,MIN(MATCH('🏠 Rent Estimator'!C8,{"Studio","1 Bedroom","2 Bedrooms","3 Bedrooms","4 Bedrooms","5+ Bedrooms"},0),5)+1,0)*1.22,-3),"-")</f>
        <v>1037000</v>
      </c>
    </row>
    <row r="12" spans="1:14" ht="15" customHeight="1" x14ac:dyDescent="0.35">
      <c r="A12" s="52" t="s">
        <v>91</v>
      </c>
      <c r="B12" s="51">
        <v>500000</v>
      </c>
      <c r="C12" s="51">
        <v>1000000</v>
      </c>
      <c r="D12" s="51">
        <v>1800000</v>
      </c>
      <c r="E12" s="51">
        <v>3100000</v>
      </c>
      <c r="F12" s="51">
        <v>5300000</v>
      </c>
      <c r="G12" s="52">
        <v>3</v>
      </c>
      <c r="H12" s="55">
        <f>IFERROR(VLOOKUP('🏠 Rent Estimator'!C7,'📊 Data &amp; Logic'!$F$29:$G$34,2,0),1)-1</f>
        <v>-0.30000000000000004</v>
      </c>
      <c r="J12" s="41" t="s">
        <v>92</v>
      </c>
      <c r="L12" s="56" t="s">
        <v>84</v>
      </c>
      <c r="M12" s="51">
        <f>IFERROR(ROUND(VLOOKUP("Naguru",$A$3:$F$25,MIN(MATCH('🏠 Rent Estimator'!C8,{"Studio","1 Bedroom","2 Bedrooms","3 Bedrooms","4 Bedrooms","5+ Bedrooms"},0),5)+1,0)*0.82,-3),"-")</f>
        <v>656000</v>
      </c>
      <c r="N12" s="51">
        <f>IFERROR(ROUND(VLOOKUP("Naguru",$A$3:$F$25,MIN(MATCH('🏠 Rent Estimator'!C8,{"Studio","1 Bedroom","2 Bedrooms","3 Bedrooms","4 Bedrooms","5+ Bedrooms"},0),5)+1,0)*1.22,-3),"-")</f>
        <v>976000</v>
      </c>
    </row>
    <row r="13" spans="1:14" ht="15" customHeight="1" x14ac:dyDescent="0.35">
      <c r="A13" s="49" t="s">
        <v>93</v>
      </c>
      <c r="B13" s="50">
        <v>500000</v>
      </c>
      <c r="C13" s="50">
        <v>1000000</v>
      </c>
      <c r="D13" s="50">
        <v>1700000</v>
      </c>
      <c r="E13" s="50">
        <v>3000000</v>
      </c>
      <c r="F13" s="50">
        <v>5200000</v>
      </c>
      <c r="G13" s="49">
        <v>3</v>
      </c>
      <c r="H13" s="51">
        <f>ROUND((IFERROR(VLOOKUP('🏠 Rent Estimator'!C6,'📊 Data &amp; Logic'!$A$3:$F$25,MIN(MATCH('🏠 Rent Estimator'!C8,{"Studio","1 Bedroom","2 Bedrooms","3 Bedrooms","4 Bedrooms","5+ Bedrooms"},0),5)+1,0),1500000))*H12,0)</f>
        <v>-150000</v>
      </c>
      <c r="J13" s="56" t="s">
        <v>94</v>
      </c>
      <c r="K13" s="58">
        <v>3900</v>
      </c>
      <c r="L13" s="56" t="s">
        <v>85</v>
      </c>
      <c r="M13" s="50">
        <f>IFERROR(ROUND(VLOOKUP("Bugolobi",$A$3:$F$25,MIN(MATCH('🏠 Rent Estimator'!C8,{"Studio","1 Bedroom","2 Bedrooms","3 Bedrooms","4 Bedrooms","5+ Bedrooms"},0),5)+1,0)*0.82,-3),"-")</f>
        <v>656000</v>
      </c>
      <c r="N13" s="50">
        <f>IFERROR(ROUND(VLOOKUP("Bugolobi",$A$3:$F$25,MIN(MATCH('🏠 Rent Estimator'!C8,{"Studio","1 Bedroom","2 Bedrooms","3 Bedrooms","4 Bedrooms","5+ Bedrooms"},0),5)+1,0)*1.22,-3),"-")</f>
        <v>976000</v>
      </c>
    </row>
    <row r="14" spans="1:14" ht="15" customHeight="1" x14ac:dyDescent="0.35">
      <c r="A14" s="52" t="s">
        <v>95</v>
      </c>
      <c r="B14" s="51">
        <v>500000</v>
      </c>
      <c r="C14" s="51">
        <v>950000</v>
      </c>
      <c r="D14" s="51">
        <v>1650000</v>
      </c>
      <c r="E14" s="51">
        <v>2900000</v>
      </c>
      <c r="F14" s="51">
        <v>4850000</v>
      </c>
      <c r="G14" s="52">
        <v>2</v>
      </c>
      <c r="H14" s="55">
        <f>0</f>
        <v>0</v>
      </c>
      <c r="J14" s="59" t="s">
        <v>96</v>
      </c>
      <c r="K14" s="59" t="s">
        <v>97</v>
      </c>
      <c r="L14" s="56" t="s">
        <v>86</v>
      </c>
      <c r="M14" s="51">
        <f>IFERROR(ROUND(VLOOKUP("Ntinda",$A$3:$F$25,MIN(MATCH('🏠 Rent Estimator'!C8,{"Studio","1 Bedroom","2 Bedrooms","3 Bedrooms","4 Bedrooms","5+ Bedrooms"},0),5)+1,0)*0.82,-3),"-")</f>
        <v>533000</v>
      </c>
      <c r="N14" s="51">
        <f>IFERROR(ROUND(VLOOKUP("Ntinda",$A$3:$F$25,MIN(MATCH('🏠 Rent Estimator'!C8,{"Studio","1 Bedroom","2 Bedrooms","3 Bedrooms","4 Bedrooms","5+ Bedrooms"},0),5)+1,0)*1.22,-3),"-")</f>
        <v>793000</v>
      </c>
    </row>
    <row r="15" spans="1:14" ht="15" customHeight="1" x14ac:dyDescent="0.35">
      <c r="A15" s="49" t="s">
        <v>98</v>
      </c>
      <c r="B15" s="50">
        <v>500000</v>
      </c>
      <c r="C15" s="50">
        <v>900000</v>
      </c>
      <c r="D15" s="50">
        <v>1600000</v>
      </c>
      <c r="E15" s="50">
        <v>2750000</v>
      </c>
      <c r="F15" s="50">
        <v>4600000</v>
      </c>
      <c r="G15" s="49">
        <v>2</v>
      </c>
      <c r="H15" s="51">
        <f>0</f>
        <v>0</v>
      </c>
    </row>
    <row r="16" spans="1:14" ht="15" customHeight="1" x14ac:dyDescent="0.35">
      <c r="A16" s="52" t="s">
        <v>99</v>
      </c>
      <c r="B16" s="51">
        <v>500000</v>
      </c>
      <c r="C16" s="51">
        <v>900000</v>
      </c>
      <c r="D16" s="51">
        <v>1600000</v>
      </c>
      <c r="E16" s="51">
        <v>2700000</v>
      </c>
      <c r="F16" s="54">
        <v>4500000</v>
      </c>
      <c r="G16" s="52">
        <v>2</v>
      </c>
      <c r="H16" s="55">
        <f>IFERROR(VLOOKUP('🏠 Rent Estimator'!C10,'📊 Data &amp; Logic'!$F$38:$G$40,2,0),1)-1</f>
        <v>0</v>
      </c>
    </row>
    <row r="17" spans="1:8" ht="15" customHeight="1" x14ac:dyDescent="0.35">
      <c r="A17" s="49" t="s">
        <v>100</v>
      </c>
      <c r="B17" s="50">
        <v>700000</v>
      </c>
      <c r="C17" s="50">
        <v>1250000</v>
      </c>
      <c r="D17" s="50">
        <v>2300000</v>
      </c>
      <c r="E17" s="50">
        <v>4000000</v>
      </c>
      <c r="F17" s="57">
        <v>6900000</v>
      </c>
      <c r="G17" s="46">
        <v>4</v>
      </c>
      <c r="H17" s="51">
        <f>ROUND(H3*H16/(1+H16),0)</f>
        <v>0</v>
      </c>
    </row>
    <row r="18" spans="1:8" ht="15" customHeight="1" x14ac:dyDescent="0.35">
      <c r="A18" s="52" t="s">
        <v>101</v>
      </c>
      <c r="B18" s="51">
        <v>650000</v>
      </c>
      <c r="C18" s="51">
        <v>1200000</v>
      </c>
      <c r="D18" s="51">
        <v>2200000</v>
      </c>
      <c r="E18" s="51">
        <v>3800000</v>
      </c>
      <c r="F18" s="51">
        <v>6450000</v>
      </c>
      <c r="G18" s="52">
        <v>3</v>
      </c>
      <c r="H18" s="55">
        <f>IFERROR(VLOOKUP('🏠 Rent Estimator'!C9,'📊 Data &amp; Logic'!$F$44:$G$48,2,0),1)-1</f>
        <v>0</v>
      </c>
    </row>
    <row r="19" spans="1:8" ht="15" customHeight="1" x14ac:dyDescent="0.35">
      <c r="A19" s="49" t="s">
        <v>102</v>
      </c>
      <c r="B19" s="50">
        <v>450000</v>
      </c>
      <c r="C19" s="50">
        <v>850000</v>
      </c>
      <c r="D19" s="50">
        <v>1550000</v>
      </c>
      <c r="E19" s="50">
        <v>2650000</v>
      </c>
      <c r="F19" s="50">
        <v>4350000</v>
      </c>
      <c r="G19" s="49">
        <v>2</v>
      </c>
      <c r="H19" s="51">
        <f>ROUND(H3*H18/(1+H18),0)</f>
        <v>0</v>
      </c>
    </row>
    <row r="20" spans="1:8" ht="15" customHeight="1" x14ac:dyDescent="0.35">
      <c r="A20" s="52" t="s">
        <v>103</v>
      </c>
      <c r="B20" s="51">
        <v>500000</v>
      </c>
      <c r="C20" s="51">
        <v>1000000</v>
      </c>
      <c r="D20" s="51">
        <v>1700000</v>
      </c>
      <c r="E20" s="51">
        <v>3000000</v>
      </c>
      <c r="F20" s="51">
        <v>5050000</v>
      </c>
      <c r="G20" s="52">
        <v>3</v>
      </c>
      <c r="H20" s="55">
        <f>IFERROR((IF('🏠 Rent Estimator'!C11="Yes",'📊 Data &amp; Logic'!$K$3,0)+IF('🏠 Rent Estimator'!C12="Yes",'📊 Data &amp; Logic'!$K$4,0)+IF('🏠 Rent Estimator'!C13="Yes",'📊 Data &amp; Logic'!$K$5,0)+IF('🏠 Rent Estimator'!C14="Yes",'📊 Data &amp; Logic'!$K$6,0)+IF('🏠 Rent Estimator'!C15="Yes",'📊 Data &amp; Logic'!$K$7,0)+IF('🏠 Rent Estimator'!C16="Yes",'📊 Data &amp; Logic'!$K$8,0)+IF('🏠 Rent Estimator'!C17="Yes",'📊 Data &amp; Logic'!$K$9,0))/H3,0)</f>
        <v>0.39130434782608697</v>
      </c>
    </row>
    <row r="21" spans="1:8" ht="15" customHeight="1" x14ac:dyDescent="0.35">
      <c r="A21" s="49" t="s">
        <v>104</v>
      </c>
      <c r="B21" s="50">
        <v>550000</v>
      </c>
      <c r="C21" s="50">
        <v>1050000</v>
      </c>
      <c r="D21" s="50">
        <v>1850000</v>
      </c>
      <c r="E21" s="50">
        <v>3200000</v>
      </c>
      <c r="F21" s="50">
        <v>5400000</v>
      </c>
      <c r="G21" s="49">
        <v>3</v>
      </c>
      <c r="H21" s="51">
        <f>ROUND(IF('🏠 Rent Estimator'!C11="Yes",'📊 Data &amp; Logic'!$K$3,0)+IF('🏠 Rent Estimator'!C12="Yes",'📊 Data &amp; Logic'!$K$4,0)+IF('🏠 Rent Estimator'!C13="Yes",'📊 Data &amp; Logic'!$K$5,0)+IF('🏠 Rent Estimator'!C14="Yes",'📊 Data &amp; Logic'!$K$6,0)+IF('🏠 Rent Estimator'!C15="Yes",'📊 Data &amp; Logic'!$K$7,0)+IF('🏠 Rent Estimator'!C16="Yes",'📊 Data &amp; Logic'!$K$8,0)+IF('🏠 Rent Estimator'!C17="Yes",'📊 Data &amp; Logic'!$K$9,0),0)</f>
        <v>225000</v>
      </c>
    </row>
    <row r="22" spans="1:8" ht="15" customHeight="1" x14ac:dyDescent="0.35">
      <c r="A22" s="52" t="s">
        <v>105</v>
      </c>
      <c r="B22" s="51">
        <v>450000</v>
      </c>
      <c r="C22" s="51">
        <v>850000</v>
      </c>
      <c r="D22" s="51">
        <v>1500000</v>
      </c>
      <c r="E22" s="51">
        <v>2550000</v>
      </c>
      <c r="F22" s="51">
        <v>4250000</v>
      </c>
      <c r="G22" s="52">
        <v>2</v>
      </c>
    </row>
    <row r="23" spans="1:8" ht="15" customHeight="1" x14ac:dyDescent="0.35">
      <c r="A23" s="49" t="s">
        <v>106</v>
      </c>
      <c r="B23" s="50">
        <v>400000</v>
      </c>
      <c r="C23" s="50">
        <v>800000</v>
      </c>
      <c r="D23" s="50">
        <v>1400000</v>
      </c>
      <c r="E23" s="50">
        <v>2300000</v>
      </c>
      <c r="F23" s="50">
        <v>3900000</v>
      </c>
      <c r="G23" s="49">
        <v>1</v>
      </c>
    </row>
    <row r="24" spans="1:8" ht="15" customHeight="1" x14ac:dyDescent="0.35">
      <c r="A24" s="52" t="s">
        <v>107</v>
      </c>
      <c r="B24" s="51">
        <v>450000</v>
      </c>
      <c r="C24" s="51">
        <v>800000</v>
      </c>
      <c r="D24" s="51">
        <v>1450000</v>
      </c>
      <c r="E24" s="51">
        <v>2400000</v>
      </c>
      <c r="F24" s="51">
        <v>4000000</v>
      </c>
      <c r="G24" s="52">
        <v>2</v>
      </c>
    </row>
    <row r="25" spans="1:8" ht="15" customHeight="1" x14ac:dyDescent="0.35"/>
    <row r="26" spans="1:8" ht="14.25" customHeight="1" x14ac:dyDescent="0.35">
      <c r="F26" s="1" t="s">
        <v>108</v>
      </c>
    </row>
    <row r="27" spans="1:8" ht="14.25" customHeight="1" x14ac:dyDescent="0.35">
      <c r="F27" s="1" t="s">
        <v>10</v>
      </c>
      <c r="G27" s="1" t="s">
        <v>109</v>
      </c>
    </row>
    <row r="28" spans="1:8" ht="14.25" customHeight="1" x14ac:dyDescent="0.35">
      <c r="F28" s="1" t="s">
        <v>110</v>
      </c>
      <c r="G28" s="1">
        <v>1</v>
      </c>
    </row>
    <row r="29" spans="1:8" ht="14.25" customHeight="1" x14ac:dyDescent="0.35">
      <c r="F29" s="1" t="s">
        <v>111</v>
      </c>
      <c r="G29" s="1">
        <v>1.1200000000000001</v>
      </c>
    </row>
    <row r="30" spans="1:8" ht="14.25" customHeight="1" x14ac:dyDescent="0.35">
      <c r="F30" s="1" t="s">
        <v>112</v>
      </c>
      <c r="G30" s="1">
        <v>1.08</v>
      </c>
    </row>
    <row r="31" spans="1:8" ht="14.25" customHeight="1" x14ac:dyDescent="0.35">
      <c r="F31" s="1" t="s">
        <v>11</v>
      </c>
      <c r="G31" s="1">
        <v>0.7</v>
      </c>
    </row>
    <row r="32" spans="1:8" ht="14.25" customHeight="1" x14ac:dyDescent="0.35">
      <c r="F32" s="1" t="s">
        <v>113</v>
      </c>
      <c r="G32" s="1">
        <v>1.4</v>
      </c>
    </row>
    <row r="33" spans="6:7" ht="14.25" customHeight="1" x14ac:dyDescent="0.35">
      <c r="F33" s="1" t="s">
        <v>114</v>
      </c>
      <c r="G33" s="1">
        <v>1.3</v>
      </c>
    </row>
    <row r="34" spans="6:7" ht="14.25" customHeight="1" x14ac:dyDescent="0.35"/>
    <row r="35" spans="6:7" ht="14.25" customHeight="1" x14ac:dyDescent="0.35">
      <c r="F35" s="1" t="s">
        <v>115</v>
      </c>
    </row>
    <row r="36" spans="6:7" ht="14.25" customHeight="1" x14ac:dyDescent="0.35">
      <c r="F36" s="1" t="s">
        <v>43</v>
      </c>
      <c r="G36" s="1" t="s">
        <v>109</v>
      </c>
    </row>
    <row r="37" spans="6:7" ht="14.25" customHeight="1" x14ac:dyDescent="0.35">
      <c r="F37" s="1" t="s">
        <v>116</v>
      </c>
      <c r="G37" s="1">
        <v>1</v>
      </c>
    </row>
    <row r="38" spans="6:7" ht="14.25" customHeight="1" x14ac:dyDescent="0.35">
      <c r="F38" s="1" t="s">
        <v>22</v>
      </c>
      <c r="G38" s="1">
        <v>1.1499999999999999</v>
      </c>
    </row>
    <row r="39" spans="6:7" ht="14.25" customHeight="1" x14ac:dyDescent="0.35">
      <c r="F39" s="1" t="s">
        <v>117</v>
      </c>
      <c r="G39" s="1">
        <v>1.35</v>
      </c>
    </row>
    <row r="40" spans="6:7" ht="14.25" customHeight="1" x14ac:dyDescent="0.35"/>
    <row r="41" spans="6:7" ht="14.25" customHeight="1" x14ac:dyDescent="0.35">
      <c r="F41" s="1" t="s">
        <v>118</v>
      </c>
    </row>
    <row r="42" spans="6:7" ht="14.25" customHeight="1" x14ac:dyDescent="0.35">
      <c r="F42" s="1" t="s">
        <v>119</v>
      </c>
      <c r="G42" s="1" t="s">
        <v>109</v>
      </c>
    </row>
    <row r="43" spans="6:7" ht="14.25" customHeight="1" x14ac:dyDescent="0.35">
      <c r="F43" s="1" t="s">
        <v>120</v>
      </c>
      <c r="G43" s="1">
        <v>0.95</v>
      </c>
    </row>
    <row r="44" spans="6:7" ht="14.25" customHeight="1" x14ac:dyDescent="0.35">
      <c r="F44" s="1" t="s">
        <v>121</v>
      </c>
      <c r="G44" s="1">
        <v>1</v>
      </c>
    </row>
    <row r="45" spans="6:7" ht="14.25" customHeight="1" x14ac:dyDescent="0.35">
      <c r="F45" s="1" t="s">
        <v>122</v>
      </c>
      <c r="G45" s="1">
        <v>1.05</v>
      </c>
    </row>
    <row r="46" spans="6:7" ht="14.25" customHeight="1" x14ac:dyDescent="0.35">
      <c r="F46" s="1" t="s">
        <v>18</v>
      </c>
      <c r="G46" s="1">
        <v>1.08</v>
      </c>
    </row>
    <row r="47" spans="6:7" ht="14.25" customHeight="1" x14ac:dyDescent="0.35">
      <c r="F47" s="1" t="s">
        <v>123</v>
      </c>
      <c r="G47" s="1">
        <v>1</v>
      </c>
    </row>
    <row r="48" spans="6:7" ht="14.25" customHeight="1" x14ac:dyDescent="0.35"/>
  </sheetData>
  <mergeCells count="1">
    <mergeCell ref="A1:B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8860A"/>
  </sheetPr>
  <dimension ref="A2:J29"/>
  <sheetViews>
    <sheetView showGridLines="0" zoomScaleNormal="100" workbookViewId="0">
      <pane xSplit="2" ySplit="5" topLeftCell="C18" activePane="bottomRight" state="frozen"/>
      <selection pane="topRight" activeCell="C1" sqref="C1"/>
      <selection pane="bottomLeft" activeCell="A21" sqref="A21"/>
      <selection pane="bottomRight" activeCell="F26" sqref="F26"/>
    </sheetView>
  </sheetViews>
  <sheetFormatPr defaultColWidth="8.6328125" defaultRowHeight="14.5" x14ac:dyDescent="0.35"/>
  <cols>
    <col min="1" max="1" width="2" style="1" customWidth="1"/>
    <col min="2" max="2" width="22" style="1" customWidth="1"/>
    <col min="3" max="3" width="10" style="1" customWidth="1"/>
    <col min="4" max="9" width="14" style="1" customWidth="1"/>
    <col min="10" max="10" width="29.6328125" style="1" customWidth="1"/>
  </cols>
  <sheetData>
    <row r="2" spans="2:10" ht="39.75" customHeight="1" x14ac:dyDescent="0.35">
      <c r="B2" s="80" t="s">
        <v>124</v>
      </c>
      <c r="C2" s="80"/>
      <c r="D2" s="80"/>
      <c r="E2" s="80"/>
      <c r="F2" s="80"/>
      <c r="G2" s="80"/>
      <c r="H2" s="80"/>
      <c r="I2" s="80"/>
      <c r="J2" s="80"/>
    </row>
    <row r="3" spans="2:10" ht="18" customHeight="1" x14ac:dyDescent="0.35">
      <c r="B3" s="81" t="s">
        <v>125</v>
      </c>
      <c r="C3" s="81"/>
      <c r="D3" s="81"/>
      <c r="E3" s="81"/>
      <c r="F3" s="81"/>
      <c r="G3" s="81"/>
      <c r="H3" s="81"/>
      <c r="I3" s="81"/>
      <c r="J3" s="81"/>
    </row>
    <row r="4" spans="2:10" ht="7.5" customHeight="1" x14ac:dyDescent="0.35"/>
    <row r="5" spans="2:10" ht="27.75" customHeight="1" x14ac:dyDescent="0.35">
      <c r="B5" s="5" t="s">
        <v>4</v>
      </c>
      <c r="C5" s="5" t="s">
        <v>7</v>
      </c>
      <c r="D5" s="5" t="s">
        <v>70</v>
      </c>
      <c r="E5" s="5" t="s">
        <v>71</v>
      </c>
      <c r="F5" s="5" t="s">
        <v>72</v>
      </c>
      <c r="G5" s="5" t="s">
        <v>73</v>
      </c>
      <c r="H5" s="5" t="s">
        <v>126</v>
      </c>
      <c r="I5" s="5" t="s">
        <v>127</v>
      </c>
      <c r="J5" s="5" t="s">
        <v>49</v>
      </c>
    </row>
    <row r="6" spans="2:10" ht="19.5" customHeight="1" x14ac:dyDescent="0.35">
      <c r="B6" s="48" t="s">
        <v>79</v>
      </c>
      <c r="C6" s="60" t="s">
        <v>128</v>
      </c>
      <c r="D6" s="61">
        <v>1050000</v>
      </c>
      <c r="E6" s="61">
        <v>2050000</v>
      </c>
      <c r="F6" s="61">
        <v>3700000</v>
      </c>
      <c r="G6" s="61">
        <v>6300000</v>
      </c>
      <c r="H6" s="61">
        <v>10350000</v>
      </c>
      <c r="I6" s="60" t="s">
        <v>129</v>
      </c>
      <c r="J6" s="62" t="s">
        <v>130</v>
      </c>
    </row>
    <row r="7" spans="2:10" ht="19.5" customHeight="1" x14ac:dyDescent="0.35">
      <c r="B7" s="48" t="s">
        <v>5</v>
      </c>
      <c r="C7" s="60" t="s">
        <v>128</v>
      </c>
      <c r="D7" s="61">
        <v>1000000</v>
      </c>
      <c r="E7" s="61">
        <v>1850000</v>
      </c>
      <c r="F7" s="61">
        <v>3350000</v>
      </c>
      <c r="G7" s="61">
        <v>5750000</v>
      </c>
      <c r="H7" s="61">
        <v>9200000</v>
      </c>
      <c r="I7" s="60" t="s">
        <v>131</v>
      </c>
      <c r="J7" s="62" t="s">
        <v>132</v>
      </c>
    </row>
    <row r="8" spans="2:10" ht="19.5" customHeight="1" x14ac:dyDescent="0.35">
      <c r="B8" s="48" t="s">
        <v>82</v>
      </c>
      <c r="C8" s="60" t="s">
        <v>133</v>
      </c>
      <c r="D8" s="61">
        <v>850000</v>
      </c>
      <c r="E8" s="61">
        <v>1600000</v>
      </c>
      <c r="F8" s="61">
        <v>3000000</v>
      </c>
      <c r="G8" s="61">
        <v>5200000</v>
      </c>
      <c r="H8" s="61">
        <v>8600000</v>
      </c>
      <c r="I8" s="60" t="s">
        <v>134</v>
      </c>
      <c r="J8" s="62" t="s">
        <v>135</v>
      </c>
    </row>
    <row r="9" spans="2:10" ht="19.5" customHeight="1" x14ac:dyDescent="0.35">
      <c r="B9" s="48" t="s">
        <v>84</v>
      </c>
      <c r="C9" s="60" t="s">
        <v>133</v>
      </c>
      <c r="D9" s="61">
        <v>800000</v>
      </c>
      <c r="E9" s="61">
        <v>1500000</v>
      </c>
      <c r="F9" s="61">
        <v>2750000</v>
      </c>
      <c r="G9" s="61">
        <v>4850000</v>
      </c>
      <c r="H9" s="61">
        <v>8050000</v>
      </c>
      <c r="I9" s="60" t="s">
        <v>136</v>
      </c>
      <c r="J9" s="62" t="s">
        <v>137</v>
      </c>
    </row>
    <row r="10" spans="2:10" ht="19.5" customHeight="1" x14ac:dyDescent="0.35">
      <c r="B10" s="48" t="s">
        <v>85</v>
      </c>
      <c r="C10" s="60" t="s">
        <v>133</v>
      </c>
      <c r="D10" s="61">
        <v>800000</v>
      </c>
      <c r="E10" s="61">
        <v>1450000</v>
      </c>
      <c r="F10" s="61">
        <v>2650000</v>
      </c>
      <c r="G10" s="61">
        <v>4600000</v>
      </c>
      <c r="H10" s="61">
        <v>7450000</v>
      </c>
      <c r="I10" s="60" t="s">
        <v>138</v>
      </c>
      <c r="J10" s="62" t="s">
        <v>139</v>
      </c>
    </row>
    <row r="11" spans="2:10" ht="19.5" customHeight="1" x14ac:dyDescent="0.35">
      <c r="B11" s="46" t="s">
        <v>86</v>
      </c>
      <c r="C11" s="63" t="s">
        <v>140</v>
      </c>
      <c r="D11" s="64">
        <v>650000</v>
      </c>
      <c r="E11" s="64">
        <v>1150000</v>
      </c>
      <c r="F11" s="64">
        <v>2050000</v>
      </c>
      <c r="G11" s="64">
        <v>3700000</v>
      </c>
      <c r="H11" s="64">
        <v>6300000</v>
      </c>
      <c r="I11" s="63" t="s">
        <v>141</v>
      </c>
      <c r="J11" s="65" t="s">
        <v>142</v>
      </c>
    </row>
    <row r="12" spans="2:10" ht="19.5" customHeight="1" x14ac:dyDescent="0.35">
      <c r="B12" s="46" t="s">
        <v>88</v>
      </c>
      <c r="C12" s="63" t="s">
        <v>140</v>
      </c>
      <c r="D12" s="64">
        <v>600000</v>
      </c>
      <c r="E12" s="64">
        <v>1150000</v>
      </c>
      <c r="F12" s="64">
        <v>2000000</v>
      </c>
      <c r="G12" s="64">
        <v>3550000</v>
      </c>
      <c r="H12" s="64">
        <v>6000000</v>
      </c>
      <c r="I12" s="63" t="s">
        <v>143</v>
      </c>
      <c r="J12" s="65" t="s">
        <v>144</v>
      </c>
    </row>
    <row r="13" spans="2:10" ht="19.5" customHeight="1" x14ac:dyDescent="0.35">
      <c r="B13" s="46" t="s">
        <v>89</v>
      </c>
      <c r="C13" s="63" t="s">
        <v>140</v>
      </c>
      <c r="D13" s="64">
        <v>600000</v>
      </c>
      <c r="E13" s="64">
        <v>1100000</v>
      </c>
      <c r="F13" s="64">
        <v>1950000</v>
      </c>
      <c r="G13" s="64">
        <v>3450000</v>
      </c>
      <c r="H13" s="64">
        <v>5750000</v>
      </c>
      <c r="I13" s="63" t="s">
        <v>145</v>
      </c>
      <c r="J13" s="65" t="s">
        <v>146</v>
      </c>
    </row>
    <row r="14" spans="2:10" ht="19.5" customHeight="1" x14ac:dyDescent="0.35">
      <c r="B14" s="46" t="s">
        <v>90</v>
      </c>
      <c r="C14" s="63" t="s">
        <v>140</v>
      </c>
      <c r="D14" s="64">
        <v>550000</v>
      </c>
      <c r="E14" s="64">
        <v>1050000</v>
      </c>
      <c r="F14" s="64">
        <v>1850000</v>
      </c>
      <c r="G14" s="64">
        <v>3200000</v>
      </c>
      <c r="H14" s="64">
        <v>5500000</v>
      </c>
      <c r="I14" s="63" t="s">
        <v>147</v>
      </c>
      <c r="J14" s="65" t="s">
        <v>148</v>
      </c>
    </row>
    <row r="15" spans="2:10" ht="19.5" customHeight="1" x14ac:dyDescent="0.35">
      <c r="B15" s="46" t="s">
        <v>91</v>
      </c>
      <c r="C15" s="63" t="s">
        <v>140</v>
      </c>
      <c r="D15" s="64">
        <v>500000</v>
      </c>
      <c r="E15" s="64">
        <v>1000000</v>
      </c>
      <c r="F15" s="64">
        <v>1800000</v>
      </c>
      <c r="G15" s="64">
        <v>3100000</v>
      </c>
      <c r="H15" s="64">
        <v>5300000</v>
      </c>
      <c r="I15" s="63" t="s">
        <v>149</v>
      </c>
      <c r="J15" s="65" t="s">
        <v>150</v>
      </c>
    </row>
    <row r="16" spans="2:10" ht="19.5" customHeight="1" x14ac:dyDescent="0.35">
      <c r="B16" s="46" t="s">
        <v>93</v>
      </c>
      <c r="C16" s="63" t="s">
        <v>140</v>
      </c>
      <c r="D16" s="64">
        <v>500000</v>
      </c>
      <c r="E16" s="64">
        <v>1000000</v>
      </c>
      <c r="F16" s="64">
        <v>1700000</v>
      </c>
      <c r="G16" s="64">
        <v>3000000</v>
      </c>
      <c r="H16" s="64">
        <v>5200000</v>
      </c>
      <c r="I16" s="63" t="s">
        <v>151</v>
      </c>
      <c r="J16" s="65" t="s">
        <v>152</v>
      </c>
    </row>
    <row r="17" spans="2:10" ht="19.5" customHeight="1" x14ac:dyDescent="0.35">
      <c r="B17" s="66" t="s">
        <v>95</v>
      </c>
      <c r="C17" s="52" t="s">
        <v>153</v>
      </c>
      <c r="D17" s="51">
        <v>500000</v>
      </c>
      <c r="E17" s="51">
        <v>950000</v>
      </c>
      <c r="F17" s="51">
        <v>1650000</v>
      </c>
      <c r="G17" s="51">
        <v>2900000</v>
      </c>
      <c r="H17" s="51">
        <v>4850000</v>
      </c>
      <c r="I17" s="52" t="s">
        <v>154</v>
      </c>
      <c r="J17" s="67" t="s">
        <v>155</v>
      </c>
    </row>
    <row r="18" spans="2:10" ht="19.5" customHeight="1" x14ac:dyDescent="0.35">
      <c r="B18" s="66" t="s">
        <v>98</v>
      </c>
      <c r="C18" s="52" t="s">
        <v>153</v>
      </c>
      <c r="D18" s="51">
        <v>500000</v>
      </c>
      <c r="E18" s="51">
        <v>900000</v>
      </c>
      <c r="F18" s="51">
        <v>1600000</v>
      </c>
      <c r="G18" s="51">
        <v>2750000</v>
      </c>
      <c r="H18" s="51">
        <v>4600000</v>
      </c>
      <c r="I18" s="52" t="s">
        <v>156</v>
      </c>
      <c r="J18" s="67" t="s">
        <v>157</v>
      </c>
    </row>
    <row r="19" spans="2:10" ht="19.5" customHeight="1" x14ac:dyDescent="0.35">
      <c r="B19" s="66" t="s">
        <v>99</v>
      </c>
      <c r="C19" s="52" t="s">
        <v>153</v>
      </c>
      <c r="D19" s="51">
        <v>500000</v>
      </c>
      <c r="E19" s="51">
        <v>900000</v>
      </c>
      <c r="F19" s="51">
        <v>1600000</v>
      </c>
      <c r="G19" s="51">
        <v>2700000</v>
      </c>
      <c r="H19" s="51">
        <v>4500000</v>
      </c>
      <c r="I19" s="52" t="s">
        <v>158</v>
      </c>
      <c r="J19" s="67" t="s">
        <v>159</v>
      </c>
    </row>
    <row r="20" spans="2:10" ht="19.5" customHeight="1" x14ac:dyDescent="0.35">
      <c r="B20" s="48" t="s">
        <v>100</v>
      </c>
      <c r="C20" s="60" t="s">
        <v>133</v>
      </c>
      <c r="D20" s="61">
        <v>700000</v>
      </c>
      <c r="E20" s="61">
        <v>1250000</v>
      </c>
      <c r="F20" s="61">
        <v>2300000</v>
      </c>
      <c r="G20" s="61">
        <v>4000000</v>
      </c>
      <c r="H20" s="61">
        <v>6900000</v>
      </c>
      <c r="I20" s="60" t="s">
        <v>160</v>
      </c>
      <c r="J20" s="62" t="s">
        <v>161</v>
      </c>
    </row>
    <row r="21" spans="2:10" ht="19.5" customHeight="1" x14ac:dyDescent="0.35">
      <c r="B21" s="46" t="s">
        <v>101</v>
      </c>
      <c r="C21" s="63" t="s">
        <v>140</v>
      </c>
      <c r="D21" s="64">
        <v>650000</v>
      </c>
      <c r="E21" s="64">
        <v>1200000</v>
      </c>
      <c r="F21" s="64">
        <v>2200000</v>
      </c>
      <c r="G21" s="64">
        <v>3800000</v>
      </c>
      <c r="H21" s="64">
        <v>6450000</v>
      </c>
      <c r="I21" s="63" t="s">
        <v>162</v>
      </c>
      <c r="J21" s="65" t="s">
        <v>163</v>
      </c>
    </row>
    <row r="22" spans="2:10" ht="19.5" customHeight="1" x14ac:dyDescent="0.35">
      <c r="B22" s="66" t="s">
        <v>102</v>
      </c>
      <c r="C22" s="52" t="s">
        <v>153</v>
      </c>
      <c r="D22" s="51">
        <v>450000</v>
      </c>
      <c r="E22" s="51">
        <v>850000</v>
      </c>
      <c r="F22" s="51">
        <v>1550000</v>
      </c>
      <c r="G22" s="51">
        <v>2650000</v>
      </c>
      <c r="H22" s="51">
        <v>4350000</v>
      </c>
      <c r="I22" s="52" t="s">
        <v>164</v>
      </c>
      <c r="J22" s="67" t="s">
        <v>165</v>
      </c>
    </row>
    <row r="23" spans="2:10" ht="19.5" customHeight="1" x14ac:dyDescent="0.35">
      <c r="B23" s="46" t="s">
        <v>103</v>
      </c>
      <c r="C23" s="63" t="s">
        <v>140</v>
      </c>
      <c r="D23" s="64">
        <v>500000</v>
      </c>
      <c r="E23" s="64">
        <v>1000000</v>
      </c>
      <c r="F23" s="64">
        <v>1700000</v>
      </c>
      <c r="G23" s="64">
        <v>3000000</v>
      </c>
      <c r="H23" s="64">
        <v>5050000</v>
      </c>
      <c r="I23" s="63" t="s">
        <v>166</v>
      </c>
      <c r="J23" s="65" t="s">
        <v>167</v>
      </c>
    </row>
    <row r="24" spans="2:10" ht="19.5" customHeight="1" x14ac:dyDescent="0.35">
      <c r="B24" s="46" t="s">
        <v>104</v>
      </c>
      <c r="C24" s="63" t="s">
        <v>140</v>
      </c>
      <c r="D24" s="64">
        <v>550000</v>
      </c>
      <c r="E24" s="64">
        <v>1050000</v>
      </c>
      <c r="F24" s="64">
        <v>1850000</v>
      </c>
      <c r="G24" s="64">
        <v>3200000</v>
      </c>
      <c r="H24" s="64">
        <v>5400000</v>
      </c>
      <c r="I24" s="63" t="s">
        <v>168</v>
      </c>
      <c r="J24" s="65" t="s">
        <v>169</v>
      </c>
    </row>
    <row r="25" spans="2:10" ht="19.5" customHeight="1" x14ac:dyDescent="0.35">
      <c r="B25" s="66" t="s">
        <v>105</v>
      </c>
      <c r="C25" s="52" t="s">
        <v>153</v>
      </c>
      <c r="D25" s="51">
        <v>450000</v>
      </c>
      <c r="E25" s="51">
        <v>850000</v>
      </c>
      <c r="F25" s="51">
        <v>1500000</v>
      </c>
      <c r="G25" s="51">
        <v>2550000</v>
      </c>
      <c r="H25" s="51">
        <v>4250000</v>
      </c>
      <c r="I25" s="52" t="s">
        <v>170</v>
      </c>
      <c r="J25" s="67" t="s">
        <v>171</v>
      </c>
    </row>
    <row r="26" spans="2:10" ht="19.5" customHeight="1" x14ac:dyDescent="0.35">
      <c r="B26" s="68" t="s">
        <v>106</v>
      </c>
      <c r="C26" s="69" t="s">
        <v>172</v>
      </c>
      <c r="D26" s="70">
        <v>400000</v>
      </c>
      <c r="E26" s="70">
        <v>800000</v>
      </c>
      <c r="F26" s="70">
        <v>1400000</v>
      </c>
      <c r="G26" s="70">
        <v>2300000</v>
      </c>
      <c r="H26" s="70">
        <v>3900000</v>
      </c>
      <c r="I26" s="69" t="s">
        <v>173</v>
      </c>
      <c r="J26" s="71" t="s">
        <v>174</v>
      </c>
    </row>
    <row r="27" spans="2:10" ht="19.5" customHeight="1" x14ac:dyDescent="0.35">
      <c r="B27" s="66" t="s">
        <v>107</v>
      </c>
      <c r="C27" s="52" t="s">
        <v>153</v>
      </c>
      <c r="D27" s="51">
        <v>450000</v>
      </c>
      <c r="E27" s="51">
        <v>800000</v>
      </c>
      <c r="F27" s="51">
        <v>1450000</v>
      </c>
      <c r="G27" s="51">
        <v>2400000</v>
      </c>
      <c r="H27" s="51">
        <v>4000000</v>
      </c>
      <c r="I27" s="52" t="s">
        <v>175</v>
      </c>
      <c r="J27" s="67" t="s">
        <v>176</v>
      </c>
    </row>
    <row r="29" spans="2:10" ht="13.5" customHeight="1" x14ac:dyDescent="0.35">
      <c r="B29" s="82" t="s">
        <v>177</v>
      </c>
      <c r="C29" s="82"/>
      <c r="D29" s="82"/>
      <c r="E29" s="82"/>
      <c r="F29" s="82"/>
      <c r="G29" s="82"/>
      <c r="H29" s="82"/>
      <c r="I29" s="82"/>
      <c r="J29" s="82"/>
    </row>
  </sheetData>
  <mergeCells count="3">
    <mergeCell ref="B2:J2"/>
    <mergeCell ref="B3:J3"/>
    <mergeCell ref="B29:J29"/>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26567"/>
  </sheetPr>
  <dimension ref="A2:C23"/>
  <sheetViews>
    <sheetView showGridLines="0" zoomScaleNormal="100" workbookViewId="0">
      <selection activeCell="E6" sqref="E6"/>
    </sheetView>
  </sheetViews>
  <sheetFormatPr defaultColWidth="8.6328125" defaultRowHeight="14.5" x14ac:dyDescent="0.35"/>
  <cols>
    <col min="1" max="1" width="2" style="1" customWidth="1"/>
    <col min="2" max="2" width="26" style="1" customWidth="1"/>
    <col min="3" max="3" width="60" style="1" customWidth="1"/>
  </cols>
  <sheetData>
    <row r="2" spans="2:3" ht="39.75" customHeight="1" x14ac:dyDescent="0.35">
      <c r="B2" s="83" t="s">
        <v>178</v>
      </c>
      <c r="C2" s="83"/>
    </row>
    <row r="3" spans="2:3" ht="19.5" customHeight="1" x14ac:dyDescent="0.35">
      <c r="B3" s="77" t="s">
        <v>211</v>
      </c>
      <c r="C3" s="77"/>
    </row>
    <row r="5" spans="2:3" ht="31.5" customHeight="1" x14ac:dyDescent="0.35">
      <c r="B5" s="72" t="s">
        <v>179</v>
      </c>
      <c r="C5" s="72" t="s">
        <v>180</v>
      </c>
    </row>
    <row r="6" spans="2:3" ht="31.5" customHeight="1" x14ac:dyDescent="0.35">
      <c r="B6" s="2" t="s">
        <v>181</v>
      </c>
      <c r="C6" s="2" t="s">
        <v>182</v>
      </c>
    </row>
    <row r="7" spans="2:3" ht="31.5" customHeight="1" x14ac:dyDescent="0.35">
      <c r="B7" s="21" t="s">
        <v>183</v>
      </c>
      <c r="C7" s="21" t="s">
        <v>184</v>
      </c>
    </row>
    <row r="8" spans="2:3" ht="31.5" customHeight="1" x14ac:dyDescent="0.35">
      <c r="B8" s="2" t="s">
        <v>185</v>
      </c>
      <c r="C8" s="2" t="s">
        <v>186</v>
      </c>
    </row>
    <row r="9" spans="2:3" ht="31.5" customHeight="1" x14ac:dyDescent="0.35">
      <c r="B9" s="21" t="s">
        <v>187</v>
      </c>
      <c r="C9" s="21" t="s">
        <v>188</v>
      </c>
    </row>
    <row r="10" spans="2:3" ht="31.5" customHeight="1" x14ac:dyDescent="0.35">
      <c r="B10" s="2" t="s">
        <v>189</v>
      </c>
      <c r="C10" s="2" t="s">
        <v>190</v>
      </c>
    </row>
    <row r="11" spans="2:3" ht="31.5" customHeight="1" x14ac:dyDescent="0.35">
      <c r="B11" s="21" t="s">
        <v>191</v>
      </c>
      <c r="C11" s="21" t="s">
        <v>192</v>
      </c>
    </row>
    <row r="12" spans="2:3" ht="31.5" customHeight="1" x14ac:dyDescent="0.35">
      <c r="B12" s="2"/>
      <c r="C12" s="2"/>
    </row>
    <row r="13" spans="2:3" ht="31.5" customHeight="1" x14ac:dyDescent="0.35">
      <c r="B13" s="72" t="s">
        <v>193</v>
      </c>
      <c r="C13" s="72"/>
    </row>
    <row r="14" spans="2:3" ht="31.5" customHeight="1" x14ac:dyDescent="0.35">
      <c r="B14" s="2" t="s">
        <v>194</v>
      </c>
      <c r="C14" s="2" t="s">
        <v>195</v>
      </c>
    </row>
    <row r="15" spans="2:3" ht="31.5" customHeight="1" x14ac:dyDescent="0.35">
      <c r="B15" s="21" t="s">
        <v>196</v>
      </c>
      <c r="C15" s="21" t="s">
        <v>197</v>
      </c>
    </row>
    <row r="16" spans="2:3" ht="31.5" customHeight="1" x14ac:dyDescent="0.35">
      <c r="B16" s="2" t="s">
        <v>198</v>
      </c>
      <c r="C16" s="2" t="s">
        <v>199</v>
      </c>
    </row>
    <row r="17" spans="2:3" ht="31.5" customHeight="1" x14ac:dyDescent="0.35">
      <c r="B17" s="21" t="s">
        <v>200</v>
      </c>
      <c r="C17" s="21" t="s">
        <v>201</v>
      </c>
    </row>
    <row r="18" spans="2:3" ht="31.5" customHeight="1" x14ac:dyDescent="0.35">
      <c r="B18" s="2"/>
      <c r="C18" s="2"/>
    </row>
    <row r="19" spans="2:3" ht="31.5" customHeight="1" x14ac:dyDescent="0.35">
      <c r="B19" s="72" t="s">
        <v>202</v>
      </c>
      <c r="C19" s="72"/>
    </row>
    <row r="20" spans="2:3" ht="45" customHeight="1" x14ac:dyDescent="0.35">
      <c r="B20" s="2" t="s">
        <v>203</v>
      </c>
      <c r="C20" s="2" t="s">
        <v>204</v>
      </c>
    </row>
    <row r="21" spans="2:3" ht="31.5" customHeight="1" x14ac:dyDescent="0.35">
      <c r="B21" s="21" t="s">
        <v>205</v>
      </c>
      <c r="C21" s="21" t="s">
        <v>206</v>
      </c>
    </row>
    <row r="22" spans="2:3" ht="31.5" customHeight="1" x14ac:dyDescent="0.35">
      <c r="B22" s="2" t="s">
        <v>207</v>
      </c>
      <c r="C22" s="2" t="s">
        <v>208</v>
      </c>
    </row>
    <row r="23" spans="2:3" ht="46" customHeight="1" x14ac:dyDescent="0.35">
      <c r="B23" s="21" t="s">
        <v>209</v>
      </c>
      <c r="C23" s="21" t="s">
        <v>210</v>
      </c>
    </row>
  </sheetData>
  <mergeCells count="2">
    <mergeCell ref="B2:C2"/>
    <mergeCell ref="B3:C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 Rent Estimator</vt:lpstr>
      <vt:lpstr>📊 Data &amp; Logic</vt:lpstr>
      <vt:lpstr>📍 Area Index</vt:lpstr>
      <vt:lpstr>📋 How to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Raymond Kirungi</cp:lastModifiedBy>
  <cp:revision>0</cp:revision>
  <dcterms:created xsi:type="dcterms:W3CDTF">2026-04-22T05:25:19Z</dcterms:created>
  <dcterms:modified xsi:type="dcterms:W3CDTF">2026-04-23T07:16:44Z</dcterms:modified>
  <dc:language>en-US</dc:language>
</cp:coreProperties>
</file>