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ngt\Downloads\"/>
    </mc:Choice>
  </mc:AlternateContent>
  <bookViews>
    <workbookView xWindow="0" yWindow="0" windowWidth="19200" windowHeight="6930" tabRatio="500" firstSheet="2" activeTab="4"/>
  </bookViews>
  <sheets>
    <sheet name="🏠 Mortgage vs Cash" sheetId="1" r:id="rId1"/>
    <sheet name="📅 15-Year Comparison" sheetId="2" r:id="rId2"/>
    <sheet name="📋 Amortisation Schedule" sheetId="3" r:id="rId3"/>
    <sheet name="🏦 Uganda Bank Rates" sheetId="4" r:id="rId4"/>
    <sheet name="📖 How to Use" sheetId="5" r:id="rId5"/>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186" i="3" l="1"/>
  <c r="C186" i="3"/>
  <c r="C185" i="3"/>
  <c r="F185" i="3" s="1"/>
  <c r="F184" i="3"/>
  <c r="C184" i="3"/>
  <c r="C183" i="3"/>
  <c r="F183" i="3" s="1"/>
  <c r="F182" i="3"/>
  <c r="C182" i="3"/>
  <c r="C181" i="3"/>
  <c r="C180" i="3"/>
  <c r="F179" i="3"/>
  <c r="C179" i="3"/>
  <c r="F178" i="3"/>
  <c r="C178" i="3"/>
  <c r="C177" i="3"/>
  <c r="F177" i="3" s="1"/>
  <c r="F176" i="3"/>
  <c r="C176" i="3"/>
  <c r="F175" i="3"/>
  <c r="C175" i="3"/>
  <c r="C174" i="3"/>
  <c r="C173" i="3"/>
  <c r="F173" i="3" s="1"/>
  <c r="C172" i="3"/>
  <c r="F171" i="3"/>
  <c r="C171" i="3"/>
  <c r="C170" i="3"/>
  <c r="C169" i="3"/>
  <c r="F168" i="3"/>
  <c r="C168" i="3"/>
  <c r="F167" i="3"/>
  <c r="C167" i="3"/>
  <c r="C166" i="3"/>
  <c r="C165" i="3"/>
  <c r="F165" i="3" s="1"/>
  <c r="C164" i="3"/>
  <c r="F164" i="3" s="1"/>
  <c r="C163" i="3"/>
  <c r="F163" i="3" s="1"/>
  <c r="F162" i="3"/>
  <c r="C162" i="3"/>
  <c r="C161" i="3"/>
  <c r="F161" i="3" s="1"/>
  <c r="C160" i="3"/>
  <c r="F160" i="3" s="1"/>
  <c r="F159" i="3"/>
  <c r="C159" i="3"/>
  <c r="F158" i="3"/>
  <c r="C158" i="3"/>
  <c r="C157" i="3"/>
  <c r="F156" i="3"/>
  <c r="C156" i="3"/>
  <c r="F155" i="3"/>
  <c r="C155" i="3"/>
  <c r="C154" i="3"/>
  <c r="C153" i="3"/>
  <c r="F153" i="3" s="1"/>
  <c r="F152" i="3"/>
  <c r="C152" i="3"/>
  <c r="C151" i="3"/>
  <c r="F151" i="3" s="1"/>
  <c r="F150" i="3"/>
  <c r="C150" i="3"/>
  <c r="C149" i="3"/>
  <c r="C148" i="3"/>
  <c r="F148" i="3" s="1"/>
  <c r="F147" i="3"/>
  <c r="C147" i="3"/>
  <c r="C146" i="3"/>
  <c r="C145" i="3"/>
  <c r="F145" i="3" s="1"/>
  <c r="C144" i="3"/>
  <c r="F144" i="3" s="1"/>
  <c r="C143" i="3"/>
  <c r="C142" i="3"/>
  <c r="C141" i="3"/>
  <c r="F141" i="3" s="1"/>
  <c r="C140" i="3"/>
  <c r="C139" i="3"/>
  <c r="C138" i="3"/>
  <c r="C137" i="3"/>
  <c r="F136" i="3"/>
  <c r="C136" i="3"/>
  <c r="F135" i="3"/>
  <c r="C135" i="3"/>
  <c r="C134" i="3"/>
  <c r="C133" i="3"/>
  <c r="F133" i="3" s="1"/>
  <c r="C132" i="3"/>
  <c r="C131" i="3"/>
  <c r="F131" i="3" s="1"/>
  <c r="F130" i="3"/>
  <c r="C130" i="3"/>
  <c r="C129" i="3"/>
  <c r="F129" i="3" s="1"/>
  <c r="C128" i="3"/>
  <c r="F128" i="3" s="1"/>
  <c r="F127" i="3"/>
  <c r="C127" i="3"/>
  <c r="C126" i="3"/>
  <c r="C125" i="3"/>
  <c r="F125" i="3" s="1"/>
  <c r="F124" i="3"/>
  <c r="C124" i="3"/>
  <c r="C123" i="3"/>
  <c r="C122" i="3"/>
  <c r="C121" i="3"/>
  <c r="F121" i="3" s="1"/>
  <c r="F120" i="3"/>
  <c r="C120" i="3"/>
  <c r="C119" i="3"/>
  <c r="F118" i="3"/>
  <c r="C118" i="3"/>
  <c r="C117" i="3"/>
  <c r="C116" i="3"/>
  <c r="F116" i="3" s="1"/>
  <c r="F115" i="3"/>
  <c r="C115" i="3"/>
  <c r="F114" i="3"/>
  <c r="C114" i="3"/>
  <c r="C113" i="3"/>
  <c r="F113" i="3" s="1"/>
  <c r="F112" i="3"/>
  <c r="C112" i="3"/>
  <c r="F111" i="3"/>
  <c r="C111" i="3"/>
  <c r="F110" i="3"/>
  <c r="C110" i="3"/>
  <c r="C109" i="3"/>
  <c r="F108" i="3"/>
  <c r="C108" i="3"/>
  <c r="C107" i="3"/>
  <c r="F106" i="3"/>
  <c r="C106" i="3"/>
  <c r="C105" i="3"/>
  <c r="F104" i="3"/>
  <c r="C104" i="3"/>
  <c r="C103" i="3"/>
  <c r="C102" i="3"/>
  <c r="C101" i="3"/>
  <c r="F101" i="3" s="1"/>
  <c r="C100" i="3"/>
  <c r="F100" i="3" s="1"/>
  <c r="C99" i="3"/>
  <c r="F99" i="3" s="1"/>
  <c r="F98" i="3"/>
  <c r="C98" i="3"/>
  <c r="C97" i="3"/>
  <c r="F97" i="3" s="1"/>
  <c r="C96" i="3"/>
  <c r="F95" i="3"/>
  <c r="C95" i="3"/>
  <c r="C94" i="3"/>
  <c r="C93" i="3"/>
  <c r="F93" i="3" s="1"/>
  <c r="F92" i="3"/>
  <c r="C92" i="3"/>
  <c r="F91" i="3"/>
  <c r="C91" i="3"/>
  <c r="C90" i="3"/>
  <c r="C89" i="3"/>
  <c r="F89" i="3" s="1"/>
  <c r="F88" i="3"/>
  <c r="C88" i="3"/>
  <c r="C87" i="3"/>
  <c r="F87" i="3" s="1"/>
  <c r="F86" i="3"/>
  <c r="C86" i="3"/>
  <c r="C85" i="3"/>
  <c r="C84" i="3"/>
  <c r="F84" i="3" s="1"/>
  <c r="F83" i="3"/>
  <c r="C83" i="3"/>
  <c r="C82" i="3"/>
  <c r="C81" i="3"/>
  <c r="F80" i="3"/>
  <c r="C80" i="3"/>
  <c r="C79" i="3"/>
  <c r="F78" i="3"/>
  <c r="C78" i="3"/>
  <c r="C77" i="3"/>
  <c r="F77" i="3" s="1"/>
  <c r="F76" i="3"/>
  <c r="C76" i="3"/>
  <c r="C75" i="3"/>
  <c r="F75" i="3" s="1"/>
  <c r="C74" i="3"/>
  <c r="C73" i="3"/>
  <c r="C72" i="3"/>
  <c r="F72" i="3" s="1"/>
  <c r="F71" i="3"/>
  <c r="C71" i="3"/>
  <c r="F70" i="3"/>
  <c r="C70" i="3"/>
  <c r="C69" i="3"/>
  <c r="C68" i="3"/>
  <c r="F68" i="3" s="1"/>
  <c r="F67" i="3"/>
  <c r="C67" i="3"/>
  <c r="F66" i="3"/>
  <c r="C66" i="3"/>
  <c r="F65" i="3"/>
  <c r="C65" i="3"/>
  <c r="C64" i="3"/>
  <c r="F64" i="3" s="1"/>
  <c r="C63" i="3"/>
  <c r="F63" i="3" s="1"/>
  <c r="F62" i="3"/>
  <c r="C62" i="3"/>
  <c r="C61" i="3"/>
  <c r="C60" i="3"/>
  <c r="F60" i="3" s="1"/>
  <c r="C59" i="3"/>
  <c r="F58" i="3"/>
  <c r="C58" i="3"/>
  <c r="C57" i="3"/>
  <c r="C56" i="3"/>
  <c r="F56" i="3" s="1"/>
  <c r="C55" i="3"/>
  <c r="F54" i="3"/>
  <c r="C54" i="3"/>
  <c r="C53" i="3"/>
  <c r="C52" i="3"/>
  <c r="F51" i="3"/>
  <c r="C51" i="3"/>
  <c r="C50" i="3"/>
  <c r="F50" i="3" s="1"/>
  <c r="C49" i="3"/>
  <c r="C48" i="3"/>
  <c r="F48" i="3" s="1"/>
  <c r="F47" i="3"/>
  <c r="C47" i="3"/>
  <c r="C46" i="3"/>
  <c r="F46" i="3" s="1"/>
  <c r="F45" i="3"/>
  <c r="C45" i="3"/>
  <c r="C44" i="3"/>
  <c r="F43" i="3"/>
  <c r="C43" i="3"/>
  <c r="C42" i="3"/>
  <c r="F42" i="3" s="1"/>
  <c r="F41" i="3"/>
  <c r="C41" i="3"/>
  <c r="F40" i="3"/>
  <c r="C40" i="3"/>
  <c r="C39" i="3"/>
  <c r="C38" i="3"/>
  <c r="F38" i="3" s="1"/>
  <c r="F37" i="3"/>
  <c r="C37" i="3"/>
  <c r="C36" i="3"/>
  <c r="F36" i="3" s="1"/>
  <c r="C35" i="3"/>
  <c r="C34" i="3"/>
  <c r="F34" i="3" s="1"/>
  <c r="F33" i="3"/>
  <c r="C33" i="3"/>
  <c r="C32" i="3"/>
  <c r="F31" i="3"/>
  <c r="C31" i="3"/>
  <c r="C30" i="3"/>
  <c r="F30" i="3" s="1"/>
  <c r="F29" i="3"/>
  <c r="C29" i="3"/>
  <c r="F28" i="3"/>
  <c r="C28" i="3"/>
  <c r="C27" i="3"/>
  <c r="C26" i="3"/>
  <c r="F26" i="3" s="1"/>
  <c r="F25" i="3"/>
  <c r="C25" i="3"/>
  <c r="C24" i="3"/>
  <c r="F24" i="3" s="1"/>
  <c r="F23" i="3"/>
  <c r="C23" i="3"/>
  <c r="C22" i="3"/>
  <c r="F22" i="3" s="1"/>
  <c r="F21" i="3"/>
  <c r="C21" i="3"/>
  <c r="C20" i="3"/>
  <c r="C19" i="3"/>
  <c r="C18" i="3"/>
  <c r="F18" i="3" s="1"/>
  <c r="F17" i="3"/>
  <c r="C17" i="3"/>
  <c r="F16" i="3"/>
  <c r="C16" i="3"/>
  <c r="C15" i="3"/>
  <c r="C14" i="3"/>
  <c r="F14" i="3" s="1"/>
  <c r="F13" i="3"/>
  <c r="C13" i="3"/>
  <c r="C12" i="3"/>
  <c r="F11" i="3"/>
  <c r="C11" i="3"/>
  <c r="C10" i="3"/>
  <c r="F10" i="3" s="1"/>
  <c r="F9" i="3"/>
  <c r="C9" i="3"/>
  <c r="F8" i="3"/>
  <c r="C8" i="3"/>
  <c r="D7" i="3"/>
  <c r="C7" i="3"/>
  <c r="G5" i="3"/>
  <c r="E5" i="3"/>
  <c r="C5" i="3"/>
  <c r="Q23" i="2"/>
  <c r="P23" i="2"/>
  <c r="O23" i="2"/>
  <c r="N23" i="2"/>
  <c r="M23" i="2"/>
  <c r="L23" i="2"/>
  <c r="K23" i="2"/>
  <c r="J23" i="2"/>
  <c r="I23" i="2"/>
  <c r="H23" i="2"/>
  <c r="G23" i="2"/>
  <c r="F23" i="2"/>
  <c r="E23" i="2"/>
  <c r="D23" i="2"/>
  <c r="C23" i="2"/>
  <c r="C24" i="2" s="1"/>
  <c r="Q22" i="2"/>
  <c r="R22" i="2" s="1"/>
  <c r="P22" i="2"/>
  <c r="O22" i="2"/>
  <c r="N22" i="2"/>
  <c r="M22" i="2"/>
  <c r="L22" i="2"/>
  <c r="K22" i="2"/>
  <c r="J22" i="2"/>
  <c r="I22" i="2"/>
  <c r="H22" i="2"/>
  <c r="G22" i="2"/>
  <c r="F22" i="2"/>
  <c r="E22" i="2"/>
  <c r="D22" i="2"/>
  <c r="C22" i="2"/>
  <c r="C20" i="2"/>
  <c r="D20" i="2" s="1"/>
  <c r="E20" i="2" s="1"/>
  <c r="F20" i="2" s="1"/>
  <c r="G20" i="2" s="1"/>
  <c r="H20" i="2" s="1"/>
  <c r="I20" i="2" s="1"/>
  <c r="J20" i="2" s="1"/>
  <c r="K20" i="2" s="1"/>
  <c r="L20" i="2" s="1"/>
  <c r="M20" i="2" s="1"/>
  <c r="N20" i="2" s="1"/>
  <c r="O20" i="2" s="1"/>
  <c r="P20" i="2" s="1"/>
  <c r="Q20" i="2" s="1"/>
  <c r="R20" i="2" s="1"/>
  <c r="Q19" i="2"/>
  <c r="P19" i="2"/>
  <c r="O19" i="2"/>
  <c r="N19" i="2"/>
  <c r="M19" i="2"/>
  <c r="L19" i="2"/>
  <c r="K19" i="2"/>
  <c r="J19" i="2"/>
  <c r="I19" i="2"/>
  <c r="H19" i="2"/>
  <c r="G19" i="2"/>
  <c r="F19" i="2"/>
  <c r="E19" i="2"/>
  <c r="D19" i="2"/>
  <c r="C19" i="2"/>
  <c r="Q18" i="2"/>
  <c r="P18" i="2"/>
  <c r="O18" i="2"/>
  <c r="N18" i="2"/>
  <c r="M18" i="2"/>
  <c r="L18" i="2"/>
  <c r="K18" i="2"/>
  <c r="J18" i="2"/>
  <c r="I18" i="2"/>
  <c r="H18" i="2"/>
  <c r="G18" i="2"/>
  <c r="F18" i="2"/>
  <c r="E18" i="2"/>
  <c r="D18" i="2"/>
  <c r="C18" i="2"/>
  <c r="Q17" i="2"/>
  <c r="P17" i="2"/>
  <c r="O17" i="2"/>
  <c r="N17" i="2"/>
  <c r="M17" i="2"/>
  <c r="L17" i="2"/>
  <c r="K17" i="2"/>
  <c r="J17" i="2"/>
  <c r="I17" i="2"/>
  <c r="H17" i="2"/>
  <c r="G17" i="2"/>
  <c r="F17" i="2"/>
  <c r="E17" i="2"/>
  <c r="D17" i="2"/>
  <c r="C17" i="2"/>
  <c r="Q14" i="2"/>
  <c r="R14" i="2" s="1"/>
  <c r="Q13" i="2"/>
  <c r="R13" i="2" s="1"/>
  <c r="Q12" i="2"/>
  <c r="R12" i="2" s="1"/>
  <c r="P12" i="2"/>
  <c r="O12" i="2"/>
  <c r="N12" i="2"/>
  <c r="M12" i="2"/>
  <c r="L12" i="2"/>
  <c r="K12" i="2"/>
  <c r="J12" i="2"/>
  <c r="I12" i="2"/>
  <c r="H12" i="2"/>
  <c r="G12" i="2"/>
  <c r="F12" i="2"/>
  <c r="E12" i="2"/>
  <c r="D12" i="2"/>
  <c r="C12" i="2"/>
  <c r="Q8" i="2"/>
  <c r="P8" i="2"/>
  <c r="O8" i="2"/>
  <c r="N8" i="2"/>
  <c r="M8" i="2"/>
  <c r="L8" i="2"/>
  <c r="K8" i="2"/>
  <c r="J8" i="2"/>
  <c r="I8" i="2"/>
  <c r="H8" i="2"/>
  <c r="G8" i="2"/>
  <c r="F8" i="2"/>
  <c r="E8" i="2"/>
  <c r="R8" i="2" s="1"/>
  <c r="D8" i="2"/>
  <c r="C8" i="2"/>
  <c r="Q7" i="2"/>
  <c r="P7" i="2"/>
  <c r="O7" i="2"/>
  <c r="N7" i="2"/>
  <c r="M7" i="2"/>
  <c r="L7" i="2"/>
  <c r="K7" i="2"/>
  <c r="J7" i="2"/>
  <c r="I7" i="2"/>
  <c r="H7" i="2"/>
  <c r="G7" i="2"/>
  <c r="F7" i="2"/>
  <c r="E7" i="2"/>
  <c r="R7" i="2" s="1"/>
  <c r="D7" i="2"/>
  <c r="C7" i="2"/>
  <c r="L25" i="1"/>
  <c r="H25" i="1"/>
  <c r="C20" i="1"/>
  <c r="L11" i="1" s="1"/>
  <c r="G19" i="1"/>
  <c r="C19" i="1"/>
  <c r="L10" i="1" s="1"/>
  <c r="L13" i="1"/>
  <c r="G13" i="1"/>
  <c r="M14" i="2" s="1"/>
  <c r="L12" i="1"/>
  <c r="G12" i="1"/>
  <c r="G16" i="1" s="1"/>
  <c r="B25" i="1" s="1"/>
  <c r="L9" i="1"/>
  <c r="L8" i="1"/>
  <c r="E9" i="2" l="1"/>
  <c r="N9" i="2"/>
  <c r="I10" i="2"/>
  <c r="K13" i="2"/>
  <c r="E14" i="2"/>
  <c r="P14" i="2"/>
  <c r="I24" i="2"/>
  <c r="Q24" i="2"/>
  <c r="R24" i="2" s="1"/>
  <c r="G17" i="1"/>
  <c r="F25" i="1"/>
  <c r="F9" i="2"/>
  <c r="P9" i="2"/>
  <c r="K10" i="2"/>
  <c r="L13" i="2"/>
  <c r="F14" i="2"/>
  <c r="J24" i="2"/>
  <c r="G18" i="1"/>
  <c r="B28" i="1" s="1"/>
  <c r="H9" i="2"/>
  <c r="Q9" i="2"/>
  <c r="C13" i="2"/>
  <c r="M13" i="2"/>
  <c r="H167" i="3"/>
  <c r="D168" i="3" s="1"/>
  <c r="I9" i="2"/>
  <c r="M10" i="2"/>
  <c r="D13" i="2"/>
  <c r="N13" i="2"/>
  <c r="D24" i="2"/>
  <c r="L24" i="2"/>
  <c r="G14" i="1"/>
  <c r="N10" i="2"/>
  <c r="E13" i="2"/>
  <c r="K14" i="2"/>
  <c r="E24" i="2"/>
  <c r="K9" i="2"/>
  <c r="E10" i="2"/>
  <c r="F13" i="2"/>
  <c r="L14" i="2"/>
  <c r="F24" i="2"/>
  <c r="G20" i="1"/>
  <c r="C9" i="2"/>
  <c r="F10" i="2"/>
  <c r="Q10" i="2"/>
  <c r="H13" i="2"/>
  <c r="C14" i="2"/>
  <c r="R17" i="2"/>
  <c r="G24" i="2"/>
  <c r="O24" i="2"/>
  <c r="H70" i="3"/>
  <c r="D71" i="3" s="1"/>
  <c r="E185" i="3"/>
  <c r="G185" i="3" s="1"/>
  <c r="H185" i="3" s="1"/>
  <c r="D186" i="3" s="1"/>
  <c r="E177" i="3"/>
  <c r="G177" i="3" s="1"/>
  <c r="H177" i="3" s="1"/>
  <c r="D178" i="3" s="1"/>
  <c r="E174" i="3"/>
  <c r="E171" i="3"/>
  <c r="G171" i="3" s="1"/>
  <c r="H171" i="3" s="1"/>
  <c r="D172" i="3" s="1"/>
  <c r="E168" i="3"/>
  <c r="G168" i="3" s="1"/>
  <c r="H168" i="3" s="1"/>
  <c r="D169" i="3" s="1"/>
  <c r="E145" i="3"/>
  <c r="G145" i="3" s="1"/>
  <c r="H145" i="3" s="1"/>
  <c r="D146" i="3" s="1"/>
  <c r="E142" i="3"/>
  <c r="E139" i="3"/>
  <c r="E136" i="3"/>
  <c r="G136" i="3" s="1"/>
  <c r="H136" i="3" s="1"/>
  <c r="D137" i="3" s="1"/>
  <c r="E113" i="3"/>
  <c r="G113" i="3" s="1"/>
  <c r="H113" i="3" s="1"/>
  <c r="D114" i="3" s="1"/>
  <c r="E110" i="3"/>
  <c r="G110" i="3" s="1"/>
  <c r="E107" i="3"/>
  <c r="E104" i="3"/>
  <c r="G104" i="3" s="1"/>
  <c r="H104" i="3" s="1"/>
  <c r="D105" i="3" s="1"/>
  <c r="E81" i="3"/>
  <c r="E78" i="3"/>
  <c r="G78" i="3" s="1"/>
  <c r="H78" i="3" s="1"/>
  <c r="D79" i="3" s="1"/>
  <c r="E75" i="3"/>
  <c r="G75" i="3" s="1"/>
  <c r="H75" i="3" s="1"/>
  <c r="D76" i="3" s="1"/>
  <c r="E183" i="3"/>
  <c r="G183" i="3" s="1"/>
  <c r="H183" i="3" s="1"/>
  <c r="D184" i="3" s="1"/>
  <c r="E180" i="3"/>
  <c r="E157" i="3"/>
  <c r="E154" i="3"/>
  <c r="E151" i="3"/>
  <c r="G151" i="3" s="1"/>
  <c r="H151" i="3" s="1"/>
  <c r="D152" i="3" s="1"/>
  <c r="E148" i="3"/>
  <c r="G148" i="3" s="1"/>
  <c r="H148" i="3" s="1"/>
  <c r="D149" i="3" s="1"/>
  <c r="E125" i="3"/>
  <c r="G125" i="3" s="1"/>
  <c r="H125" i="3" s="1"/>
  <c r="D126" i="3" s="1"/>
  <c r="E122" i="3"/>
  <c r="G122" i="3" s="1"/>
  <c r="H122" i="3" s="1"/>
  <c r="D123" i="3" s="1"/>
  <c r="E119" i="3"/>
  <c r="E116" i="3"/>
  <c r="G116" i="3" s="1"/>
  <c r="E93" i="3"/>
  <c r="G93" i="3" s="1"/>
  <c r="E90" i="3"/>
  <c r="E87" i="3"/>
  <c r="G87" i="3" s="1"/>
  <c r="H87" i="3" s="1"/>
  <c r="D88" i="3" s="1"/>
  <c r="E84" i="3"/>
  <c r="G84" i="3" s="1"/>
  <c r="H84" i="3" s="1"/>
  <c r="D85" i="3" s="1"/>
  <c r="E72" i="3"/>
  <c r="G72" i="3" s="1"/>
  <c r="H72" i="3" s="1"/>
  <c r="D73" i="3" s="1"/>
  <c r="E68" i="3"/>
  <c r="G68" i="3" s="1"/>
  <c r="H68" i="3" s="1"/>
  <c r="D69" i="3" s="1"/>
  <c r="E64" i="3"/>
  <c r="G64" i="3" s="1"/>
  <c r="H64" i="3" s="1"/>
  <c r="D65" i="3" s="1"/>
  <c r="E167" i="3"/>
  <c r="G167" i="3" s="1"/>
  <c r="E165" i="3"/>
  <c r="G165" i="3" s="1"/>
  <c r="H165" i="3" s="1"/>
  <c r="D166" i="3" s="1"/>
  <c r="E163" i="3"/>
  <c r="G163" i="3" s="1"/>
  <c r="E152" i="3"/>
  <c r="G152" i="3" s="1"/>
  <c r="H152" i="3" s="1"/>
  <c r="D153" i="3" s="1"/>
  <c r="E150" i="3"/>
  <c r="G150" i="3" s="1"/>
  <c r="H150" i="3" s="1"/>
  <c r="D151" i="3" s="1"/>
  <c r="E127" i="3"/>
  <c r="G127" i="3" s="1"/>
  <c r="H127" i="3" s="1"/>
  <c r="D128" i="3" s="1"/>
  <c r="E112" i="3"/>
  <c r="G112" i="3" s="1"/>
  <c r="H112" i="3" s="1"/>
  <c r="D113" i="3" s="1"/>
  <c r="E85" i="3"/>
  <c r="G85" i="3" s="1"/>
  <c r="E70" i="3"/>
  <c r="G70" i="3" s="1"/>
  <c r="E60" i="3"/>
  <c r="G60" i="3" s="1"/>
  <c r="H60" i="3" s="1"/>
  <c r="D61" i="3" s="1"/>
  <c r="E57" i="3"/>
  <c r="G57" i="3" s="1"/>
  <c r="E54" i="3"/>
  <c r="G54" i="3" s="1"/>
  <c r="H54" i="3" s="1"/>
  <c r="D55" i="3" s="1"/>
  <c r="E51" i="3"/>
  <c r="G51" i="3" s="1"/>
  <c r="H51" i="3" s="1"/>
  <c r="D52" i="3" s="1"/>
  <c r="E186" i="3"/>
  <c r="G186" i="3" s="1"/>
  <c r="E161" i="3"/>
  <c r="G161" i="3" s="1"/>
  <c r="H161" i="3" s="1"/>
  <c r="D162" i="3" s="1"/>
  <c r="E146" i="3"/>
  <c r="E140" i="3"/>
  <c r="E138" i="3"/>
  <c r="E134" i="3"/>
  <c r="E123" i="3"/>
  <c r="G123" i="3" s="1"/>
  <c r="E121" i="3"/>
  <c r="G121" i="3" s="1"/>
  <c r="H121" i="3" s="1"/>
  <c r="D122" i="3" s="1"/>
  <c r="E100" i="3"/>
  <c r="G100" i="3" s="1"/>
  <c r="H100" i="3" s="1"/>
  <c r="D101" i="3" s="1"/>
  <c r="E98" i="3"/>
  <c r="G98" i="3" s="1"/>
  <c r="H98" i="3" s="1"/>
  <c r="D99" i="3" s="1"/>
  <c r="E96" i="3"/>
  <c r="G96" i="3" s="1"/>
  <c r="H96" i="3" s="1"/>
  <c r="D97" i="3" s="1"/>
  <c r="E83" i="3"/>
  <c r="G83" i="3" s="1"/>
  <c r="H83" i="3" s="1"/>
  <c r="D84" i="3" s="1"/>
  <c r="E79" i="3"/>
  <c r="E77" i="3"/>
  <c r="G77" i="3" s="1"/>
  <c r="H77" i="3" s="1"/>
  <c r="D78" i="3" s="1"/>
  <c r="E73" i="3"/>
  <c r="G73" i="3" s="1"/>
  <c r="H73" i="3" s="1"/>
  <c r="D74" i="3" s="1"/>
  <c r="E63" i="3"/>
  <c r="G63" i="3" s="1"/>
  <c r="H63" i="3" s="1"/>
  <c r="D64" i="3" s="1"/>
  <c r="E42" i="3"/>
  <c r="G42" i="3" s="1"/>
  <c r="H42" i="3" s="1"/>
  <c r="D43" i="3" s="1"/>
  <c r="E38" i="3"/>
  <c r="G38" i="3" s="1"/>
  <c r="H38" i="3" s="1"/>
  <c r="D39" i="3" s="1"/>
  <c r="E34" i="3"/>
  <c r="G34" i="3" s="1"/>
  <c r="H34" i="3" s="1"/>
  <c r="D35" i="3" s="1"/>
  <c r="E30" i="3"/>
  <c r="G30" i="3" s="1"/>
  <c r="E26" i="3"/>
  <c r="G26" i="3" s="1"/>
  <c r="H26" i="3" s="1"/>
  <c r="D27" i="3" s="1"/>
  <c r="E22" i="3"/>
  <c r="G22" i="3" s="1"/>
  <c r="E18" i="3"/>
  <c r="G18" i="3" s="1"/>
  <c r="E14" i="3"/>
  <c r="G14" i="3" s="1"/>
  <c r="H14" i="3" s="1"/>
  <c r="D15" i="3" s="1"/>
  <c r="E10" i="3"/>
  <c r="G10" i="3" s="1"/>
  <c r="E182" i="3"/>
  <c r="G182" i="3" s="1"/>
  <c r="H182" i="3" s="1"/>
  <c r="D183" i="3" s="1"/>
  <c r="E166" i="3"/>
  <c r="G166" i="3" s="1"/>
  <c r="E155" i="3"/>
  <c r="G155" i="3" s="1"/>
  <c r="E131" i="3"/>
  <c r="G131" i="3" s="1"/>
  <c r="H131" i="3" s="1"/>
  <c r="D132" i="3" s="1"/>
  <c r="E129" i="3"/>
  <c r="G129" i="3" s="1"/>
  <c r="H129" i="3" s="1"/>
  <c r="D130" i="3" s="1"/>
  <c r="E120" i="3"/>
  <c r="G120" i="3" s="1"/>
  <c r="E115" i="3"/>
  <c r="G115" i="3" s="1"/>
  <c r="H115" i="3" s="1"/>
  <c r="D116" i="3" s="1"/>
  <c r="E106" i="3"/>
  <c r="G106" i="3" s="1"/>
  <c r="E99" i="3"/>
  <c r="G99" i="3" s="1"/>
  <c r="H99" i="3" s="1"/>
  <c r="D100" i="3" s="1"/>
  <c r="E97" i="3"/>
  <c r="G97" i="3" s="1"/>
  <c r="H97" i="3" s="1"/>
  <c r="D98" i="3" s="1"/>
  <c r="E92" i="3"/>
  <c r="G92" i="3" s="1"/>
  <c r="H92" i="3" s="1"/>
  <c r="D93" i="3" s="1"/>
  <c r="E66" i="3"/>
  <c r="G66" i="3" s="1"/>
  <c r="E62" i="3"/>
  <c r="G62" i="3" s="1"/>
  <c r="H62" i="3" s="1"/>
  <c r="D63" i="3" s="1"/>
  <c r="E58" i="3"/>
  <c r="G58" i="3" s="1"/>
  <c r="E56" i="3"/>
  <c r="G56" i="3" s="1"/>
  <c r="H56" i="3" s="1"/>
  <c r="D57" i="3" s="1"/>
  <c r="E31" i="3"/>
  <c r="G31" i="3" s="1"/>
  <c r="H31" i="3" s="1"/>
  <c r="D32" i="3" s="1"/>
  <c r="E21" i="3"/>
  <c r="G21" i="3" s="1"/>
  <c r="H21" i="3" s="1"/>
  <c r="D22" i="3" s="1"/>
  <c r="E16" i="3"/>
  <c r="G16" i="3" s="1"/>
  <c r="H16" i="3" s="1"/>
  <c r="D17" i="3" s="1"/>
  <c r="E184" i="3"/>
  <c r="G184" i="3" s="1"/>
  <c r="H184" i="3" s="1"/>
  <c r="D185" i="3" s="1"/>
  <c r="E173" i="3"/>
  <c r="G173" i="3" s="1"/>
  <c r="H173" i="3" s="1"/>
  <c r="D174" i="3" s="1"/>
  <c r="E164" i="3"/>
  <c r="G164" i="3" s="1"/>
  <c r="H164" i="3" s="1"/>
  <c r="D165" i="3" s="1"/>
  <c r="E159" i="3"/>
  <c r="G159" i="3" s="1"/>
  <c r="H159" i="3" s="1"/>
  <c r="D160" i="3" s="1"/>
  <c r="E143" i="3"/>
  <c r="E117" i="3"/>
  <c r="E108" i="3"/>
  <c r="G108" i="3" s="1"/>
  <c r="H108" i="3" s="1"/>
  <c r="D109" i="3" s="1"/>
  <c r="E94" i="3"/>
  <c r="G94" i="3" s="1"/>
  <c r="H94" i="3" s="1"/>
  <c r="D95" i="3" s="1"/>
  <c r="E50" i="3"/>
  <c r="G50" i="3" s="1"/>
  <c r="H50" i="3" s="1"/>
  <c r="D51" i="3" s="1"/>
  <c r="E48" i="3"/>
  <c r="G48" i="3" s="1"/>
  <c r="H48" i="3" s="1"/>
  <c r="D49" i="3" s="1"/>
  <c r="E46" i="3"/>
  <c r="G46" i="3" s="1"/>
  <c r="E41" i="3"/>
  <c r="G41" i="3" s="1"/>
  <c r="H41" i="3" s="1"/>
  <c r="D42" i="3" s="1"/>
  <c r="E36" i="3"/>
  <c r="G36" i="3" s="1"/>
  <c r="H36" i="3" s="1"/>
  <c r="D37" i="3" s="1"/>
  <c r="E19" i="3"/>
  <c r="G19" i="3" s="1"/>
  <c r="H19" i="3" s="1"/>
  <c r="D20" i="3" s="1"/>
  <c r="E9" i="3"/>
  <c r="G9" i="3" s="1"/>
  <c r="H9" i="3" s="1"/>
  <c r="D10" i="3" s="1"/>
  <c r="O14" i="2"/>
  <c r="G14" i="2"/>
  <c r="O13" i="2"/>
  <c r="G13" i="2"/>
  <c r="O10" i="2"/>
  <c r="G10" i="2"/>
  <c r="O9" i="2"/>
  <c r="G9" i="2"/>
  <c r="E175" i="3"/>
  <c r="G175" i="3" s="1"/>
  <c r="H175" i="3" s="1"/>
  <c r="D176" i="3" s="1"/>
  <c r="E137" i="3"/>
  <c r="E133" i="3"/>
  <c r="G133" i="3" s="1"/>
  <c r="H133" i="3" s="1"/>
  <c r="D134" i="3" s="1"/>
  <c r="E105" i="3"/>
  <c r="E101" i="3"/>
  <c r="G101" i="3" s="1"/>
  <c r="H101" i="3" s="1"/>
  <c r="D102" i="3" s="1"/>
  <c r="E39" i="3"/>
  <c r="E29" i="3"/>
  <c r="G29" i="3" s="1"/>
  <c r="H29" i="3" s="1"/>
  <c r="D30" i="3" s="1"/>
  <c r="E24" i="3"/>
  <c r="G24" i="3" s="1"/>
  <c r="H24" i="3" s="1"/>
  <c r="D25" i="3" s="1"/>
  <c r="E7" i="3"/>
  <c r="E170" i="3"/>
  <c r="E135" i="3"/>
  <c r="G135" i="3" s="1"/>
  <c r="H135" i="3" s="1"/>
  <c r="D136" i="3" s="1"/>
  <c r="E128" i="3"/>
  <c r="G128" i="3" s="1"/>
  <c r="H128" i="3" s="1"/>
  <c r="D129" i="3" s="1"/>
  <c r="E126" i="3"/>
  <c r="E124" i="3"/>
  <c r="G124" i="3" s="1"/>
  <c r="H124" i="3" s="1"/>
  <c r="D125" i="3" s="1"/>
  <c r="E103" i="3"/>
  <c r="G103" i="3" s="1"/>
  <c r="H103" i="3" s="1"/>
  <c r="D104" i="3" s="1"/>
  <c r="E89" i="3"/>
  <c r="G89" i="3" s="1"/>
  <c r="H89" i="3" s="1"/>
  <c r="D90" i="3" s="1"/>
  <c r="E80" i="3"/>
  <c r="G80" i="3" s="1"/>
  <c r="H80" i="3" s="1"/>
  <c r="D81" i="3" s="1"/>
  <c r="E44" i="3"/>
  <c r="E27" i="3"/>
  <c r="G27" i="3" s="1"/>
  <c r="E17" i="3"/>
  <c r="G17" i="3" s="1"/>
  <c r="H17" i="3" s="1"/>
  <c r="D18" i="3" s="1"/>
  <c r="E12" i="3"/>
  <c r="E181" i="3"/>
  <c r="G181" i="3" s="1"/>
  <c r="E179" i="3"/>
  <c r="G179" i="3" s="1"/>
  <c r="H179" i="3" s="1"/>
  <c r="D180" i="3" s="1"/>
  <c r="E172" i="3"/>
  <c r="G172" i="3" s="1"/>
  <c r="H172" i="3" s="1"/>
  <c r="D173" i="3" s="1"/>
  <c r="E130" i="3"/>
  <c r="G130" i="3" s="1"/>
  <c r="H130" i="3" s="1"/>
  <c r="D131" i="3" s="1"/>
  <c r="E114" i="3"/>
  <c r="G114" i="3" s="1"/>
  <c r="E91" i="3"/>
  <c r="G91" i="3" s="1"/>
  <c r="E82" i="3"/>
  <c r="E74" i="3"/>
  <c r="E65" i="3"/>
  <c r="G65" i="3" s="1"/>
  <c r="E61" i="3"/>
  <c r="E55" i="3"/>
  <c r="G55" i="3" s="1"/>
  <c r="H55" i="3" s="1"/>
  <c r="D56" i="3" s="1"/>
  <c r="E53" i="3"/>
  <c r="G53" i="3" s="1"/>
  <c r="H53" i="3" s="1"/>
  <c r="D54" i="3" s="1"/>
  <c r="E49" i="3"/>
  <c r="E37" i="3"/>
  <c r="G37" i="3" s="1"/>
  <c r="H37" i="3" s="1"/>
  <c r="D38" i="3" s="1"/>
  <c r="E32" i="3"/>
  <c r="E15" i="3"/>
  <c r="E160" i="3"/>
  <c r="G160" i="3" s="1"/>
  <c r="E158" i="3"/>
  <c r="G158" i="3" s="1"/>
  <c r="E156" i="3"/>
  <c r="G156" i="3" s="1"/>
  <c r="H156" i="3" s="1"/>
  <c r="D157" i="3" s="1"/>
  <c r="E149" i="3"/>
  <c r="G149" i="3" s="1"/>
  <c r="H149" i="3" s="1"/>
  <c r="D150" i="3" s="1"/>
  <c r="E147" i="3"/>
  <c r="G147" i="3" s="1"/>
  <c r="H147" i="3" s="1"/>
  <c r="D148" i="3" s="1"/>
  <c r="E132" i="3"/>
  <c r="E109" i="3"/>
  <c r="E69" i="3"/>
  <c r="G69" i="3" s="1"/>
  <c r="H69" i="3" s="1"/>
  <c r="D70" i="3" s="1"/>
  <c r="E67" i="3"/>
  <c r="G67" i="3" s="1"/>
  <c r="H67" i="3" s="1"/>
  <c r="D68" i="3" s="1"/>
  <c r="E59" i="3"/>
  <c r="G59" i="3" s="1"/>
  <c r="E35" i="3"/>
  <c r="E25" i="3"/>
  <c r="G25" i="3" s="1"/>
  <c r="H25" i="3" s="1"/>
  <c r="D26" i="3" s="1"/>
  <c r="E20" i="3"/>
  <c r="H5" i="3"/>
  <c r="E169" i="3"/>
  <c r="G169" i="3" s="1"/>
  <c r="H169" i="3" s="1"/>
  <c r="D170" i="3" s="1"/>
  <c r="E144" i="3"/>
  <c r="G144" i="3" s="1"/>
  <c r="H144" i="3" s="1"/>
  <c r="D145" i="3" s="1"/>
  <c r="E118" i="3"/>
  <c r="G118" i="3" s="1"/>
  <c r="H118" i="3" s="1"/>
  <c r="D119" i="3" s="1"/>
  <c r="E111" i="3"/>
  <c r="G111" i="3" s="1"/>
  <c r="E102" i="3"/>
  <c r="E86" i="3"/>
  <c r="G86" i="3" s="1"/>
  <c r="E76" i="3"/>
  <c r="G76" i="3" s="1"/>
  <c r="E71" i="3"/>
  <c r="G71" i="3" s="1"/>
  <c r="H71" i="3" s="1"/>
  <c r="D72" i="3" s="1"/>
  <c r="E47" i="3"/>
  <c r="G47" i="3" s="1"/>
  <c r="E45" i="3"/>
  <c r="G45" i="3" s="1"/>
  <c r="H45" i="3" s="1"/>
  <c r="D46" i="3" s="1"/>
  <c r="E40" i="3"/>
  <c r="G40" i="3" s="1"/>
  <c r="H40" i="3" s="1"/>
  <c r="D41" i="3" s="1"/>
  <c r="E23" i="3"/>
  <c r="G23" i="3" s="1"/>
  <c r="E13" i="3"/>
  <c r="G13" i="3" s="1"/>
  <c r="H13" i="3" s="1"/>
  <c r="D14" i="3" s="1"/>
  <c r="E8" i="3"/>
  <c r="G8" i="3" s="1"/>
  <c r="H8" i="3" s="1"/>
  <c r="D9" i="3" s="1"/>
  <c r="J14" i="2"/>
  <c r="J13" i="2"/>
  <c r="J10" i="2"/>
  <c r="E178" i="3"/>
  <c r="G178" i="3" s="1"/>
  <c r="E176" i="3"/>
  <c r="G176" i="3" s="1"/>
  <c r="E162" i="3"/>
  <c r="G162" i="3" s="1"/>
  <c r="E153" i="3"/>
  <c r="G153" i="3" s="1"/>
  <c r="H153" i="3" s="1"/>
  <c r="D154" i="3" s="1"/>
  <c r="E141" i="3"/>
  <c r="G141" i="3" s="1"/>
  <c r="H141" i="3" s="1"/>
  <c r="D142" i="3" s="1"/>
  <c r="E95" i="3"/>
  <c r="G95" i="3" s="1"/>
  <c r="H95" i="3" s="1"/>
  <c r="D96" i="3" s="1"/>
  <c r="E88" i="3"/>
  <c r="G88" i="3" s="1"/>
  <c r="E52" i="3"/>
  <c r="E43" i="3"/>
  <c r="G43" i="3" s="1"/>
  <c r="E33" i="3"/>
  <c r="G33" i="3" s="1"/>
  <c r="H33" i="3" s="1"/>
  <c r="D34" i="3" s="1"/>
  <c r="E28" i="3"/>
  <c r="G28" i="3" s="1"/>
  <c r="H28" i="3" s="1"/>
  <c r="D29" i="3" s="1"/>
  <c r="E11" i="3"/>
  <c r="G11" i="3" s="1"/>
  <c r="H11" i="3" s="1"/>
  <c r="D12" i="3" s="1"/>
  <c r="L10" i="2"/>
  <c r="H14" i="2"/>
  <c r="K24" i="2"/>
  <c r="L7" i="1"/>
  <c r="C10" i="2"/>
  <c r="I14" i="2"/>
  <c r="J9" i="2"/>
  <c r="D10" i="2"/>
  <c r="P13" i="2"/>
  <c r="R19" i="2"/>
  <c r="M24" i="2"/>
  <c r="P10" i="2"/>
  <c r="R18" i="2"/>
  <c r="N24" i="2"/>
  <c r="L9" i="2"/>
  <c r="D9" i="2"/>
  <c r="M9" i="2"/>
  <c r="H10" i="2"/>
  <c r="I13" i="2"/>
  <c r="D14" i="2"/>
  <c r="N14" i="2"/>
  <c r="H24" i="2"/>
  <c r="P24" i="2"/>
  <c r="H47" i="3"/>
  <c r="D48" i="3" s="1"/>
  <c r="H59" i="3"/>
  <c r="D60" i="3" s="1"/>
  <c r="H76" i="3"/>
  <c r="D77" i="3" s="1"/>
  <c r="F81" i="3"/>
  <c r="F109" i="3"/>
  <c r="H123" i="3"/>
  <c r="D124" i="3" s="1"/>
  <c r="F123" i="3"/>
  <c r="F134" i="3"/>
  <c r="F149" i="3"/>
  <c r="R23" i="2"/>
  <c r="F49" i="3"/>
  <c r="F79" i="3"/>
  <c r="H27" i="3"/>
  <c r="D28" i="3" s="1"/>
  <c r="H57" i="3"/>
  <c r="D58" i="3" s="1"/>
  <c r="F139" i="3"/>
  <c r="F174" i="3"/>
  <c r="H18" i="3"/>
  <c r="D19" i="3" s="1"/>
  <c r="F20" i="3"/>
  <c r="F35" i="3"/>
  <c r="F57" i="3"/>
  <c r="F59" i="3"/>
  <c r="F69" i="3"/>
  <c r="H93" i="3"/>
  <c r="D94" i="3" s="1"/>
  <c r="F105" i="3"/>
  <c r="F107" i="3"/>
  <c r="H116" i="3"/>
  <c r="D117" i="3" s="1"/>
  <c r="F132" i="3"/>
  <c r="F137" i="3"/>
  <c r="F142" i="3"/>
  <c r="H160" i="3"/>
  <c r="D161" i="3" s="1"/>
  <c r="F15" i="3"/>
  <c r="H30" i="3"/>
  <c r="D31" i="3" s="1"/>
  <c r="F32" i="3"/>
  <c r="F53" i="3"/>
  <c r="F55" i="3"/>
  <c r="F61" i="3"/>
  <c r="F74" i="3"/>
  <c r="F82" i="3"/>
  <c r="F94" i="3"/>
  <c r="F96" i="3"/>
  <c r="F117" i="3"/>
  <c r="F119" i="3"/>
  <c r="H163" i="3"/>
  <c r="D164" i="3" s="1"/>
  <c r="F172" i="3"/>
  <c r="H186" i="3"/>
  <c r="H10" i="3"/>
  <c r="D11" i="3" s="1"/>
  <c r="F12" i="3"/>
  <c r="F27" i="3"/>
  <c r="F44" i="3"/>
  <c r="H58" i="3"/>
  <c r="D59" i="3" s="1"/>
  <c r="H66" i="3"/>
  <c r="D67" i="3" s="1"/>
  <c r="F85" i="3"/>
  <c r="H85" i="3"/>
  <c r="D86" i="3" s="1"/>
  <c r="F103" i="3"/>
  <c r="F122" i="3"/>
  <c r="F126" i="3"/>
  <c r="F140" i="3"/>
  <c r="H155" i="3"/>
  <c r="D156" i="3" s="1"/>
  <c r="H166" i="3"/>
  <c r="D167" i="3" s="1"/>
  <c r="F166" i="3"/>
  <c r="F170" i="3"/>
  <c r="F7" i="3"/>
  <c r="H22" i="3"/>
  <c r="D23" i="3" s="1"/>
  <c r="F39" i="3"/>
  <c r="H43" i="3"/>
  <c r="D44" i="3" s="1"/>
  <c r="F52" i="3"/>
  <c r="H120" i="3"/>
  <c r="D121" i="3" s="1"/>
  <c r="F138" i="3"/>
  <c r="F146" i="3"/>
  <c r="F157" i="3"/>
  <c r="H178" i="3"/>
  <c r="D179" i="3" s="1"/>
  <c r="F19" i="3"/>
  <c r="H23" i="3"/>
  <c r="D24" i="3" s="1"/>
  <c r="H46" i="3"/>
  <c r="D47" i="3" s="1"/>
  <c r="F73" i="3"/>
  <c r="H88" i="3"/>
  <c r="D89" i="3" s="1"/>
  <c r="F90" i="3"/>
  <c r="H111" i="3"/>
  <c r="D112" i="3" s="1"/>
  <c r="F143" i="3"/>
  <c r="H176" i="3"/>
  <c r="D177" i="3" s="1"/>
  <c r="F180" i="3"/>
  <c r="H65" i="3"/>
  <c r="D66" i="3" s="1"/>
  <c r="H91" i="3"/>
  <c r="D92" i="3" s="1"/>
  <c r="F102" i="3"/>
  <c r="H106" i="3"/>
  <c r="D107" i="3" s="1"/>
  <c r="H114" i="3"/>
  <c r="D115" i="3" s="1"/>
  <c r="H110" i="3"/>
  <c r="D111" i="3" s="1"/>
  <c r="F154" i="3"/>
  <c r="H158" i="3"/>
  <c r="D159" i="3" s="1"/>
  <c r="F169" i="3"/>
  <c r="F181" i="3"/>
  <c r="H181" i="3"/>
  <c r="D182" i="3" s="1"/>
  <c r="H162" i="3"/>
  <c r="D163" i="3" s="1"/>
  <c r="H86" i="3"/>
  <c r="D87" i="3" s="1"/>
  <c r="E187" i="3" l="1"/>
  <c r="G7" i="3"/>
  <c r="G35" i="3"/>
  <c r="H35" i="3" s="1"/>
  <c r="D36" i="3" s="1"/>
  <c r="G61" i="3"/>
  <c r="H61" i="3" s="1"/>
  <c r="D62" i="3" s="1"/>
  <c r="I15" i="2"/>
  <c r="G39" i="3"/>
  <c r="H39" i="3" s="1"/>
  <c r="D40" i="3" s="1"/>
  <c r="G143" i="3"/>
  <c r="H143" i="3" s="1"/>
  <c r="D144" i="3" s="1"/>
  <c r="G81" i="3"/>
  <c r="H81" i="3" s="1"/>
  <c r="D82" i="3" s="1"/>
  <c r="G15" i="1"/>
  <c r="H14" i="1"/>
  <c r="G102" i="3"/>
  <c r="H102" i="3" s="1"/>
  <c r="D103" i="3" s="1"/>
  <c r="G139" i="3"/>
  <c r="H139" i="3" s="1"/>
  <c r="D140" i="3" s="1"/>
  <c r="G117" i="3"/>
  <c r="H117" i="3" s="1"/>
  <c r="D118" i="3" s="1"/>
  <c r="G142" i="3"/>
  <c r="H142" i="3" s="1"/>
  <c r="D143" i="3" s="1"/>
  <c r="R9" i="2"/>
  <c r="R10" i="2"/>
  <c r="C11" i="2"/>
  <c r="D11" i="2" s="1"/>
  <c r="E11" i="2" s="1"/>
  <c r="F11" i="2" s="1"/>
  <c r="G11" i="2" s="1"/>
  <c r="H11" i="2" s="1"/>
  <c r="I11" i="2" s="1"/>
  <c r="J11" i="2" s="1"/>
  <c r="K11" i="2" s="1"/>
  <c r="L11" i="2" s="1"/>
  <c r="M11" i="2" s="1"/>
  <c r="G74" i="3"/>
  <c r="H74" i="3" s="1"/>
  <c r="D75" i="3" s="1"/>
  <c r="G126" i="3"/>
  <c r="H126" i="3" s="1"/>
  <c r="D127" i="3" s="1"/>
  <c r="D15" i="2"/>
  <c r="G32" i="3"/>
  <c r="H32" i="3" s="1"/>
  <c r="D33" i="3" s="1"/>
  <c r="G90" i="3"/>
  <c r="H90" i="3" s="1"/>
  <c r="D91" i="3" s="1"/>
  <c r="G132" i="3"/>
  <c r="H132" i="3" s="1"/>
  <c r="D133" i="3" s="1"/>
  <c r="G79" i="3"/>
  <c r="H79" i="3" s="1"/>
  <c r="D80" i="3" s="1"/>
  <c r="G138" i="3"/>
  <c r="H138" i="3" s="1"/>
  <c r="D139" i="3" s="1"/>
  <c r="G157" i="3"/>
  <c r="H157" i="3" s="1"/>
  <c r="D158" i="3" s="1"/>
  <c r="G174" i="3"/>
  <c r="H174" i="3" s="1"/>
  <c r="D175" i="3" s="1"/>
  <c r="C15" i="2"/>
  <c r="G146" i="3"/>
  <c r="H146" i="3" s="1"/>
  <c r="D147" i="3" s="1"/>
  <c r="G119" i="3"/>
  <c r="H119" i="3" s="1"/>
  <c r="D120" i="3" s="1"/>
  <c r="G15" i="3"/>
  <c r="H15" i="3" s="1"/>
  <c r="D16" i="3" s="1"/>
  <c r="G12" i="3"/>
  <c r="H12" i="3" s="1"/>
  <c r="D13" i="3" s="1"/>
  <c r="F187" i="3"/>
  <c r="O21" i="2"/>
  <c r="G21" i="2"/>
  <c r="J21" i="2"/>
  <c r="M21" i="2"/>
  <c r="C21" i="2"/>
  <c r="I21" i="2"/>
  <c r="Q21" i="2"/>
  <c r="R21" i="2" s="1"/>
  <c r="F21" i="2"/>
  <c r="L21" i="2"/>
  <c r="K21" i="2"/>
  <c r="H21" i="2"/>
  <c r="P21" i="2"/>
  <c r="E21" i="2"/>
  <c r="N21" i="2"/>
  <c r="D21" i="2"/>
  <c r="D25" i="1"/>
  <c r="G52" i="3"/>
  <c r="H52" i="3" s="1"/>
  <c r="D53" i="3" s="1"/>
  <c r="G109" i="3"/>
  <c r="H109" i="3" s="1"/>
  <c r="D110" i="3" s="1"/>
  <c r="G82" i="3"/>
  <c r="H82" i="3" s="1"/>
  <c r="D83" i="3" s="1"/>
  <c r="G105" i="3"/>
  <c r="H105" i="3" s="1"/>
  <c r="D106" i="3" s="1"/>
  <c r="G134" i="3"/>
  <c r="H134" i="3" s="1"/>
  <c r="D135" i="3" s="1"/>
  <c r="G154" i="3"/>
  <c r="H154" i="3" s="1"/>
  <c r="D155" i="3" s="1"/>
  <c r="G107" i="3"/>
  <c r="H107" i="3" s="1"/>
  <c r="D108" i="3" s="1"/>
  <c r="K15" i="2"/>
  <c r="H15" i="2"/>
  <c r="J15" i="2"/>
  <c r="G20" i="3"/>
  <c r="H20" i="3" s="1"/>
  <c r="D21" i="3" s="1"/>
  <c r="G49" i="3"/>
  <c r="H49" i="3" s="1"/>
  <c r="D50" i="3" s="1"/>
  <c r="G44" i="3"/>
  <c r="H44" i="3" s="1"/>
  <c r="D45" i="3" s="1"/>
  <c r="G170" i="3"/>
  <c r="H170" i="3" s="1"/>
  <c r="D171" i="3" s="1"/>
  <c r="G137" i="3"/>
  <c r="H137" i="3" s="1"/>
  <c r="D138" i="3" s="1"/>
  <c r="G15" i="2"/>
  <c r="G140" i="3"/>
  <c r="H140" i="3" s="1"/>
  <c r="D141" i="3" s="1"/>
  <c r="G180" i="3"/>
  <c r="H180" i="3" s="1"/>
  <c r="D181" i="3" s="1"/>
  <c r="J26" i="2" l="1"/>
  <c r="J27" i="2"/>
  <c r="H27" i="2"/>
  <c r="H26" i="2"/>
  <c r="C27" i="2"/>
  <c r="C26" i="2"/>
  <c r="D27" i="2"/>
  <c r="D26" i="2"/>
  <c r="G27" i="2"/>
  <c r="G26" i="2"/>
  <c r="K27" i="2"/>
  <c r="K26" i="2"/>
  <c r="I27" i="2"/>
  <c r="I26" i="2"/>
  <c r="N11" i="2"/>
  <c r="M15" i="2"/>
  <c r="H15" i="1"/>
  <c r="J25" i="1"/>
  <c r="F15" i="2"/>
  <c r="G187" i="3"/>
  <c r="H7" i="3"/>
  <c r="D8" i="3" s="1"/>
  <c r="L15" i="2"/>
  <c r="E15" i="2"/>
  <c r="M26" i="2" l="1"/>
  <c r="M27" i="2"/>
  <c r="E26" i="2"/>
  <c r="E27" i="2"/>
  <c r="O11" i="2"/>
  <c r="N15" i="2"/>
  <c r="L27" i="2"/>
  <c r="L26" i="2"/>
  <c r="F27" i="2"/>
  <c r="F26" i="2"/>
  <c r="N26" i="2" l="1"/>
  <c r="N27" i="2"/>
  <c r="P11" i="2"/>
  <c r="O15" i="2"/>
  <c r="O26" i="2" l="1"/>
  <c r="O27" i="2"/>
  <c r="Q11" i="2"/>
  <c r="P15" i="2"/>
  <c r="P27" i="2" l="1"/>
  <c r="P26" i="2"/>
  <c r="R11" i="2"/>
  <c r="Q15" i="2"/>
  <c r="R27" i="2" l="1"/>
  <c r="Q27" i="2"/>
  <c r="Q26" i="2"/>
  <c r="R26" i="2" s="1"/>
  <c r="R15" i="2"/>
</calcChain>
</file>

<file path=xl/sharedStrings.xml><?xml version="1.0" encoding="utf-8"?>
<sst xmlns="http://schemas.openxmlformats.org/spreadsheetml/2006/main" count="278" uniqueCount="248">
  <si>
    <t>MORTGAGE vs CASH PURCHASE CALCULATOR  |  THREALTY UGANDA</t>
  </si>
  <si>
    <t>Compare leveraged vs unleveraged returns · Uganda bank rates · True cost of borrowing · 15-year wealth comparison · 2025 benchmarks</t>
  </si>
  <si>
    <t xml:space="preserve">  🏗️  PROPERTY DETAILS  (shared by both scenarios)</t>
  </si>
  <si>
    <t xml:space="preserve">  🏦  SCENARIO A — MORTGAGE (LEVERAGED)</t>
  </si>
  <si>
    <t xml:space="preserve">  💰  SCENARIO B — CASH PURCHASE (UNLEVERAGED)</t>
  </si>
  <si>
    <t>Input</t>
  </si>
  <si>
    <t>Value</t>
  </si>
  <si>
    <t>Notes</t>
  </si>
  <si>
    <t>Metric</t>
  </si>
  <si>
    <t>Property purchase price (UGX)</t>
  </si>
  <si>
    <t>Agreed / market price</t>
  </si>
  <si>
    <t>Loan amount (UGX)</t>
  </si>
  <si>
    <t>70% LTV typical</t>
  </si>
  <si>
    <t>Cash paid on day 1 (UGX)</t>
  </si>
  <si>
    <t>Full acquisition cost</t>
  </si>
  <si>
    <t>Stamp duty rate</t>
  </si>
  <si>
    <t>1% — URA standard</t>
  </si>
  <si>
    <t>Annual interest rate (UGX loan)</t>
  </si>
  <si>
    <t>UGX loan ~18-22%</t>
  </si>
  <si>
    <t>Monthly payment</t>
  </si>
  <si>
    <t>No mortgage — zero</t>
  </si>
  <si>
    <t>Legal &amp; conveyancing fees (UGX)</t>
  </si>
  <si>
    <t>Lawyer + survey</t>
  </si>
  <si>
    <t>Loan term (years)</t>
  </si>
  <si>
    <t>10-20 yr range</t>
  </si>
  <si>
    <t>Total interest cost (lifetime)</t>
  </si>
  <si>
    <t>No interest ever</t>
  </si>
  <si>
    <t>Renovation / fit-out (UGX)</t>
  </si>
  <si>
    <t>If any</t>
  </si>
  <si>
    <t>Loan arrangement fee (UGX)</t>
  </si>
  <si>
    <t>~1% of loan</t>
  </si>
  <si>
    <t>Opportunity cost of capital</t>
  </si>
  <si>
    <t>Alt. investment rate × cash</t>
  </si>
  <si>
    <t>Monthly rental income (UGX)</t>
  </si>
  <si>
    <t>Expected rent</t>
  </si>
  <si>
    <t>Annual interest rate (USD loan)</t>
  </si>
  <si>
    <t>USD loan alt: 8-12%</t>
  </si>
  <si>
    <t>Annual NOI (UGX)</t>
  </si>
  <si>
    <t>No mortgage to service</t>
  </si>
  <si>
    <t>Number of units</t>
  </si>
  <si>
    <t>Rentable units</t>
  </si>
  <si>
    <t>Deposit / down payment (UGX)</t>
  </si>
  <si>
    <t>Purchase price minus loan</t>
  </si>
  <si>
    <t>Cash-on-cash return</t>
  </si>
  <si>
    <t>Net income / cash invested</t>
  </si>
  <si>
    <t>Vacancy rate</t>
  </si>
  <si>
    <t>~1 month/year</t>
  </si>
  <si>
    <t>Monthly payment (UGX)</t>
  </si>
  <si>
    <t>Gross yield on purchase price</t>
  </si>
  <si>
    <t>Rent / purchase price</t>
  </si>
  <si>
    <t>Annual operating expenses (UGX)</t>
  </si>
  <si>
    <t>Mgmt, KCCA, repairs…</t>
  </si>
  <si>
    <t>Total repaid over term (UGX)</t>
  </si>
  <si>
    <t>Alt. investment return rate</t>
  </si>
  <si>
    <t>What else your cash could earn</t>
  </si>
  <si>
    <t>Annual property value growth</t>
  </si>
  <si>
    <t>Kampala avg 5-8%/yr</t>
  </si>
  <si>
    <t>Total interest cost (UGX)</t>
  </si>
  <si>
    <t>Annual rent growth</t>
  </si>
  <si>
    <t>Uganda avg 4-7%/yr</t>
  </si>
  <si>
    <t>Cash invested on day 1 (UGX)</t>
  </si>
  <si>
    <t>Capital gains tax rate</t>
  </si>
  <si>
    <t>URA: 30% on profit</t>
  </si>
  <si>
    <t>Annual NOI after mortgage (UGX)</t>
  </si>
  <si>
    <t>UGX / USD exchange rate</t>
  </si>
  <si>
    <t>BOU rate Apr 2025</t>
  </si>
  <si>
    <t>All-in acquisition cost (UGX)</t>
  </si>
  <si>
    <t>Total cost to take ownership</t>
  </si>
  <si>
    <t>Gross annual rental income (UGX)</t>
  </si>
  <si>
    <t>After vacancy</t>
  </si>
  <si>
    <t>Net yield on purchase price</t>
  </si>
  <si>
    <t xml:space="preserve">  📊  HEAD-TO-HEAD COMPARISON</t>
  </si>
  <si>
    <t>Cash required day 1 — Mortgage</t>
  </si>
  <si>
    <t>Cash required day 1 — Cash</t>
  </si>
  <si>
    <t>Monthly payment (UGX) — Mortgage</t>
  </si>
  <si>
    <t>Monthly payment (UGX) — Cash</t>
  </si>
  <si>
    <t>Total interest over term — Mortgage</t>
  </si>
  <si>
    <t>Total interest over term — Cash</t>
  </si>
  <si>
    <t xml:space="preserve">  🎯  VERDICT — WHICH IS BETTER FOR YOU?</t>
  </si>
  <si>
    <t>15-YEAR WEALTH COMPARISON  |  MORTGAGE vs CASH  |  THREALTY</t>
  </si>
  <si>
    <t>Year-by-year: net cash flow, cumulative income, property value, equity built, and total net wealth for each scenario</t>
  </si>
  <si>
    <t>Year 1</t>
  </si>
  <si>
    <t>Year 2</t>
  </si>
  <si>
    <t>Year 3</t>
  </si>
  <si>
    <t>Year 4</t>
  </si>
  <si>
    <t>Year 5</t>
  </si>
  <si>
    <t>Year 6</t>
  </si>
  <si>
    <t>Year 7</t>
  </si>
  <si>
    <t>Year 8</t>
  </si>
  <si>
    <t>Year 9</t>
  </si>
  <si>
    <t>Year 10</t>
  </si>
  <si>
    <t>Year 11</t>
  </si>
  <si>
    <t>Year 12</t>
  </si>
  <si>
    <t>Year 13</t>
  </si>
  <si>
    <t>Year 14</t>
  </si>
  <si>
    <t>Year 15</t>
  </si>
  <si>
    <t>15-Yr Total / Yr15</t>
  </si>
  <si>
    <t>── MORTGAGE SCENARIO ──</t>
  </si>
  <si>
    <t>Annual rent income (UGX)</t>
  </si>
  <si>
    <t>Annual mortgage payments (UGX)</t>
  </si>
  <si>
    <t>Net cash flow — mortgage (UGX)</t>
  </si>
  <si>
    <t>Cumulative net cash flow — mort.</t>
  </si>
  <si>
    <t>Property value (UGX)</t>
  </si>
  <si>
    <t>Loan balance remaining (UGX)</t>
  </si>
  <si>
    <t>Equity in property — mortgage</t>
  </si>
  <si>
    <t>Total net wealth — mortgage (UGX)</t>
  </si>
  <si>
    <t>── CASH SCENARIO ──</t>
  </si>
  <si>
    <t>Net cash flow — cash (UGX)</t>
  </si>
  <si>
    <t>Cumulative net cash flow — cash</t>
  </si>
  <si>
    <t>Opportunity cost of capital (UGX)</t>
  </si>
  <si>
    <t>Equity (= property value, no debt)</t>
  </si>
  <si>
    <t>Total net wealth — cash (UGX)</t>
  </si>
  <si>
    <t>── WEALTH COMPARISON ──</t>
  </si>
  <si>
    <t>Mortgage wealth MINUS cash wealth</t>
  </si>
  <si>
    <t>Winner each year</t>
  </si>
  <si>
    <t>MORTGAGE AMORTISATION SCHEDULE  |  THREALTY UGANDA</t>
  </si>
  <si>
    <t>Monthly breakdown of principal vs interest · Feeds from Mortgage vs Cash sheet inputs</t>
  </si>
  <si>
    <t>Loan Amount</t>
  </si>
  <si>
    <t>Interest Rate (pa)</t>
  </si>
  <si>
    <t>Term (months)</t>
  </si>
  <si>
    <t>Month</t>
  </si>
  <si>
    <t>Year</t>
  </si>
  <si>
    <t>Opening Balance</t>
  </si>
  <si>
    <t>Monthly Payment</t>
  </si>
  <si>
    <t>Interest Portion</t>
  </si>
  <si>
    <t>Principal Portion</t>
  </si>
  <si>
    <t>Closing Balance</t>
  </si>
  <si>
    <t>TOTALS</t>
  </si>
  <si>
    <t>UGANDA BANK MORTGAGE RATES &amp; LENDING GUIDE  |  THREALTY 2025</t>
  </si>
  <si>
    <t>Reference data for Uganda property financing · Sources: BOU, PSFU, bank published rates · Updated Q1 2025</t>
  </si>
  <si>
    <t xml:space="preserve">  🏦 MAJOR UGANDA BANKS — MORTGAGE PRODUCTS (2025)</t>
  </si>
  <si>
    <t>Bank</t>
  </si>
  <si>
    <t>UGX Rate (pa)</t>
  </si>
  <si>
    <t>USD Rate (pa)</t>
  </si>
  <si>
    <t>Max LTV</t>
  </si>
  <si>
    <t>Max Term</t>
  </si>
  <si>
    <t>Stanbic Bank Uganda</t>
  </si>
  <si>
    <t>18-20%</t>
  </si>
  <si>
    <t>9-11%</t>
  </si>
  <si>
    <t>80%</t>
  </si>
  <si>
    <t>20 yrs</t>
  </si>
  <si>
    <t>Largest mortgage book in UG</t>
  </si>
  <si>
    <t>dfcu Bank</t>
  </si>
  <si>
    <t>19-21%</t>
  </si>
  <si>
    <t>10-12%</t>
  </si>
  <si>
    <t>75%</t>
  </si>
  <si>
    <t>15 yrs</t>
  </si>
  <si>
    <t>Strong in residential</t>
  </si>
  <si>
    <t>Absa Bank Uganda</t>
  </si>
  <si>
    <t>18-21%</t>
  </si>
  <si>
    <t>Formerly Barclays</t>
  </si>
  <si>
    <t>NCBA Bank Uganda</t>
  </si>
  <si>
    <t>20-22%</t>
  </si>
  <si>
    <t>70%</t>
  </si>
  <si>
    <t>Mid-market focus</t>
  </si>
  <si>
    <t>Housing Finance Bank</t>
  </si>
  <si>
    <t>17-21%</t>
  </si>
  <si>
    <t>N/A</t>
  </si>
  <si>
    <t>85%</t>
  </si>
  <si>
    <t>Mortgage specialist — check</t>
  </si>
  <si>
    <t>Centenary Bank</t>
  </si>
  <si>
    <t>21-24%</t>
  </si>
  <si>
    <t>SME &amp; retail focus</t>
  </si>
  <si>
    <t>Bank of Baroda Uganda</t>
  </si>
  <si>
    <t>9-10%</t>
  </si>
  <si>
    <t>Competitive on USD</t>
  </si>
  <si>
    <t>Equity Bank Uganda</t>
  </si>
  <si>
    <t>20-23%</t>
  </si>
  <si>
    <t>10-13%</t>
  </si>
  <si>
    <t>Growing mortgage book</t>
  </si>
  <si>
    <t xml:space="preserve">  💡 KEY FINANCING CONCEPTS FOR UGANDA BUYERS</t>
  </si>
  <si>
    <t>Concept</t>
  </si>
  <si>
    <t>What It Means</t>
  </si>
  <si>
    <t>Uganda Context</t>
  </si>
  <si>
    <t>LTV (Loan-to-Value)</t>
  </si>
  <si>
    <t>Loan ÷ property value</t>
  </si>
  <si>
    <t>Max 70-85% in Uganda. Need 15-30% deposit minimum.</t>
  </si>
  <si>
    <t>UGX vs USD loan</t>
  </si>
  <si>
    <t>UGX loan: higher rate, no FX risk. USD loan: lower rate, FX risk.</t>
  </si>
  <si>
    <t>If income is in UGX, avoid USD loans — shilling depreciation kills returns.</t>
  </si>
  <si>
    <t>Arrangement fee</t>
  </si>
  <si>
    <t>One-time bank processing fee</t>
  </si>
  <si>
    <t>Typically 1-2% of loan amount, paid upfront.</t>
  </si>
  <si>
    <t>Valuation fee</t>
  </si>
  <si>
    <t>Bank appoints a valuer to confirm property value</t>
  </si>
  <si>
    <t>UGX 500K–2M depending on property size. Required for all mortgages.</t>
  </si>
  <si>
    <t>Insurance requirement</t>
  </si>
  <si>
    <t>Banks require life + property insurance</t>
  </si>
  <si>
    <t>Adds 0.5-1.5% of value annually. Factor into your cost model.</t>
  </si>
  <si>
    <t>Prepayment penalties</t>
  </si>
  <si>
    <t>Some banks charge for early repayment</t>
  </si>
  <si>
    <t>Check your facility letter. Penalty can be 2-5% of outstanding balance.</t>
  </si>
  <si>
    <t>Grace period</t>
  </si>
  <si>
    <t>Some banks offer 3-6 months before repayments start</t>
  </si>
  <si>
    <t>Useful for buy-to-let — time to get tenants in before paying.</t>
  </si>
  <si>
    <t xml:space="preserve">  ⚖️  MORTGAGE vs CASH — WHEN EACH WINS IN UGANDA</t>
  </si>
  <si>
    <t>Situation</t>
  </si>
  <si>
    <t>Better Option</t>
  </si>
  <si>
    <t>Reason</t>
  </si>
  <si>
    <t>High rental income, low price</t>
  </si>
  <si>
    <t>Mortgage</t>
  </si>
  <si>
    <t>Leverage amplifies cash-on-cash return when rent covers payments comfortably.</t>
  </si>
  <si>
    <t>Interest rate above 20% UGX</t>
  </si>
  <si>
    <t>Cash</t>
  </si>
  <si>
    <t>At 20%+, interest cost exceeds typical net yield — leverage destroys returns.</t>
  </si>
  <si>
    <t>USD income / dollar savings</t>
  </si>
  <si>
    <t>Consider USD loan</t>
  </si>
  <si>
    <t>8-12% USD rate is manageable if your rental income is also in USD.</t>
  </si>
  <si>
    <t>Self-use property</t>
  </si>
  <si>
    <t>Cash if possible</t>
  </si>
  <si>
    <t>No rental income to offset interest — mortgage becomes pure cost.</t>
  </si>
  <si>
    <t>Emerging area (Kira, Buwaate)</t>
  </si>
  <si>
    <t>High capital growth (6-10%) can outpace interest cost over 10+ years.</t>
  </si>
  <si>
    <t>Prime area (Kololo, Nakasero)</t>
  </si>
  <si>
    <t>Low yields (5-7%) rarely cover high UGX mortgage rates.</t>
  </si>
  <si>
    <t>Buy-to-let, multiple properties</t>
  </si>
  <si>
    <t>Mortgage + Cash mix</t>
  </si>
  <si>
    <t>Use cash for best-yield asset, leverage for high-growth assets.</t>
  </si>
  <si>
    <t>Short holding period (&lt;5 yrs)</t>
  </si>
  <si>
    <t>Loan setup costs + interest rarely recouped if selling quickly.</t>
  </si>
  <si>
    <t>HOW TO USE  |  MORTGAGE vs CASH CALCULATOR  |  THREALTY</t>
  </si>
  <si>
    <t>SHEET</t>
  </si>
  <si>
    <t>WHAT TO DO</t>
  </si>
  <si>
    <t>🏠 Mortgage vs Cash</t>
  </si>
  <si>
    <t>START HERE. Enter property details in the yellow cells (columns B-D). Then enter your mortgage terms in columns F-H. The cash scenario populates automatically. Read the verdict panel — it tells you which approach wins for your specific numbers.</t>
  </si>
  <si>
    <t>📅 15-Year Comparison</t>
  </si>
  <si>
    <t>Auto-populated from your inputs. Tracks net cash flow, cumulative income, property value, equity, and total net wealth year-by-year for both scenarios. Scan the 'Winner each year' row to see when mortgage overtakes cash (or doesn't).</t>
  </si>
  <si>
    <t>📋 Amortisation Schedule</t>
  </si>
  <si>
    <t>Shows the full month-by-month breakdown of your mortgage — how much goes to interest vs principal. In the early years, nearly all your payment is interest. This is the true cost of borrowing.</t>
  </si>
  <si>
    <t>🏦 Uganda Bank Rates</t>
  </si>
  <si>
    <t>Reference table of current Uganda bank mortgage products — rates, LTV limits, terms. Plus a decision guide: when mortgage wins vs cash in the Uganda context.</t>
  </si>
  <si>
    <t>KEY THINGS TO UNDERSTAND</t>
  </si>
  <si>
    <t>Why cash often wins in Uganda</t>
  </si>
  <si>
    <t>Uganda UGX mortgage rates of 18-22% are extremely high by global standards. A property yielding 8% net cannot service a 20% loan profitably. Cash purchase gives you a clean, debt-free return from day one.</t>
  </si>
  <si>
    <t>When mortgage makes sense</t>
  </si>
  <si>
    <t>If you don't have the full capital, a mortgage enables ownership vs non-ownership. It also makes sense if capital growth is strong enough to outpace interest cost — typically in high-growth corridors like Kira, Kyanja, or Buwaate.</t>
  </si>
  <si>
    <t>USD loans — a trap for UGX earners</t>
  </si>
  <si>
    <t>USD mortgage rates look attractive at 9-11%. But if your rental income is in UGX and the shilling depreciates (as it has historically), your effective cost rises sharply. Only use USD loans if your rental income is contractually in USD.</t>
  </si>
  <si>
    <t>The opportunity cost input</t>
  </si>
  <si>
    <t>Cell L14 on the main sheet asks what return you'd get if you invested the cash elsewhere. If your answer is 8% (e.g. treasury bills), that's the bar the mortgage must beat. This makes the comparison honest.</t>
  </si>
  <si>
    <t>ABOUT THREALTY</t>
  </si>
  <si>
    <t>Management &amp; advisory</t>
  </si>
  <si>
    <t>Threalty manages residential and commercial properties across Greater Kampala. We can also advise on property selection, rental pricing, and tenant management. Contact us before you buy — we know which areas and property types perform best.</t>
  </si>
  <si>
    <t>This tool is free to share</t>
  </si>
  <si>
    <t>⚠️  DISCLAIMER: This tool provides indicative comparisons based on user inputs and Uganda market benchmarks. Actual bank rates, fees, and tax obligations vary — always confirm with your lender and a URA-registered tax advisor. Interest rate assumptions are illustrative. Threalty accepts no liability for financing or investment decisions. www.threalty.site  |  Threalty Services Limited, Kampala</t>
  </si>
  <si>
    <t>⚠️  Rates shown are indicative ranges published by Uganda banks as of Q1 2025. Actual rates depend on your credit history, income verification, collateral quality, and negotiation. Always get a formal loan offer before making investment decisions. Threalty is not a bank or mortgage broker. www.threalty.site</t>
  </si>
  <si>
    <t>Free tool from Threalty Services Limited · www.threalty.site · Kampala, Uganda</t>
  </si>
  <si>
    <t>Keep the Threalty branding intact. Share with any investor, landlord, or buyer who needs it. The more people who make better decisions, the better the Uganda property market becomes. www.threalty.site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</si>
</sst>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quot; of price&quot;"/>
  </numFmts>
  <fonts count="34" x14ac:knownFonts="1">
    <font>
      <sz val="11"/>
      <color theme="1"/>
      <name val="Calibri"/>
      <family val="2"/>
      <charset val="1"/>
    </font>
    <font>
      <b/>
      <sz val="18"/>
      <color rgb="FFFFFFFF"/>
      <name val="Arial"/>
      <charset val="1"/>
    </font>
    <font>
      <i/>
      <sz val="10"/>
      <color rgb="FFFFFFFF"/>
      <name val="Arial"/>
      <charset val="1"/>
    </font>
    <font>
      <b/>
      <sz val="10"/>
      <color rgb="FFFFFFFF"/>
      <name val="Arial"/>
      <charset val="1"/>
    </font>
    <font>
      <b/>
      <sz val="9"/>
      <color rgb="FFFFFFFF"/>
      <name val="Arial"/>
      <charset val="1"/>
    </font>
    <font>
      <sz val="10"/>
      <color rgb="FF111827"/>
      <name val="Arial"/>
      <charset val="1"/>
    </font>
    <font>
      <b/>
      <sz val="10"/>
      <color rgb="FF0000FF"/>
      <name val="Arial"/>
      <charset val="1"/>
    </font>
    <font>
      <i/>
      <sz val="9"/>
      <color rgb="FF777777"/>
      <name val="Arial"/>
      <charset val="1"/>
    </font>
    <font>
      <b/>
      <sz val="10"/>
      <color rgb="FF9A6E00"/>
      <name val="Arial"/>
      <charset val="1"/>
    </font>
    <font>
      <b/>
      <sz val="10"/>
      <color rgb="FF145229"/>
      <name val="Arial"/>
      <charset val="1"/>
    </font>
    <font>
      <b/>
      <sz val="10"/>
      <color rgb="FFD97706"/>
      <name val="Arial"/>
      <charset val="1"/>
    </font>
    <font>
      <b/>
      <sz val="10"/>
      <color rgb="FF1A6B38"/>
      <name val="Arial"/>
      <charset val="1"/>
    </font>
    <font>
      <b/>
      <sz val="10"/>
      <color rgb="FF0B6E63"/>
      <name val="Arial"/>
      <charset val="1"/>
    </font>
    <font>
      <b/>
      <sz val="10"/>
      <color rgb="FF8B1A1A"/>
      <name val="Arial"/>
      <charset val="1"/>
    </font>
    <font>
      <sz val="9"/>
      <color rgb="FF8B1A1A"/>
      <name val="Arial"/>
      <charset val="1"/>
    </font>
    <font>
      <i/>
      <sz val="9"/>
      <color rgb="FF666666"/>
      <name val="Arial"/>
      <charset val="1"/>
    </font>
    <font>
      <b/>
      <sz val="8"/>
      <color rgb="FFFFFFFF"/>
      <name val="Arial"/>
      <charset val="1"/>
    </font>
    <font>
      <b/>
      <sz val="15"/>
      <color rgb="FFD97706"/>
      <name val="Arial"/>
      <charset val="1"/>
    </font>
    <font>
      <b/>
      <sz val="15"/>
      <color rgb="FF145229"/>
      <name val="Arial"/>
      <charset val="1"/>
    </font>
    <font>
      <b/>
      <sz val="15"/>
      <color rgb="FF8B1A1A"/>
      <name val="Arial"/>
      <charset val="1"/>
    </font>
    <font>
      <b/>
      <sz val="11"/>
      <color rgb="FF111827"/>
      <name val="Arial"/>
      <charset val="1"/>
    </font>
    <font>
      <i/>
      <sz val="8.5"/>
      <color rgb="FF666666"/>
      <name val="Arial"/>
      <charset val="1"/>
    </font>
    <font>
      <b/>
      <sz val="20"/>
      <color rgb="FFFFFFFF"/>
      <name val="Arial"/>
      <charset val="1"/>
    </font>
    <font>
      <sz val="9"/>
      <color rgb="FF111827"/>
      <name val="Arial"/>
      <charset val="1"/>
    </font>
    <font>
      <b/>
      <sz val="9"/>
      <color rgb="FF0B6E63"/>
      <name val="Arial"/>
      <charset val="1"/>
    </font>
    <font>
      <b/>
      <sz val="10"/>
      <color rgb="FF111827"/>
      <name val="Arial"/>
      <charset val="1"/>
    </font>
    <font>
      <b/>
      <sz val="9"/>
      <color rgb="FF145229"/>
      <name val="Arial"/>
      <charset val="1"/>
    </font>
    <font>
      <sz val="9"/>
      <color rgb="FF9A6E00"/>
      <name val="Arial"/>
      <charset val="1"/>
    </font>
    <font>
      <sz val="9"/>
      <color rgb="FFD97706"/>
      <name val="Arial"/>
      <charset val="1"/>
    </font>
    <font>
      <sz val="9"/>
      <color rgb="FF0B6E63"/>
      <name val="Arial"/>
      <charset val="1"/>
    </font>
    <font>
      <b/>
      <sz val="9"/>
      <color rgb="FF111827"/>
      <name val="Arial"/>
      <charset val="1"/>
    </font>
    <font>
      <b/>
      <sz val="15"/>
      <color rgb="FFFFFFFF"/>
      <name val="Arial"/>
      <charset val="1"/>
    </font>
    <font>
      <sz val="9"/>
      <color rgb="FF145229"/>
      <name val="Arial"/>
      <charset val="1"/>
    </font>
    <font>
      <b/>
      <sz val="14"/>
      <color rgb="FFFFFFFF"/>
      <name val="Arial"/>
      <charset val="1"/>
    </font>
  </fonts>
  <fills count="17">
    <fill>
      <patternFill patternType="none"/>
    </fill>
    <fill>
      <patternFill patternType="gray125"/>
    </fill>
    <fill>
      <patternFill patternType="solid">
        <fgColor rgb="FF0C1A35"/>
        <bgColor rgb="FF111827"/>
      </patternFill>
    </fill>
    <fill>
      <patternFill patternType="solid">
        <fgColor rgb="FF12887A"/>
        <bgColor rgb="FF0B6E63"/>
      </patternFill>
    </fill>
    <fill>
      <patternFill patternType="solid">
        <fgColor rgb="FF1F4E79"/>
        <bgColor rgb="FF1A3558"/>
      </patternFill>
    </fill>
    <fill>
      <patternFill patternType="solid">
        <fgColor rgb="FF145229"/>
        <bgColor rgb="FF1A6B38"/>
      </patternFill>
    </fill>
    <fill>
      <patternFill patternType="solid">
        <fgColor rgb="FF1A3558"/>
        <bgColor rgb="FF1F4E79"/>
      </patternFill>
    </fill>
    <fill>
      <patternFill patternType="solid">
        <fgColor rgb="FFFFFFFF"/>
        <bgColor rgb="FFF7F8FA"/>
      </patternFill>
    </fill>
    <fill>
      <patternFill patternType="solid">
        <fgColor rgb="FFFFFACC"/>
        <bgColor rgb="FFFDF3DC"/>
      </patternFill>
    </fill>
    <fill>
      <patternFill patternType="solid">
        <fgColor rgb="FFEAEEF2"/>
        <bgColor rgb="FFF7F8FA"/>
      </patternFill>
    </fill>
    <fill>
      <patternFill patternType="solid">
        <fgColor rgb="FFFDF3DC"/>
        <bgColor rgb="FFFFF7ED"/>
      </patternFill>
    </fill>
    <fill>
      <patternFill patternType="solid">
        <fgColor rgb="FFF7F8FA"/>
        <bgColor rgb="FFFFF7ED"/>
      </patternFill>
    </fill>
    <fill>
      <patternFill patternType="solid">
        <fgColor rgb="FFDCFCE7"/>
        <bgColor rgb="FFD0EFEB"/>
      </patternFill>
    </fill>
    <fill>
      <patternFill patternType="solid">
        <fgColor rgb="FFFFF7ED"/>
        <bgColor rgb="FFF7F8FA"/>
      </patternFill>
    </fill>
    <fill>
      <patternFill patternType="solid">
        <fgColor rgb="FFD0EFEB"/>
        <bgColor rgb="FFDCFCE7"/>
      </patternFill>
    </fill>
    <fill>
      <patternFill patternType="solid">
        <fgColor rgb="FFFEE2E2"/>
        <bgColor rgb="FFFDF3DC"/>
      </patternFill>
    </fill>
    <fill>
      <patternFill patternType="solid">
        <fgColor rgb="FF0B6E63"/>
        <bgColor rgb="FF1A6B38"/>
      </patternFill>
    </fill>
  </fills>
  <borders count="9">
    <border>
      <left/>
      <right/>
      <top/>
      <bottom/>
      <diagonal/>
    </border>
    <border>
      <left style="thin">
        <color rgb="FF0B6E63"/>
      </left>
      <right style="thin">
        <color rgb="FF0B6E63"/>
      </right>
      <top style="thin">
        <color rgb="FF0B6E63"/>
      </top>
      <bottom style="thin">
        <color rgb="FF0B6E63"/>
      </bottom>
      <diagonal/>
    </border>
    <border>
      <left style="thin">
        <color rgb="FFC8D0D8"/>
      </left>
      <right style="thin">
        <color rgb="FFC8D0D8"/>
      </right>
      <top style="thin">
        <color rgb="FFC8D0D8"/>
      </top>
      <bottom style="thin">
        <color rgb="FFC8D0D8"/>
      </bottom>
      <diagonal/>
    </border>
    <border>
      <left style="thin">
        <color rgb="FF9A6E00"/>
      </left>
      <right style="thin">
        <color rgb="FF9A6E00"/>
      </right>
      <top style="thin">
        <color rgb="FF9A6E00"/>
      </top>
      <bottom style="thin">
        <color rgb="FF9A6E00"/>
      </bottom>
      <diagonal/>
    </border>
    <border>
      <left style="thin">
        <color rgb="FF0B6E63"/>
      </left>
      <right/>
      <top style="thin">
        <color rgb="FF0B6E63"/>
      </top>
      <bottom style="thin">
        <color rgb="FF0B6E63"/>
      </bottom>
      <diagonal/>
    </border>
    <border>
      <left style="thin">
        <color rgb="FFC8D0D8"/>
      </left>
      <right/>
      <top style="thin">
        <color rgb="FFC8D0D8"/>
      </top>
      <bottom/>
      <diagonal/>
    </border>
    <border>
      <left style="thin">
        <color rgb="FF1F4E79"/>
      </left>
      <right style="thin">
        <color rgb="FF1F4E79"/>
      </right>
      <top style="thin">
        <color rgb="FF1F4E79"/>
      </top>
      <bottom style="thin">
        <color rgb="FF1F4E79"/>
      </bottom>
      <diagonal/>
    </border>
    <border>
      <left style="thin">
        <color rgb="FF145229"/>
      </left>
      <right style="thin">
        <color rgb="FF145229"/>
      </right>
      <top style="thin">
        <color rgb="FF145229"/>
      </top>
      <bottom style="thin">
        <color rgb="FF145229"/>
      </bottom>
      <diagonal/>
    </border>
    <border>
      <left style="thin">
        <color rgb="FF0C1A35"/>
      </left>
      <right style="thin">
        <color rgb="FF0C1A35"/>
      </right>
      <top style="thin">
        <color rgb="FF0C1A35"/>
      </top>
      <bottom style="thin">
        <color rgb="FF0C1A35"/>
      </bottom>
      <diagonal/>
    </border>
  </borders>
  <cellStyleXfs count="1">
    <xf numFmtId="0" fontId="0" fillId="0" borderId="0"/>
  </cellStyleXfs>
  <cellXfs count="79">
    <xf numFmtId="0" fontId="0" fillId="0" borderId="0" xfId="0"/>
    <xf numFmtId="0" fontId="0" fillId="0" borderId="0" xfId="0" applyAlignment="1"/>
    <xf numFmtId="0" fontId="4" fillId="6"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7" borderId="2" xfId="0" applyFont="1" applyFill="1" applyBorder="1" applyAlignment="1">
      <alignment horizontal="left" vertical="center" wrapText="1"/>
    </xf>
    <xf numFmtId="3" fontId="6" fillId="8" borderId="3" xfId="0" applyNumberFormat="1" applyFont="1" applyFill="1" applyBorder="1" applyAlignment="1">
      <alignment horizontal="center" vertical="center" wrapText="1"/>
    </xf>
    <xf numFmtId="0" fontId="7" fillId="9" borderId="2" xfId="0" applyFont="1" applyFill="1" applyBorder="1" applyAlignment="1">
      <alignment horizontal="left" vertical="center" wrapText="1"/>
    </xf>
    <xf numFmtId="0" fontId="8" fillId="10" borderId="2" xfId="0" applyFont="1" applyFill="1" applyBorder="1" applyAlignment="1">
      <alignment horizontal="left" vertical="center" wrapText="1"/>
    </xf>
    <xf numFmtId="3" fontId="8" fillId="10" borderId="2" xfId="0" applyNumberFormat="1" applyFont="1" applyFill="1" applyBorder="1" applyAlignment="1">
      <alignment horizontal="center" vertical="center" wrapText="1"/>
    </xf>
    <xf numFmtId="0" fontId="5" fillId="11" borderId="2" xfId="0" applyFont="1" applyFill="1" applyBorder="1" applyAlignment="1">
      <alignment horizontal="left" vertical="center" wrapText="1"/>
    </xf>
    <xf numFmtId="164" fontId="6" fillId="8" borderId="3" xfId="0" applyNumberFormat="1" applyFont="1" applyFill="1" applyBorder="1" applyAlignment="1">
      <alignment horizontal="center" vertical="center" wrapText="1"/>
    </xf>
    <xf numFmtId="0" fontId="9" fillId="12" borderId="2" xfId="0" applyFont="1" applyFill="1" applyBorder="1" applyAlignment="1">
      <alignment horizontal="left" vertical="center" wrapText="1"/>
    </xf>
    <xf numFmtId="3" fontId="9" fillId="12" borderId="2" xfId="0" applyNumberFormat="1" applyFont="1" applyFill="1" applyBorder="1" applyAlignment="1">
      <alignment horizontal="center" vertical="center" wrapText="1"/>
    </xf>
    <xf numFmtId="0" fontId="10" fillId="13" borderId="2" xfId="0" applyFont="1" applyFill="1" applyBorder="1" applyAlignment="1">
      <alignment horizontal="left" vertical="center" wrapText="1"/>
    </xf>
    <xf numFmtId="3" fontId="10" fillId="13" borderId="2" xfId="0" applyNumberFormat="1" applyFont="1" applyFill="1" applyBorder="1" applyAlignment="1">
      <alignment horizontal="center" vertical="center" wrapText="1"/>
    </xf>
    <xf numFmtId="3" fontId="11" fillId="14" borderId="2" xfId="0" applyNumberFormat="1" applyFont="1" applyFill="1" applyBorder="1" applyAlignment="1">
      <alignment horizontal="center" vertical="center" wrapText="1"/>
    </xf>
    <xf numFmtId="10" fontId="9" fillId="12" borderId="2" xfId="0" applyNumberFormat="1" applyFont="1" applyFill="1" applyBorder="1" applyAlignment="1">
      <alignment horizontal="center" vertical="center" wrapText="1"/>
    </xf>
    <xf numFmtId="0" fontId="5" fillId="13" borderId="2" xfId="0" applyFont="1" applyFill="1" applyBorder="1" applyAlignment="1">
      <alignment horizontal="center" vertical="center" wrapText="1"/>
    </xf>
    <xf numFmtId="0" fontId="12" fillId="14" borderId="2" xfId="0" applyFont="1" applyFill="1" applyBorder="1" applyAlignment="1">
      <alignment horizontal="left" vertical="center" wrapText="1"/>
    </xf>
    <xf numFmtId="10" fontId="12" fillId="14" borderId="2" xfId="0" applyNumberFormat="1" applyFont="1" applyFill="1" applyBorder="1" applyAlignment="1">
      <alignment horizontal="center" vertical="center" wrapText="1"/>
    </xf>
    <xf numFmtId="0" fontId="13" fillId="15" borderId="2" xfId="0" applyFont="1" applyFill="1" applyBorder="1" applyAlignment="1">
      <alignment horizontal="left" vertical="center" wrapText="1"/>
    </xf>
    <xf numFmtId="3" fontId="13" fillId="15" borderId="2" xfId="0" applyNumberFormat="1" applyFont="1" applyFill="1" applyBorder="1" applyAlignment="1">
      <alignment horizontal="center" vertical="center" wrapText="1"/>
    </xf>
    <xf numFmtId="165" fontId="14" fillId="15" borderId="2"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2" borderId="2" xfId="0" applyFont="1" applyFill="1" applyBorder="1" applyAlignment="1">
      <alignment horizontal="center" vertical="center" wrapText="1"/>
    </xf>
    <xf numFmtId="3" fontId="12" fillId="14" borderId="2" xfId="0" applyNumberFormat="1" applyFont="1" applyFill="1" applyBorder="1" applyAlignment="1">
      <alignment horizontal="center" vertical="center" wrapText="1"/>
    </xf>
    <xf numFmtId="0" fontId="15" fillId="14" borderId="2" xfId="0" applyFont="1" applyFill="1" applyBorder="1" applyAlignment="1">
      <alignment horizontal="left" vertical="center" wrapText="1"/>
    </xf>
    <xf numFmtId="0" fontId="5" fillId="14" borderId="2" xfId="0" applyFont="1" applyFill="1" applyBorder="1" applyAlignment="1">
      <alignment horizontal="center" vertical="center" wrapText="1"/>
    </xf>
    <xf numFmtId="0" fontId="15" fillId="12" borderId="2"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3" fontId="17" fillId="13" borderId="1" xfId="0" applyNumberFormat="1" applyFont="1" applyFill="1" applyBorder="1" applyAlignment="1">
      <alignment horizontal="center" vertical="center" wrapText="1"/>
    </xf>
    <xf numFmtId="3" fontId="18" fillId="12" borderId="1" xfId="0" applyNumberFormat="1" applyFont="1" applyFill="1" applyBorder="1" applyAlignment="1">
      <alignment horizontal="center" vertical="center" wrapText="1"/>
    </xf>
    <xf numFmtId="3" fontId="19" fillId="15" borderId="1"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0" fillId="4" borderId="6" xfId="0" applyFill="1" applyBorder="1" applyAlignment="1"/>
    <xf numFmtId="3" fontId="23" fillId="11" borderId="2" xfId="0" applyNumberFormat="1" applyFont="1" applyFill="1" applyBorder="1" applyAlignment="1">
      <alignment horizontal="center" vertical="center" wrapText="1"/>
    </xf>
    <xf numFmtId="3" fontId="24" fillId="14" borderId="1" xfId="0" applyNumberFormat="1" applyFont="1" applyFill="1" applyBorder="1" applyAlignment="1">
      <alignment horizontal="center" vertical="center" wrapText="1"/>
    </xf>
    <xf numFmtId="3" fontId="23" fillId="7" borderId="2" xfId="0" applyNumberFormat="1" applyFont="1" applyFill="1" applyBorder="1" applyAlignment="1">
      <alignment horizontal="center" vertical="center" wrapText="1"/>
    </xf>
    <xf numFmtId="3" fontId="14" fillId="15" borderId="2" xfId="0" applyNumberFormat="1" applyFont="1" applyFill="1" applyBorder="1" applyAlignment="1">
      <alignment horizontal="center" vertical="center" wrapText="1"/>
    </xf>
    <xf numFmtId="0" fontId="25" fillId="11" borderId="2" xfId="0" applyFont="1" applyFill="1" applyBorder="1" applyAlignment="1">
      <alignment horizontal="left" vertical="center" wrapText="1"/>
    </xf>
    <xf numFmtId="3" fontId="26" fillId="12" borderId="2" xfId="0" applyNumberFormat="1" applyFont="1" applyFill="1" applyBorder="1" applyAlignment="1">
      <alignment horizontal="center" vertical="center" wrapText="1"/>
    </xf>
    <xf numFmtId="3" fontId="27" fillId="10" borderId="2" xfId="0" applyNumberFormat="1" applyFont="1" applyFill="1" applyBorder="1" applyAlignment="1">
      <alignment horizontal="center" vertical="center" wrapText="1"/>
    </xf>
    <xf numFmtId="3" fontId="24" fillId="14" borderId="2" xfId="0" applyNumberFormat="1" applyFont="1" applyFill="1" applyBorder="1" applyAlignment="1">
      <alignment horizontal="center" vertical="center" wrapText="1"/>
    </xf>
    <xf numFmtId="0" fontId="25" fillId="7"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0" fillId="5" borderId="7" xfId="0" applyFill="1" applyBorder="1" applyAlignment="1"/>
    <xf numFmtId="3" fontId="28" fillId="13" borderId="2" xfId="0" applyNumberFormat="1" applyFont="1" applyFill="1" applyBorder="1" applyAlignment="1">
      <alignment horizontal="center" vertical="center" wrapText="1"/>
    </xf>
    <xf numFmtId="3" fontId="29" fillId="14"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0" fillId="2" borderId="8" xfId="0" applyFill="1" applyBorder="1" applyAlignment="1"/>
    <xf numFmtId="3" fontId="30" fillId="11" borderId="2" xfId="0" applyNumberFormat="1" applyFont="1" applyFill="1" applyBorder="1" applyAlignment="1">
      <alignment horizontal="center" vertical="center" wrapText="1"/>
    </xf>
    <xf numFmtId="0" fontId="23" fillId="9" borderId="2" xfId="0" applyFont="1" applyFill="1" applyBorder="1" applyAlignment="1">
      <alignment horizontal="center" vertical="center" wrapText="1"/>
    </xf>
    <xf numFmtId="0" fontId="24" fillId="14"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23" fillId="7" borderId="2" xfId="0" applyFont="1" applyFill="1" applyBorder="1" applyAlignment="1">
      <alignment horizontal="center" vertical="center" wrapText="1"/>
    </xf>
    <xf numFmtId="3" fontId="32" fillId="12" borderId="2" xfId="0" applyNumberFormat="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30" fillId="7" borderId="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16" borderId="0" xfId="0" applyFont="1" applyFill="1" applyBorder="1" applyAlignment="1">
      <alignment horizontal="left" vertical="center" wrapText="1"/>
    </xf>
    <xf numFmtId="0" fontId="20" fillId="11" borderId="4" xfId="0" applyFont="1" applyFill="1" applyBorder="1" applyAlignment="1">
      <alignment horizontal="left" vertical="center" wrapText="1"/>
    </xf>
    <xf numFmtId="0" fontId="21" fillId="11" borderId="5" xfId="0" applyFont="1" applyFill="1" applyBorder="1" applyAlignment="1">
      <alignment horizontal="left" vertical="top" wrapText="1"/>
    </xf>
    <xf numFmtId="0" fontId="1"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5" borderId="0" xfId="0" applyFont="1" applyFill="1" applyBorder="1" applyAlignment="1">
      <alignment horizontal="left" vertical="center" wrapText="1"/>
    </xf>
    <xf numFmtId="0" fontId="22" fillId="2" borderId="0"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3" fillId="2"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A6B38"/>
      <rgbColor rgb="FF000080"/>
      <rgbColor rgb="FF9A6E00"/>
      <rgbColor rgb="FF800080"/>
      <rgbColor rgb="FF12887A"/>
      <rgbColor rgb="FFF7F8FA"/>
      <rgbColor rgb="FF777777"/>
      <rgbColor rgb="FF9999FF"/>
      <rgbColor rgb="FF993366"/>
      <rgbColor rgb="FFFFFACC"/>
      <rgbColor rgb="FFDCFCE7"/>
      <rgbColor rgb="FF660066"/>
      <rgbColor rgb="FFFF8080"/>
      <rgbColor rgb="FF0066CC"/>
      <rgbColor rgb="FFC8D0D8"/>
      <rgbColor rgb="FF000080"/>
      <rgbColor rgb="FFFF00FF"/>
      <rgbColor rgb="FFFFFF00"/>
      <rgbColor rgb="FF00FFFF"/>
      <rgbColor rgb="FF800080"/>
      <rgbColor rgb="FF800000"/>
      <rgbColor rgb="FF0B6E63"/>
      <rgbColor rgb="FF0000FF"/>
      <rgbColor rgb="FF00CCFF"/>
      <rgbColor rgb="FFD0EFEB"/>
      <rgbColor rgb="FFEAEEF2"/>
      <rgbColor rgb="FFFDF3DC"/>
      <rgbColor rgb="FFFFF7ED"/>
      <rgbColor rgb="FFFF99CC"/>
      <rgbColor rgb="FFCC99FF"/>
      <rgbColor rgb="FFFEE2E2"/>
      <rgbColor rgb="FF3366FF"/>
      <rgbColor rgb="FF33CCCC"/>
      <rgbColor rgb="FF99CC00"/>
      <rgbColor rgb="FFFFCC00"/>
      <rgbColor rgb="FFFF9900"/>
      <rgbColor rgb="FFD97706"/>
      <rgbColor rgb="FF626567"/>
      <rgbColor rgb="FF666666"/>
      <rgbColor rgb="FF1A3558"/>
      <rgbColor rgb="FF339966"/>
      <rgbColor rgb="FF111827"/>
      <rgbColor rgb="FF145229"/>
      <rgbColor rgb="FF8B1A1A"/>
      <rgbColor rgb="FF993366"/>
      <rgbColor rgb="FF1F4E79"/>
      <rgbColor rgb="FF0C1A3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C1A35"/>
  </sheetPr>
  <dimension ref="A1:M32"/>
  <sheetViews>
    <sheetView showGridLines="0" zoomScale="70" zoomScaleNormal="70" workbookViewId="0">
      <pane xSplit="1" ySplit="6" topLeftCell="B22" activePane="bottomRight" state="frozen"/>
      <selection pane="topRight" activeCell="B1" sqref="B1"/>
      <selection pane="bottomLeft" activeCell="A7" sqref="A7"/>
      <selection pane="bottomRight" activeCell="D34" sqref="D34"/>
    </sheetView>
  </sheetViews>
  <sheetFormatPr defaultColWidth="8.6328125" defaultRowHeight="14.5" x14ac:dyDescent="0.35"/>
  <cols>
    <col min="1" max="1" width="2" style="1" customWidth="1"/>
    <col min="2" max="2" width="30" style="1" customWidth="1"/>
    <col min="3" max="4" width="18" style="1" customWidth="1"/>
    <col min="5" max="5" width="3" style="1" customWidth="1"/>
    <col min="6" max="6" width="28" style="1" customWidth="1"/>
    <col min="7" max="9" width="18" style="1" customWidth="1"/>
    <col min="10" max="10" width="22.36328125" style="1" customWidth="1"/>
    <col min="11" max="11" width="28" style="1" customWidth="1"/>
    <col min="12" max="13" width="18" style="1" customWidth="1"/>
  </cols>
  <sheetData>
    <row r="1" spans="2:13" ht="7.5" customHeight="1" x14ac:dyDescent="0.35"/>
    <row r="2" spans="2:13" ht="45.75" customHeight="1" x14ac:dyDescent="0.35">
      <c r="B2" s="72" t="s">
        <v>0</v>
      </c>
      <c r="C2" s="72"/>
      <c r="D2" s="72"/>
      <c r="E2" s="72"/>
      <c r="F2" s="72"/>
      <c r="G2" s="72"/>
      <c r="H2" s="72"/>
      <c r="I2" s="72"/>
      <c r="J2" s="72"/>
      <c r="K2" s="72"/>
      <c r="L2" s="72"/>
      <c r="M2" s="72"/>
    </row>
    <row r="3" spans="2:13" ht="19.5" customHeight="1" x14ac:dyDescent="0.35">
      <c r="B3" s="73" t="s">
        <v>1</v>
      </c>
      <c r="C3" s="73"/>
      <c r="D3" s="73"/>
      <c r="E3" s="73"/>
      <c r="F3" s="73"/>
      <c r="G3" s="73"/>
      <c r="H3" s="73"/>
      <c r="I3" s="73"/>
      <c r="J3" s="73"/>
      <c r="K3" s="73"/>
      <c r="L3" s="73"/>
      <c r="M3" s="73"/>
    </row>
    <row r="4" spans="2:13" ht="9.75" customHeight="1" x14ac:dyDescent="0.35"/>
    <row r="5" spans="2:13" ht="21.75" customHeight="1" x14ac:dyDescent="0.35">
      <c r="B5" s="68" t="s">
        <v>2</v>
      </c>
      <c r="C5" s="68"/>
      <c r="D5" s="68"/>
      <c r="F5" s="74" t="s">
        <v>3</v>
      </c>
      <c r="G5" s="74"/>
      <c r="H5" s="74"/>
      <c r="K5" s="75" t="s">
        <v>4</v>
      </c>
      <c r="L5" s="75"/>
      <c r="M5" s="75"/>
    </row>
    <row r="6" spans="2:13" ht="21.75" customHeight="1" x14ac:dyDescent="0.35">
      <c r="B6" s="2" t="s">
        <v>5</v>
      </c>
      <c r="C6" s="2" t="s">
        <v>6</v>
      </c>
      <c r="D6" s="2" t="s">
        <v>7</v>
      </c>
      <c r="F6" s="3" t="s">
        <v>5</v>
      </c>
      <c r="G6" s="3" t="s">
        <v>6</v>
      </c>
      <c r="H6" s="3" t="s">
        <v>7</v>
      </c>
      <c r="K6" s="4" t="s">
        <v>8</v>
      </c>
      <c r="L6" s="4" t="s">
        <v>6</v>
      </c>
      <c r="M6" s="4" t="s">
        <v>7</v>
      </c>
    </row>
    <row r="7" spans="2:13" ht="21.75" customHeight="1" x14ac:dyDescent="0.35">
      <c r="B7" s="5" t="s">
        <v>9</v>
      </c>
      <c r="C7" s="6">
        <v>800000000</v>
      </c>
      <c r="D7" s="7" t="s">
        <v>10</v>
      </c>
      <c r="F7" s="5" t="s">
        <v>11</v>
      </c>
      <c r="G7" s="6">
        <v>560000000</v>
      </c>
      <c r="H7" s="7" t="s">
        <v>12</v>
      </c>
      <c r="K7" s="8" t="s">
        <v>13</v>
      </c>
      <c r="L7" s="9">
        <f>C19</f>
        <v>836000000</v>
      </c>
      <c r="M7" s="7" t="s">
        <v>14</v>
      </c>
    </row>
    <row r="8" spans="2:13" ht="21.75" customHeight="1" x14ac:dyDescent="0.35">
      <c r="B8" s="10" t="s">
        <v>15</v>
      </c>
      <c r="C8" s="11">
        <v>0.01</v>
      </c>
      <c r="D8" s="7" t="s">
        <v>16</v>
      </c>
      <c r="F8" s="10" t="s">
        <v>17</v>
      </c>
      <c r="G8" s="11">
        <v>0.2</v>
      </c>
      <c r="H8" s="7" t="s">
        <v>18</v>
      </c>
      <c r="K8" s="12" t="s">
        <v>19</v>
      </c>
      <c r="L8" s="13">
        <f>0</f>
        <v>0</v>
      </c>
      <c r="M8" s="7" t="s">
        <v>20</v>
      </c>
    </row>
    <row r="9" spans="2:13" ht="21.75" customHeight="1" x14ac:dyDescent="0.35">
      <c r="B9" s="5" t="s">
        <v>21</v>
      </c>
      <c r="C9" s="6">
        <v>8000000</v>
      </c>
      <c r="D9" s="7" t="s">
        <v>22</v>
      </c>
      <c r="F9" s="5" t="s">
        <v>23</v>
      </c>
      <c r="G9" s="6">
        <v>15</v>
      </c>
      <c r="H9" s="7" t="s">
        <v>24</v>
      </c>
      <c r="K9" s="12" t="s">
        <v>25</v>
      </c>
      <c r="L9" s="13">
        <f>0</f>
        <v>0</v>
      </c>
      <c r="M9" s="7" t="s">
        <v>26</v>
      </c>
    </row>
    <row r="10" spans="2:13" ht="21.75" customHeight="1" x14ac:dyDescent="0.35">
      <c r="B10" s="10" t="s">
        <v>27</v>
      </c>
      <c r="C10" s="6">
        <v>20000000</v>
      </c>
      <c r="D10" s="7" t="s">
        <v>28</v>
      </c>
      <c r="F10" s="10" t="s">
        <v>29</v>
      </c>
      <c r="G10" s="6">
        <v>5600000</v>
      </c>
      <c r="H10" s="7" t="s">
        <v>30</v>
      </c>
      <c r="K10" s="14" t="s">
        <v>31</v>
      </c>
      <c r="L10" s="15">
        <f>C19*L14</f>
        <v>66880000</v>
      </c>
      <c r="M10" s="7" t="s">
        <v>32</v>
      </c>
    </row>
    <row r="11" spans="2:13" ht="21.75" customHeight="1" x14ac:dyDescent="0.35">
      <c r="B11" s="5" t="s">
        <v>33</v>
      </c>
      <c r="C11" s="6">
        <v>2000000</v>
      </c>
      <c r="D11" s="7" t="s">
        <v>34</v>
      </c>
      <c r="F11" s="5" t="s">
        <v>35</v>
      </c>
      <c r="G11" s="11">
        <v>0.1</v>
      </c>
      <c r="H11" s="7" t="s">
        <v>36</v>
      </c>
      <c r="K11" s="12" t="s">
        <v>37</v>
      </c>
      <c r="L11" s="13">
        <f>C20-C14</f>
        <v>4080000</v>
      </c>
      <c r="M11" s="7" t="s">
        <v>38</v>
      </c>
    </row>
    <row r="12" spans="2:13" ht="21.75" customHeight="1" x14ac:dyDescent="0.35">
      <c r="B12" s="10" t="s">
        <v>39</v>
      </c>
      <c r="C12" s="6">
        <v>1</v>
      </c>
      <c r="D12" s="7" t="s">
        <v>40</v>
      </c>
      <c r="F12" s="10" t="s">
        <v>41</v>
      </c>
      <c r="G12" s="16">
        <f>C7-G7</f>
        <v>240000000</v>
      </c>
      <c r="H12" s="7" t="s">
        <v>42</v>
      </c>
      <c r="K12" s="12" t="s">
        <v>43</v>
      </c>
      <c r="L12" s="17">
        <f>IFERROR((C20-C14)/C19,0)</f>
        <v>4.8803827751196169E-3</v>
      </c>
      <c r="M12" s="7" t="s">
        <v>44</v>
      </c>
    </row>
    <row r="13" spans="2:13" ht="21.75" customHeight="1" x14ac:dyDescent="0.35">
      <c r="B13" s="5" t="s">
        <v>45</v>
      </c>
      <c r="C13" s="11">
        <v>0.08</v>
      </c>
      <c r="D13" s="7" t="s">
        <v>46</v>
      </c>
      <c r="F13" s="14" t="s">
        <v>47</v>
      </c>
      <c r="G13" s="15">
        <f>IFERROR(IF(G7=0,0,PMT(G8/12,G9*12,-G7)),0)</f>
        <v>9835260.4171956461</v>
      </c>
      <c r="H13" s="18"/>
      <c r="K13" s="19" t="s">
        <v>48</v>
      </c>
      <c r="L13" s="20">
        <f>IFERROR(C20/C7,0)</f>
        <v>2.76E-2</v>
      </c>
      <c r="M13" s="7" t="s">
        <v>49</v>
      </c>
    </row>
    <row r="14" spans="2:13" ht="21.75" customHeight="1" x14ac:dyDescent="0.35">
      <c r="B14" s="10" t="s">
        <v>50</v>
      </c>
      <c r="C14" s="6">
        <v>18000000</v>
      </c>
      <c r="D14" s="7" t="s">
        <v>51</v>
      </c>
      <c r="F14" s="21" t="s">
        <v>52</v>
      </c>
      <c r="G14" s="22">
        <f>G13*G9*12</f>
        <v>1770346875.0952163</v>
      </c>
      <c r="H14" s="23">
        <f>IFERROR(G14/C7,0)</f>
        <v>2.2129335938690202</v>
      </c>
      <c r="K14" s="10" t="s">
        <v>53</v>
      </c>
      <c r="L14" s="11">
        <v>0.08</v>
      </c>
      <c r="M14" s="7" t="s">
        <v>54</v>
      </c>
    </row>
    <row r="15" spans="2:13" ht="21.75" customHeight="1" x14ac:dyDescent="0.35">
      <c r="B15" s="5" t="s">
        <v>55</v>
      </c>
      <c r="C15" s="11">
        <v>0.06</v>
      </c>
      <c r="D15" s="7" t="s">
        <v>56</v>
      </c>
      <c r="F15" s="21" t="s">
        <v>57</v>
      </c>
      <c r="G15" s="22">
        <f>G14-G7</f>
        <v>1210346875.0952163</v>
      </c>
      <c r="H15" s="23">
        <f>IFERROR(G15/C7,0)</f>
        <v>1.5129335938690203</v>
      </c>
    </row>
    <row r="16" spans="2:13" ht="21.75" customHeight="1" x14ac:dyDescent="0.35">
      <c r="B16" s="10" t="s">
        <v>58</v>
      </c>
      <c r="C16" s="11">
        <v>0.05</v>
      </c>
      <c r="D16" s="7" t="s">
        <v>59</v>
      </c>
      <c r="F16" s="8" t="s">
        <v>60</v>
      </c>
      <c r="G16" s="9">
        <f>G12+G10+C7*C8+C9+C10</f>
        <v>281600000</v>
      </c>
      <c r="H16" s="24"/>
    </row>
    <row r="17" spans="2:13" ht="21.75" customHeight="1" x14ac:dyDescent="0.35">
      <c r="B17" s="5" t="s">
        <v>61</v>
      </c>
      <c r="C17" s="11">
        <v>0.3</v>
      </c>
      <c r="D17" s="7" t="s">
        <v>62</v>
      </c>
      <c r="F17" s="12" t="s">
        <v>63</v>
      </c>
      <c r="G17" s="13">
        <f>C20-C14-G13*12</f>
        <v>-113943125.00634775</v>
      </c>
      <c r="H17" s="25"/>
    </row>
    <row r="18" spans="2:13" ht="21.75" customHeight="1" x14ac:dyDescent="0.35">
      <c r="B18" s="10" t="s">
        <v>64</v>
      </c>
      <c r="C18" s="6">
        <v>3900</v>
      </c>
      <c r="D18" s="7" t="s">
        <v>65</v>
      </c>
      <c r="F18" s="12" t="s">
        <v>43</v>
      </c>
      <c r="G18" s="17">
        <f>IFERROR((C20-C14-G13*12)/G16,0)</f>
        <v>-0.40462757459640536</v>
      </c>
      <c r="H18" s="25"/>
    </row>
    <row r="19" spans="2:13" ht="21.75" customHeight="1" x14ac:dyDescent="0.35">
      <c r="B19" s="19" t="s">
        <v>66</v>
      </c>
      <c r="C19" s="26">
        <f>C7+C7*C8+C9+C10</f>
        <v>836000000</v>
      </c>
      <c r="D19" s="27" t="s">
        <v>67</v>
      </c>
      <c r="F19" s="19" t="s">
        <v>48</v>
      </c>
      <c r="G19" s="20">
        <f>IFERROR(C20/C7,0)</f>
        <v>2.76E-2</v>
      </c>
      <c r="H19" s="28"/>
    </row>
    <row r="20" spans="2:13" ht="21.75" customHeight="1" x14ac:dyDescent="0.35">
      <c r="B20" s="12" t="s">
        <v>68</v>
      </c>
      <c r="C20" s="13">
        <f>C11*12*C12*(1-C13)</f>
        <v>22080000</v>
      </c>
      <c r="D20" s="29" t="s">
        <v>69</v>
      </c>
      <c r="F20" s="19" t="s">
        <v>70</v>
      </c>
      <c r="G20" s="20">
        <f>IFERROR((C20-C14)/C7,0)</f>
        <v>5.1000000000000004E-3</v>
      </c>
      <c r="H20" s="28"/>
    </row>
    <row r="21" spans="2:13" ht="7.5" customHeight="1" x14ac:dyDescent="0.35"/>
    <row r="22" spans="2:13" ht="21.75" customHeight="1" x14ac:dyDescent="0.35">
      <c r="B22" s="68" t="s">
        <v>71</v>
      </c>
      <c r="C22" s="68"/>
      <c r="D22" s="68"/>
      <c r="E22" s="68"/>
      <c r="F22" s="68"/>
      <c r="G22" s="68"/>
      <c r="H22" s="68"/>
      <c r="I22" s="68"/>
      <c r="J22" s="68"/>
      <c r="K22" s="68"/>
      <c r="L22" s="68"/>
      <c r="M22" s="68"/>
    </row>
    <row r="23" spans="2:13" ht="7.5" customHeight="1" x14ac:dyDescent="0.35"/>
    <row r="24" spans="2:13" ht="18" customHeight="1" x14ac:dyDescent="0.35">
      <c r="B24" s="30" t="s">
        <v>72</v>
      </c>
      <c r="D24" s="31" t="s">
        <v>73</v>
      </c>
      <c r="F24" s="30" t="s">
        <v>74</v>
      </c>
      <c r="H24" s="31" t="s">
        <v>75</v>
      </c>
      <c r="J24" s="30" t="s">
        <v>76</v>
      </c>
      <c r="L24" s="31" t="s">
        <v>77</v>
      </c>
    </row>
    <row r="25" spans="2:13" ht="31.5" customHeight="1" x14ac:dyDescent="0.35">
      <c r="B25" s="32">
        <f>G16</f>
        <v>281600000</v>
      </c>
      <c r="D25" s="33">
        <f>L7</f>
        <v>836000000</v>
      </c>
      <c r="F25" s="34">
        <f>G13</f>
        <v>9835260.4171956461</v>
      </c>
      <c r="H25" s="33">
        <f>0</f>
        <v>0</v>
      </c>
      <c r="J25" s="34">
        <f>G15</f>
        <v>1210346875.0952163</v>
      </c>
      <c r="L25" s="33">
        <f>0</f>
        <v>0</v>
      </c>
    </row>
    <row r="26" spans="2:13" ht="7.5" customHeight="1" x14ac:dyDescent="0.35"/>
    <row r="27" spans="2:13" ht="21.75" customHeight="1" x14ac:dyDescent="0.35">
      <c r="B27" s="69" t="s">
        <v>78</v>
      </c>
      <c r="C27" s="69"/>
      <c r="D27" s="69"/>
      <c r="E27" s="69"/>
      <c r="F27" s="69"/>
      <c r="G27" s="69"/>
      <c r="H27" s="69"/>
      <c r="I27" s="69"/>
      <c r="J27" s="69"/>
      <c r="K27" s="69"/>
      <c r="L27" s="69"/>
      <c r="M27" s="69"/>
    </row>
    <row r="28" spans="2:13" ht="49.5" customHeight="1" x14ac:dyDescent="0.35">
      <c r="B28" s="70" t="str">
        <f>IF(G18&gt;L12,"✅ MORTGAGE WINS on cash efficiency. Leveraged cash-on-cash return beats cash return. Review total interest cost before committing.","✅ CASH WINS on simplicity and total cost. No interest burden, higher net yield, no bank dependency. Cash purchases typically outperform at Uganda high-rate environment.")</f>
        <v>✅ CASH WINS on simplicity and total cost. No interest burden, higher net yield, no bank dependency. Cash purchases typically outperform at Uganda high-rate environment.</v>
      </c>
      <c r="C28" s="70"/>
      <c r="D28" s="70"/>
      <c r="E28" s="70"/>
      <c r="F28" s="70"/>
      <c r="G28" s="70"/>
      <c r="H28" s="70"/>
      <c r="I28" s="70"/>
      <c r="J28" s="70"/>
      <c r="K28" s="70"/>
      <c r="L28" s="70"/>
      <c r="M28" s="70"/>
    </row>
    <row r="29" spans="2:13" ht="7.5" customHeight="1" x14ac:dyDescent="0.35"/>
    <row r="30" spans="2:13" ht="12.75" customHeight="1" x14ac:dyDescent="0.35">
      <c r="B30" s="71" t="s">
        <v>244</v>
      </c>
      <c r="C30" s="71"/>
      <c r="D30" s="71"/>
      <c r="E30" s="71"/>
      <c r="F30" s="71"/>
      <c r="G30" s="71"/>
      <c r="H30" s="71"/>
      <c r="I30" s="71"/>
      <c r="J30" s="71"/>
      <c r="K30" s="71"/>
      <c r="L30" s="71"/>
      <c r="M30" s="71"/>
    </row>
    <row r="31" spans="2:13" ht="12.75" customHeight="1" x14ac:dyDescent="0.35">
      <c r="B31" s="71"/>
      <c r="C31" s="71"/>
      <c r="D31" s="71"/>
      <c r="E31" s="71"/>
      <c r="F31" s="71"/>
      <c r="G31" s="71"/>
      <c r="H31" s="71"/>
      <c r="I31" s="71"/>
      <c r="J31" s="71"/>
      <c r="K31" s="71"/>
      <c r="L31" s="71"/>
      <c r="M31" s="71"/>
    </row>
    <row r="32" spans="2:13" ht="12.75" customHeight="1" x14ac:dyDescent="0.35">
      <c r="B32" s="71"/>
      <c r="C32" s="71"/>
      <c r="D32" s="71"/>
      <c r="E32" s="71"/>
      <c r="F32" s="71"/>
      <c r="G32" s="71"/>
      <c r="H32" s="71"/>
      <c r="I32" s="71"/>
      <c r="J32" s="71"/>
      <c r="K32" s="71"/>
      <c r="L32" s="71"/>
      <c r="M32" s="71"/>
    </row>
  </sheetData>
  <mergeCells count="9">
    <mergeCell ref="B22:M22"/>
    <mergeCell ref="B27:M27"/>
    <mergeCell ref="B28:M28"/>
    <mergeCell ref="B30:M32"/>
    <mergeCell ref="B2:M2"/>
    <mergeCell ref="B3:M3"/>
    <mergeCell ref="B5:D5"/>
    <mergeCell ref="F5:H5"/>
    <mergeCell ref="K5:M5"/>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6E63"/>
  </sheetPr>
  <dimension ref="A2:R27"/>
  <sheetViews>
    <sheetView showGridLines="0" zoomScale="40" zoomScaleNormal="40" workbookViewId="0">
      <pane xSplit="2" ySplit="5" topLeftCell="C6" activePane="bottomRight" state="frozen"/>
      <selection pane="topRight" activeCell="C1" sqref="C1"/>
      <selection pane="bottomLeft" activeCell="A6" sqref="A6"/>
      <selection pane="bottomRight"/>
    </sheetView>
  </sheetViews>
  <sheetFormatPr defaultColWidth="8.6328125" defaultRowHeight="14.5" x14ac:dyDescent="0.35"/>
  <cols>
    <col min="1" max="1" width="2" style="1" customWidth="1"/>
    <col min="2" max="2" width="30" style="1" customWidth="1"/>
    <col min="3" max="16" width="16" style="1" customWidth="1"/>
    <col min="17" max="18" width="18" style="1" customWidth="1"/>
  </cols>
  <sheetData>
    <row r="2" spans="2:18" ht="48" customHeight="1" x14ac:dyDescent="0.35">
      <c r="B2" s="76" t="s">
        <v>79</v>
      </c>
      <c r="C2" s="76"/>
      <c r="D2" s="76"/>
      <c r="E2" s="76"/>
      <c r="F2" s="76"/>
      <c r="G2" s="76"/>
      <c r="H2" s="76"/>
      <c r="I2" s="76"/>
      <c r="J2" s="76"/>
      <c r="K2" s="76"/>
      <c r="L2" s="76"/>
      <c r="M2" s="76"/>
      <c r="N2" s="76"/>
      <c r="O2" s="76"/>
      <c r="P2" s="76"/>
      <c r="Q2" s="76"/>
    </row>
    <row r="3" spans="2:18" ht="19.5" customHeight="1" x14ac:dyDescent="0.35">
      <c r="B3" s="73" t="s">
        <v>80</v>
      </c>
      <c r="C3" s="73"/>
      <c r="D3" s="73"/>
      <c r="E3" s="73"/>
      <c r="F3" s="73"/>
      <c r="G3" s="73"/>
      <c r="H3" s="73"/>
      <c r="I3" s="73"/>
      <c r="J3" s="73"/>
      <c r="K3" s="73"/>
      <c r="L3" s="73"/>
      <c r="M3" s="73"/>
      <c r="N3" s="73"/>
      <c r="O3" s="73"/>
      <c r="P3" s="73"/>
      <c r="Q3" s="73"/>
    </row>
    <row r="4" spans="2:18" ht="9.75" customHeight="1" x14ac:dyDescent="0.35"/>
    <row r="5" spans="2:18" ht="21.75" customHeight="1" x14ac:dyDescent="0.35">
      <c r="B5" s="35" t="s">
        <v>8</v>
      </c>
      <c r="C5" s="36" t="s">
        <v>81</v>
      </c>
      <c r="D5" s="36" t="s">
        <v>82</v>
      </c>
      <c r="E5" s="36" t="s">
        <v>83</v>
      </c>
      <c r="F5" s="36" t="s">
        <v>84</v>
      </c>
      <c r="G5" s="36" t="s">
        <v>85</v>
      </c>
      <c r="H5" s="36" t="s">
        <v>86</v>
      </c>
      <c r="I5" s="36" t="s">
        <v>87</v>
      </c>
      <c r="J5" s="36" t="s">
        <v>88</v>
      </c>
      <c r="K5" s="36" t="s">
        <v>89</v>
      </c>
      <c r="L5" s="36" t="s">
        <v>90</v>
      </c>
      <c r="M5" s="36" t="s">
        <v>91</v>
      </c>
      <c r="N5" s="36" t="s">
        <v>92</v>
      </c>
      <c r="O5" s="36" t="s">
        <v>93</v>
      </c>
      <c r="P5" s="36" t="s">
        <v>94</v>
      </c>
      <c r="Q5" s="36" t="s">
        <v>95</v>
      </c>
      <c r="R5" s="37" t="s">
        <v>96</v>
      </c>
    </row>
    <row r="6" spans="2:18" ht="21.75" customHeight="1" x14ac:dyDescent="0.35">
      <c r="B6" s="38" t="s">
        <v>97</v>
      </c>
      <c r="C6" s="39"/>
      <c r="D6" s="39"/>
      <c r="E6" s="39"/>
      <c r="F6" s="39"/>
      <c r="G6" s="39"/>
      <c r="H6" s="39"/>
      <c r="I6" s="39"/>
      <c r="J6" s="39"/>
      <c r="K6" s="39"/>
      <c r="L6" s="39"/>
      <c r="M6" s="39"/>
      <c r="N6" s="39"/>
      <c r="O6" s="39"/>
      <c r="P6" s="39"/>
      <c r="Q6" s="39"/>
      <c r="R6" s="39"/>
    </row>
    <row r="7" spans="2:18" ht="21.75" customHeight="1" x14ac:dyDescent="0.35">
      <c r="B7" s="5" t="s">
        <v>98</v>
      </c>
      <c r="C7" s="40">
        <f>'🏠 Mortgage vs Cash'!C11*12*'🏠 Mortgage vs Cash'!C12*(1-'🏠 Mortgage vs Cash'!C13)*((1+'🏠 Mortgage vs Cash'!C16)^(1-1))</f>
        <v>22080000</v>
      </c>
      <c r="D7" s="40">
        <f>'🏠 Mortgage vs Cash'!C11*12*'🏠 Mortgage vs Cash'!C12*(1-'🏠 Mortgage vs Cash'!C13)*((1+'🏠 Mortgage vs Cash'!C16)^(2-1))</f>
        <v>23184000</v>
      </c>
      <c r="E7" s="40">
        <f>'🏠 Mortgage vs Cash'!C11*12*'🏠 Mortgage vs Cash'!C12*(1-'🏠 Mortgage vs Cash'!C13)*((1+'🏠 Mortgage vs Cash'!C16)^(3-1))</f>
        <v>24343200</v>
      </c>
      <c r="F7" s="40">
        <f>'🏠 Mortgage vs Cash'!C11*12*'🏠 Mortgage vs Cash'!C12*(1-'🏠 Mortgage vs Cash'!C13)*((1+'🏠 Mortgage vs Cash'!C16)^(4-1))</f>
        <v>25560360.000000004</v>
      </c>
      <c r="G7" s="40">
        <f>'🏠 Mortgage vs Cash'!C11*12*'🏠 Mortgage vs Cash'!C12*(1-'🏠 Mortgage vs Cash'!C13)*((1+'🏠 Mortgage vs Cash'!C16)^(5-1))</f>
        <v>26838378</v>
      </c>
      <c r="H7" s="40">
        <f>'🏠 Mortgage vs Cash'!C11*12*'🏠 Mortgage vs Cash'!C12*(1-'🏠 Mortgage vs Cash'!C13)*((1+'🏠 Mortgage vs Cash'!C16)^(6-1))</f>
        <v>28180296.900000002</v>
      </c>
      <c r="I7" s="40">
        <f>'🏠 Mortgage vs Cash'!C11*12*'🏠 Mortgage vs Cash'!C12*(1-'🏠 Mortgage vs Cash'!C13)*((1+'🏠 Mortgage vs Cash'!C16)^(7-1))</f>
        <v>29589311.745000001</v>
      </c>
      <c r="J7" s="40">
        <f>'🏠 Mortgage vs Cash'!C11*12*'🏠 Mortgage vs Cash'!C12*(1-'🏠 Mortgage vs Cash'!C13)*((1+'🏠 Mortgage vs Cash'!C16)^(8-1))</f>
        <v>31068777.332250006</v>
      </c>
      <c r="K7" s="40">
        <f>'🏠 Mortgage vs Cash'!C11*12*'🏠 Mortgage vs Cash'!C12*(1-'🏠 Mortgage vs Cash'!C13)*((1+'🏠 Mortgage vs Cash'!C16)^(9-1))</f>
        <v>32622216.1988625</v>
      </c>
      <c r="L7" s="40">
        <f>'🏠 Mortgage vs Cash'!C11*12*'🏠 Mortgage vs Cash'!C12*(1-'🏠 Mortgage vs Cash'!C13)*((1+'🏠 Mortgage vs Cash'!C16)^(10-1))</f>
        <v>34253327.008805625</v>
      </c>
      <c r="M7" s="40">
        <f>'🏠 Mortgage vs Cash'!C11*12*'🏠 Mortgage vs Cash'!C12*(1-'🏠 Mortgage vs Cash'!C13)*((1+'🏠 Mortgage vs Cash'!C16)^(11-1))</f>
        <v>35965993.359245911</v>
      </c>
      <c r="N7" s="40">
        <f>'🏠 Mortgage vs Cash'!C11*12*'🏠 Mortgage vs Cash'!C12*(1-'🏠 Mortgage vs Cash'!C13)*((1+'🏠 Mortgage vs Cash'!C16)^(12-1))</f>
        <v>37764293.027208209</v>
      </c>
      <c r="O7" s="40">
        <f>'🏠 Mortgage vs Cash'!C11*12*'🏠 Mortgage vs Cash'!C12*(1-'🏠 Mortgage vs Cash'!C13)*((1+'🏠 Mortgage vs Cash'!C16)^(13-1))</f>
        <v>39652507.678568609</v>
      </c>
      <c r="P7" s="40">
        <f>'🏠 Mortgage vs Cash'!C11*12*'🏠 Mortgage vs Cash'!C12*(1-'🏠 Mortgage vs Cash'!C13)*((1+'🏠 Mortgage vs Cash'!C16)^(14-1))</f>
        <v>41635133.06249705</v>
      </c>
      <c r="Q7" s="40">
        <f>'🏠 Mortgage vs Cash'!C11*12*'🏠 Mortgage vs Cash'!C12*(1-'🏠 Mortgage vs Cash'!C13)*((1+'🏠 Mortgage vs Cash'!C16)^(15-1))</f>
        <v>43716889.715621896</v>
      </c>
      <c r="R7" s="41">
        <f>SUM(C7:Q7)</f>
        <v>476454684.02805978</v>
      </c>
    </row>
    <row r="8" spans="2:18" ht="21.75" customHeight="1" x14ac:dyDescent="0.35">
      <c r="B8" s="10" t="s">
        <v>50</v>
      </c>
      <c r="C8" s="42">
        <f>'🏠 Mortgage vs Cash'!C14*(1.04^(1-1))</f>
        <v>18000000</v>
      </c>
      <c r="D8" s="42">
        <f>'🏠 Mortgage vs Cash'!C14*(1.04^(2-1))</f>
        <v>18720000</v>
      </c>
      <c r="E8" s="42">
        <f>'🏠 Mortgage vs Cash'!C14*(1.04^(3-1))</f>
        <v>19468800.000000004</v>
      </c>
      <c r="F8" s="42">
        <f>'🏠 Mortgage vs Cash'!C14*(1.04^(4-1))</f>
        <v>20247552</v>
      </c>
      <c r="G8" s="42">
        <f>'🏠 Mortgage vs Cash'!C14*(1.04^(5-1))</f>
        <v>21057454.080000006</v>
      </c>
      <c r="H8" s="42">
        <f>'🏠 Mortgage vs Cash'!C14*(1.04^(6-1))</f>
        <v>21899752.243200008</v>
      </c>
      <c r="I8" s="42">
        <f>'🏠 Mortgage vs Cash'!C14*(1.04^(7-1))</f>
        <v>22775742.332928006</v>
      </c>
      <c r="J8" s="42">
        <f>'🏠 Mortgage vs Cash'!C14*(1.04^(8-1))</f>
        <v>23686772.026245125</v>
      </c>
      <c r="K8" s="42">
        <f>'🏠 Mortgage vs Cash'!C14*(1.04^(9-1))</f>
        <v>24634242.907294933</v>
      </c>
      <c r="L8" s="42">
        <f>'🏠 Mortgage vs Cash'!C14*(1.04^(10-1))</f>
        <v>25619612.623586733</v>
      </c>
      <c r="M8" s="42">
        <f>'🏠 Mortgage vs Cash'!C14*(1.04^(11-1))</f>
        <v>26644397.128530204</v>
      </c>
      <c r="N8" s="42">
        <f>'🏠 Mortgage vs Cash'!C14*(1.04^(12-1))</f>
        <v>27710173.013671409</v>
      </c>
      <c r="O8" s="42">
        <f>'🏠 Mortgage vs Cash'!C14*(1.04^(13-1))</f>
        <v>28818579.934218273</v>
      </c>
      <c r="P8" s="42">
        <f>'🏠 Mortgage vs Cash'!C14*(1.04^(14-1))</f>
        <v>29971323.131587002</v>
      </c>
      <c r="Q8" s="42">
        <f>'🏠 Mortgage vs Cash'!C14*(1.04^(15-1))</f>
        <v>31170176.056850482</v>
      </c>
      <c r="R8" s="41">
        <f>SUM(C8:Q8)</f>
        <v>360424577.47811222</v>
      </c>
    </row>
    <row r="9" spans="2:18" ht="21.75" customHeight="1" x14ac:dyDescent="0.35">
      <c r="B9" s="5" t="s">
        <v>99</v>
      </c>
      <c r="C9" s="43">
        <f>IF(1&lt;='🏠 Mortgage vs Cash'!G9,'🏠 Mortgage vs Cash'!G13*12,0)</f>
        <v>118023125.00634775</v>
      </c>
      <c r="D9" s="43">
        <f>IF(2&lt;='🏠 Mortgage vs Cash'!G9,'🏠 Mortgage vs Cash'!G13*12,0)</f>
        <v>118023125.00634775</v>
      </c>
      <c r="E9" s="43">
        <f>IF(3&lt;='🏠 Mortgage vs Cash'!G9,'🏠 Mortgage vs Cash'!G13*12,0)</f>
        <v>118023125.00634775</v>
      </c>
      <c r="F9" s="43">
        <f>IF(4&lt;='🏠 Mortgage vs Cash'!G9,'🏠 Mortgage vs Cash'!G13*12,0)</f>
        <v>118023125.00634775</v>
      </c>
      <c r="G9" s="43">
        <f>IF(5&lt;='🏠 Mortgage vs Cash'!G9,'🏠 Mortgage vs Cash'!G13*12,0)</f>
        <v>118023125.00634775</v>
      </c>
      <c r="H9" s="43">
        <f>IF(6&lt;='🏠 Mortgage vs Cash'!G9,'🏠 Mortgage vs Cash'!G13*12,0)</f>
        <v>118023125.00634775</v>
      </c>
      <c r="I9" s="43">
        <f>IF(7&lt;='🏠 Mortgage vs Cash'!G9,'🏠 Mortgage vs Cash'!G13*12,0)</f>
        <v>118023125.00634775</v>
      </c>
      <c r="J9" s="43">
        <f>IF(8&lt;='🏠 Mortgage vs Cash'!G9,'🏠 Mortgage vs Cash'!G13*12,0)</f>
        <v>118023125.00634775</v>
      </c>
      <c r="K9" s="43">
        <f>IF(9&lt;='🏠 Mortgage vs Cash'!G9,'🏠 Mortgage vs Cash'!G13*12,0)</f>
        <v>118023125.00634775</v>
      </c>
      <c r="L9" s="43">
        <f>IF(10&lt;='🏠 Mortgage vs Cash'!G9,'🏠 Mortgage vs Cash'!G13*12,0)</f>
        <v>118023125.00634775</v>
      </c>
      <c r="M9" s="43">
        <f>IF(11&lt;='🏠 Mortgage vs Cash'!G9,'🏠 Mortgage vs Cash'!G13*12,0)</f>
        <v>118023125.00634775</v>
      </c>
      <c r="N9" s="43">
        <f>IF(12&lt;='🏠 Mortgage vs Cash'!G9,'🏠 Mortgage vs Cash'!G13*12,0)</f>
        <v>118023125.00634775</v>
      </c>
      <c r="O9" s="43">
        <f>IF(13&lt;='🏠 Mortgage vs Cash'!G9,'🏠 Mortgage vs Cash'!G13*12,0)</f>
        <v>118023125.00634775</v>
      </c>
      <c r="P9" s="43">
        <f>IF(14&lt;='🏠 Mortgage vs Cash'!G9,'🏠 Mortgage vs Cash'!G13*12,0)</f>
        <v>118023125.00634775</v>
      </c>
      <c r="Q9" s="43">
        <f>IF(15&lt;='🏠 Mortgage vs Cash'!G9,'🏠 Mortgage vs Cash'!G13*12,0)</f>
        <v>118023125.00634775</v>
      </c>
      <c r="R9" s="41">
        <f>SUM(C9:Q9)</f>
        <v>1770346875.0952158</v>
      </c>
    </row>
    <row r="10" spans="2:18" ht="21.75" customHeight="1" x14ac:dyDescent="0.35">
      <c r="B10" s="44" t="s">
        <v>100</v>
      </c>
      <c r="C10" s="45">
        <f>'🏠 Mortgage vs Cash'!C11*12*'🏠 Mortgage vs Cash'!C12*(1-'🏠 Mortgage vs Cash'!C13)*((1+'🏠 Mortgage vs Cash'!C16)^(1-1))-'🏠 Mortgage vs Cash'!C14*(1.04^(1-1))-IF(1&lt;='🏠 Mortgage vs Cash'!G9,'🏠 Mortgage vs Cash'!G13*12,0)</f>
        <v>-113943125.00634775</v>
      </c>
      <c r="D10" s="45">
        <f>'🏠 Mortgage vs Cash'!C11*12*'🏠 Mortgage vs Cash'!C12*(1-'🏠 Mortgage vs Cash'!C13)*((1+'🏠 Mortgage vs Cash'!C16)^(2-1))-'🏠 Mortgage vs Cash'!C14*(1.04^(2-1))-IF(2&lt;='🏠 Mortgage vs Cash'!G9,'🏠 Mortgage vs Cash'!G13*12,0)</f>
        <v>-113559125.00634775</v>
      </c>
      <c r="E10" s="45">
        <f>'🏠 Mortgage vs Cash'!C11*12*'🏠 Mortgage vs Cash'!C12*(1-'🏠 Mortgage vs Cash'!C13)*((1+'🏠 Mortgage vs Cash'!C16)^(3-1))-'🏠 Mortgage vs Cash'!C14*(1.04^(3-1))-IF(3&lt;='🏠 Mortgage vs Cash'!G9,'🏠 Mortgage vs Cash'!G13*12,0)</f>
        <v>-113148725.00634775</v>
      </c>
      <c r="F10" s="45">
        <f>'🏠 Mortgage vs Cash'!C11*12*'🏠 Mortgage vs Cash'!C12*(1-'🏠 Mortgage vs Cash'!C13)*((1+'🏠 Mortgage vs Cash'!C16)^(4-1))-'🏠 Mortgage vs Cash'!C14*(1.04^(4-1))-IF(4&lt;='🏠 Mortgage vs Cash'!G9,'🏠 Mortgage vs Cash'!G13*12,0)</f>
        <v>-112710317.00634775</v>
      </c>
      <c r="G10" s="45">
        <f>'🏠 Mortgage vs Cash'!C11*12*'🏠 Mortgage vs Cash'!C12*(1-'🏠 Mortgage vs Cash'!C13)*((1+'🏠 Mortgage vs Cash'!C16)^(5-1))-'🏠 Mortgage vs Cash'!C14*(1.04^(5-1))-IF(5&lt;='🏠 Mortgage vs Cash'!G9,'🏠 Mortgage vs Cash'!G13*12,0)</f>
        <v>-112242201.08634776</v>
      </c>
      <c r="H10" s="45">
        <f>'🏠 Mortgage vs Cash'!C11*12*'🏠 Mortgage vs Cash'!C12*(1-'🏠 Mortgage vs Cash'!C13)*((1+'🏠 Mortgage vs Cash'!C16)^(6-1))-'🏠 Mortgage vs Cash'!C14*(1.04^(6-1))-IF(6&lt;='🏠 Mortgage vs Cash'!G9,'🏠 Mortgage vs Cash'!G13*12,0)</f>
        <v>-111742580.34954774</v>
      </c>
      <c r="I10" s="45">
        <f>'🏠 Mortgage vs Cash'!C11*12*'🏠 Mortgage vs Cash'!C12*(1-'🏠 Mortgage vs Cash'!C13)*((1+'🏠 Mortgage vs Cash'!C16)^(7-1))-'🏠 Mortgage vs Cash'!C14*(1.04^(7-1))-IF(7&lt;='🏠 Mortgage vs Cash'!G9,'🏠 Mortgage vs Cash'!G13*12,0)</f>
        <v>-111209555.59427574</v>
      </c>
      <c r="J10" s="45">
        <f>'🏠 Mortgage vs Cash'!C11*12*'🏠 Mortgage vs Cash'!C12*(1-'🏠 Mortgage vs Cash'!C13)*((1+'🏠 Mortgage vs Cash'!C16)^(8-1))-'🏠 Mortgage vs Cash'!C14*(1.04^(8-1))-IF(8&lt;='🏠 Mortgage vs Cash'!G9,'🏠 Mortgage vs Cash'!G13*12,0)</f>
        <v>-110641119.70034286</v>
      </c>
      <c r="K10" s="45">
        <f>'🏠 Mortgage vs Cash'!C11*12*'🏠 Mortgage vs Cash'!C12*(1-'🏠 Mortgage vs Cash'!C13)*((1+'🏠 Mortgage vs Cash'!C16)^(9-1))-'🏠 Mortgage vs Cash'!C14*(1.04^(9-1))-IF(9&lt;='🏠 Mortgage vs Cash'!G9,'🏠 Mortgage vs Cash'!G13*12,0)</f>
        <v>-110035151.71478018</v>
      </c>
      <c r="L10" s="45">
        <f>'🏠 Mortgage vs Cash'!C11*12*'🏠 Mortgage vs Cash'!C12*(1-'🏠 Mortgage vs Cash'!C13)*((1+'🏠 Mortgage vs Cash'!C16)^(10-1))-'🏠 Mortgage vs Cash'!C14*(1.04^(10-1))-IF(10&lt;='🏠 Mortgage vs Cash'!G9,'🏠 Mortgage vs Cash'!G13*12,0)</f>
        <v>-109389410.62112886</v>
      </c>
      <c r="M10" s="45">
        <f>'🏠 Mortgage vs Cash'!C11*12*'🏠 Mortgage vs Cash'!C12*(1-'🏠 Mortgage vs Cash'!C13)*((1+'🏠 Mortgage vs Cash'!C16)^(11-1))-'🏠 Mortgage vs Cash'!C14*(1.04^(11-1))-IF(11&lt;='🏠 Mortgage vs Cash'!G9,'🏠 Mortgage vs Cash'!G13*12,0)</f>
        <v>-108701528.77563204</v>
      </c>
      <c r="N10" s="45">
        <f>'🏠 Mortgage vs Cash'!C11*12*'🏠 Mortgage vs Cash'!C12*(1-'🏠 Mortgage vs Cash'!C13)*((1+'🏠 Mortgage vs Cash'!C16)^(12-1))-'🏠 Mortgage vs Cash'!C14*(1.04^(12-1))-IF(12&lt;='🏠 Mortgage vs Cash'!G9,'🏠 Mortgage vs Cash'!G13*12,0)</f>
        <v>-107969004.99281095</v>
      </c>
      <c r="O10" s="45">
        <f>'🏠 Mortgage vs Cash'!C11*12*'🏠 Mortgage vs Cash'!C12*(1-'🏠 Mortgage vs Cash'!C13)*((1+'🏠 Mortgage vs Cash'!C16)^(13-1))-'🏠 Mortgage vs Cash'!C14*(1.04^(13-1))-IF(13&lt;='🏠 Mortgage vs Cash'!G9,'🏠 Mortgage vs Cash'!G13*12,0)</f>
        <v>-107189197.2619974</v>
      </c>
      <c r="P10" s="45">
        <f>'🏠 Mortgage vs Cash'!C11*12*'🏠 Mortgage vs Cash'!C12*(1-'🏠 Mortgage vs Cash'!C13)*((1+'🏠 Mortgage vs Cash'!C16)^(14-1))-'🏠 Mortgage vs Cash'!C14*(1.04^(14-1))-IF(14&lt;='🏠 Mortgage vs Cash'!G9,'🏠 Mortgage vs Cash'!G13*12,0)</f>
        <v>-106359315.07543769</v>
      </c>
      <c r="Q10" s="45">
        <f>'🏠 Mortgage vs Cash'!C11*12*'🏠 Mortgage vs Cash'!C12*(1-'🏠 Mortgage vs Cash'!C13)*((1+'🏠 Mortgage vs Cash'!C16)^(15-1))-'🏠 Mortgage vs Cash'!C14*(1.04^(15-1))-IF(15&lt;='🏠 Mortgage vs Cash'!G9,'🏠 Mortgage vs Cash'!G13*12,0)</f>
        <v>-105476411.34757634</v>
      </c>
      <c r="R10" s="41">
        <f>SUM(C10:Q10)</f>
        <v>-1654316768.5452688</v>
      </c>
    </row>
    <row r="11" spans="2:18" ht="21.75" customHeight="1" x14ac:dyDescent="0.35">
      <c r="B11" s="5" t="s">
        <v>101</v>
      </c>
      <c r="C11" s="40">
        <f>C10</f>
        <v>-113943125.00634775</v>
      </c>
      <c r="D11" s="40">
        <f t="shared" ref="D11:Q11" si="0">C11+D10</f>
        <v>-227502250.01269549</v>
      </c>
      <c r="E11" s="40">
        <f t="shared" si="0"/>
        <v>-340650975.01904321</v>
      </c>
      <c r="F11" s="40">
        <f t="shared" si="0"/>
        <v>-453361292.02539098</v>
      </c>
      <c r="G11" s="40">
        <f t="shared" si="0"/>
        <v>-565603493.11173868</v>
      </c>
      <c r="H11" s="40">
        <f t="shared" si="0"/>
        <v>-677346073.46128643</v>
      </c>
      <c r="I11" s="40">
        <f t="shared" si="0"/>
        <v>-788555629.05556214</v>
      </c>
      <c r="J11" s="40">
        <f t="shared" si="0"/>
        <v>-899196748.75590503</v>
      </c>
      <c r="K11" s="40">
        <f t="shared" si="0"/>
        <v>-1009231900.4706852</v>
      </c>
      <c r="L11" s="40">
        <f t="shared" si="0"/>
        <v>-1118621311.091814</v>
      </c>
      <c r="M11" s="40">
        <f t="shared" si="0"/>
        <v>-1227322839.8674462</v>
      </c>
      <c r="N11" s="40">
        <f t="shared" si="0"/>
        <v>-1335291844.8602571</v>
      </c>
      <c r="O11" s="40">
        <f t="shared" si="0"/>
        <v>-1442481042.1222546</v>
      </c>
      <c r="P11" s="40">
        <f t="shared" si="0"/>
        <v>-1548840357.1976924</v>
      </c>
      <c r="Q11" s="40">
        <f t="shared" si="0"/>
        <v>-1654316768.5452688</v>
      </c>
      <c r="R11" s="41">
        <f>Q11</f>
        <v>-1654316768.5452688</v>
      </c>
    </row>
    <row r="12" spans="2:18" ht="21.75" customHeight="1" x14ac:dyDescent="0.35">
      <c r="B12" s="10" t="s">
        <v>102</v>
      </c>
      <c r="C12" s="46">
        <f>'🏠 Mortgage vs Cash'!C7*((1+'🏠 Mortgage vs Cash'!C15)^1)</f>
        <v>848000000</v>
      </c>
      <c r="D12" s="46">
        <f>'🏠 Mortgage vs Cash'!C7*((1+'🏠 Mortgage vs Cash'!C15)^2)</f>
        <v>898880000.00000012</v>
      </c>
      <c r="E12" s="46">
        <f>'🏠 Mortgage vs Cash'!C7*((1+'🏠 Mortgage vs Cash'!C15)^3)</f>
        <v>952812800.00000024</v>
      </c>
      <c r="F12" s="46">
        <f>'🏠 Mortgage vs Cash'!C7*((1+'🏠 Mortgage vs Cash'!C15)^4)</f>
        <v>1009981568.0000002</v>
      </c>
      <c r="G12" s="46">
        <f>'🏠 Mortgage vs Cash'!C7*((1+'🏠 Mortgage vs Cash'!C15)^5)</f>
        <v>1070580462.0800004</v>
      </c>
      <c r="H12" s="46">
        <f>'🏠 Mortgage vs Cash'!C7*((1+'🏠 Mortgage vs Cash'!C15)^6)</f>
        <v>1134815289.8048005</v>
      </c>
      <c r="I12" s="46">
        <f>'🏠 Mortgage vs Cash'!C7*((1+'🏠 Mortgage vs Cash'!C15)^7)</f>
        <v>1202904207.1930888</v>
      </c>
      <c r="J12" s="46">
        <f>'🏠 Mortgage vs Cash'!C7*((1+'🏠 Mortgage vs Cash'!C15)^8)</f>
        <v>1275078459.6246738</v>
      </c>
      <c r="K12" s="46">
        <f>'🏠 Mortgage vs Cash'!C7*((1+'🏠 Mortgage vs Cash'!C15)^9)</f>
        <v>1351583167.2021542</v>
      </c>
      <c r="L12" s="46">
        <f>'🏠 Mortgage vs Cash'!C7*((1+'🏠 Mortgage vs Cash'!C15)^10)</f>
        <v>1432678157.2342837</v>
      </c>
      <c r="M12" s="46">
        <f>'🏠 Mortgage vs Cash'!C7*((1+'🏠 Mortgage vs Cash'!C15)^11)</f>
        <v>1518638846.6683409</v>
      </c>
      <c r="N12" s="46">
        <f>'🏠 Mortgage vs Cash'!C7*((1+'🏠 Mortgage vs Cash'!C15)^12)</f>
        <v>1609757177.4684415</v>
      </c>
      <c r="O12" s="46">
        <f>'🏠 Mortgage vs Cash'!C7*((1+'🏠 Mortgage vs Cash'!C15)^13)</f>
        <v>1706342608.1165481</v>
      </c>
      <c r="P12" s="46">
        <f>'🏠 Mortgage vs Cash'!C7*((1+'🏠 Mortgage vs Cash'!C15)^14)</f>
        <v>1808723164.6035409</v>
      </c>
      <c r="Q12" s="46">
        <f>'🏠 Mortgage vs Cash'!C7*((1+'🏠 Mortgage vs Cash'!C15)^15)</f>
        <v>1917246554.479754</v>
      </c>
      <c r="R12" s="41">
        <f>Q12</f>
        <v>1917246554.479754</v>
      </c>
    </row>
    <row r="13" spans="2:18" ht="21.75" customHeight="1" x14ac:dyDescent="0.35">
      <c r="B13" s="5" t="s">
        <v>103</v>
      </c>
      <c r="C13" s="43">
        <f>IFERROR(IF(1&gt;='🏠 Mortgage vs Cash'!G9,0,PV('🏠 Mortgage vs Cash'!G8/12,('🏠 Mortgage vs Cash'!G9-1)*12,-'🏠 Mortgage vs Cash'!G13)),0)</f>
        <v>553392900.35168755</v>
      </c>
      <c r="D13" s="43">
        <f>IFERROR(IF(2&gt;='🏠 Mortgage vs Cash'!G9,0,PV('🏠 Mortgage vs Cash'!G8/12,('🏠 Mortgage vs Cash'!G9-2)*12,-'🏠 Mortgage vs Cash'!G13)),0)</f>
        <v>545336261.94345486</v>
      </c>
      <c r="E13" s="43">
        <f>IFERROR(IF(3&gt;='🏠 Mortgage vs Cash'!G9,0,PV('🏠 Mortgage vs Cash'!G8/12,('🏠 Mortgage vs Cash'!G9-3)*12,-'🏠 Mortgage vs Cash'!G13)),0)</f>
        <v>535512068.89415103</v>
      </c>
      <c r="F13" s="43">
        <f>IFERROR(IF(4&gt;='🏠 Mortgage vs Cash'!G9,0,PV('🏠 Mortgage vs Cash'!G8/12,('🏠 Mortgage vs Cash'!G9-4)*12,-'🏠 Mortgage vs Cash'!G13)),0)</f>
        <v>523532535.4734419</v>
      </c>
      <c r="G13" s="43">
        <f>IFERROR(IF(5&gt;='🏠 Mortgage vs Cash'!G9,0,PV('🏠 Mortgage vs Cash'!G8/12,('🏠 Mortgage vs Cash'!G9-5)*12,-'🏠 Mortgage vs Cash'!G13)),0)</f>
        <v>508924799.21890497</v>
      </c>
      <c r="H13" s="43">
        <f>IFERROR(IF(6&gt;='🏠 Mortgage vs Cash'!G9,0,PV('🏠 Mortgage vs Cash'!G8/12,('🏠 Mortgage vs Cash'!G9-6)*12,-'🏠 Mortgage vs Cash'!G13)),0)</f>
        <v>491112255.85947561</v>
      </c>
      <c r="I13" s="43">
        <f>IFERROR(IF(7&gt;='🏠 Mortgage vs Cash'!G9,0,PV('🏠 Mortgage vs Cash'!G8/12,('🏠 Mortgage vs Cash'!G9-7)*12,-'🏠 Mortgage vs Cash'!G13)),0)</f>
        <v>469391799.28749967</v>
      </c>
      <c r="J13" s="43">
        <f>IFERROR(IF(8&gt;='🏠 Mortgage vs Cash'!G9,0,PV('🏠 Mortgage vs Cash'!G8/12,('🏠 Mortgage vs Cash'!G9-8)*12,-'🏠 Mortgage vs Cash'!G13)),0)</f>
        <v>442906068.18356085</v>
      </c>
      <c r="K13" s="43">
        <f>IFERROR(IF(9&gt;='🏠 Mortgage vs Cash'!G9,0,PV('🏠 Mortgage vs Cash'!G8/12,('🏠 Mortgage vs Cash'!G9-9)*12,-'🏠 Mortgage vs Cash'!G13)),0)</f>
        <v>410609603.79822063</v>
      </c>
      <c r="L13" s="43">
        <f>IFERROR(IF(10&gt;='🏠 Mortgage vs Cash'!G9,0,PV('🏠 Mortgage vs Cash'!G8/12,('🏠 Mortgage vs Cash'!G9-10)*12,-'🏠 Mortgage vs Cash'!G13)),0)</f>
        <v>371227583.05277759</v>
      </c>
      <c r="M13" s="43">
        <f>IFERROR(IF(11&gt;='🏠 Mortgage vs Cash'!G9,0,PV('🏠 Mortgage vs Cash'!G8/12,('🏠 Mortgage vs Cash'!G9-11)*12,-'🏠 Mortgage vs Cash'!G13)),0)</f>
        <v>323205498.0502314</v>
      </c>
      <c r="N13" s="43">
        <f>IFERROR(IF(12&gt;='🏠 Mortgage vs Cash'!G9,0,PV('🏠 Mortgage vs Cash'!G8/12,('🏠 Mortgage vs Cash'!G9-12)*12,-'🏠 Mortgage vs Cash'!G13)),0)</f>
        <v>264647795.7195653</v>
      </c>
      <c r="O13" s="43">
        <f>IFERROR(IF(13&gt;='🏠 Mortgage vs Cash'!G9,0,PV('🏠 Mortgage vs Cash'!G8/12,('🏠 Mortgage vs Cash'!G9-13)*12,-'🏠 Mortgage vs Cash'!G13)),0)</f>
        <v>193243055.5450168</v>
      </c>
      <c r="P13" s="43">
        <f>IFERROR(IF(14&gt;='🏠 Mortgage vs Cash'!G9,0,PV('🏠 Mortgage vs Cash'!G8/12,('🏠 Mortgage vs Cash'!G9-14)*12,-'🏠 Mortgage vs Cash'!G13)),0)</f>
        <v>106172751.95619784</v>
      </c>
      <c r="Q13" s="43">
        <f>IFERROR(IF(15&gt;='🏠 Mortgage vs Cash'!G9,0,PV('🏠 Mortgage vs Cash'!G8/12,('🏠 Mortgage vs Cash'!G9-15)*12,-'🏠 Mortgage vs Cash'!G13)),0)</f>
        <v>0</v>
      </c>
      <c r="R13" s="41">
        <f>Q13</f>
        <v>0</v>
      </c>
    </row>
    <row r="14" spans="2:18" ht="21.75" customHeight="1" x14ac:dyDescent="0.35">
      <c r="B14" s="44" t="s">
        <v>104</v>
      </c>
      <c r="C14" s="47">
        <f>'🏠 Mortgage vs Cash'!C7*((1+'🏠 Mortgage vs Cash'!C15)^1)-IFERROR(IF(1&gt;='🏠 Mortgage vs Cash'!G9,0,PV('🏠 Mortgage vs Cash'!G8/12,('🏠 Mortgage vs Cash'!G9-1)*12,-'🏠 Mortgage vs Cash'!G13)),0)</f>
        <v>294607099.64831245</v>
      </c>
      <c r="D14" s="47">
        <f>'🏠 Mortgage vs Cash'!C7*((1+'🏠 Mortgage vs Cash'!C15)^2)-IFERROR(IF(2&gt;='🏠 Mortgage vs Cash'!G9,0,PV('🏠 Mortgage vs Cash'!G8/12,('🏠 Mortgage vs Cash'!G9-2)*12,-'🏠 Mortgage vs Cash'!G13)),0)</f>
        <v>353543738.05654526</v>
      </c>
      <c r="E14" s="47">
        <f>'🏠 Mortgage vs Cash'!C7*((1+'🏠 Mortgage vs Cash'!C15)^3)-IFERROR(IF(3&gt;='🏠 Mortgage vs Cash'!G9,0,PV('🏠 Mortgage vs Cash'!G8/12,('🏠 Mortgage vs Cash'!G9-3)*12,-'🏠 Mortgage vs Cash'!G13)),0)</f>
        <v>417300731.10584921</v>
      </c>
      <c r="F14" s="47">
        <f>'🏠 Mortgage vs Cash'!C7*((1+'🏠 Mortgage vs Cash'!C15)^4)-IFERROR(IF(4&gt;='🏠 Mortgage vs Cash'!G9,0,PV('🏠 Mortgage vs Cash'!G8/12,('🏠 Mortgage vs Cash'!G9-4)*12,-'🏠 Mortgage vs Cash'!G13)),0)</f>
        <v>486449032.52655834</v>
      </c>
      <c r="G14" s="47">
        <f>'🏠 Mortgage vs Cash'!C7*((1+'🏠 Mortgage vs Cash'!C15)^5)-IFERROR(IF(5&gt;='🏠 Mortgage vs Cash'!G9,0,PV('🏠 Mortgage vs Cash'!G8/12,('🏠 Mortgage vs Cash'!G9-5)*12,-'🏠 Mortgage vs Cash'!G13)),0)</f>
        <v>561655662.86109543</v>
      </c>
      <c r="H14" s="47">
        <f>'🏠 Mortgage vs Cash'!C7*((1+'🏠 Mortgage vs Cash'!C15)^6)-IFERROR(IF(6&gt;='🏠 Mortgage vs Cash'!G9,0,PV('🏠 Mortgage vs Cash'!G8/12,('🏠 Mortgage vs Cash'!G9-6)*12,-'🏠 Mortgage vs Cash'!G13)),0)</f>
        <v>643703033.9453249</v>
      </c>
      <c r="I14" s="47">
        <f>'🏠 Mortgage vs Cash'!C7*((1+'🏠 Mortgage vs Cash'!C15)^7)-IFERROR(IF(7&gt;='🏠 Mortgage vs Cash'!G9,0,PV('🏠 Mortgage vs Cash'!G8/12,('🏠 Mortgage vs Cash'!G9-7)*12,-'🏠 Mortgage vs Cash'!G13)),0)</f>
        <v>733512407.9055891</v>
      </c>
      <c r="J14" s="47">
        <f>'🏠 Mortgage vs Cash'!C7*((1+'🏠 Mortgage vs Cash'!C15)^8)-IFERROR(IF(8&gt;='🏠 Mortgage vs Cash'!G9,0,PV('🏠 Mortgage vs Cash'!G8/12,('🏠 Mortgage vs Cash'!G9-8)*12,-'🏠 Mortgage vs Cash'!G13)),0)</f>
        <v>832172391.441113</v>
      </c>
      <c r="K14" s="47">
        <f>'🏠 Mortgage vs Cash'!C7*((1+'🏠 Mortgage vs Cash'!C15)^9)-IFERROR(IF(9&gt;='🏠 Mortgage vs Cash'!G9,0,PV('🏠 Mortgage vs Cash'!G8/12,('🏠 Mortgage vs Cash'!G9-9)*12,-'🏠 Mortgage vs Cash'!G13)),0)</f>
        <v>940973563.40393353</v>
      </c>
      <c r="L14" s="47">
        <f>'🏠 Mortgage vs Cash'!C7*((1+'🏠 Mortgage vs Cash'!C15)^10)-IFERROR(IF(10&gt;='🏠 Mortgage vs Cash'!G9,0,PV('🏠 Mortgage vs Cash'!G8/12,('🏠 Mortgage vs Cash'!G9-10)*12,-'🏠 Mortgage vs Cash'!G13)),0)</f>
        <v>1061450574.1815062</v>
      </c>
      <c r="M14" s="47">
        <f>'🏠 Mortgage vs Cash'!C7*((1+'🏠 Mortgage vs Cash'!C15)^11)-IFERROR(IF(11&gt;='🏠 Mortgage vs Cash'!G9,0,PV('🏠 Mortgage vs Cash'!G8/12,('🏠 Mortgage vs Cash'!G9-11)*12,-'🏠 Mortgage vs Cash'!G13)),0)</f>
        <v>1195433348.6181095</v>
      </c>
      <c r="N14" s="47">
        <f>'🏠 Mortgage vs Cash'!C7*((1+'🏠 Mortgage vs Cash'!C15)^12)-IFERROR(IF(12&gt;='🏠 Mortgage vs Cash'!G9,0,PV('🏠 Mortgage vs Cash'!G8/12,('🏠 Mortgage vs Cash'!G9-12)*12,-'🏠 Mortgage vs Cash'!G13)),0)</f>
        <v>1345109381.7488761</v>
      </c>
      <c r="O14" s="47">
        <f>'🏠 Mortgage vs Cash'!C7*((1+'🏠 Mortgage vs Cash'!C15)^13)-IFERROR(IF(13&gt;='🏠 Mortgage vs Cash'!G9,0,PV('🏠 Mortgage vs Cash'!G8/12,('🏠 Mortgage vs Cash'!G9-13)*12,-'🏠 Mortgage vs Cash'!G13)),0)</f>
        <v>1513099552.5715313</v>
      </c>
      <c r="P14" s="47">
        <f>'🏠 Mortgage vs Cash'!C7*((1+'🏠 Mortgage vs Cash'!C15)^14)-IFERROR(IF(14&gt;='🏠 Mortgage vs Cash'!G9,0,PV('🏠 Mortgage vs Cash'!G8/12,('🏠 Mortgage vs Cash'!G9-14)*12,-'🏠 Mortgage vs Cash'!G13)),0)</f>
        <v>1702550412.6473432</v>
      </c>
      <c r="Q14" s="47">
        <f>'🏠 Mortgage vs Cash'!C7*((1+'🏠 Mortgage vs Cash'!C15)^15)-IFERROR(IF(15&gt;='🏠 Mortgage vs Cash'!G9,0,PV('🏠 Mortgage vs Cash'!G8/12,('🏠 Mortgage vs Cash'!G9-15)*12,-'🏠 Mortgage vs Cash'!G13)),0)</f>
        <v>1917246554.479754</v>
      </c>
      <c r="R14" s="41">
        <f>Q14</f>
        <v>1917246554.479754</v>
      </c>
    </row>
    <row r="15" spans="2:18" ht="21.75" customHeight="1" x14ac:dyDescent="0.35">
      <c r="B15" s="48" t="s">
        <v>105</v>
      </c>
      <c r="C15" s="47">
        <f t="shared" ref="C15:Q15" si="1">C14+C11</f>
        <v>180663974.6419647</v>
      </c>
      <c r="D15" s="47">
        <f t="shared" si="1"/>
        <v>126041488.04384977</v>
      </c>
      <c r="E15" s="47">
        <f t="shared" si="1"/>
        <v>76649756.086805999</v>
      </c>
      <c r="F15" s="47">
        <f t="shared" si="1"/>
        <v>33087740.501167357</v>
      </c>
      <c r="G15" s="47">
        <f t="shared" si="1"/>
        <v>-3947830.2506432533</v>
      </c>
      <c r="H15" s="47">
        <f t="shared" si="1"/>
        <v>-33643039.515961528</v>
      </c>
      <c r="I15" s="47">
        <f t="shared" si="1"/>
        <v>-55043221.149973035</v>
      </c>
      <c r="J15" s="47">
        <f t="shared" si="1"/>
        <v>-67024357.314792037</v>
      </c>
      <c r="K15" s="47">
        <f t="shared" si="1"/>
        <v>-68258337.066751719</v>
      </c>
      <c r="L15" s="47">
        <f t="shared" si="1"/>
        <v>-57170736.910307884</v>
      </c>
      <c r="M15" s="47">
        <f t="shared" si="1"/>
        <v>-31889491.24933672</v>
      </c>
      <c r="N15" s="47">
        <f t="shared" si="1"/>
        <v>9817536.8886189461</v>
      </c>
      <c r="O15" s="47">
        <f t="shared" si="1"/>
        <v>70618510.449276686</v>
      </c>
      <c r="P15" s="47">
        <f t="shared" si="1"/>
        <v>153710055.44965076</v>
      </c>
      <c r="Q15" s="47">
        <f t="shared" si="1"/>
        <v>262929785.9344852</v>
      </c>
      <c r="R15" s="41">
        <f>Q15</f>
        <v>262929785.9344852</v>
      </c>
    </row>
    <row r="16" spans="2:18" ht="21.75" customHeight="1" x14ac:dyDescent="0.35">
      <c r="B16" s="49" t="s">
        <v>106</v>
      </c>
      <c r="C16" s="50"/>
      <c r="D16" s="50"/>
      <c r="E16" s="50"/>
      <c r="F16" s="50"/>
      <c r="G16" s="50"/>
      <c r="H16" s="50"/>
      <c r="I16" s="50"/>
      <c r="J16" s="50"/>
      <c r="K16" s="50"/>
      <c r="L16" s="50"/>
      <c r="M16" s="50"/>
      <c r="N16" s="50"/>
      <c r="O16" s="50"/>
      <c r="P16" s="50"/>
      <c r="Q16" s="50"/>
      <c r="R16" s="50"/>
    </row>
    <row r="17" spans="2:18" ht="21.75" customHeight="1" x14ac:dyDescent="0.35">
      <c r="B17" s="5" t="s">
        <v>98</v>
      </c>
      <c r="C17" s="40">
        <f>'🏠 Mortgage vs Cash'!C11*12*'🏠 Mortgage vs Cash'!C12*(1-'🏠 Mortgage vs Cash'!C13)*((1+'🏠 Mortgage vs Cash'!C16)^(1-1))</f>
        <v>22080000</v>
      </c>
      <c r="D17" s="40">
        <f>'🏠 Mortgage vs Cash'!C11*12*'🏠 Mortgage vs Cash'!C12*(1-'🏠 Mortgage vs Cash'!C13)*((1+'🏠 Mortgage vs Cash'!C16)^(2-1))</f>
        <v>23184000</v>
      </c>
      <c r="E17" s="40">
        <f>'🏠 Mortgage vs Cash'!C11*12*'🏠 Mortgage vs Cash'!C12*(1-'🏠 Mortgage vs Cash'!C13)*((1+'🏠 Mortgage vs Cash'!C16)^(3-1))</f>
        <v>24343200</v>
      </c>
      <c r="F17" s="40">
        <f>'🏠 Mortgage vs Cash'!C11*12*'🏠 Mortgage vs Cash'!C12*(1-'🏠 Mortgage vs Cash'!C13)*((1+'🏠 Mortgage vs Cash'!C16)^(4-1))</f>
        <v>25560360.000000004</v>
      </c>
      <c r="G17" s="40">
        <f>'🏠 Mortgage vs Cash'!C11*12*'🏠 Mortgage vs Cash'!C12*(1-'🏠 Mortgage vs Cash'!C13)*((1+'🏠 Mortgage vs Cash'!C16)^(5-1))</f>
        <v>26838378</v>
      </c>
      <c r="H17" s="40">
        <f>'🏠 Mortgage vs Cash'!C11*12*'🏠 Mortgage vs Cash'!C12*(1-'🏠 Mortgage vs Cash'!C13)*((1+'🏠 Mortgage vs Cash'!C16)^(6-1))</f>
        <v>28180296.900000002</v>
      </c>
      <c r="I17" s="40">
        <f>'🏠 Mortgage vs Cash'!C11*12*'🏠 Mortgage vs Cash'!C12*(1-'🏠 Mortgage vs Cash'!C13)*((1+'🏠 Mortgage vs Cash'!C16)^(7-1))</f>
        <v>29589311.745000001</v>
      </c>
      <c r="J17" s="40">
        <f>'🏠 Mortgage vs Cash'!C11*12*'🏠 Mortgage vs Cash'!C12*(1-'🏠 Mortgage vs Cash'!C13)*((1+'🏠 Mortgage vs Cash'!C16)^(8-1))</f>
        <v>31068777.332250006</v>
      </c>
      <c r="K17" s="40">
        <f>'🏠 Mortgage vs Cash'!C11*12*'🏠 Mortgage vs Cash'!C12*(1-'🏠 Mortgage vs Cash'!C13)*((1+'🏠 Mortgage vs Cash'!C16)^(9-1))</f>
        <v>32622216.1988625</v>
      </c>
      <c r="L17" s="40">
        <f>'🏠 Mortgage vs Cash'!C11*12*'🏠 Mortgage vs Cash'!C12*(1-'🏠 Mortgage vs Cash'!C13)*((1+'🏠 Mortgage vs Cash'!C16)^(10-1))</f>
        <v>34253327.008805625</v>
      </c>
      <c r="M17" s="40">
        <f>'🏠 Mortgage vs Cash'!C11*12*'🏠 Mortgage vs Cash'!C12*(1-'🏠 Mortgage vs Cash'!C13)*((1+'🏠 Mortgage vs Cash'!C16)^(11-1))</f>
        <v>35965993.359245911</v>
      </c>
      <c r="N17" s="40">
        <f>'🏠 Mortgage vs Cash'!C11*12*'🏠 Mortgage vs Cash'!C12*(1-'🏠 Mortgage vs Cash'!C13)*((1+'🏠 Mortgage vs Cash'!C16)^(12-1))</f>
        <v>37764293.027208209</v>
      </c>
      <c r="O17" s="40">
        <f>'🏠 Mortgage vs Cash'!C11*12*'🏠 Mortgage vs Cash'!C12*(1-'🏠 Mortgage vs Cash'!C13)*((1+'🏠 Mortgage vs Cash'!C16)^(13-1))</f>
        <v>39652507.678568609</v>
      </c>
      <c r="P17" s="40">
        <f>'🏠 Mortgage vs Cash'!C11*12*'🏠 Mortgage vs Cash'!C12*(1-'🏠 Mortgage vs Cash'!C13)*((1+'🏠 Mortgage vs Cash'!C16)^(14-1))</f>
        <v>41635133.06249705</v>
      </c>
      <c r="Q17" s="40">
        <f>'🏠 Mortgage vs Cash'!C11*12*'🏠 Mortgage vs Cash'!C12*(1-'🏠 Mortgage vs Cash'!C13)*((1+'🏠 Mortgage vs Cash'!C16)^(15-1))</f>
        <v>43716889.715621896</v>
      </c>
      <c r="R17" s="41">
        <f>SUM(C17:Q17)</f>
        <v>476454684.02805978</v>
      </c>
    </row>
    <row r="18" spans="2:18" ht="21.75" customHeight="1" x14ac:dyDescent="0.35">
      <c r="B18" s="10" t="s">
        <v>50</v>
      </c>
      <c r="C18" s="42">
        <f>'🏠 Mortgage vs Cash'!C14*(1.04^(1-1))</f>
        <v>18000000</v>
      </c>
      <c r="D18" s="42">
        <f>'🏠 Mortgage vs Cash'!C14*(1.04^(2-1))</f>
        <v>18720000</v>
      </c>
      <c r="E18" s="42">
        <f>'🏠 Mortgage vs Cash'!C14*(1.04^(3-1))</f>
        <v>19468800.000000004</v>
      </c>
      <c r="F18" s="42">
        <f>'🏠 Mortgage vs Cash'!C14*(1.04^(4-1))</f>
        <v>20247552</v>
      </c>
      <c r="G18" s="42">
        <f>'🏠 Mortgage vs Cash'!C14*(1.04^(5-1))</f>
        <v>21057454.080000006</v>
      </c>
      <c r="H18" s="42">
        <f>'🏠 Mortgage vs Cash'!C14*(1.04^(6-1))</f>
        <v>21899752.243200008</v>
      </c>
      <c r="I18" s="42">
        <f>'🏠 Mortgage vs Cash'!C14*(1.04^(7-1))</f>
        <v>22775742.332928006</v>
      </c>
      <c r="J18" s="42">
        <f>'🏠 Mortgage vs Cash'!C14*(1.04^(8-1))</f>
        <v>23686772.026245125</v>
      </c>
      <c r="K18" s="42">
        <f>'🏠 Mortgage vs Cash'!C14*(1.04^(9-1))</f>
        <v>24634242.907294933</v>
      </c>
      <c r="L18" s="42">
        <f>'🏠 Mortgage vs Cash'!C14*(1.04^(10-1))</f>
        <v>25619612.623586733</v>
      </c>
      <c r="M18" s="42">
        <f>'🏠 Mortgage vs Cash'!C14*(1.04^(11-1))</f>
        <v>26644397.128530204</v>
      </c>
      <c r="N18" s="42">
        <f>'🏠 Mortgage vs Cash'!C14*(1.04^(12-1))</f>
        <v>27710173.013671409</v>
      </c>
      <c r="O18" s="42">
        <f>'🏠 Mortgage vs Cash'!C14*(1.04^(13-1))</f>
        <v>28818579.934218273</v>
      </c>
      <c r="P18" s="42">
        <f>'🏠 Mortgage vs Cash'!C14*(1.04^(14-1))</f>
        <v>29971323.131587002</v>
      </c>
      <c r="Q18" s="42">
        <f>'🏠 Mortgage vs Cash'!C14*(1.04^(15-1))</f>
        <v>31170176.056850482</v>
      </c>
      <c r="R18" s="41">
        <f>SUM(C18:Q18)</f>
        <v>360424577.47811222</v>
      </c>
    </row>
    <row r="19" spans="2:18" ht="21.75" customHeight="1" x14ac:dyDescent="0.35">
      <c r="B19" s="48" t="s">
        <v>107</v>
      </c>
      <c r="C19" s="45">
        <f>'🏠 Mortgage vs Cash'!C11*12*'🏠 Mortgage vs Cash'!C12*(1-'🏠 Mortgage vs Cash'!C13)*((1+'🏠 Mortgage vs Cash'!C16)^(1-1))-'🏠 Mortgage vs Cash'!C14*(1.04^(1-1))</f>
        <v>4080000</v>
      </c>
      <c r="D19" s="45">
        <f>'🏠 Mortgage vs Cash'!C11*12*'🏠 Mortgage vs Cash'!C12*(1-'🏠 Mortgage vs Cash'!C13)*((1+'🏠 Mortgage vs Cash'!C16)^(2-1))-'🏠 Mortgage vs Cash'!C14*(1.04^(2-1))</f>
        <v>4464000</v>
      </c>
      <c r="E19" s="45">
        <f>'🏠 Mortgage vs Cash'!C11*12*'🏠 Mortgage vs Cash'!C12*(1-'🏠 Mortgage vs Cash'!C13)*((1+'🏠 Mortgage vs Cash'!C16)^(3-1))-'🏠 Mortgage vs Cash'!C14*(1.04^(3-1))</f>
        <v>4874399.9999999963</v>
      </c>
      <c r="F19" s="45">
        <f>'🏠 Mortgage vs Cash'!C11*12*'🏠 Mortgage vs Cash'!C12*(1-'🏠 Mortgage vs Cash'!C13)*((1+'🏠 Mortgage vs Cash'!C16)^(4-1))-'🏠 Mortgage vs Cash'!C14*(1.04^(4-1))</f>
        <v>5312808.0000000037</v>
      </c>
      <c r="G19" s="45">
        <f>'🏠 Mortgage vs Cash'!C11*12*'🏠 Mortgage vs Cash'!C12*(1-'🏠 Mortgage vs Cash'!C13)*((1+'🏠 Mortgage vs Cash'!C16)^(5-1))-'🏠 Mortgage vs Cash'!C14*(1.04^(5-1))</f>
        <v>5780923.9199999943</v>
      </c>
      <c r="H19" s="45">
        <f>'🏠 Mortgage vs Cash'!C11*12*'🏠 Mortgage vs Cash'!C12*(1-'🏠 Mortgage vs Cash'!C13)*((1+'🏠 Mortgage vs Cash'!C16)^(6-1))-'🏠 Mortgage vs Cash'!C14*(1.04^(6-1))</f>
        <v>6280544.6567999944</v>
      </c>
      <c r="I19" s="45">
        <f>'🏠 Mortgage vs Cash'!C11*12*'🏠 Mortgage vs Cash'!C12*(1-'🏠 Mortgage vs Cash'!C13)*((1+'🏠 Mortgage vs Cash'!C16)^(7-1))-'🏠 Mortgage vs Cash'!C14*(1.04^(7-1))</f>
        <v>6813569.4120719954</v>
      </c>
      <c r="J19" s="45">
        <f>'🏠 Mortgage vs Cash'!C11*12*'🏠 Mortgage vs Cash'!C12*(1-'🏠 Mortgage vs Cash'!C13)*((1+'🏠 Mortgage vs Cash'!C16)^(8-1))-'🏠 Mortgage vs Cash'!C14*(1.04^(8-1))</f>
        <v>7382005.3060048819</v>
      </c>
      <c r="K19" s="45">
        <f>'🏠 Mortgage vs Cash'!C11*12*'🏠 Mortgage vs Cash'!C12*(1-'🏠 Mortgage vs Cash'!C13)*((1+'🏠 Mortgage vs Cash'!C16)^(9-1))-'🏠 Mortgage vs Cash'!C14*(1.04^(9-1))</f>
        <v>7987973.2915675677</v>
      </c>
      <c r="L19" s="45">
        <f>'🏠 Mortgage vs Cash'!C11*12*'🏠 Mortgage vs Cash'!C12*(1-'🏠 Mortgage vs Cash'!C13)*((1+'🏠 Mortgage vs Cash'!C16)^(10-1))-'🏠 Mortgage vs Cash'!C14*(1.04^(10-1))</f>
        <v>8633714.3852188922</v>
      </c>
      <c r="M19" s="45">
        <f>'🏠 Mortgage vs Cash'!C11*12*'🏠 Mortgage vs Cash'!C12*(1-'🏠 Mortgage vs Cash'!C13)*((1+'🏠 Mortgage vs Cash'!C16)^(11-1))-'🏠 Mortgage vs Cash'!C14*(1.04^(11-1))</f>
        <v>9321596.2307157069</v>
      </c>
      <c r="N19" s="45">
        <f>'🏠 Mortgage vs Cash'!C11*12*'🏠 Mortgage vs Cash'!C12*(1-'🏠 Mortgage vs Cash'!C13)*((1+'🏠 Mortgage vs Cash'!C16)^(12-1))-'🏠 Mortgage vs Cash'!C14*(1.04^(12-1))</f>
        <v>10054120.0135368</v>
      </c>
      <c r="O19" s="45">
        <f>'🏠 Mortgage vs Cash'!C11*12*'🏠 Mortgage vs Cash'!C12*(1-'🏠 Mortgage vs Cash'!C13)*((1+'🏠 Mortgage vs Cash'!C16)^(13-1))-'🏠 Mortgage vs Cash'!C14*(1.04^(13-1))</f>
        <v>10833927.744350336</v>
      </c>
      <c r="P19" s="45">
        <f>'🏠 Mortgage vs Cash'!C11*12*'🏠 Mortgage vs Cash'!C12*(1-'🏠 Mortgage vs Cash'!C13)*((1+'🏠 Mortgage vs Cash'!C16)^(14-1))-'🏠 Mortgage vs Cash'!C14*(1.04^(14-1))</f>
        <v>11663809.930910047</v>
      </c>
      <c r="Q19" s="45">
        <f>'🏠 Mortgage vs Cash'!C11*12*'🏠 Mortgage vs Cash'!C12*(1-'🏠 Mortgage vs Cash'!C13)*((1+'🏠 Mortgage vs Cash'!C16)^(15-1))-'🏠 Mortgage vs Cash'!C14*(1.04^(15-1))</f>
        <v>12546713.658771414</v>
      </c>
      <c r="R19" s="41">
        <f>SUM(C19:Q19)</f>
        <v>116030106.54994763</v>
      </c>
    </row>
    <row r="20" spans="2:18" ht="21.75" customHeight="1" x14ac:dyDescent="0.35">
      <c r="B20" s="10" t="s">
        <v>108</v>
      </c>
      <c r="C20" s="40">
        <f>C19</f>
        <v>4080000</v>
      </c>
      <c r="D20" s="40">
        <f t="shared" ref="D20:Q20" si="2">C20+D19</f>
        <v>8544000</v>
      </c>
      <c r="E20" s="40">
        <f t="shared" si="2"/>
        <v>13418399.999999996</v>
      </c>
      <c r="F20" s="40">
        <f t="shared" si="2"/>
        <v>18731208</v>
      </c>
      <c r="G20" s="40">
        <f t="shared" si="2"/>
        <v>24512131.919999994</v>
      </c>
      <c r="H20" s="40">
        <f t="shared" si="2"/>
        <v>30792676.576799989</v>
      </c>
      <c r="I20" s="40">
        <f t="shared" si="2"/>
        <v>37606245.988871984</v>
      </c>
      <c r="J20" s="40">
        <f t="shared" si="2"/>
        <v>44988251.294876866</v>
      </c>
      <c r="K20" s="40">
        <f t="shared" si="2"/>
        <v>52976224.586444438</v>
      </c>
      <c r="L20" s="40">
        <f t="shared" si="2"/>
        <v>61609938.971663326</v>
      </c>
      <c r="M20" s="40">
        <f t="shared" si="2"/>
        <v>70931535.202379033</v>
      </c>
      <c r="N20" s="40">
        <f t="shared" si="2"/>
        <v>80985655.215915829</v>
      </c>
      <c r="O20" s="40">
        <f t="shared" si="2"/>
        <v>91819582.960266173</v>
      </c>
      <c r="P20" s="40">
        <f t="shared" si="2"/>
        <v>103483392.89117622</v>
      </c>
      <c r="Q20" s="40">
        <f t="shared" si="2"/>
        <v>116030106.54994763</v>
      </c>
      <c r="R20" s="41">
        <f>Q20</f>
        <v>116030106.54994763</v>
      </c>
    </row>
    <row r="21" spans="2:18" ht="21.75" customHeight="1" x14ac:dyDescent="0.35">
      <c r="B21" s="5" t="s">
        <v>109</v>
      </c>
      <c r="C21" s="51">
        <f>'🏠 Mortgage vs Cash'!L7*'🏠 Mortgage vs Cash'!L14*1</f>
        <v>66880000</v>
      </c>
      <c r="D21" s="51">
        <f>'🏠 Mortgage vs Cash'!L7*'🏠 Mortgage vs Cash'!L14*2</f>
        <v>133760000</v>
      </c>
      <c r="E21" s="51">
        <f>'🏠 Mortgage vs Cash'!L7*'🏠 Mortgage vs Cash'!L14*3</f>
        <v>200640000</v>
      </c>
      <c r="F21" s="51">
        <f>'🏠 Mortgage vs Cash'!L7*'🏠 Mortgage vs Cash'!L14*4</f>
        <v>267520000</v>
      </c>
      <c r="G21" s="51">
        <f>'🏠 Mortgage vs Cash'!L7*'🏠 Mortgage vs Cash'!L14*5</f>
        <v>334400000</v>
      </c>
      <c r="H21" s="51">
        <f>'🏠 Mortgage vs Cash'!L7*'🏠 Mortgage vs Cash'!L14*6</f>
        <v>401280000</v>
      </c>
      <c r="I21" s="51">
        <f>'🏠 Mortgage vs Cash'!L7*'🏠 Mortgage vs Cash'!L14*7</f>
        <v>468160000</v>
      </c>
      <c r="J21" s="51">
        <f>'🏠 Mortgage vs Cash'!L7*'🏠 Mortgage vs Cash'!L14*8</f>
        <v>535040000</v>
      </c>
      <c r="K21" s="51">
        <f>'🏠 Mortgage vs Cash'!L7*'🏠 Mortgage vs Cash'!L14*9</f>
        <v>601920000</v>
      </c>
      <c r="L21" s="51">
        <f>'🏠 Mortgage vs Cash'!L7*'🏠 Mortgage vs Cash'!L14*10</f>
        <v>668800000</v>
      </c>
      <c r="M21" s="51">
        <f>'🏠 Mortgage vs Cash'!L7*'🏠 Mortgage vs Cash'!L14*11</f>
        <v>735680000</v>
      </c>
      <c r="N21" s="51">
        <f>'🏠 Mortgage vs Cash'!L7*'🏠 Mortgage vs Cash'!L14*12</f>
        <v>802560000</v>
      </c>
      <c r="O21" s="51">
        <f>'🏠 Mortgage vs Cash'!L7*'🏠 Mortgage vs Cash'!L14*13</f>
        <v>869440000</v>
      </c>
      <c r="P21" s="51">
        <f>'🏠 Mortgage vs Cash'!L7*'🏠 Mortgage vs Cash'!L14*14</f>
        <v>936320000</v>
      </c>
      <c r="Q21" s="51">
        <f>'🏠 Mortgage vs Cash'!L7*'🏠 Mortgage vs Cash'!L14*15</f>
        <v>1003200000</v>
      </c>
      <c r="R21" s="41">
        <f>Q21</f>
        <v>1003200000</v>
      </c>
    </row>
    <row r="22" spans="2:18" ht="21.75" customHeight="1" x14ac:dyDescent="0.35">
      <c r="B22" s="10" t="s">
        <v>102</v>
      </c>
      <c r="C22" s="46">
        <f>'🏠 Mortgage vs Cash'!C7*((1+'🏠 Mortgage vs Cash'!C15)^1)</f>
        <v>848000000</v>
      </c>
      <c r="D22" s="46">
        <f>'🏠 Mortgage vs Cash'!C7*((1+'🏠 Mortgage vs Cash'!C15)^2)</f>
        <v>898880000.00000012</v>
      </c>
      <c r="E22" s="46">
        <f>'🏠 Mortgage vs Cash'!C7*((1+'🏠 Mortgage vs Cash'!C15)^3)</f>
        <v>952812800.00000024</v>
      </c>
      <c r="F22" s="46">
        <f>'🏠 Mortgage vs Cash'!C7*((1+'🏠 Mortgage vs Cash'!C15)^4)</f>
        <v>1009981568.0000002</v>
      </c>
      <c r="G22" s="46">
        <f>'🏠 Mortgage vs Cash'!C7*((1+'🏠 Mortgage vs Cash'!C15)^5)</f>
        <v>1070580462.0800004</v>
      </c>
      <c r="H22" s="46">
        <f>'🏠 Mortgage vs Cash'!C7*((1+'🏠 Mortgage vs Cash'!C15)^6)</f>
        <v>1134815289.8048005</v>
      </c>
      <c r="I22" s="46">
        <f>'🏠 Mortgage vs Cash'!C7*((1+'🏠 Mortgage vs Cash'!C15)^7)</f>
        <v>1202904207.1930888</v>
      </c>
      <c r="J22" s="46">
        <f>'🏠 Mortgage vs Cash'!C7*((1+'🏠 Mortgage vs Cash'!C15)^8)</f>
        <v>1275078459.6246738</v>
      </c>
      <c r="K22" s="46">
        <f>'🏠 Mortgage vs Cash'!C7*((1+'🏠 Mortgage vs Cash'!C15)^9)</f>
        <v>1351583167.2021542</v>
      </c>
      <c r="L22" s="46">
        <f>'🏠 Mortgage vs Cash'!C7*((1+'🏠 Mortgage vs Cash'!C15)^10)</f>
        <v>1432678157.2342837</v>
      </c>
      <c r="M22" s="46">
        <f>'🏠 Mortgage vs Cash'!C7*((1+'🏠 Mortgage vs Cash'!C15)^11)</f>
        <v>1518638846.6683409</v>
      </c>
      <c r="N22" s="46">
        <f>'🏠 Mortgage vs Cash'!C7*((1+'🏠 Mortgage vs Cash'!C15)^12)</f>
        <v>1609757177.4684415</v>
      </c>
      <c r="O22" s="46">
        <f>'🏠 Mortgage vs Cash'!C7*((1+'🏠 Mortgage vs Cash'!C15)^13)</f>
        <v>1706342608.1165481</v>
      </c>
      <c r="P22" s="46">
        <f>'🏠 Mortgage vs Cash'!C7*((1+'🏠 Mortgage vs Cash'!C15)^14)</f>
        <v>1808723164.6035409</v>
      </c>
      <c r="Q22" s="46">
        <f>'🏠 Mortgage vs Cash'!C7*((1+'🏠 Mortgage vs Cash'!C15)^15)</f>
        <v>1917246554.479754</v>
      </c>
      <c r="R22" s="41">
        <f>Q22</f>
        <v>1917246554.479754</v>
      </c>
    </row>
    <row r="23" spans="2:18" ht="21.75" customHeight="1" x14ac:dyDescent="0.35">
      <c r="B23" s="5" t="s">
        <v>110</v>
      </c>
      <c r="C23" s="52">
        <f>'🏠 Mortgage vs Cash'!C7*((1+'🏠 Mortgage vs Cash'!C15)^1)</f>
        <v>848000000</v>
      </c>
      <c r="D23" s="52">
        <f>'🏠 Mortgage vs Cash'!C7*((1+'🏠 Mortgage vs Cash'!C15)^2)</f>
        <v>898880000.00000012</v>
      </c>
      <c r="E23" s="52">
        <f>'🏠 Mortgage vs Cash'!C7*((1+'🏠 Mortgage vs Cash'!C15)^3)</f>
        <v>952812800.00000024</v>
      </c>
      <c r="F23" s="52">
        <f>'🏠 Mortgage vs Cash'!C7*((1+'🏠 Mortgage vs Cash'!C15)^4)</f>
        <v>1009981568.0000002</v>
      </c>
      <c r="G23" s="52">
        <f>'🏠 Mortgage vs Cash'!C7*((1+'🏠 Mortgage vs Cash'!C15)^5)</f>
        <v>1070580462.0800004</v>
      </c>
      <c r="H23" s="52">
        <f>'🏠 Mortgage vs Cash'!C7*((1+'🏠 Mortgage vs Cash'!C15)^6)</f>
        <v>1134815289.8048005</v>
      </c>
      <c r="I23" s="52">
        <f>'🏠 Mortgage vs Cash'!C7*((1+'🏠 Mortgage vs Cash'!C15)^7)</f>
        <v>1202904207.1930888</v>
      </c>
      <c r="J23" s="52">
        <f>'🏠 Mortgage vs Cash'!C7*((1+'🏠 Mortgage vs Cash'!C15)^8)</f>
        <v>1275078459.6246738</v>
      </c>
      <c r="K23" s="52">
        <f>'🏠 Mortgage vs Cash'!C7*((1+'🏠 Mortgage vs Cash'!C15)^9)</f>
        <v>1351583167.2021542</v>
      </c>
      <c r="L23" s="52">
        <f>'🏠 Mortgage vs Cash'!C7*((1+'🏠 Mortgage vs Cash'!C15)^10)</f>
        <v>1432678157.2342837</v>
      </c>
      <c r="M23" s="52">
        <f>'🏠 Mortgage vs Cash'!C7*((1+'🏠 Mortgage vs Cash'!C15)^11)</f>
        <v>1518638846.6683409</v>
      </c>
      <c r="N23" s="52">
        <f>'🏠 Mortgage vs Cash'!C7*((1+'🏠 Mortgage vs Cash'!C15)^12)</f>
        <v>1609757177.4684415</v>
      </c>
      <c r="O23" s="52">
        <f>'🏠 Mortgage vs Cash'!C7*((1+'🏠 Mortgage vs Cash'!C15)^13)</f>
        <v>1706342608.1165481</v>
      </c>
      <c r="P23" s="52">
        <f>'🏠 Mortgage vs Cash'!C7*((1+'🏠 Mortgage vs Cash'!C15)^14)</f>
        <v>1808723164.6035409</v>
      </c>
      <c r="Q23" s="52">
        <f>'🏠 Mortgage vs Cash'!C7*((1+'🏠 Mortgage vs Cash'!C15)^15)</f>
        <v>1917246554.479754</v>
      </c>
      <c r="R23" s="41">
        <f>Q23</f>
        <v>1917246554.479754</v>
      </c>
    </row>
    <row r="24" spans="2:18" ht="21.75" customHeight="1" x14ac:dyDescent="0.35">
      <c r="B24" s="44" t="s">
        <v>111</v>
      </c>
      <c r="C24" s="47">
        <f t="shared" ref="C24:Q24" si="3">C23+C20</f>
        <v>852080000</v>
      </c>
      <c r="D24" s="47">
        <f t="shared" si="3"/>
        <v>907424000.00000012</v>
      </c>
      <c r="E24" s="47">
        <f t="shared" si="3"/>
        <v>966231200.00000024</v>
      </c>
      <c r="F24" s="47">
        <f t="shared" si="3"/>
        <v>1028712776.0000002</v>
      </c>
      <c r="G24" s="47">
        <f t="shared" si="3"/>
        <v>1095092594.0000005</v>
      </c>
      <c r="H24" s="47">
        <f t="shared" si="3"/>
        <v>1165607966.3816004</v>
      </c>
      <c r="I24" s="47">
        <f t="shared" si="3"/>
        <v>1240510453.1819608</v>
      </c>
      <c r="J24" s="47">
        <f t="shared" si="3"/>
        <v>1320066710.9195507</v>
      </c>
      <c r="K24" s="47">
        <f t="shared" si="3"/>
        <v>1404559391.7885985</v>
      </c>
      <c r="L24" s="47">
        <f t="shared" si="3"/>
        <v>1494288096.2059469</v>
      </c>
      <c r="M24" s="47">
        <f t="shared" si="3"/>
        <v>1589570381.8707199</v>
      </c>
      <c r="N24" s="47">
        <f t="shared" si="3"/>
        <v>1690742832.6843574</v>
      </c>
      <c r="O24" s="47">
        <f t="shared" si="3"/>
        <v>1798162191.0768142</v>
      </c>
      <c r="P24" s="47">
        <f t="shared" si="3"/>
        <v>1912206557.4947171</v>
      </c>
      <c r="Q24" s="47">
        <f t="shared" si="3"/>
        <v>2033276661.0297017</v>
      </c>
      <c r="R24" s="41">
        <f>Q24</f>
        <v>2033276661.0297017</v>
      </c>
    </row>
    <row r="25" spans="2:18" ht="21.75" customHeight="1" x14ac:dyDescent="0.35">
      <c r="B25" s="53" t="s">
        <v>112</v>
      </c>
      <c r="C25" s="54"/>
      <c r="D25" s="54"/>
      <c r="E25" s="54"/>
      <c r="F25" s="54"/>
      <c r="G25" s="54"/>
      <c r="H25" s="54"/>
      <c r="I25" s="54"/>
      <c r="J25" s="54"/>
      <c r="K25" s="54"/>
      <c r="L25" s="54"/>
      <c r="M25" s="54"/>
      <c r="N25" s="54"/>
      <c r="O25" s="54"/>
      <c r="P25" s="54"/>
      <c r="Q25" s="54"/>
      <c r="R25" s="54"/>
    </row>
    <row r="26" spans="2:18" ht="21.75" customHeight="1" x14ac:dyDescent="0.35">
      <c r="B26" s="44" t="s">
        <v>113</v>
      </c>
      <c r="C26" s="55">
        <f t="shared" ref="C26:Q26" si="4">C15-C24</f>
        <v>-671416025.35803533</v>
      </c>
      <c r="D26" s="55">
        <f t="shared" si="4"/>
        <v>-781382511.95615029</v>
      </c>
      <c r="E26" s="55">
        <f t="shared" si="4"/>
        <v>-889581443.91319418</v>
      </c>
      <c r="F26" s="55">
        <f t="shared" si="4"/>
        <v>-995625035.49883294</v>
      </c>
      <c r="G26" s="55">
        <f t="shared" si="4"/>
        <v>-1099040424.2506437</v>
      </c>
      <c r="H26" s="55">
        <f t="shared" si="4"/>
        <v>-1199251005.897562</v>
      </c>
      <c r="I26" s="55">
        <f t="shared" si="4"/>
        <v>-1295553674.331934</v>
      </c>
      <c r="J26" s="55">
        <f t="shared" si="4"/>
        <v>-1387091068.2343426</v>
      </c>
      <c r="K26" s="55">
        <f t="shared" si="4"/>
        <v>-1472817728.8553503</v>
      </c>
      <c r="L26" s="55">
        <f t="shared" si="4"/>
        <v>-1551458833.1162548</v>
      </c>
      <c r="M26" s="55">
        <f t="shared" si="4"/>
        <v>-1621459873.1200566</v>
      </c>
      <c r="N26" s="55">
        <f t="shared" si="4"/>
        <v>-1680925295.7957385</v>
      </c>
      <c r="O26" s="55">
        <f t="shared" si="4"/>
        <v>-1727543680.6275375</v>
      </c>
      <c r="P26" s="55">
        <f t="shared" si="4"/>
        <v>-1758496502.0450664</v>
      </c>
      <c r="Q26" s="55">
        <f t="shared" si="4"/>
        <v>-1770346875.0952165</v>
      </c>
      <c r="R26" s="41">
        <f>Q26</f>
        <v>-1770346875.0952165</v>
      </c>
    </row>
    <row r="27" spans="2:18" ht="21.75" customHeight="1" x14ac:dyDescent="0.35">
      <c r="B27" s="5" t="s">
        <v>114</v>
      </c>
      <c r="C27" s="56" t="str">
        <f t="shared" ref="C27:Q27" si="5">IF(C15&gt;C24,"🏦 Mortgage","💰 Cash")</f>
        <v>💰 Cash</v>
      </c>
      <c r="D27" s="56" t="str">
        <f t="shared" si="5"/>
        <v>💰 Cash</v>
      </c>
      <c r="E27" s="56" t="str">
        <f t="shared" si="5"/>
        <v>💰 Cash</v>
      </c>
      <c r="F27" s="56" t="str">
        <f t="shared" si="5"/>
        <v>💰 Cash</v>
      </c>
      <c r="G27" s="56" t="str">
        <f t="shared" si="5"/>
        <v>💰 Cash</v>
      </c>
      <c r="H27" s="56" t="str">
        <f t="shared" si="5"/>
        <v>💰 Cash</v>
      </c>
      <c r="I27" s="56" t="str">
        <f t="shared" si="5"/>
        <v>💰 Cash</v>
      </c>
      <c r="J27" s="56" t="str">
        <f t="shared" si="5"/>
        <v>💰 Cash</v>
      </c>
      <c r="K27" s="56" t="str">
        <f t="shared" si="5"/>
        <v>💰 Cash</v>
      </c>
      <c r="L27" s="56" t="str">
        <f t="shared" si="5"/>
        <v>💰 Cash</v>
      </c>
      <c r="M27" s="56" t="str">
        <f t="shared" si="5"/>
        <v>💰 Cash</v>
      </c>
      <c r="N27" s="56" t="str">
        <f t="shared" si="5"/>
        <v>💰 Cash</v>
      </c>
      <c r="O27" s="56" t="str">
        <f t="shared" si="5"/>
        <v>💰 Cash</v>
      </c>
      <c r="P27" s="56" t="str">
        <f t="shared" si="5"/>
        <v>💰 Cash</v>
      </c>
      <c r="Q27" s="56" t="str">
        <f t="shared" si="5"/>
        <v>💰 Cash</v>
      </c>
      <c r="R27" s="57" t="str">
        <f>IF(Q15&gt;Q24,"🏦 Mortgage wins Yr15","💰 Cash wins Yr15")</f>
        <v>💰 Cash wins Yr15</v>
      </c>
    </row>
  </sheetData>
  <mergeCells count="2">
    <mergeCell ref="B2:Q2"/>
    <mergeCell ref="B3:Q3"/>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B1A1A"/>
  </sheetPr>
  <dimension ref="A2:H187"/>
  <sheetViews>
    <sheetView showGridLines="0" zoomScale="55" zoomScaleNormal="55" workbookViewId="0">
      <pane xSplit="2" ySplit="6" topLeftCell="D7" activePane="bottomRight" state="frozen"/>
      <selection pane="topRight" activeCell="C1" sqref="C1"/>
      <selection pane="bottomLeft" activeCell="A7" sqref="A7"/>
      <selection pane="bottomRight"/>
    </sheetView>
  </sheetViews>
  <sheetFormatPr defaultColWidth="8.6328125" defaultRowHeight="14.5" x14ac:dyDescent="0.35"/>
  <cols>
    <col min="1" max="1" width="2" style="1" customWidth="1"/>
    <col min="2" max="2" width="10" style="1" customWidth="1"/>
    <col min="3" max="3" width="14" style="1" customWidth="1"/>
    <col min="4" max="8" width="18" style="1" customWidth="1"/>
  </cols>
  <sheetData>
    <row r="2" spans="2:8" ht="48" customHeight="1" x14ac:dyDescent="0.35">
      <c r="B2" s="77" t="s">
        <v>115</v>
      </c>
      <c r="C2" s="77"/>
      <c r="D2" s="77"/>
      <c r="E2" s="77"/>
      <c r="F2" s="77"/>
      <c r="G2" s="77"/>
      <c r="H2" s="77"/>
    </row>
    <row r="3" spans="2:8" ht="19.5" customHeight="1" x14ac:dyDescent="0.35">
      <c r="B3" s="73" t="s">
        <v>116</v>
      </c>
      <c r="C3" s="73"/>
      <c r="D3" s="73"/>
      <c r="E3" s="73"/>
      <c r="F3" s="73"/>
      <c r="G3" s="73"/>
      <c r="H3" s="73"/>
    </row>
    <row r="4" spans="2:8" ht="9.75" customHeight="1" x14ac:dyDescent="0.35"/>
    <row r="5" spans="2:8" ht="21.75" customHeight="1" x14ac:dyDescent="0.35">
      <c r="B5" s="36" t="s">
        <v>117</v>
      </c>
      <c r="C5" s="58">
        <f>'🏠 Mortgage vs Cash'!G7</f>
        <v>560000000</v>
      </c>
      <c r="D5" s="36" t="s">
        <v>118</v>
      </c>
      <c r="E5" s="59">
        <f>'🏠 Mortgage vs Cash'!G8</f>
        <v>0.2</v>
      </c>
      <c r="F5" s="36" t="s">
        <v>119</v>
      </c>
      <c r="G5" s="58">
        <f>'🏠 Mortgage vs Cash'!G9*12</f>
        <v>180</v>
      </c>
      <c r="H5" s="60">
        <f>'🏠 Mortgage vs Cash'!G13</f>
        <v>9835260.4171956461</v>
      </c>
    </row>
    <row r="6" spans="2:8" ht="21.75" customHeight="1" x14ac:dyDescent="0.35">
      <c r="B6" s="2" t="s">
        <v>120</v>
      </c>
      <c r="C6" s="2" t="s">
        <v>121</v>
      </c>
      <c r="D6" s="2" t="s">
        <v>122</v>
      </c>
      <c r="E6" s="2" t="s">
        <v>123</v>
      </c>
      <c r="F6" s="2" t="s">
        <v>124</v>
      </c>
      <c r="G6" s="2" t="s">
        <v>125</v>
      </c>
      <c r="H6" s="2" t="s">
        <v>126</v>
      </c>
    </row>
    <row r="7" spans="2:8" ht="15.75" customHeight="1" x14ac:dyDescent="0.35">
      <c r="B7" s="61">
        <v>1</v>
      </c>
      <c r="C7" s="42">
        <f>CEILING(1/12,1)</f>
        <v>1</v>
      </c>
      <c r="D7" s="42">
        <f>'🏠 Mortgage vs Cash'!G7</f>
        <v>560000000</v>
      </c>
      <c r="E7" s="42">
        <f>IFERROR(IF(1&lt;='🏠 Mortgage vs Cash'!G9*12,'🏠 Mortgage vs Cash'!G13,0),0)</f>
        <v>9835260.4171956461</v>
      </c>
      <c r="F7" s="43">
        <f>IFERROR(C7*'🏠 Mortgage vs Cash'!G8/12,0)</f>
        <v>1.6666666666666666E-2</v>
      </c>
      <c r="G7" s="62">
        <f t="shared" ref="G7:G38" si="0">IFERROR(MAX(E7-F7,0),0)</f>
        <v>9835260.4005289786</v>
      </c>
      <c r="H7" s="42">
        <f t="shared" ref="H7:H38" si="1">IFERROR(MAX(C7-G7,0),0)</f>
        <v>0</v>
      </c>
    </row>
    <row r="8" spans="2:8" ht="15.75" customHeight="1" x14ac:dyDescent="0.35">
      <c r="B8" s="63">
        <v>2</v>
      </c>
      <c r="C8" s="40">
        <f>CEILING(2/12,1)</f>
        <v>1</v>
      </c>
      <c r="D8" s="40">
        <f t="shared" ref="D8:D39" si="2">IFERROR(MAX(H7,0),0)</f>
        <v>0</v>
      </c>
      <c r="E8" s="40">
        <f>IFERROR(IF(2&lt;='🏠 Mortgage vs Cash'!G9*12,'🏠 Mortgage vs Cash'!G13,0),0)</f>
        <v>9835260.4171956461</v>
      </c>
      <c r="F8" s="43">
        <f>IFERROR(C8*'🏠 Mortgage vs Cash'!G8/12,0)</f>
        <v>1.6666666666666666E-2</v>
      </c>
      <c r="G8" s="62">
        <f t="shared" si="0"/>
        <v>9835260.4005289786</v>
      </c>
      <c r="H8" s="40">
        <f t="shared" si="1"/>
        <v>0</v>
      </c>
    </row>
    <row r="9" spans="2:8" ht="15.75" customHeight="1" x14ac:dyDescent="0.35">
      <c r="B9" s="61">
        <v>3</v>
      </c>
      <c r="C9" s="42">
        <f>CEILING(3/12,1)</f>
        <v>1</v>
      </c>
      <c r="D9" s="42">
        <f t="shared" si="2"/>
        <v>0</v>
      </c>
      <c r="E9" s="42">
        <f>IFERROR(IF(3&lt;='🏠 Mortgage vs Cash'!G9*12,'🏠 Mortgage vs Cash'!G13,0),0)</f>
        <v>9835260.4171956461</v>
      </c>
      <c r="F9" s="43">
        <f>IFERROR(C9*'🏠 Mortgage vs Cash'!G8/12,0)</f>
        <v>1.6666666666666666E-2</v>
      </c>
      <c r="G9" s="62">
        <f t="shared" si="0"/>
        <v>9835260.4005289786</v>
      </c>
      <c r="H9" s="42">
        <f t="shared" si="1"/>
        <v>0</v>
      </c>
    </row>
    <row r="10" spans="2:8" ht="15.75" customHeight="1" x14ac:dyDescent="0.35">
      <c r="B10" s="63">
        <v>4</v>
      </c>
      <c r="C10" s="40">
        <f>CEILING(4/12,1)</f>
        <v>1</v>
      </c>
      <c r="D10" s="40">
        <f t="shared" si="2"/>
        <v>0</v>
      </c>
      <c r="E10" s="40">
        <f>IFERROR(IF(4&lt;='🏠 Mortgage vs Cash'!G9*12,'🏠 Mortgage vs Cash'!G13,0),0)</f>
        <v>9835260.4171956461</v>
      </c>
      <c r="F10" s="43">
        <f>IFERROR(C10*'🏠 Mortgage vs Cash'!G8/12,0)</f>
        <v>1.6666666666666666E-2</v>
      </c>
      <c r="G10" s="62">
        <f t="shared" si="0"/>
        <v>9835260.4005289786</v>
      </c>
      <c r="H10" s="40">
        <f t="shared" si="1"/>
        <v>0</v>
      </c>
    </row>
    <row r="11" spans="2:8" ht="15.75" customHeight="1" x14ac:dyDescent="0.35">
      <c r="B11" s="61">
        <v>5</v>
      </c>
      <c r="C11" s="42">
        <f>CEILING(5/12,1)</f>
        <v>1</v>
      </c>
      <c r="D11" s="42">
        <f t="shared" si="2"/>
        <v>0</v>
      </c>
      <c r="E11" s="42">
        <f>IFERROR(IF(5&lt;='🏠 Mortgage vs Cash'!G9*12,'🏠 Mortgage vs Cash'!G13,0),0)</f>
        <v>9835260.4171956461</v>
      </c>
      <c r="F11" s="43">
        <f>IFERROR(C11*'🏠 Mortgage vs Cash'!G8/12,0)</f>
        <v>1.6666666666666666E-2</v>
      </c>
      <c r="G11" s="62">
        <f t="shared" si="0"/>
        <v>9835260.4005289786</v>
      </c>
      <c r="H11" s="42">
        <f t="shared" si="1"/>
        <v>0</v>
      </c>
    </row>
    <row r="12" spans="2:8" ht="15.75" customHeight="1" x14ac:dyDescent="0.35">
      <c r="B12" s="63">
        <v>6</v>
      </c>
      <c r="C12" s="40">
        <f>CEILING(6/12,1)</f>
        <v>1</v>
      </c>
      <c r="D12" s="40">
        <f t="shared" si="2"/>
        <v>0</v>
      </c>
      <c r="E12" s="40">
        <f>IFERROR(IF(6&lt;='🏠 Mortgage vs Cash'!G9*12,'🏠 Mortgage vs Cash'!G13,0),0)</f>
        <v>9835260.4171956461</v>
      </c>
      <c r="F12" s="43">
        <f>IFERROR(C12*'🏠 Mortgage vs Cash'!G8/12,0)</f>
        <v>1.6666666666666666E-2</v>
      </c>
      <c r="G12" s="62">
        <f t="shared" si="0"/>
        <v>9835260.4005289786</v>
      </c>
      <c r="H12" s="40">
        <f t="shared" si="1"/>
        <v>0</v>
      </c>
    </row>
    <row r="13" spans="2:8" ht="15.75" customHeight="1" x14ac:dyDescent="0.35">
      <c r="B13" s="61">
        <v>7</v>
      </c>
      <c r="C13" s="42">
        <f>CEILING(7/12,1)</f>
        <v>1</v>
      </c>
      <c r="D13" s="42">
        <f t="shared" si="2"/>
        <v>0</v>
      </c>
      <c r="E13" s="42">
        <f>IFERROR(IF(7&lt;='🏠 Mortgage vs Cash'!G9*12,'🏠 Mortgage vs Cash'!G13,0),0)</f>
        <v>9835260.4171956461</v>
      </c>
      <c r="F13" s="43">
        <f>IFERROR(C13*'🏠 Mortgage vs Cash'!G8/12,0)</f>
        <v>1.6666666666666666E-2</v>
      </c>
      <c r="G13" s="62">
        <f t="shared" si="0"/>
        <v>9835260.4005289786</v>
      </c>
      <c r="H13" s="42">
        <f t="shared" si="1"/>
        <v>0</v>
      </c>
    </row>
    <row r="14" spans="2:8" ht="15.75" customHeight="1" x14ac:dyDescent="0.35">
      <c r="B14" s="63">
        <v>8</v>
      </c>
      <c r="C14" s="40">
        <f>CEILING(8/12,1)</f>
        <v>1</v>
      </c>
      <c r="D14" s="40">
        <f t="shared" si="2"/>
        <v>0</v>
      </c>
      <c r="E14" s="40">
        <f>IFERROR(IF(8&lt;='🏠 Mortgage vs Cash'!G9*12,'🏠 Mortgage vs Cash'!G13,0),0)</f>
        <v>9835260.4171956461</v>
      </c>
      <c r="F14" s="43">
        <f>IFERROR(C14*'🏠 Mortgage vs Cash'!G8/12,0)</f>
        <v>1.6666666666666666E-2</v>
      </c>
      <c r="G14" s="62">
        <f t="shared" si="0"/>
        <v>9835260.4005289786</v>
      </c>
      <c r="H14" s="40">
        <f t="shared" si="1"/>
        <v>0</v>
      </c>
    </row>
    <row r="15" spans="2:8" ht="15.75" customHeight="1" x14ac:dyDescent="0.35">
      <c r="B15" s="61">
        <v>9</v>
      </c>
      <c r="C15" s="42">
        <f>CEILING(9/12,1)</f>
        <v>1</v>
      </c>
      <c r="D15" s="42">
        <f t="shared" si="2"/>
        <v>0</v>
      </c>
      <c r="E15" s="42">
        <f>IFERROR(IF(9&lt;='🏠 Mortgage vs Cash'!G9*12,'🏠 Mortgage vs Cash'!G13,0),0)</f>
        <v>9835260.4171956461</v>
      </c>
      <c r="F15" s="43">
        <f>IFERROR(C15*'🏠 Mortgage vs Cash'!G8/12,0)</f>
        <v>1.6666666666666666E-2</v>
      </c>
      <c r="G15" s="62">
        <f t="shared" si="0"/>
        <v>9835260.4005289786</v>
      </c>
      <c r="H15" s="42">
        <f t="shared" si="1"/>
        <v>0</v>
      </c>
    </row>
    <row r="16" spans="2:8" ht="15.75" customHeight="1" x14ac:dyDescent="0.35">
      <c r="B16" s="63">
        <v>10</v>
      </c>
      <c r="C16" s="40">
        <f>CEILING(10/12,1)</f>
        <v>1</v>
      </c>
      <c r="D16" s="40">
        <f t="shared" si="2"/>
        <v>0</v>
      </c>
      <c r="E16" s="40">
        <f>IFERROR(IF(10&lt;='🏠 Mortgage vs Cash'!G9*12,'🏠 Mortgage vs Cash'!G13,0),0)</f>
        <v>9835260.4171956461</v>
      </c>
      <c r="F16" s="43">
        <f>IFERROR(C16*'🏠 Mortgage vs Cash'!G8/12,0)</f>
        <v>1.6666666666666666E-2</v>
      </c>
      <c r="G16" s="62">
        <f t="shared" si="0"/>
        <v>9835260.4005289786</v>
      </c>
      <c r="H16" s="40">
        <f t="shared" si="1"/>
        <v>0</v>
      </c>
    </row>
    <row r="17" spans="2:8" ht="15.75" customHeight="1" x14ac:dyDescent="0.35">
      <c r="B17" s="61">
        <v>11</v>
      </c>
      <c r="C17" s="42">
        <f>CEILING(11/12,1)</f>
        <v>1</v>
      </c>
      <c r="D17" s="42">
        <f t="shared" si="2"/>
        <v>0</v>
      </c>
      <c r="E17" s="42">
        <f>IFERROR(IF(11&lt;='🏠 Mortgage vs Cash'!G9*12,'🏠 Mortgage vs Cash'!G13,0),0)</f>
        <v>9835260.4171956461</v>
      </c>
      <c r="F17" s="43">
        <f>IFERROR(C17*'🏠 Mortgage vs Cash'!G8/12,0)</f>
        <v>1.6666666666666666E-2</v>
      </c>
      <c r="G17" s="62">
        <f t="shared" si="0"/>
        <v>9835260.4005289786</v>
      </c>
      <c r="H17" s="42">
        <f t="shared" si="1"/>
        <v>0</v>
      </c>
    </row>
    <row r="18" spans="2:8" ht="15.75" customHeight="1" x14ac:dyDescent="0.35">
      <c r="B18" s="63">
        <v>12</v>
      </c>
      <c r="C18" s="40">
        <f>CEILING(12/12,1)</f>
        <v>1</v>
      </c>
      <c r="D18" s="40">
        <f t="shared" si="2"/>
        <v>0</v>
      </c>
      <c r="E18" s="40">
        <f>IFERROR(IF(12&lt;='🏠 Mortgage vs Cash'!G9*12,'🏠 Mortgage vs Cash'!G13,0),0)</f>
        <v>9835260.4171956461</v>
      </c>
      <c r="F18" s="43">
        <f>IFERROR(C18*'🏠 Mortgage vs Cash'!G8/12,0)</f>
        <v>1.6666666666666666E-2</v>
      </c>
      <c r="G18" s="62">
        <f t="shared" si="0"/>
        <v>9835260.4005289786</v>
      </c>
      <c r="H18" s="40">
        <f t="shared" si="1"/>
        <v>0</v>
      </c>
    </row>
    <row r="19" spans="2:8" ht="15.75" customHeight="1" x14ac:dyDescent="0.35">
      <c r="B19" s="61">
        <v>13</v>
      </c>
      <c r="C19" s="42">
        <f>CEILING(13/12,1)</f>
        <v>2</v>
      </c>
      <c r="D19" s="42">
        <f t="shared" si="2"/>
        <v>0</v>
      </c>
      <c r="E19" s="42">
        <f>IFERROR(IF(13&lt;='🏠 Mortgage vs Cash'!G9*12,'🏠 Mortgage vs Cash'!G13,0),0)</f>
        <v>9835260.4171956461</v>
      </c>
      <c r="F19" s="43">
        <f>IFERROR(C19*'🏠 Mortgage vs Cash'!G8/12,0)</f>
        <v>3.3333333333333333E-2</v>
      </c>
      <c r="G19" s="62">
        <f t="shared" si="0"/>
        <v>9835260.3838623129</v>
      </c>
      <c r="H19" s="42">
        <f t="shared" si="1"/>
        <v>0</v>
      </c>
    </row>
    <row r="20" spans="2:8" ht="15.75" customHeight="1" x14ac:dyDescent="0.35">
      <c r="B20" s="63">
        <v>14</v>
      </c>
      <c r="C20" s="40">
        <f>CEILING(14/12,1)</f>
        <v>2</v>
      </c>
      <c r="D20" s="40">
        <f t="shared" si="2"/>
        <v>0</v>
      </c>
      <c r="E20" s="40">
        <f>IFERROR(IF(14&lt;='🏠 Mortgage vs Cash'!G9*12,'🏠 Mortgage vs Cash'!G13,0),0)</f>
        <v>9835260.4171956461</v>
      </c>
      <c r="F20" s="43">
        <f>IFERROR(C20*'🏠 Mortgage vs Cash'!G8/12,0)</f>
        <v>3.3333333333333333E-2</v>
      </c>
      <c r="G20" s="62">
        <f t="shared" si="0"/>
        <v>9835260.3838623129</v>
      </c>
      <c r="H20" s="40">
        <f t="shared" si="1"/>
        <v>0</v>
      </c>
    </row>
    <row r="21" spans="2:8" ht="15.75" customHeight="1" x14ac:dyDescent="0.35">
      <c r="B21" s="61">
        <v>15</v>
      </c>
      <c r="C21" s="42">
        <f>CEILING(15/12,1)</f>
        <v>2</v>
      </c>
      <c r="D21" s="42">
        <f t="shared" si="2"/>
        <v>0</v>
      </c>
      <c r="E21" s="42">
        <f>IFERROR(IF(15&lt;='🏠 Mortgage vs Cash'!G9*12,'🏠 Mortgage vs Cash'!G13,0),0)</f>
        <v>9835260.4171956461</v>
      </c>
      <c r="F21" s="43">
        <f>IFERROR(C21*'🏠 Mortgage vs Cash'!G8/12,0)</f>
        <v>3.3333333333333333E-2</v>
      </c>
      <c r="G21" s="62">
        <f t="shared" si="0"/>
        <v>9835260.3838623129</v>
      </c>
      <c r="H21" s="42">
        <f t="shared" si="1"/>
        <v>0</v>
      </c>
    </row>
    <row r="22" spans="2:8" ht="15.75" customHeight="1" x14ac:dyDescent="0.35">
      <c r="B22" s="63">
        <v>16</v>
      </c>
      <c r="C22" s="40">
        <f>CEILING(16/12,1)</f>
        <v>2</v>
      </c>
      <c r="D22" s="40">
        <f t="shared" si="2"/>
        <v>0</v>
      </c>
      <c r="E22" s="40">
        <f>IFERROR(IF(16&lt;='🏠 Mortgage vs Cash'!G9*12,'🏠 Mortgage vs Cash'!G13,0),0)</f>
        <v>9835260.4171956461</v>
      </c>
      <c r="F22" s="43">
        <f>IFERROR(C22*'🏠 Mortgage vs Cash'!G8/12,0)</f>
        <v>3.3333333333333333E-2</v>
      </c>
      <c r="G22" s="62">
        <f t="shared" si="0"/>
        <v>9835260.3838623129</v>
      </c>
      <c r="H22" s="40">
        <f t="shared" si="1"/>
        <v>0</v>
      </c>
    </row>
    <row r="23" spans="2:8" ht="15.75" customHeight="1" x14ac:dyDescent="0.35">
      <c r="B23" s="61">
        <v>17</v>
      </c>
      <c r="C23" s="42">
        <f>CEILING(17/12,1)</f>
        <v>2</v>
      </c>
      <c r="D23" s="42">
        <f t="shared" si="2"/>
        <v>0</v>
      </c>
      <c r="E23" s="42">
        <f>IFERROR(IF(17&lt;='🏠 Mortgage vs Cash'!G9*12,'🏠 Mortgage vs Cash'!G13,0),0)</f>
        <v>9835260.4171956461</v>
      </c>
      <c r="F23" s="43">
        <f>IFERROR(C23*'🏠 Mortgage vs Cash'!G8/12,0)</f>
        <v>3.3333333333333333E-2</v>
      </c>
      <c r="G23" s="62">
        <f t="shared" si="0"/>
        <v>9835260.3838623129</v>
      </c>
      <c r="H23" s="42">
        <f t="shared" si="1"/>
        <v>0</v>
      </c>
    </row>
    <row r="24" spans="2:8" ht="15.75" customHeight="1" x14ac:dyDescent="0.35">
      <c r="B24" s="63">
        <v>18</v>
      </c>
      <c r="C24" s="40">
        <f>CEILING(18/12,1)</f>
        <v>2</v>
      </c>
      <c r="D24" s="40">
        <f t="shared" si="2"/>
        <v>0</v>
      </c>
      <c r="E24" s="40">
        <f>IFERROR(IF(18&lt;='🏠 Mortgage vs Cash'!G9*12,'🏠 Mortgage vs Cash'!G13,0),0)</f>
        <v>9835260.4171956461</v>
      </c>
      <c r="F24" s="43">
        <f>IFERROR(C24*'🏠 Mortgage vs Cash'!G8/12,0)</f>
        <v>3.3333333333333333E-2</v>
      </c>
      <c r="G24" s="62">
        <f t="shared" si="0"/>
        <v>9835260.3838623129</v>
      </c>
      <c r="H24" s="40">
        <f t="shared" si="1"/>
        <v>0</v>
      </c>
    </row>
    <row r="25" spans="2:8" ht="15.75" customHeight="1" x14ac:dyDescent="0.35">
      <c r="B25" s="61">
        <v>19</v>
      </c>
      <c r="C25" s="42">
        <f>CEILING(19/12,1)</f>
        <v>2</v>
      </c>
      <c r="D25" s="42">
        <f t="shared" si="2"/>
        <v>0</v>
      </c>
      <c r="E25" s="42">
        <f>IFERROR(IF(19&lt;='🏠 Mortgage vs Cash'!G9*12,'🏠 Mortgage vs Cash'!G13,0),0)</f>
        <v>9835260.4171956461</v>
      </c>
      <c r="F25" s="43">
        <f>IFERROR(C25*'🏠 Mortgage vs Cash'!G8/12,0)</f>
        <v>3.3333333333333333E-2</v>
      </c>
      <c r="G25" s="62">
        <f t="shared" si="0"/>
        <v>9835260.3838623129</v>
      </c>
      <c r="H25" s="42">
        <f t="shared" si="1"/>
        <v>0</v>
      </c>
    </row>
    <row r="26" spans="2:8" ht="15.75" customHeight="1" x14ac:dyDescent="0.35">
      <c r="B26" s="63">
        <v>20</v>
      </c>
      <c r="C26" s="40">
        <f>CEILING(20/12,1)</f>
        <v>2</v>
      </c>
      <c r="D26" s="40">
        <f t="shared" si="2"/>
        <v>0</v>
      </c>
      <c r="E26" s="40">
        <f>IFERROR(IF(20&lt;='🏠 Mortgage vs Cash'!G9*12,'🏠 Mortgage vs Cash'!G13,0),0)</f>
        <v>9835260.4171956461</v>
      </c>
      <c r="F26" s="43">
        <f>IFERROR(C26*'🏠 Mortgage vs Cash'!G8/12,0)</f>
        <v>3.3333333333333333E-2</v>
      </c>
      <c r="G26" s="62">
        <f t="shared" si="0"/>
        <v>9835260.3838623129</v>
      </c>
      <c r="H26" s="40">
        <f t="shared" si="1"/>
        <v>0</v>
      </c>
    </row>
    <row r="27" spans="2:8" ht="15.75" customHeight="1" x14ac:dyDescent="0.35">
      <c r="B27" s="61">
        <v>21</v>
      </c>
      <c r="C27" s="42">
        <f>CEILING(21/12,1)</f>
        <v>2</v>
      </c>
      <c r="D27" s="42">
        <f t="shared" si="2"/>
        <v>0</v>
      </c>
      <c r="E27" s="42">
        <f>IFERROR(IF(21&lt;='🏠 Mortgage vs Cash'!G9*12,'🏠 Mortgage vs Cash'!G13,0),0)</f>
        <v>9835260.4171956461</v>
      </c>
      <c r="F27" s="43">
        <f>IFERROR(C27*'🏠 Mortgage vs Cash'!G8/12,0)</f>
        <v>3.3333333333333333E-2</v>
      </c>
      <c r="G27" s="62">
        <f t="shared" si="0"/>
        <v>9835260.3838623129</v>
      </c>
      <c r="H27" s="42">
        <f t="shared" si="1"/>
        <v>0</v>
      </c>
    </row>
    <row r="28" spans="2:8" ht="15.75" customHeight="1" x14ac:dyDescent="0.35">
      <c r="B28" s="63">
        <v>22</v>
      </c>
      <c r="C28" s="40">
        <f>CEILING(22/12,1)</f>
        <v>2</v>
      </c>
      <c r="D28" s="40">
        <f t="shared" si="2"/>
        <v>0</v>
      </c>
      <c r="E28" s="40">
        <f>IFERROR(IF(22&lt;='🏠 Mortgage vs Cash'!G9*12,'🏠 Mortgage vs Cash'!G13,0),0)</f>
        <v>9835260.4171956461</v>
      </c>
      <c r="F28" s="43">
        <f>IFERROR(C28*'🏠 Mortgage vs Cash'!G8/12,0)</f>
        <v>3.3333333333333333E-2</v>
      </c>
      <c r="G28" s="62">
        <f t="shared" si="0"/>
        <v>9835260.3838623129</v>
      </c>
      <c r="H28" s="40">
        <f t="shared" si="1"/>
        <v>0</v>
      </c>
    </row>
    <row r="29" spans="2:8" ht="15.75" customHeight="1" x14ac:dyDescent="0.35">
      <c r="B29" s="61">
        <v>23</v>
      </c>
      <c r="C29" s="42">
        <f>CEILING(23/12,1)</f>
        <v>2</v>
      </c>
      <c r="D29" s="42">
        <f t="shared" si="2"/>
        <v>0</v>
      </c>
      <c r="E29" s="42">
        <f>IFERROR(IF(23&lt;='🏠 Mortgage vs Cash'!G9*12,'🏠 Mortgage vs Cash'!G13,0),0)</f>
        <v>9835260.4171956461</v>
      </c>
      <c r="F29" s="43">
        <f>IFERROR(C29*'🏠 Mortgage vs Cash'!G8/12,0)</f>
        <v>3.3333333333333333E-2</v>
      </c>
      <c r="G29" s="62">
        <f t="shared" si="0"/>
        <v>9835260.3838623129</v>
      </c>
      <c r="H29" s="42">
        <f t="shared" si="1"/>
        <v>0</v>
      </c>
    </row>
    <row r="30" spans="2:8" ht="15.75" customHeight="1" x14ac:dyDescent="0.35">
      <c r="B30" s="63">
        <v>24</v>
      </c>
      <c r="C30" s="40">
        <f>CEILING(24/12,1)</f>
        <v>2</v>
      </c>
      <c r="D30" s="40">
        <f t="shared" si="2"/>
        <v>0</v>
      </c>
      <c r="E30" s="40">
        <f>IFERROR(IF(24&lt;='🏠 Mortgage vs Cash'!G9*12,'🏠 Mortgage vs Cash'!G13,0),0)</f>
        <v>9835260.4171956461</v>
      </c>
      <c r="F30" s="43">
        <f>IFERROR(C30*'🏠 Mortgage vs Cash'!G8/12,0)</f>
        <v>3.3333333333333333E-2</v>
      </c>
      <c r="G30" s="62">
        <f t="shared" si="0"/>
        <v>9835260.3838623129</v>
      </c>
      <c r="H30" s="40">
        <f t="shared" si="1"/>
        <v>0</v>
      </c>
    </row>
    <row r="31" spans="2:8" ht="15.75" customHeight="1" x14ac:dyDescent="0.35">
      <c r="B31" s="61">
        <v>25</v>
      </c>
      <c r="C31" s="42">
        <f>CEILING(25/12,1)</f>
        <v>3</v>
      </c>
      <c r="D31" s="42">
        <f t="shared" si="2"/>
        <v>0</v>
      </c>
      <c r="E31" s="42">
        <f>IFERROR(IF(25&lt;='🏠 Mortgage vs Cash'!G9*12,'🏠 Mortgage vs Cash'!G13,0),0)</f>
        <v>9835260.4171956461</v>
      </c>
      <c r="F31" s="43">
        <f>IFERROR(C31*'🏠 Mortgage vs Cash'!G8/12,0)</f>
        <v>5.000000000000001E-2</v>
      </c>
      <c r="G31" s="62">
        <f t="shared" si="0"/>
        <v>9835260.3671956453</v>
      </c>
      <c r="H31" s="42">
        <f t="shared" si="1"/>
        <v>0</v>
      </c>
    </row>
    <row r="32" spans="2:8" ht="15.75" customHeight="1" x14ac:dyDescent="0.35">
      <c r="B32" s="63">
        <v>26</v>
      </c>
      <c r="C32" s="40">
        <f>CEILING(26/12,1)</f>
        <v>3</v>
      </c>
      <c r="D32" s="40">
        <f t="shared" si="2"/>
        <v>0</v>
      </c>
      <c r="E32" s="40">
        <f>IFERROR(IF(26&lt;='🏠 Mortgage vs Cash'!G9*12,'🏠 Mortgage vs Cash'!G13,0),0)</f>
        <v>9835260.4171956461</v>
      </c>
      <c r="F32" s="43">
        <f>IFERROR(C32*'🏠 Mortgage vs Cash'!G8/12,0)</f>
        <v>5.000000000000001E-2</v>
      </c>
      <c r="G32" s="62">
        <f t="shared" si="0"/>
        <v>9835260.3671956453</v>
      </c>
      <c r="H32" s="40">
        <f t="shared" si="1"/>
        <v>0</v>
      </c>
    </row>
    <row r="33" spans="2:8" ht="15.75" customHeight="1" x14ac:dyDescent="0.35">
      <c r="B33" s="61">
        <v>27</v>
      </c>
      <c r="C33" s="42">
        <f>CEILING(27/12,1)</f>
        <v>3</v>
      </c>
      <c r="D33" s="42">
        <f t="shared" si="2"/>
        <v>0</v>
      </c>
      <c r="E33" s="42">
        <f>IFERROR(IF(27&lt;='🏠 Mortgage vs Cash'!G9*12,'🏠 Mortgage vs Cash'!G13,0),0)</f>
        <v>9835260.4171956461</v>
      </c>
      <c r="F33" s="43">
        <f>IFERROR(C33*'🏠 Mortgage vs Cash'!G8/12,0)</f>
        <v>5.000000000000001E-2</v>
      </c>
      <c r="G33" s="62">
        <f t="shared" si="0"/>
        <v>9835260.3671956453</v>
      </c>
      <c r="H33" s="42">
        <f t="shared" si="1"/>
        <v>0</v>
      </c>
    </row>
    <row r="34" spans="2:8" ht="15.75" customHeight="1" x14ac:dyDescent="0.35">
      <c r="B34" s="63">
        <v>28</v>
      </c>
      <c r="C34" s="40">
        <f>CEILING(28/12,1)</f>
        <v>3</v>
      </c>
      <c r="D34" s="40">
        <f t="shared" si="2"/>
        <v>0</v>
      </c>
      <c r="E34" s="40">
        <f>IFERROR(IF(28&lt;='🏠 Mortgage vs Cash'!G9*12,'🏠 Mortgage vs Cash'!G13,0),0)</f>
        <v>9835260.4171956461</v>
      </c>
      <c r="F34" s="43">
        <f>IFERROR(C34*'🏠 Mortgage vs Cash'!G8/12,0)</f>
        <v>5.000000000000001E-2</v>
      </c>
      <c r="G34" s="62">
        <f t="shared" si="0"/>
        <v>9835260.3671956453</v>
      </c>
      <c r="H34" s="40">
        <f t="shared" si="1"/>
        <v>0</v>
      </c>
    </row>
    <row r="35" spans="2:8" ht="15.75" customHeight="1" x14ac:dyDescent="0.35">
      <c r="B35" s="61">
        <v>29</v>
      </c>
      <c r="C35" s="42">
        <f>CEILING(29/12,1)</f>
        <v>3</v>
      </c>
      <c r="D35" s="42">
        <f t="shared" si="2"/>
        <v>0</v>
      </c>
      <c r="E35" s="42">
        <f>IFERROR(IF(29&lt;='🏠 Mortgage vs Cash'!G9*12,'🏠 Mortgage vs Cash'!G13,0),0)</f>
        <v>9835260.4171956461</v>
      </c>
      <c r="F35" s="43">
        <f>IFERROR(C35*'🏠 Mortgage vs Cash'!G8/12,0)</f>
        <v>5.000000000000001E-2</v>
      </c>
      <c r="G35" s="62">
        <f t="shared" si="0"/>
        <v>9835260.3671956453</v>
      </c>
      <c r="H35" s="42">
        <f t="shared" si="1"/>
        <v>0</v>
      </c>
    </row>
    <row r="36" spans="2:8" ht="15.75" customHeight="1" x14ac:dyDescent="0.35">
      <c r="B36" s="63">
        <v>30</v>
      </c>
      <c r="C36" s="40">
        <f>CEILING(30/12,1)</f>
        <v>3</v>
      </c>
      <c r="D36" s="40">
        <f t="shared" si="2"/>
        <v>0</v>
      </c>
      <c r="E36" s="40">
        <f>IFERROR(IF(30&lt;='🏠 Mortgage vs Cash'!G9*12,'🏠 Mortgage vs Cash'!G13,0),0)</f>
        <v>9835260.4171956461</v>
      </c>
      <c r="F36" s="43">
        <f>IFERROR(C36*'🏠 Mortgage vs Cash'!G8/12,0)</f>
        <v>5.000000000000001E-2</v>
      </c>
      <c r="G36" s="62">
        <f t="shared" si="0"/>
        <v>9835260.3671956453</v>
      </c>
      <c r="H36" s="40">
        <f t="shared" si="1"/>
        <v>0</v>
      </c>
    </row>
    <row r="37" spans="2:8" ht="15.75" customHeight="1" x14ac:dyDescent="0.35">
      <c r="B37" s="61">
        <v>31</v>
      </c>
      <c r="C37" s="42">
        <f>CEILING(31/12,1)</f>
        <v>3</v>
      </c>
      <c r="D37" s="42">
        <f t="shared" si="2"/>
        <v>0</v>
      </c>
      <c r="E37" s="42">
        <f>IFERROR(IF(31&lt;='🏠 Mortgage vs Cash'!G9*12,'🏠 Mortgage vs Cash'!G13,0),0)</f>
        <v>9835260.4171956461</v>
      </c>
      <c r="F37" s="43">
        <f>IFERROR(C37*'🏠 Mortgage vs Cash'!G8/12,0)</f>
        <v>5.000000000000001E-2</v>
      </c>
      <c r="G37" s="62">
        <f t="shared" si="0"/>
        <v>9835260.3671956453</v>
      </c>
      <c r="H37" s="42">
        <f t="shared" si="1"/>
        <v>0</v>
      </c>
    </row>
    <row r="38" spans="2:8" ht="15.75" customHeight="1" x14ac:dyDescent="0.35">
      <c r="B38" s="63">
        <v>32</v>
      </c>
      <c r="C38" s="40">
        <f>CEILING(32/12,1)</f>
        <v>3</v>
      </c>
      <c r="D38" s="40">
        <f t="shared" si="2"/>
        <v>0</v>
      </c>
      <c r="E38" s="40">
        <f>IFERROR(IF(32&lt;='🏠 Mortgage vs Cash'!G9*12,'🏠 Mortgage vs Cash'!G13,0),0)</f>
        <v>9835260.4171956461</v>
      </c>
      <c r="F38" s="43">
        <f>IFERROR(C38*'🏠 Mortgage vs Cash'!G8/12,0)</f>
        <v>5.000000000000001E-2</v>
      </c>
      <c r="G38" s="62">
        <f t="shared" si="0"/>
        <v>9835260.3671956453</v>
      </c>
      <c r="H38" s="40">
        <f t="shared" si="1"/>
        <v>0</v>
      </c>
    </row>
    <row r="39" spans="2:8" ht="15.75" customHeight="1" x14ac:dyDescent="0.35">
      <c r="B39" s="61">
        <v>33</v>
      </c>
      <c r="C39" s="42">
        <f>CEILING(33/12,1)</f>
        <v>3</v>
      </c>
      <c r="D39" s="42">
        <f t="shared" si="2"/>
        <v>0</v>
      </c>
      <c r="E39" s="42">
        <f>IFERROR(IF(33&lt;='🏠 Mortgage vs Cash'!G9*12,'🏠 Mortgage vs Cash'!G13,0),0)</f>
        <v>9835260.4171956461</v>
      </c>
      <c r="F39" s="43">
        <f>IFERROR(C39*'🏠 Mortgage vs Cash'!G8/12,0)</f>
        <v>5.000000000000001E-2</v>
      </c>
      <c r="G39" s="62">
        <f t="shared" ref="G39:G70" si="3">IFERROR(MAX(E39-F39,0),0)</f>
        <v>9835260.3671956453</v>
      </c>
      <c r="H39" s="42">
        <f t="shared" ref="H39:H70" si="4">IFERROR(MAX(C39-G39,0),0)</f>
        <v>0</v>
      </c>
    </row>
    <row r="40" spans="2:8" ht="15.75" customHeight="1" x14ac:dyDescent="0.35">
      <c r="B40" s="63">
        <v>34</v>
      </c>
      <c r="C40" s="40">
        <f>CEILING(34/12,1)</f>
        <v>3</v>
      </c>
      <c r="D40" s="40">
        <f t="shared" ref="D40:D71" si="5">IFERROR(MAX(H39,0),0)</f>
        <v>0</v>
      </c>
      <c r="E40" s="40">
        <f>IFERROR(IF(34&lt;='🏠 Mortgage vs Cash'!G9*12,'🏠 Mortgage vs Cash'!G13,0),0)</f>
        <v>9835260.4171956461</v>
      </c>
      <c r="F40" s="43">
        <f>IFERROR(C40*'🏠 Mortgage vs Cash'!G8/12,0)</f>
        <v>5.000000000000001E-2</v>
      </c>
      <c r="G40" s="62">
        <f t="shared" si="3"/>
        <v>9835260.3671956453</v>
      </c>
      <c r="H40" s="40">
        <f t="shared" si="4"/>
        <v>0</v>
      </c>
    </row>
    <row r="41" spans="2:8" ht="15.75" customHeight="1" x14ac:dyDescent="0.35">
      <c r="B41" s="61">
        <v>35</v>
      </c>
      <c r="C41" s="42">
        <f>CEILING(35/12,1)</f>
        <v>3</v>
      </c>
      <c r="D41" s="42">
        <f t="shared" si="5"/>
        <v>0</v>
      </c>
      <c r="E41" s="42">
        <f>IFERROR(IF(35&lt;='🏠 Mortgage vs Cash'!G9*12,'🏠 Mortgage vs Cash'!G13,0),0)</f>
        <v>9835260.4171956461</v>
      </c>
      <c r="F41" s="43">
        <f>IFERROR(C41*'🏠 Mortgage vs Cash'!G8/12,0)</f>
        <v>5.000000000000001E-2</v>
      </c>
      <c r="G41" s="62">
        <f t="shared" si="3"/>
        <v>9835260.3671956453</v>
      </c>
      <c r="H41" s="42">
        <f t="shared" si="4"/>
        <v>0</v>
      </c>
    </row>
    <row r="42" spans="2:8" ht="15.75" customHeight="1" x14ac:dyDescent="0.35">
      <c r="B42" s="63">
        <v>36</v>
      </c>
      <c r="C42" s="40">
        <f>CEILING(36/12,1)</f>
        <v>3</v>
      </c>
      <c r="D42" s="40">
        <f t="shared" si="5"/>
        <v>0</v>
      </c>
      <c r="E42" s="40">
        <f>IFERROR(IF(36&lt;='🏠 Mortgage vs Cash'!G9*12,'🏠 Mortgage vs Cash'!G13,0),0)</f>
        <v>9835260.4171956461</v>
      </c>
      <c r="F42" s="43">
        <f>IFERROR(C42*'🏠 Mortgage vs Cash'!G8/12,0)</f>
        <v>5.000000000000001E-2</v>
      </c>
      <c r="G42" s="62">
        <f t="shared" si="3"/>
        <v>9835260.3671956453</v>
      </c>
      <c r="H42" s="40">
        <f t="shared" si="4"/>
        <v>0</v>
      </c>
    </row>
    <row r="43" spans="2:8" ht="15.75" customHeight="1" x14ac:dyDescent="0.35">
      <c r="B43" s="61">
        <v>37</v>
      </c>
      <c r="C43" s="42">
        <f>CEILING(37/12,1)</f>
        <v>4</v>
      </c>
      <c r="D43" s="42">
        <f t="shared" si="5"/>
        <v>0</v>
      </c>
      <c r="E43" s="42">
        <f>IFERROR(IF(37&lt;='🏠 Mortgage vs Cash'!G9*12,'🏠 Mortgage vs Cash'!G13,0),0)</f>
        <v>9835260.4171956461</v>
      </c>
      <c r="F43" s="43">
        <f>IFERROR(C43*'🏠 Mortgage vs Cash'!G8/12,0)</f>
        <v>6.6666666666666666E-2</v>
      </c>
      <c r="G43" s="62">
        <f t="shared" si="3"/>
        <v>9835260.3505289797</v>
      </c>
      <c r="H43" s="42">
        <f t="shared" si="4"/>
        <v>0</v>
      </c>
    </row>
    <row r="44" spans="2:8" ht="15.75" customHeight="1" x14ac:dyDescent="0.35">
      <c r="B44" s="63">
        <v>38</v>
      </c>
      <c r="C44" s="40">
        <f>CEILING(38/12,1)</f>
        <v>4</v>
      </c>
      <c r="D44" s="40">
        <f t="shared" si="5"/>
        <v>0</v>
      </c>
      <c r="E44" s="40">
        <f>IFERROR(IF(38&lt;='🏠 Mortgage vs Cash'!G9*12,'🏠 Mortgage vs Cash'!G13,0),0)</f>
        <v>9835260.4171956461</v>
      </c>
      <c r="F44" s="43">
        <f>IFERROR(C44*'🏠 Mortgage vs Cash'!G8/12,0)</f>
        <v>6.6666666666666666E-2</v>
      </c>
      <c r="G44" s="62">
        <f t="shared" si="3"/>
        <v>9835260.3505289797</v>
      </c>
      <c r="H44" s="40">
        <f t="shared" si="4"/>
        <v>0</v>
      </c>
    </row>
    <row r="45" spans="2:8" ht="15.75" customHeight="1" x14ac:dyDescent="0.35">
      <c r="B45" s="61">
        <v>39</v>
      </c>
      <c r="C45" s="42">
        <f>CEILING(39/12,1)</f>
        <v>4</v>
      </c>
      <c r="D45" s="42">
        <f t="shared" si="5"/>
        <v>0</v>
      </c>
      <c r="E45" s="42">
        <f>IFERROR(IF(39&lt;='🏠 Mortgage vs Cash'!G9*12,'🏠 Mortgage vs Cash'!G13,0),0)</f>
        <v>9835260.4171956461</v>
      </c>
      <c r="F45" s="43">
        <f>IFERROR(C45*'🏠 Mortgage vs Cash'!G8/12,0)</f>
        <v>6.6666666666666666E-2</v>
      </c>
      <c r="G45" s="62">
        <f t="shared" si="3"/>
        <v>9835260.3505289797</v>
      </c>
      <c r="H45" s="42">
        <f t="shared" si="4"/>
        <v>0</v>
      </c>
    </row>
    <row r="46" spans="2:8" ht="15.75" customHeight="1" x14ac:dyDescent="0.35">
      <c r="B46" s="63">
        <v>40</v>
      </c>
      <c r="C46" s="40">
        <f>CEILING(40/12,1)</f>
        <v>4</v>
      </c>
      <c r="D46" s="40">
        <f t="shared" si="5"/>
        <v>0</v>
      </c>
      <c r="E46" s="40">
        <f>IFERROR(IF(40&lt;='🏠 Mortgage vs Cash'!G9*12,'🏠 Mortgage vs Cash'!G13,0),0)</f>
        <v>9835260.4171956461</v>
      </c>
      <c r="F46" s="43">
        <f>IFERROR(C46*'🏠 Mortgage vs Cash'!G8/12,0)</f>
        <v>6.6666666666666666E-2</v>
      </c>
      <c r="G46" s="62">
        <f t="shared" si="3"/>
        <v>9835260.3505289797</v>
      </c>
      <c r="H46" s="40">
        <f t="shared" si="4"/>
        <v>0</v>
      </c>
    </row>
    <row r="47" spans="2:8" ht="15.75" customHeight="1" x14ac:dyDescent="0.35">
      <c r="B47" s="61">
        <v>41</v>
      </c>
      <c r="C47" s="42">
        <f>CEILING(41/12,1)</f>
        <v>4</v>
      </c>
      <c r="D47" s="42">
        <f t="shared" si="5"/>
        <v>0</v>
      </c>
      <c r="E47" s="42">
        <f>IFERROR(IF(41&lt;='🏠 Mortgage vs Cash'!G9*12,'🏠 Mortgage vs Cash'!G13,0),0)</f>
        <v>9835260.4171956461</v>
      </c>
      <c r="F47" s="43">
        <f>IFERROR(C47*'🏠 Mortgage vs Cash'!G8/12,0)</f>
        <v>6.6666666666666666E-2</v>
      </c>
      <c r="G47" s="62">
        <f t="shared" si="3"/>
        <v>9835260.3505289797</v>
      </c>
      <c r="H47" s="42">
        <f t="shared" si="4"/>
        <v>0</v>
      </c>
    </row>
    <row r="48" spans="2:8" ht="15.75" customHeight="1" x14ac:dyDescent="0.35">
      <c r="B48" s="63">
        <v>42</v>
      </c>
      <c r="C48" s="40">
        <f>CEILING(42/12,1)</f>
        <v>4</v>
      </c>
      <c r="D48" s="40">
        <f t="shared" si="5"/>
        <v>0</v>
      </c>
      <c r="E48" s="40">
        <f>IFERROR(IF(42&lt;='🏠 Mortgage vs Cash'!G9*12,'🏠 Mortgage vs Cash'!G13,0),0)</f>
        <v>9835260.4171956461</v>
      </c>
      <c r="F48" s="43">
        <f>IFERROR(C48*'🏠 Mortgage vs Cash'!G8/12,0)</f>
        <v>6.6666666666666666E-2</v>
      </c>
      <c r="G48" s="62">
        <f t="shared" si="3"/>
        <v>9835260.3505289797</v>
      </c>
      <c r="H48" s="40">
        <f t="shared" si="4"/>
        <v>0</v>
      </c>
    </row>
    <row r="49" spans="2:8" ht="15.75" customHeight="1" x14ac:dyDescent="0.35">
      <c r="B49" s="61">
        <v>43</v>
      </c>
      <c r="C49" s="42">
        <f>CEILING(43/12,1)</f>
        <v>4</v>
      </c>
      <c r="D49" s="42">
        <f t="shared" si="5"/>
        <v>0</v>
      </c>
      <c r="E49" s="42">
        <f>IFERROR(IF(43&lt;='🏠 Mortgage vs Cash'!G9*12,'🏠 Mortgage vs Cash'!G13,0),0)</f>
        <v>9835260.4171956461</v>
      </c>
      <c r="F49" s="43">
        <f>IFERROR(C49*'🏠 Mortgage vs Cash'!G8/12,0)</f>
        <v>6.6666666666666666E-2</v>
      </c>
      <c r="G49" s="62">
        <f t="shared" si="3"/>
        <v>9835260.3505289797</v>
      </c>
      <c r="H49" s="42">
        <f t="shared" si="4"/>
        <v>0</v>
      </c>
    </row>
    <row r="50" spans="2:8" ht="15.75" customHeight="1" x14ac:dyDescent="0.35">
      <c r="B50" s="63">
        <v>44</v>
      </c>
      <c r="C50" s="40">
        <f>CEILING(44/12,1)</f>
        <v>4</v>
      </c>
      <c r="D50" s="40">
        <f t="shared" si="5"/>
        <v>0</v>
      </c>
      <c r="E50" s="40">
        <f>IFERROR(IF(44&lt;='🏠 Mortgage vs Cash'!G9*12,'🏠 Mortgage vs Cash'!G13,0),0)</f>
        <v>9835260.4171956461</v>
      </c>
      <c r="F50" s="43">
        <f>IFERROR(C50*'🏠 Mortgage vs Cash'!G8/12,0)</f>
        <v>6.6666666666666666E-2</v>
      </c>
      <c r="G50" s="62">
        <f t="shared" si="3"/>
        <v>9835260.3505289797</v>
      </c>
      <c r="H50" s="40">
        <f t="shared" si="4"/>
        <v>0</v>
      </c>
    </row>
    <row r="51" spans="2:8" ht="15.75" customHeight="1" x14ac:dyDescent="0.35">
      <c r="B51" s="61">
        <v>45</v>
      </c>
      <c r="C51" s="42">
        <f>CEILING(45/12,1)</f>
        <v>4</v>
      </c>
      <c r="D51" s="42">
        <f t="shared" si="5"/>
        <v>0</v>
      </c>
      <c r="E51" s="42">
        <f>IFERROR(IF(45&lt;='🏠 Mortgage vs Cash'!G9*12,'🏠 Mortgage vs Cash'!G13,0),0)</f>
        <v>9835260.4171956461</v>
      </c>
      <c r="F51" s="43">
        <f>IFERROR(C51*'🏠 Mortgage vs Cash'!G8/12,0)</f>
        <v>6.6666666666666666E-2</v>
      </c>
      <c r="G51" s="62">
        <f t="shared" si="3"/>
        <v>9835260.3505289797</v>
      </c>
      <c r="H51" s="42">
        <f t="shared" si="4"/>
        <v>0</v>
      </c>
    </row>
    <row r="52" spans="2:8" ht="15.75" customHeight="1" x14ac:dyDescent="0.35">
      <c r="B52" s="63">
        <v>46</v>
      </c>
      <c r="C52" s="40">
        <f>CEILING(46/12,1)</f>
        <v>4</v>
      </c>
      <c r="D52" s="40">
        <f t="shared" si="5"/>
        <v>0</v>
      </c>
      <c r="E52" s="40">
        <f>IFERROR(IF(46&lt;='🏠 Mortgage vs Cash'!G9*12,'🏠 Mortgage vs Cash'!G13,0),0)</f>
        <v>9835260.4171956461</v>
      </c>
      <c r="F52" s="43">
        <f>IFERROR(C52*'🏠 Mortgage vs Cash'!G8/12,0)</f>
        <v>6.6666666666666666E-2</v>
      </c>
      <c r="G52" s="62">
        <f t="shared" si="3"/>
        <v>9835260.3505289797</v>
      </c>
      <c r="H52" s="40">
        <f t="shared" si="4"/>
        <v>0</v>
      </c>
    </row>
    <row r="53" spans="2:8" ht="15.75" customHeight="1" x14ac:dyDescent="0.35">
      <c r="B53" s="61">
        <v>47</v>
      </c>
      <c r="C53" s="42">
        <f>CEILING(47/12,1)</f>
        <v>4</v>
      </c>
      <c r="D53" s="42">
        <f t="shared" si="5"/>
        <v>0</v>
      </c>
      <c r="E53" s="42">
        <f>IFERROR(IF(47&lt;='🏠 Mortgage vs Cash'!G9*12,'🏠 Mortgage vs Cash'!G13,0),0)</f>
        <v>9835260.4171956461</v>
      </c>
      <c r="F53" s="43">
        <f>IFERROR(C53*'🏠 Mortgage vs Cash'!G8/12,0)</f>
        <v>6.6666666666666666E-2</v>
      </c>
      <c r="G53" s="62">
        <f t="shared" si="3"/>
        <v>9835260.3505289797</v>
      </c>
      <c r="H53" s="42">
        <f t="shared" si="4"/>
        <v>0</v>
      </c>
    </row>
    <row r="54" spans="2:8" ht="15.75" customHeight="1" x14ac:dyDescent="0.35">
      <c r="B54" s="63">
        <v>48</v>
      </c>
      <c r="C54" s="40">
        <f>CEILING(48/12,1)</f>
        <v>4</v>
      </c>
      <c r="D54" s="40">
        <f t="shared" si="5"/>
        <v>0</v>
      </c>
      <c r="E54" s="40">
        <f>IFERROR(IF(48&lt;='🏠 Mortgage vs Cash'!G9*12,'🏠 Mortgage vs Cash'!G13,0),0)</f>
        <v>9835260.4171956461</v>
      </c>
      <c r="F54" s="43">
        <f>IFERROR(C54*'🏠 Mortgage vs Cash'!G8/12,0)</f>
        <v>6.6666666666666666E-2</v>
      </c>
      <c r="G54" s="62">
        <f t="shared" si="3"/>
        <v>9835260.3505289797</v>
      </c>
      <c r="H54" s="40">
        <f t="shared" si="4"/>
        <v>0</v>
      </c>
    </row>
    <row r="55" spans="2:8" ht="15.75" customHeight="1" x14ac:dyDescent="0.35">
      <c r="B55" s="61">
        <v>49</v>
      </c>
      <c r="C55" s="42">
        <f>CEILING(49/12,1)</f>
        <v>5</v>
      </c>
      <c r="D55" s="42">
        <f t="shared" si="5"/>
        <v>0</v>
      </c>
      <c r="E55" s="42">
        <f>IFERROR(IF(49&lt;='🏠 Mortgage vs Cash'!G9*12,'🏠 Mortgage vs Cash'!G13,0),0)</f>
        <v>9835260.4171956461</v>
      </c>
      <c r="F55" s="43">
        <f>IFERROR(C55*'🏠 Mortgage vs Cash'!G8/12,0)</f>
        <v>8.3333333333333329E-2</v>
      </c>
      <c r="G55" s="62">
        <f t="shared" si="3"/>
        <v>9835260.3338623121</v>
      </c>
      <c r="H55" s="42">
        <f t="shared" si="4"/>
        <v>0</v>
      </c>
    </row>
    <row r="56" spans="2:8" ht="15.75" customHeight="1" x14ac:dyDescent="0.35">
      <c r="B56" s="63">
        <v>50</v>
      </c>
      <c r="C56" s="40">
        <f>CEILING(50/12,1)</f>
        <v>5</v>
      </c>
      <c r="D56" s="40">
        <f t="shared" si="5"/>
        <v>0</v>
      </c>
      <c r="E56" s="40">
        <f>IFERROR(IF(50&lt;='🏠 Mortgage vs Cash'!G9*12,'🏠 Mortgage vs Cash'!G13,0),0)</f>
        <v>9835260.4171956461</v>
      </c>
      <c r="F56" s="43">
        <f>IFERROR(C56*'🏠 Mortgage vs Cash'!G8/12,0)</f>
        <v>8.3333333333333329E-2</v>
      </c>
      <c r="G56" s="62">
        <f t="shared" si="3"/>
        <v>9835260.3338623121</v>
      </c>
      <c r="H56" s="40">
        <f t="shared" si="4"/>
        <v>0</v>
      </c>
    </row>
    <row r="57" spans="2:8" ht="15.75" customHeight="1" x14ac:dyDescent="0.35">
      <c r="B57" s="61">
        <v>51</v>
      </c>
      <c r="C57" s="42">
        <f>CEILING(51/12,1)</f>
        <v>5</v>
      </c>
      <c r="D57" s="42">
        <f t="shared" si="5"/>
        <v>0</v>
      </c>
      <c r="E57" s="42">
        <f>IFERROR(IF(51&lt;='🏠 Mortgage vs Cash'!G9*12,'🏠 Mortgage vs Cash'!G13,0),0)</f>
        <v>9835260.4171956461</v>
      </c>
      <c r="F57" s="43">
        <f>IFERROR(C57*'🏠 Mortgage vs Cash'!G8/12,0)</f>
        <v>8.3333333333333329E-2</v>
      </c>
      <c r="G57" s="62">
        <f t="shared" si="3"/>
        <v>9835260.3338623121</v>
      </c>
      <c r="H57" s="42">
        <f t="shared" si="4"/>
        <v>0</v>
      </c>
    </row>
    <row r="58" spans="2:8" ht="15.75" customHeight="1" x14ac:dyDescent="0.35">
      <c r="B58" s="63">
        <v>52</v>
      </c>
      <c r="C58" s="40">
        <f>CEILING(52/12,1)</f>
        <v>5</v>
      </c>
      <c r="D58" s="40">
        <f t="shared" si="5"/>
        <v>0</v>
      </c>
      <c r="E58" s="40">
        <f>IFERROR(IF(52&lt;='🏠 Mortgage vs Cash'!G9*12,'🏠 Mortgage vs Cash'!G13,0),0)</f>
        <v>9835260.4171956461</v>
      </c>
      <c r="F58" s="43">
        <f>IFERROR(C58*'🏠 Mortgage vs Cash'!G8/12,0)</f>
        <v>8.3333333333333329E-2</v>
      </c>
      <c r="G58" s="62">
        <f t="shared" si="3"/>
        <v>9835260.3338623121</v>
      </c>
      <c r="H58" s="40">
        <f t="shared" si="4"/>
        <v>0</v>
      </c>
    </row>
    <row r="59" spans="2:8" ht="15.75" customHeight="1" x14ac:dyDescent="0.35">
      <c r="B59" s="61">
        <v>53</v>
      </c>
      <c r="C59" s="42">
        <f>CEILING(53/12,1)</f>
        <v>5</v>
      </c>
      <c r="D59" s="42">
        <f t="shared" si="5"/>
        <v>0</v>
      </c>
      <c r="E59" s="42">
        <f>IFERROR(IF(53&lt;='🏠 Mortgage vs Cash'!G9*12,'🏠 Mortgage vs Cash'!G13,0),0)</f>
        <v>9835260.4171956461</v>
      </c>
      <c r="F59" s="43">
        <f>IFERROR(C59*'🏠 Mortgage vs Cash'!G8/12,0)</f>
        <v>8.3333333333333329E-2</v>
      </c>
      <c r="G59" s="62">
        <f t="shared" si="3"/>
        <v>9835260.3338623121</v>
      </c>
      <c r="H59" s="42">
        <f t="shared" si="4"/>
        <v>0</v>
      </c>
    </row>
    <row r="60" spans="2:8" ht="15.75" customHeight="1" x14ac:dyDescent="0.35">
      <c r="B60" s="63">
        <v>54</v>
      </c>
      <c r="C60" s="40">
        <f>CEILING(54/12,1)</f>
        <v>5</v>
      </c>
      <c r="D60" s="40">
        <f t="shared" si="5"/>
        <v>0</v>
      </c>
      <c r="E60" s="40">
        <f>IFERROR(IF(54&lt;='🏠 Mortgage vs Cash'!G9*12,'🏠 Mortgage vs Cash'!G13,0),0)</f>
        <v>9835260.4171956461</v>
      </c>
      <c r="F60" s="43">
        <f>IFERROR(C60*'🏠 Mortgage vs Cash'!G8/12,0)</f>
        <v>8.3333333333333329E-2</v>
      </c>
      <c r="G60" s="62">
        <f t="shared" si="3"/>
        <v>9835260.3338623121</v>
      </c>
      <c r="H60" s="40">
        <f t="shared" si="4"/>
        <v>0</v>
      </c>
    </row>
    <row r="61" spans="2:8" ht="15.75" customHeight="1" x14ac:dyDescent="0.35">
      <c r="B61" s="61">
        <v>55</v>
      </c>
      <c r="C61" s="42">
        <f>CEILING(55/12,1)</f>
        <v>5</v>
      </c>
      <c r="D61" s="42">
        <f t="shared" si="5"/>
        <v>0</v>
      </c>
      <c r="E61" s="42">
        <f>IFERROR(IF(55&lt;='🏠 Mortgage vs Cash'!G9*12,'🏠 Mortgage vs Cash'!G13,0),0)</f>
        <v>9835260.4171956461</v>
      </c>
      <c r="F61" s="43">
        <f>IFERROR(C61*'🏠 Mortgage vs Cash'!G8/12,0)</f>
        <v>8.3333333333333329E-2</v>
      </c>
      <c r="G61" s="62">
        <f t="shared" si="3"/>
        <v>9835260.3338623121</v>
      </c>
      <c r="H61" s="42">
        <f t="shared" si="4"/>
        <v>0</v>
      </c>
    </row>
    <row r="62" spans="2:8" ht="15.75" customHeight="1" x14ac:dyDescent="0.35">
      <c r="B62" s="63">
        <v>56</v>
      </c>
      <c r="C62" s="40">
        <f>CEILING(56/12,1)</f>
        <v>5</v>
      </c>
      <c r="D62" s="40">
        <f t="shared" si="5"/>
        <v>0</v>
      </c>
      <c r="E62" s="40">
        <f>IFERROR(IF(56&lt;='🏠 Mortgage vs Cash'!G9*12,'🏠 Mortgage vs Cash'!G13,0),0)</f>
        <v>9835260.4171956461</v>
      </c>
      <c r="F62" s="43">
        <f>IFERROR(C62*'🏠 Mortgage vs Cash'!G8/12,0)</f>
        <v>8.3333333333333329E-2</v>
      </c>
      <c r="G62" s="62">
        <f t="shared" si="3"/>
        <v>9835260.3338623121</v>
      </c>
      <c r="H62" s="40">
        <f t="shared" si="4"/>
        <v>0</v>
      </c>
    </row>
    <row r="63" spans="2:8" ht="15.75" customHeight="1" x14ac:dyDescent="0.35">
      <c r="B63" s="61">
        <v>57</v>
      </c>
      <c r="C63" s="42">
        <f>CEILING(57/12,1)</f>
        <v>5</v>
      </c>
      <c r="D63" s="42">
        <f t="shared" si="5"/>
        <v>0</v>
      </c>
      <c r="E63" s="42">
        <f>IFERROR(IF(57&lt;='🏠 Mortgage vs Cash'!G9*12,'🏠 Mortgage vs Cash'!G13,0),0)</f>
        <v>9835260.4171956461</v>
      </c>
      <c r="F63" s="43">
        <f>IFERROR(C63*'🏠 Mortgage vs Cash'!G8/12,0)</f>
        <v>8.3333333333333329E-2</v>
      </c>
      <c r="G63" s="62">
        <f t="shared" si="3"/>
        <v>9835260.3338623121</v>
      </c>
      <c r="H63" s="42">
        <f t="shared" si="4"/>
        <v>0</v>
      </c>
    </row>
    <row r="64" spans="2:8" ht="15.75" customHeight="1" x14ac:dyDescent="0.35">
      <c r="B64" s="63">
        <v>58</v>
      </c>
      <c r="C64" s="40">
        <f>CEILING(58/12,1)</f>
        <v>5</v>
      </c>
      <c r="D64" s="40">
        <f t="shared" si="5"/>
        <v>0</v>
      </c>
      <c r="E64" s="40">
        <f>IFERROR(IF(58&lt;='🏠 Mortgage vs Cash'!G9*12,'🏠 Mortgage vs Cash'!G13,0),0)</f>
        <v>9835260.4171956461</v>
      </c>
      <c r="F64" s="43">
        <f>IFERROR(C64*'🏠 Mortgage vs Cash'!G8/12,0)</f>
        <v>8.3333333333333329E-2</v>
      </c>
      <c r="G64" s="62">
        <f t="shared" si="3"/>
        <v>9835260.3338623121</v>
      </c>
      <c r="H64" s="40">
        <f t="shared" si="4"/>
        <v>0</v>
      </c>
    </row>
    <row r="65" spans="2:8" ht="15.75" customHeight="1" x14ac:dyDescent="0.35">
      <c r="B65" s="61">
        <v>59</v>
      </c>
      <c r="C65" s="42">
        <f>CEILING(59/12,1)</f>
        <v>5</v>
      </c>
      <c r="D65" s="42">
        <f t="shared" si="5"/>
        <v>0</v>
      </c>
      <c r="E65" s="42">
        <f>IFERROR(IF(59&lt;='🏠 Mortgage vs Cash'!G9*12,'🏠 Mortgage vs Cash'!G13,0),0)</f>
        <v>9835260.4171956461</v>
      </c>
      <c r="F65" s="43">
        <f>IFERROR(C65*'🏠 Mortgage vs Cash'!G8/12,0)</f>
        <v>8.3333333333333329E-2</v>
      </c>
      <c r="G65" s="62">
        <f t="shared" si="3"/>
        <v>9835260.3338623121</v>
      </c>
      <c r="H65" s="42">
        <f t="shared" si="4"/>
        <v>0</v>
      </c>
    </row>
    <row r="66" spans="2:8" ht="15.75" customHeight="1" x14ac:dyDescent="0.35">
      <c r="B66" s="63">
        <v>60</v>
      </c>
      <c r="C66" s="40">
        <f>CEILING(60/12,1)</f>
        <v>5</v>
      </c>
      <c r="D66" s="40">
        <f t="shared" si="5"/>
        <v>0</v>
      </c>
      <c r="E66" s="40">
        <f>IFERROR(IF(60&lt;='🏠 Mortgage vs Cash'!G9*12,'🏠 Mortgage vs Cash'!G13,0),0)</f>
        <v>9835260.4171956461</v>
      </c>
      <c r="F66" s="43">
        <f>IFERROR(C66*'🏠 Mortgage vs Cash'!G8/12,0)</f>
        <v>8.3333333333333329E-2</v>
      </c>
      <c r="G66" s="62">
        <f t="shared" si="3"/>
        <v>9835260.3338623121</v>
      </c>
      <c r="H66" s="40">
        <f t="shared" si="4"/>
        <v>0</v>
      </c>
    </row>
    <row r="67" spans="2:8" ht="15.75" customHeight="1" x14ac:dyDescent="0.35">
      <c r="B67" s="61">
        <v>61</v>
      </c>
      <c r="C67" s="42">
        <f>CEILING(61/12,1)</f>
        <v>6</v>
      </c>
      <c r="D67" s="42">
        <f t="shared" si="5"/>
        <v>0</v>
      </c>
      <c r="E67" s="42">
        <f>IFERROR(IF(61&lt;='🏠 Mortgage vs Cash'!G9*12,'🏠 Mortgage vs Cash'!G13,0),0)</f>
        <v>9835260.4171956461</v>
      </c>
      <c r="F67" s="43">
        <f>IFERROR(C67*'🏠 Mortgage vs Cash'!G8/12,0)</f>
        <v>0.10000000000000002</v>
      </c>
      <c r="G67" s="62">
        <f t="shared" si="3"/>
        <v>9835260.3171956465</v>
      </c>
      <c r="H67" s="42">
        <f t="shared" si="4"/>
        <v>0</v>
      </c>
    </row>
    <row r="68" spans="2:8" ht="15.75" customHeight="1" x14ac:dyDescent="0.35">
      <c r="B68" s="63">
        <v>62</v>
      </c>
      <c r="C68" s="40">
        <f>CEILING(62/12,1)</f>
        <v>6</v>
      </c>
      <c r="D68" s="40">
        <f t="shared" si="5"/>
        <v>0</v>
      </c>
      <c r="E68" s="40">
        <f>IFERROR(IF(62&lt;='🏠 Mortgage vs Cash'!G9*12,'🏠 Mortgage vs Cash'!G13,0),0)</f>
        <v>9835260.4171956461</v>
      </c>
      <c r="F68" s="43">
        <f>IFERROR(C68*'🏠 Mortgage vs Cash'!G8/12,0)</f>
        <v>0.10000000000000002</v>
      </c>
      <c r="G68" s="62">
        <f t="shared" si="3"/>
        <v>9835260.3171956465</v>
      </c>
      <c r="H68" s="40">
        <f t="shared" si="4"/>
        <v>0</v>
      </c>
    </row>
    <row r="69" spans="2:8" ht="15.75" customHeight="1" x14ac:dyDescent="0.35">
      <c r="B69" s="61">
        <v>63</v>
      </c>
      <c r="C69" s="42">
        <f>CEILING(63/12,1)</f>
        <v>6</v>
      </c>
      <c r="D69" s="42">
        <f t="shared" si="5"/>
        <v>0</v>
      </c>
      <c r="E69" s="42">
        <f>IFERROR(IF(63&lt;='🏠 Mortgage vs Cash'!G9*12,'🏠 Mortgage vs Cash'!G13,0),0)</f>
        <v>9835260.4171956461</v>
      </c>
      <c r="F69" s="43">
        <f>IFERROR(C69*'🏠 Mortgage vs Cash'!G8/12,0)</f>
        <v>0.10000000000000002</v>
      </c>
      <c r="G69" s="62">
        <f t="shared" si="3"/>
        <v>9835260.3171956465</v>
      </c>
      <c r="H69" s="42">
        <f t="shared" si="4"/>
        <v>0</v>
      </c>
    </row>
    <row r="70" spans="2:8" ht="15.75" customHeight="1" x14ac:dyDescent="0.35">
      <c r="B70" s="63">
        <v>64</v>
      </c>
      <c r="C70" s="40">
        <f>CEILING(64/12,1)</f>
        <v>6</v>
      </c>
      <c r="D70" s="40">
        <f t="shared" si="5"/>
        <v>0</v>
      </c>
      <c r="E70" s="40">
        <f>IFERROR(IF(64&lt;='🏠 Mortgage vs Cash'!G9*12,'🏠 Mortgage vs Cash'!G13,0),0)</f>
        <v>9835260.4171956461</v>
      </c>
      <c r="F70" s="43">
        <f>IFERROR(C70*'🏠 Mortgage vs Cash'!G8/12,0)</f>
        <v>0.10000000000000002</v>
      </c>
      <c r="G70" s="62">
        <f t="shared" si="3"/>
        <v>9835260.3171956465</v>
      </c>
      <c r="H70" s="40">
        <f t="shared" si="4"/>
        <v>0</v>
      </c>
    </row>
    <row r="71" spans="2:8" ht="15.75" customHeight="1" x14ac:dyDescent="0.35">
      <c r="B71" s="61">
        <v>65</v>
      </c>
      <c r="C71" s="42">
        <f>CEILING(65/12,1)</f>
        <v>6</v>
      </c>
      <c r="D71" s="42">
        <f t="shared" si="5"/>
        <v>0</v>
      </c>
      <c r="E71" s="42">
        <f>IFERROR(IF(65&lt;='🏠 Mortgage vs Cash'!G9*12,'🏠 Mortgage vs Cash'!G13,0),0)</f>
        <v>9835260.4171956461</v>
      </c>
      <c r="F71" s="43">
        <f>IFERROR(C71*'🏠 Mortgage vs Cash'!G8/12,0)</f>
        <v>0.10000000000000002</v>
      </c>
      <c r="G71" s="62">
        <f t="shared" ref="G71:G102" si="6">IFERROR(MAX(E71-F71,0),0)</f>
        <v>9835260.3171956465</v>
      </c>
      <c r="H71" s="42">
        <f t="shared" ref="H71:H102" si="7">IFERROR(MAX(C71-G71,0),0)</f>
        <v>0</v>
      </c>
    </row>
    <row r="72" spans="2:8" ht="15.75" customHeight="1" x14ac:dyDescent="0.35">
      <c r="B72" s="63">
        <v>66</v>
      </c>
      <c r="C72" s="40">
        <f>CEILING(66/12,1)</f>
        <v>6</v>
      </c>
      <c r="D72" s="40">
        <f t="shared" ref="D72:D103" si="8">IFERROR(MAX(H71,0),0)</f>
        <v>0</v>
      </c>
      <c r="E72" s="40">
        <f>IFERROR(IF(66&lt;='🏠 Mortgage vs Cash'!G9*12,'🏠 Mortgage vs Cash'!G13,0),0)</f>
        <v>9835260.4171956461</v>
      </c>
      <c r="F72" s="43">
        <f>IFERROR(C72*'🏠 Mortgage vs Cash'!G8/12,0)</f>
        <v>0.10000000000000002</v>
      </c>
      <c r="G72" s="62">
        <f t="shared" si="6"/>
        <v>9835260.3171956465</v>
      </c>
      <c r="H72" s="40">
        <f t="shared" si="7"/>
        <v>0</v>
      </c>
    </row>
    <row r="73" spans="2:8" ht="15.75" customHeight="1" x14ac:dyDescent="0.35">
      <c r="B73" s="61">
        <v>67</v>
      </c>
      <c r="C73" s="42">
        <f>CEILING(67/12,1)</f>
        <v>6</v>
      </c>
      <c r="D73" s="42">
        <f t="shared" si="8"/>
        <v>0</v>
      </c>
      <c r="E73" s="42">
        <f>IFERROR(IF(67&lt;='🏠 Mortgage vs Cash'!G9*12,'🏠 Mortgage vs Cash'!G13,0),0)</f>
        <v>9835260.4171956461</v>
      </c>
      <c r="F73" s="43">
        <f>IFERROR(C73*'🏠 Mortgage vs Cash'!G8/12,0)</f>
        <v>0.10000000000000002</v>
      </c>
      <c r="G73" s="62">
        <f t="shared" si="6"/>
        <v>9835260.3171956465</v>
      </c>
      <c r="H73" s="42">
        <f t="shared" si="7"/>
        <v>0</v>
      </c>
    </row>
    <row r="74" spans="2:8" ht="15.75" customHeight="1" x14ac:dyDescent="0.35">
      <c r="B74" s="63">
        <v>68</v>
      </c>
      <c r="C74" s="40">
        <f>CEILING(68/12,1)</f>
        <v>6</v>
      </c>
      <c r="D74" s="40">
        <f t="shared" si="8"/>
        <v>0</v>
      </c>
      <c r="E74" s="40">
        <f>IFERROR(IF(68&lt;='🏠 Mortgage vs Cash'!G9*12,'🏠 Mortgage vs Cash'!G13,0),0)</f>
        <v>9835260.4171956461</v>
      </c>
      <c r="F74" s="43">
        <f>IFERROR(C74*'🏠 Mortgage vs Cash'!G8/12,0)</f>
        <v>0.10000000000000002</v>
      </c>
      <c r="G74" s="62">
        <f t="shared" si="6"/>
        <v>9835260.3171956465</v>
      </c>
      <c r="H74" s="40">
        <f t="shared" si="7"/>
        <v>0</v>
      </c>
    </row>
    <row r="75" spans="2:8" ht="15.75" customHeight="1" x14ac:dyDescent="0.35">
      <c r="B75" s="61">
        <v>69</v>
      </c>
      <c r="C75" s="42">
        <f>CEILING(69/12,1)</f>
        <v>6</v>
      </c>
      <c r="D75" s="42">
        <f t="shared" si="8"/>
        <v>0</v>
      </c>
      <c r="E75" s="42">
        <f>IFERROR(IF(69&lt;='🏠 Mortgage vs Cash'!G9*12,'🏠 Mortgage vs Cash'!G13,0),0)</f>
        <v>9835260.4171956461</v>
      </c>
      <c r="F75" s="43">
        <f>IFERROR(C75*'🏠 Mortgage vs Cash'!G8/12,0)</f>
        <v>0.10000000000000002</v>
      </c>
      <c r="G75" s="62">
        <f t="shared" si="6"/>
        <v>9835260.3171956465</v>
      </c>
      <c r="H75" s="42">
        <f t="shared" si="7"/>
        <v>0</v>
      </c>
    </row>
    <row r="76" spans="2:8" ht="15.75" customHeight="1" x14ac:dyDescent="0.35">
      <c r="B76" s="63">
        <v>70</v>
      </c>
      <c r="C76" s="40">
        <f>CEILING(70/12,1)</f>
        <v>6</v>
      </c>
      <c r="D76" s="40">
        <f t="shared" si="8"/>
        <v>0</v>
      </c>
      <c r="E76" s="40">
        <f>IFERROR(IF(70&lt;='🏠 Mortgage vs Cash'!G9*12,'🏠 Mortgage vs Cash'!G13,0),0)</f>
        <v>9835260.4171956461</v>
      </c>
      <c r="F76" s="43">
        <f>IFERROR(C76*'🏠 Mortgage vs Cash'!G8/12,0)</f>
        <v>0.10000000000000002</v>
      </c>
      <c r="G76" s="62">
        <f t="shared" si="6"/>
        <v>9835260.3171956465</v>
      </c>
      <c r="H76" s="40">
        <f t="shared" si="7"/>
        <v>0</v>
      </c>
    </row>
    <row r="77" spans="2:8" ht="15.75" customHeight="1" x14ac:dyDescent="0.35">
      <c r="B77" s="61">
        <v>71</v>
      </c>
      <c r="C77" s="42">
        <f>CEILING(71/12,1)</f>
        <v>6</v>
      </c>
      <c r="D77" s="42">
        <f t="shared" si="8"/>
        <v>0</v>
      </c>
      <c r="E77" s="42">
        <f>IFERROR(IF(71&lt;='🏠 Mortgage vs Cash'!G9*12,'🏠 Mortgage vs Cash'!G13,0),0)</f>
        <v>9835260.4171956461</v>
      </c>
      <c r="F77" s="43">
        <f>IFERROR(C77*'🏠 Mortgage vs Cash'!G8/12,0)</f>
        <v>0.10000000000000002</v>
      </c>
      <c r="G77" s="62">
        <f t="shared" si="6"/>
        <v>9835260.3171956465</v>
      </c>
      <c r="H77" s="42">
        <f t="shared" si="7"/>
        <v>0</v>
      </c>
    </row>
    <row r="78" spans="2:8" ht="15.75" customHeight="1" x14ac:dyDescent="0.35">
      <c r="B78" s="63">
        <v>72</v>
      </c>
      <c r="C78" s="40">
        <f>CEILING(72/12,1)</f>
        <v>6</v>
      </c>
      <c r="D78" s="40">
        <f t="shared" si="8"/>
        <v>0</v>
      </c>
      <c r="E78" s="40">
        <f>IFERROR(IF(72&lt;='🏠 Mortgage vs Cash'!G9*12,'🏠 Mortgage vs Cash'!G13,0),0)</f>
        <v>9835260.4171956461</v>
      </c>
      <c r="F78" s="43">
        <f>IFERROR(C78*'🏠 Mortgage vs Cash'!G8/12,0)</f>
        <v>0.10000000000000002</v>
      </c>
      <c r="G78" s="62">
        <f t="shared" si="6"/>
        <v>9835260.3171956465</v>
      </c>
      <c r="H78" s="40">
        <f t="shared" si="7"/>
        <v>0</v>
      </c>
    </row>
    <row r="79" spans="2:8" ht="15.75" customHeight="1" x14ac:dyDescent="0.35">
      <c r="B79" s="61">
        <v>73</v>
      </c>
      <c r="C79" s="42">
        <f>CEILING(73/12,1)</f>
        <v>7</v>
      </c>
      <c r="D79" s="42">
        <f t="shared" si="8"/>
        <v>0</v>
      </c>
      <c r="E79" s="42">
        <f>IFERROR(IF(73&lt;='🏠 Mortgage vs Cash'!G9*12,'🏠 Mortgage vs Cash'!G13,0),0)</f>
        <v>9835260.4171956461</v>
      </c>
      <c r="F79" s="43">
        <f>IFERROR(C79*'🏠 Mortgage vs Cash'!G8/12,0)</f>
        <v>0.11666666666666668</v>
      </c>
      <c r="G79" s="62">
        <f t="shared" si="6"/>
        <v>9835260.3005289789</v>
      </c>
      <c r="H79" s="42">
        <f t="shared" si="7"/>
        <v>0</v>
      </c>
    </row>
    <row r="80" spans="2:8" ht="15.75" customHeight="1" x14ac:dyDescent="0.35">
      <c r="B80" s="63">
        <v>74</v>
      </c>
      <c r="C80" s="40">
        <f>CEILING(74/12,1)</f>
        <v>7</v>
      </c>
      <c r="D80" s="40">
        <f t="shared" si="8"/>
        <v>0</v>
      </c>
      <c r="E80" s="40">
        <f>IFERROR(IF(74&lt;='🏠 Mortgage vs Cash'!G9*12,'🏠 Mortgage vs Cash'!G13,0),0)</f>
        <v>9835260.4171956461</v>
      </c>
      <c r="F80" s="43">
        <f>IFERROR(C80*'🏠 Mortgage vs Cash'!G8/12,0)</f>
        <v>0.11666666666666668</v>
      </c>
      <c r="G80" s="62">
        <f t="shared" si="6"/>
        <v>9835260.3005289789</v>
      </c>
      <c r="H80" s="40">
        <f t="shared" si="7"/>
        <v>0</v>
      </c>
    </row>
    <row r="81" spans="2:8" ht="15.75" customHeight="1" x14ac:dyDescent="0.35">
      <c r="B81" s="61">
        <v>75</v>
      </c>
      <c r="C81" s="42">
        <f>CEILING(75/12,1)</f>
        <v>7</v>
      </c>
      <c r="D81" s="42">
        <f t="shared" si="8"/>
        <v>0</v>
      </c>
      <c r="E81" s="42">
        <f>IFERROR(IF(75&lt;='🏠 Mortgage vs Cash'!G9*12,'🏠 Mortgage vs Cash'!G13,0),0)</f>
        <v>9835260.4171956461</v>
      </c>
      <c r="F81" s="43">
        <f>IFERROR(C81*'🏠 Mortgage vs Cash'!G8/12,0)</f>
        <v>0.11666666666666668</v>
      </c>
      <c r="G81" s="62">
        <f t="shared" si="6"/>
        <v>9835260.3005289789</v>
      </c>
      <c r="H81" s="42">
        <f t="shared" si="7"/>
        <v>0</v>
      </c>
    </row>
    <row r="82" spans="2:8" ht="15.75" customHeight="1" x14ac:dyDescent="0.35">
      <c r="B82" s="63">
        <v>76</v>
      </c>
      <c r="C82" s="40">
        <f>CEILING(76/12,1)</f>
        <v>7</v>
      </c>
      <c r="D82" s="40">
        <f t="shared" si="8"/>
        <v>0</v>
      </c>
      <c r="E82" s="40">
        <f>IFERROR(IF(76&lt;='🏠 Mortgage vs Cash'!G9*12,'🏠 Mortgage vs Cash'!G13,0),0)</f>
        <v>9835260.4171956461</v>
      </c>
      <c r="F82" s="43">
        <f>IFERROR(C82*'🏠 Mortgage vs Cash'!G8/12,0)</f>
        <v>0.11666666666666668</v>
      </c>
      <c r="G82" s="62">
        <f t="shared" si="6"/>
        <v>9835260.3005289789</v>
      </c>
      <c r="H82" s="40">
        <f t="shared" si="7"/>
        <v>0</v>
      </c>
    </row>
    <row r="83" spans="2:8" ht="15.75" customHeight="1" x14ac:dyDescent="0.35">
      <c r="B83" s="61">
        <v>77</v>
      </c>
      <c r="C83" s="42">
        <f>CEILING(77/12,1)</f>
        <v>7</v>
      </c>
      <c r="D83" s="42">
        <f t="shared" si="8"/>
        <v>0</v>
      </c>
      <c r="E83" s="42">
        <f>IFERROR(IF(77&lt;='🏠 Mortgage vs Cash'!G9*12,'🏠 Mortgage vs Cash'!G13,0),0)</f>
        <v>9835260.4171956461</v>
      </c>
      <c r="F83" s="43">
        <f>IFERROR(C83*'🏠 Mortgage vs Cash'!G8/12,0)</f>
        <v>0.11666666666666668</v>
      </c>
      <c r="G83" s="62">
        <f t="shared" si="6"/>
        <v>9835260.3005289789</v>
      </c>
      <c r="H83" s="42">
        <f t="shared" si="7"/>
        <v>0</v>
      </c>
    </row>
    <row r="84" spans="2:8" ht="15.75" customHeight="1" x14ac:dyDescent="0.35">
      <c r="B84" s="63">
        <v>78</v>
      </c>
      <c r="C84" s="40">
        <f>CEILING(78/12,1)</f>
        <v>7</v>
      </c>
      <c r="D84" s="40">
        <f t="shared" si="8"/>
        <v>0</v>
      </c>
      <c r="E84" s="40">
        <f>IFERROR(IF(78&lt;='🏠 Mortgage vs Cash'!G9*12,'🏠 Mortgage vs Cash'!G13,0),0)</f>
        <v>9835260.4171956461</v>
      </c>
      <c r="F84" s="43">
        <f>IFERROR(C84*'🏠 Mortgage vs Cash'!G8/12,0)</f>
        <v>0.11666666666666668</v>
      </c>
      <c r="G84" s="62">
        <f t="shared" si="6"/>
        <v>9835260.3005289789</v>
      </c>
      <c r="H84" s="40">
        <f t="shared" si="7"/>
        <v>0</v>
      </c>
    </row>
    <row r="85" spans="2:8" ht="15.75" customHeight="1" x14ac:dyDescent="0.35">
      <c r="B85" s="61">
        <v>79</v>
      </c>
      <c r="C85" s="42">
        <f>CEILING(79/12,1)</f>
        <v>7</v>
      </c>
      <c r="D85" s="42">
        <f t="shared" si="8"/>
        <v>0</v>
      </c>
      <c r="E85" s="42">
        <f>IFERROR(IF(79&lt;='🏠 Mortgage vs Cash'!G9*12,'🏠 Mortgage vs Cash'!G13,0),0)</f>
        <v>9835260.4171956461</v>
      </c>
      <c r="F85" s="43">
        <f>IFERROR(C85*'🏠 Mortgage vs Cash'!G8/12,0)</f>
        <v>0.11666666666666668</v>
      </c>
      <c r="G85" s="62">
        <f t="shared" si="6"/>
        <v>9835260.3005289789</v>
      </c>
      <c r="H85" s="42">
        <f t="shared" si="7"/>
        <v>0</v>
      </c>
    </row>
    <row r="86" spans="2:8" ht="15.75" customHeight="1" x14ac:dyDescent="0.35">
      <c r="B86" s="63">
        <v>80</v>
      </c>
      <c r="C86" s="40">
        <f>CEILING(80/12,1)</f>
        <v>7</v>
      </c>
      <c r="D86" s="40">
        <f t="shared" si="8"/>
        <v>0</v>
      </c>
      <c r="E86" s="40">
        <f>IFERROR(IF(80&lt;='🏠 Mortgage vs Cash'!G9*12,'🏠 Mortgage vs Cash'!G13,0),0)</f>
        <v>9835260.4171956461</v>
      </c>
      <c r="F86" s="43">
        <f>IFERROR(C86*'🏠 Mortgage vs Cash'!G8/12,0)</f>
        <v>0.11666666666666668</v>
      </c>
      <c r="G86" s="62">
        <f t="shared" si="6"/>
        <v>9835260.3005289789</v>
      </c>
      <c r="H86" s="40">
        <f t="shared" si="7"/>
        <v>0</v>
      </c>
    </row>
    <row r="87" spans="2:8" ht="15.75" customHeight="1" x14ac:dyDescent="0.35">
      <c r="B87" s="61">
        <v>81</v>
      </c>
      <c r="C87" s="42">
        <f>CEILING(81/12,1)</f>
        <v>7</v>
      </c>
      <c r="D87" s="42">
        <f t="shared" si="8"/>
        <v>0</v>
      </c>
      <c r="E87" s="42">
        <f>IFERROR(IF(81&lt;='🏠 Mortgage vs Cash'!G9*12,'🏠 Mortgage vs Cash'!G13,0),0)</f>
        <v>9835260.4171956461</v>
      </c>
      <c r="F87" s="43">
        <f>IFERROR(C87*'🏠 Mortgage vs Cash'!G8/12,0)</f>
        <v>0.11666666666666668</v>
      </c>
      <c r="G87" s="62">
        <f t="shared" si="6"/>
        <v>9835260.3005289789</v>
      </c>
      <c r="H87" s="42">
        <f t="shared" si="7"/>
        <v>0</v>
      </c>
    </row>
    <row r="88" spans="2:8" ht="15.75" customHeight="1" x14ac:dyDescent="0.35">
      <c r="B88" s="63">
        <v>82</v>
      </c>
      <c r="C88" s="40">
        <f>CEILING(82/12,1)</f>
        <v>7</v>
      </c>
      <c r="D88" s="40">
        <f t="shared" si="8"/>
        <v>0</v>
      </c>
      <c r="E88" s="40">
        <f>IFERROR(IF(82&lt;='🏠 Mortgage vs Cash'!G9*12,'🏠 Mortgage vs Cash'!G13,0),0)</f>
        <v>9835260.4171956461</v>
      </c>
      <c r="F88" s="43">
        <f>IFERROR(C88*'🏠 Mortgage vs Cash'!G8/12,0)</f>
        <v>0.11666666666666668</v>
      </c>
      <c r="G88" s="62">
        <f t="shared" si="6"/>
        <v>9835260.3005289789</v>
      </c>
      <c r="H88" s="40">
        <f t="shared" si="7"/>
        <v>0</v>
      </c>
    </row>
    <row r="89" spans="2:8" ht="15.75" customHeight="1" x14ac:dyDescent="0.35">
      <c r="B89" s="61">
        <v>83</v>
      </c>
      <c r="C89" s="42">
        <f>CEILING(83/12,1)</f>
        <v>7</v>
      </c>
      <c r="D89" s="42">
        <f t="shared" si="8"/>
        <v>0</v>
      </c>
      <c r="E89" s="42">
        <f>IFERROR(IF(83&lt;='🏠 Mortgage vs Cash'!G9*12,'🏠 Mortgage vs Cash'!G13,0),0)</f>
        <v>9835260.4171956461</v>
      </c>
      <c r="F89" s="43">
        <f>IFERROR(C89*'🏠 Mortgage vs Cash'!G8/12,0)</f>
        <v>0.11666666666666668</v>
      </c>
      <c r="G89" s="62">
        <f t="shared" si="6"/>
        <v>9835260.3005289789</v>
      </c>
      <c r="H89" s="42">
        <f t="shared" si="7"/>
        <v>0</v>
      </c>
    </row>
    <row r="90" spans="2:8" ht="15.75" customHeight="1" x14ac:dyDescent="0.35">
      <c r="B90" s="63">
        <v>84</v>
      </c>
      <c r="C90" s="40">
        <f>CEILING(84/12,1)</f>
        <v>7</v>
      </c>
      <c r="D90" s="40">
        <f t="shared" si="8"/>
        <v>0</v>
      </c>
      <c r="E90" s="40">
        <f>IFERROR(IF(84&lt;='🏠 Mortgage vs Cash'!G9*12,'🏠 Mortgage vs Cash'!G13,0),0)</f>
        <v>9835260.4171956461</v>
      </c>
      <c r="F90" s="43">
        <f>IFERROR(C90*'🏠 Mortgage vs Cash'!G8/12,0)</f>
        <v>0.11666666666666668</v>
      </c>
      <c r="G90" s="62">
        <f t="shared" si="6"/>
        <v>9835260.3005289789</v>
      </c>
      <c r="H90" s="40">
        <f t="shared" si="7"/>
        <v>0</v>
      </c>
    </row>
    <row r="91" spans="2:8" ht="15.75" customHeight="1" x14ac:dyDescent="0.35">
      <c r="B91" s="61">
        <v>85</v>
      </c>
      <c r="C91" s="42">
        <f>CEILING(85/12,1)</f>
        <v>8</v>
      </c>
      <c r="D91" s="42">
        <f t="shared" si="8"/>
        <v>0</v>
      </c>
      <c r="E91" s="42">
        <f>IFERROR(IF(85&lt;='🏠 Mortgage vs Cash'!G9*12,'🏠 Mortgage vs Cash'!G13,0),0)</f>
        <v>9835260.4171956461</v>
      </c>
      <c r="F91" s="43">
        <f>IFERROR(C91*'🏠 Mortgage vs Cash'!G8/12,0)</f>
        <v>0.13333333333333333</v>
      </c>
      <c r="G91" s="62">
        <f t="shared" si="6"/>
        <v>9835260.2838623133</v>
      </c>
      <c r="H91" s="42">
        <f t="shared" si="7"/>
        <v>0</v>
      </c>
    </row>
    <row r="92" spans="2:8" ht="15.75" customHeight="1" x14ac:dyDescent="0.35">
      <c r="B92" s="63">
        <v>86</v>
      </c>
      <c r="C92" s="40">
        <f>CEILING(86/12,1)</f>
        <v>8</v>
      </c>
      <c r="D92" s="40">
        <f t="shared" si="8"/>
        <v>0</v>
      </c>
      <c r="E92" s="40">
        <f>IFERROR(IF(86&lt;='🏠 Mortgage vs Cash'!G9*12,'🏠 Mortgage vs Cash'!G13,0),0)</f>
        <v>9835260.4171956461</v>
      </c>
      <c r="F92" s="43">
        <f>IFERROR(C92*'🏠 Mortgage vs Cash'!G8/12,0)</f>
        <v>0.13333333333333333</v>
      </c>
      <c r="G92" s="62">
        <f t="shared" si="6"/>
        <v>9835260.2838623133</v>
      </c>
      <c r="H92" s="40">
        <f t="shared" si="7"/>
        <v>0</v>
      </c>
    </row>
    <row r="93" spans="2:8" ht="15.75" customHeight="1" x14ac:dyDescent="0.35">
      <c r="B93" s="61">
        <v>87</v>
      </c>
      <c r="C93" s="42">
        <f>CEILING(87/12,1)</f>
        <v>8</v>
      </c>
      <c r="D93" s="42">
        <f t="shared" si="8"/>
        <v>0</v>
      </c>
      <c r="E93" s="42">
        <f>IFERROR(IF(87&lt;='🏠 Mortgage vs Cash'!G9*12,'🏠 Mortgage vs Cash'!G13,0),0)</f>
        <v>9835260.4171956461</v>
      </c>
      <c r="F93" s="43">
        <f>IFERROR(C93*'🏠 Mortgage vs Cash'!G8/12,0)</f>
        <v>0.13333333333333333</v>
      </c>
      <c r="G93" s="62">
        <f t="shared" si="6"/>
        <v>9835260.2838623133</v>
      </c>
      <c r="H93" s="42">
        <f t="shared" si="7"/>
        <v>0</v>
      </c>
    </row>
    <row r="94" spans="2:8" ht="15.75" customHeight="1" x14ac:dyDescent="0.35">
      <c r="B94" s="63">
        <v>88</v>
      </c>
      <c r="C94" s="40">
        <f>CEILING(88/12,1)</f>
        <v>8</v>
      </c>
      <c r="D94" s="40">
        <f t="shared" si="8"/>
        <v>0</v>
      </c>
      <c r="E94" s="40">
        <f>IFERROR(IF(88&lt;='🏠 Mortgage vs Cash'!G9*12,'🏠 Mortgage vs Cash'!G13,0),0)</f>
        <v>9835260.4171956461</v>
      </c>
      <c r="F94" s="43">
        <f>IFERROR(C94*'🏠 Mortgage vs Cash'!G8/12,0)</f>
        <v>0.13333333333333333</v>
      </c>
      <c r="G94" s="62">
        <f t="shared" si="6"/>
        <v>9835260.2838623133</v>
      </c>
      <c r="H94" s="40">
        <f t="shared" si="7"/>
        <v>0</v>
      </c>
    </row>
    <row r="95" spans="2:8" ht="15.75" customHeight="1" x14ac:dyDescent="0.35">
      <c r="B95" s="61">
        <v>89</v>
      </c>
      <c r="C95" s="42">
        <f>CEILING(89/12,1)</f>
        <v>8</v>
      </c>
      <c r="D95" s="42">
        <f t="shared" si="8"/>
        <v>0</v>
      </c>
      <c r="E95" s="42">
        <f>IFERROR(IF(89&lt;='🏠 Mortgage vs Cash'!G9*12,'🏠 Mortgage vs Cash'!G13,0),0)</f>
        <v>9835260.4171956461</v>
      </c>
      <c r="F95" s="43">
        <f>IFERROR(C95*'🏠 Mortgage vs Cash'!G8/12,0)</f>
        <v>0.13333333333333333</v>
      </c>
      <c r="G95" s="62">
        <f t="shared" si="6"/>
        <v>9835260.2838623133</v>
      </c>
      <c r="H95" s="42">
        <f t="shared" si="7"/>
        <v>0</v>
      </c>
    </row>
    <row r="96" spans="2:8" ht="15.75" customHeight="1" x14ac:dyDescent="0.35">
      <c r="B96" s="63">
        <v>90</v>
      </c>
      <c r="C96" s="40">
        <f>CEILING(90/12,1)</f>
        <v>8</v>
      </c>
      <c r="D96" s="40">
        <f t="shared" si="8"/>
        <v>0</v>
      </c>
      <c r="E96" s="40">
        <f>IFERROR(IF(90&lt;='🏠 Mortgage vs Cash'!G9*12,'🏠 Mortgage vs Cash'!G13,0),0)</f>
        <v>9835260.4171956461</v>
      </c>
      <c r="F96" s="43">
        <f>IFERROR(C96*'🏠 Mortgage vs Cash'!G8/12,0)</f>
        <v>0.13333333333333333</v>
      </c>
      <c r="G96" s="62">
        <f t="shared" si="6"/>
        <v>9835260.2838623133</v>
      </c>
      <c r="H96" s="40">
        <f t="shared" si="7"/>
        <v>0</v>
      </c>
    </row>
    <row r="97" spans="2:8" ht="15.75" customHeight="1" x14ac:dyDescent="0.35">
      <c r="B97" s="61">
        <v>91</v>
      </c>
      <c r="C97" s="42">
        <f>CEILING(91/12,1)</f>
        <v>8</v>
      </c>
      <c r="D97" s="42">
        <f t="shared" si="8"/>
        <v>0</v>
      </c>
      <c r="E97" s="42">
        <f>IFERROR(IF(91&lt;='🏠 Mortgage vs Cash'!G9*12,'🏠 Mortgage vs Cash'!G13,0),0)</f>
        <v>9835260.4171956461</v>
      </c>
      <c r="F97" s="43">
        <f>IFERROR(C97*'🏠 Mortgage vs Cash'!G8/12,0)</f>
        <v>0.13333333333333333</v>
      </c>
      <c r="G97" s="62">
        <f t="shared" si="6"/>
        <v>9835260.2838623133</v>
      </c>
      <c r="H97" s="42">
        <f t="shared" si="7"/>
        <v>0</v>
      </c>
    </row>
    <row r="98" spans="2:8" ht="15.75" customHeight="1" x14ac:dyDescent="0.35">
      <c r="B98" s="63">
        <v>92</v>
      </c>
      <c r="C98" s="40">
        <f>CEILING(92/12,1)</f>
        <v>8</v>
      </c>
      <c r="D98" s="40">
        <f t="shared" si="8"/>
        <v>0</v>
      </c>
      <c r="E98" s="40">
        <f>IFERROR(IF(92&lt;='🏠 Mortgage vs Cash'!G9*12,'🏠 Mortgage vs Cash'!G13,0),0)</f>
        <v>9835260.4171956461</v>
      </c>
      <c r="F98" s="43">
        <f>IFERROR(C98*'🏠 Mortgage vs Cash'!G8/12,0)</f>
        <v>0.13333333333333333</v>
      </c>
      <c r="G98" s="62">
        <f t="shared" si="6"/>
        <v>9835260.2838623133</v>
      </c>
      <c r="H98" s="40">
        <f t="shared" si="7"/>
        <v>0</v>
      </c>
    </row>
    <row r="99" spans="2:8" ht="15.75" customHeight="1" x14ac:dyDescent="0.35">
      <c r="B99" s="61">
        <v>93</v>
      </c>
      <c r="C99" s="42">
        <f>CEILING(93/12,1)</f>
        <v>8</v>
      </c>
      <c r="D99" s="42">
        <f t="shared" si="8"/>
        <v>0</v>
      </c>
      <c r="E99" s="42">
        <f>IFERROR(IF(93&lt;='🏠 Mortgage vs Cash'!G9*12,'🏠 Mortgage vs Cash'!G13,0),0)</f>
        <v>9835260.4171956461</v>
      </c>
      <c r="F99" s="43">
        <f>IFERROR(C99*'🏠 Mortgage vs Cash'!G8/12,0)</f>
        <v>0.13333333333333333</v>
      </c>
      <c r="G99" s="62">
        <f t="shared" si="6"/>
        <v>9835260.2838623133</v>
      </c>
      <c r="H99" s="42">
        <f t="shared" si="7"/>
        <v>0</v>
      </c>
    </row>
    <row r="100" spans="2:8" ht="15.75" customHeight="1" x14ac:dyDescent="0.35">
      <c r="B100" s="63">
        <v>94</v>
      </c>
      <c r="C100" s="40">
        <f>CEILING(94/12,1)</f>
        <v>8</v>
      </c>
      <c r="D100" s="40">
        <f t="shared" si="8"/>
        <v>0</v>
      </c>
      <c r="E100" s="40">
        <f>IFERROR(IF(94&lt;='🏠 Mortgage vs Cash'!G9*12,'🏠 Mortgage vs Cash'!G13,0),0)</f>
        <v>9835260.4171956461</v>
      </c>
      <c r="F100" s="43">
        <f>IFERROR(C100*'🏠 Mortgage vs Cash'!G8/12,0)</f>
        <v>0.13333333333333333</v>
      </c>
      <c r="G100" s="62">
        <f t="shared" si="6"/>
        <v>9835260.2838623133</v>
      </c>
      <c r="H100" s="40">
        <f t="shared" si="7"/>
        <v>0</v>
      </c>
    </row>
    <row r="101" spans="2:8" ht="15.75" customHeight="1" x14ac:dyDescent="0.35">
      <c r="B101" s="61">
        <v>95</v>
      </c>
      <c r="C101" s="42">
        <f>CEILING(95/12,1)</f>
        <v>8</v>
      </c>
      <c r="D101" s="42">
        <f t="shared" si="8"/>
        <v>0</v>
      </c>
      <c r="E101" s="42">
        <f>IFERROR(IF(95&lt;='🏠 Mortgage vs Cash'!G9*12,'🏠 Mortgage vs Cash'!G13,0),0)</f>
        <v>9835260.4171956461</v>
      </c>
      <c r="F101" s="43">
        <f>IFERROR(C101*'🏠 Mortgage vs Cash'!G8/12,0)</f>
        <v>0.13333333333333333</v>
      </c>
      <c r="G101" s="62">
        <f t="shared" si="6"/>
        <v>9835260.2838623133</v>
      </c>
      <c r="H101" s="42">
        <f t="shared" si="7"/>
        <v>0</v>
      </c>
    </row>
    <row r="102" spans="2:8" ht="15.75" customHeight="1" x14ac:dyDescent="0.35">
      <c r="B102" s="63">
        <v>96</v>
      </c>
      <c r="C102" s="40">
        <f>CEILING(96/12,1)</f>
        <v>8</v>
      </c>
      <c r="D102" s="40">
        <f t="shared" si="8"/>
        <v>0</v>
      </c>
      <c r="E102" s="40">
        <f>IFERROR(IF(96&lt;='🏠 Mortgage vs Cash'!G9*12,'🏠 Mortgage vs Cash'!G13,0),0)</f>
        <v>9835260.4171956461</v>
      </c>
      <c r="F102" s="43">
        <f>IFERROR(C102*'🏠 Mortgage vs Cash'!G8/12,0)</f>
        <v>0.13333333333333333</v>
      </c>
      <c r="G102" s="62">
        <f t="shared" si="6"/>
        <v>9835260.2838623133</v>
      </c>
      <c r="H102" s="40">
        <f t="shared" si="7"/>
        <v>0</v>
      </c>
    </row>
    <row r="103" spans="2:8" ht="15.75" customHeight="1" x14ac:dyDescent="0.35">
      <c r="B103" s="61">
        <v>97</v>
      </c>
      <c r="C103" s="42">
        <f>CEILING(97/12,1)</f>
        <v>9</v>
      </c>
      <c r="D103" s="42">
        <f t="shared" si="8"/>
        <v>0</v>
      </c>
      <c r="E103" s="42">
        <f>IFERROR(IF(97&lt;='🏠 Mortgage vs Cash'!G9*12,'🏠 Mortgage vs Cash'!G13,0),0)</f>
        <v>9835260.4171956461</v>
      </c>
      <c r="F103" s="43">
        <f>IFERROR(C103*'🏠 Mortgage vs Cash'!G8/12,0)</f>
        <v>0.15</v>
      </c>
      <c r="G103" s="62">
        <f t="shared" ref="G103:G134" si="9">IFERROR(MAX(E103-F103,0),0)</f>
        <v>9835260.2671956457</v>
      </c>
      <c r="H103" s="42">
        <f t="shared" ref="H103:H134" si="10">IFERROR(MAX(C103-G103,0),0)</f>
        <v>0</v>
      </c>
    </row>
    <row r="104" spans="2:8" ht="15.75" customHeight="1" x14ac:dyDescent="0.35">
      <c r="B104" s="63">
        <v>98</v>
      </c>
      <c r="C104" s="40">
        <f>CEILING(98/12,1)</f>
        <v>9</v>
      </c>
      <c r="D104" s="40">
        <f t="shared" ref="D104:D135" si="11">IFERROR(MAX(H103,0),0)</f>
        <v>0</v>
      </c>
      <c r="E104" s="40">
        <f>IFERROR(IF(98&lt;='🏠 Mortgage vs Cash'!G9*12,'🏠 Mortgage vs Cash'!G13,0),0)</f>
        <v>9835260.4171956461</v>
      </c>
      <c r="F104" s="43">
        <f>IFERROR(C104*'🏠 Mortgage vs Cash'!G8/12,0)</f>
        <v>0.15</v>
      </c>
      <c r="G104" s="62">
        <f t="shared" si="9"/>
        <v>9835260.2671956457</v>
      </c>
      <c r="H104" s="40">
        <f t="shared" si="10"/>
        <v>0</v>
      </c>
    </row>
    <row r="105" spans="2:8" ht="15.75" customHeight="1" x14ac:dyDescent="0.35">
      <c r="B105" s="61">
        <v>99</v>
      </c>
      <c r="C105" s="42">
        <f>CEILING(99/12,1)</f>
        <v>9</v>
      </c>
      <c r="D105" s="42">
        <f t="shared" si="11"/>
        <v>0</v>
      </c>
      <c r="E105" s="42">
        <f>IFERROR(IF(99&lt;='🏠 Mortgage vs Cash'!G9*12,'🏠 Mortgage vs Cash'!G13,0),0)</f>
        <v>9835260.4171956461</v>
      </c>
      <c r="F105" s="43">
        <f>IFERROR(C105*'🏠 Mortgage vs Cash'!G8/12,0)</f>
        <v>0.15</v>
      </c>
      <c r="G105" s="62">
        <f t="shared" si="9"/>
        <v>9835260.2671956457</v>
      </c>
      <c r="H105" s="42">
        <f t="shared" si="10"/>
        <v>0</v>
      </c>
    </row>
    <row r="106" spans="2:8" ht="15.75" customHeight="1" x14ac:dyDescent="0.35">
      <c r="B106" s="63">
        <v>100</v>
      </c>
      <c r="C106" s="40">
        <f>CEILING(100/12,1)</f>
        <v>9</v>
      </c>
      <c r="D106" s="40">
        <f t="shared" si="11"/>
        <v>0</v>
      </c>
      <c r="E106" s="40">
        <f>IFERROR(IF(100&lt;='🏠 Mortgage vs Cash'!G9*12,'🏠 Mortgage vs Cash'!G13,0),0)</f>
        <v>9835260.4171956461</v>
      </c>
      <c r="F106" s="43">
        <f>IFERROR(C106*'🏠 Mortgage vs Cash'!G8/12,0)</f>
        <v>0.15</v>
      </c>
      <c r="G106" s="62">
        <f t="shared" si="9"/>
        <v>9835260.2671956457</v>
      </c>
      <c r="H106" s="40">
        <f t="shared" si="10"/>
        <v>0</v>
      </c>
    </row>
    <row r="107" spans="2:8" ht="15.75" customHeight="1" x14ac:dyDescent="0.35">
      <c r="B107" s="61">
        <v>101</v>
      </c>
      <c r="C107" s="42">
        <f>CEILING(101/12,1)</f>
        <v>9</v>
      </c>
      <c r="D107" s="42">
        <f t="shared" si="11"/>
        <v>0</v>
      </c>
      <c r="E107" s="42">
        <f>IFERROR(IF(101&lt;='🏠 Mortgage vs Cash'!G9*12,'🏠 Mortgage vs Cash'!G13,0),0)</f>
        <v>9835260.4171956461</v>
      </c>
      <c r="F107" s="43">
        <f>IFERROR(C107*'🏠 Mortgage vs Cash'!G8/12,0)</f>
        <v>0.15</v>
      </c>
      <c r="G107" s="62">
        <f t="shared" si="9"/>
        <v>9835260.2671956457</v>
      </c>
      <c r="H107" s="42">
        <f t="shared" si="10"/>
        <v>0</v>
      </c>
    </row>
    <row r="108" spans="2:8" ht="15.75" customHeight="1" x14ac:dyDescent="0.35">
      <c r="B108" s="63">
        <v>102</v>
      </c>
      <c r="C108" s="40">
        <f>CEILING(102/12,1)</f>
        <v>9</v>
      </c>
      <c r="D108" s="40">
        <f t="shared" si="11"/>
        <v>0</v>
      </c>
      <c r="E108" s="40">
        <f>IFERROR(IF(102&lt;='🏠 Mortgage vs Cash'!G9*12,'🏠 Mortgage vs Cash'!G13,0),0)</f>
        <v>9835260.4171956461</v>
      </c>
      <c r="F108" s="43">
        <f>IFERROR(C108*'🏠 Mortgage vs Cash'!G8/12,0)</f>
        <v>0.15</v>
      </c>
      <c r="G108" s="62">
        <f t="shared" si="9"/>
        <v>9835260.2671956457</v>
      </c>
      <c r="H108" s="40">
        <f t="shared" si="10"/>
        <v>0</v>
      </c>
    </row>
    <row r="109" spans="2:8" ht="15.75" customHeight="1" x14ac:dyDescent="0.35">
      <c r="B109" s="61">
        <v>103</v>
      </c>
      <c r="C109" s="42">
        <f>CEILING(103/12,1)</f>
        <v>9</v>
      </c>
      <c r="D109" s="42">
        <f t="shared" si="11"/>
        <v>0</v>
      </c>
      <c r="E109" s="42">
        <f>IFERROR(IF(103&lt;='🏠 Mortgage vs Cash'!G9*12,'🏠 Mortgage vs Cash'!G13,0),0)</f>
        <v>9835260.4171956461</v>
      </c>
      <c r="F109" s="43">
        <f>IFERROR(C109*'🏠 Mortgage vs Cash'!G8/12,0)</f>
        <v>0.15</v>
      </c>
      <c r="G109" s="62">
        <f t="shared" si="9"/>
        <v>9835260.2671956457</v>
      </c>
      <c r="H109" s="42">
        <f t="shared" si="10"/>
        <v>0</v>
      </c>
    </row>
    <row r="110" spans="2:8" ht="15.75" customHeight="1" x14ac:dyDescent="0.35">
      <c r="B110" s="63">
        <v>104</v>
      </c>
      <c r="C110" s="40">
        <f>CEILING(104/12,1)</f>
        <v>9</v>
      </c>
      <c r="D110" s="40">
        <f t="shared" si="11"/>
        <v>0</v>
      </c>
      <c r="E110" s="40">
        <f>IFERROR(IF(104&lt;='🏠 Mortgage vs Cash'!G9*12,'🏠 Mortgage vs Cash'!G13,0),0)</f>
        <v>9835260.4171956461</v>
      </c>
      <c r="F110" s="43">
        <f>IFERROR(C110*'🏠 Mortgage vs Cash'!G8/12,0)</f>
        <v>0.15</v>
      </c>
      <c r="G110" s="62">
        <f t="shared" si="9"/>
        <v>9835260.2671956457</v>
      </c>
      <c r="H110" s="40">
        <f t="shared" si="10"/>
        <v>0</v>
      </c>
    </row>
    <row r="111" spans="2:8" ht="15.75" customHeight="1" x14ac:dyDescent="0.35">
      <c r="B111" s="61">
        <v>105</v>
      </c>
      <c r="C111" s="42">
        <f>CEILING(105/12,1)</f>
        <v>9</v>
      </c>
      <c r="D111" s="42">
        <f t="shared" si="11"/>
        <v>0</v>
      </c>
      <c r="E111" s="42">
        <f>IFERROR(IF(105&lt;='🏠 Mortgage vs Cash'!G9*12,'🏠 Mortgage vs Cash'!G13,0),0)</f>
        <v>9835260.4171956461</v>
      </c>
      <c r="F111" s="43">
        <f>IFERROR(C111*'🏠 Mortgage vs Cash'!G8/12,0)</f>
        <v>0.15</v>
      </c>
      <c r="G111" s="62">
        <f t="shared" si="9"/>
        <v>9835260.2671956457</v>
      </c>
      <c r="H111" s="42">
        <f t="shared" si="10"/>
        <v>0</v>
      </c>
    </row>
    <row r="112" spans="2:8" ht="15.75" customHeight="1" x14ac:dyDescent="0.35">
      <c r="B112" s="63">
        <v>106</v>
      </c>
      <c r="C112" s="40">
        <f>CEILING(106/12,1)</f>
        <v>9</v>
      </c>
      <c r="D112" s="40">
        <f t="shared" si="11"/>
        <v>0</v>
      </c>
      <c r="E112" s="40">
        <f>IFERROR(IF(106&lt;='🏠 Mortgage vs Cash'!G9*12,'🏠 Mortgage vs Cash'!G13,0),0)</f>
        <v>9835260.4171956461</v>
      </c>
      <c r="F112" s="43">
        <f>IFERROR(C112*'🏠 Mortgage vs Cash'!G8/12,0)</f>
        <v>0.15</v>
      </c>
      <c r="G112" s="62">
        <f t="shared" si="9"/>
        <v>9835260.2671956457</v>
      </c>
      <c r="H112" s="40">
        <f t="shared" si="10"/>
        <v>0</v>
      </c>
    </row>
    <row r="113" spans="2:8" ht="15.75" customHeight="1" x14ac:dyDescent="0.35">
      <c r="B113" s="61">
        <v>107</v>
      </c>
      <c r="C113" s="42">
        <f>CEILING(107/12,1)</f>
        <v>9</v>
      </c>
      <c r="D113" s="42">
        <f t="shared" si="11"/>
        <v>0</v>
      </c>
      <c r="E113" s="42">
        <f>IFERROR(IF(107&lt;='🏠 Mortgage vs Cash'!G9*12,'🏠 Mortgage vs Cash'!G13,0),0)</f>
        <v>9835260.4171956461</v>
      </c>
      <c r="F113" s="43">
        <f>IFERROR(C113*'🏠 Mortgage vs Cash'!G8/12,0)</f>
        <v>0.15</v>
      </c>
      <c r="G113" s="62">
        <f t="shared" si="9"/>
        <v>9835260.2671956457</v>
      </c>
      <c r="H113" s="42">
        <f t="shared" si="10"/>
        <v>0</v>
      </c>
    </row>
    <row r="114" spans="2:8" ht="15.75" customHeight="1" x14ac:dyDescent="0.35">
      <c r="B114" s="63">
        <v>108</v>
      </c>
      <c r="C114" s="40">
        <f>CEILING(108/12,1)</f>
        <v>9</v>
      </c>
      <c r="D114" s="40">
        <f t="shared" si="11"/>
        <v>0</v>
      </c>
      <c r="E114" s="40">
        <f>IFERROR(IF(108&lt;='🏠 Mortgage vs Cash'!G9*12,'🏠 Mortgage vs Cash'!G13,0),0)</f>
        <v>9835260.4171956461</v>
      </c>
      <c r="F114" s="43">
        <f>IFERROR(C114*'🏠 Mortgage vs Cash'!G8/12,0)</f>
        <v>0.15</v>
      </c>
      <c r="G114" s="62">
        <f t="shared" si="9"/>
        <v>9835260.2671956457</v>
      </c>
      <c r="H114" s="40">
        <f t="shared" si="10"/>
        <v>0</v>
      </c>
    </row>
    <row r="115" spans="2:8" ht="15.75" customHeight="1" x14ac:dyDescent="0.35">
      <c r="B115" s="61">
        <v>109</v>
      </c>
      <c r="C115" s="42">
        <f>CEILING(109/12,1)</f>
        <v>10</v>
      </c>
      <c r="D115" s="42">
        <f t="shared" si="11"/>
        <v>0</v>
      </c>
      <c r="E115" s="42">
        <f>IFERROR(IF(109&lt;='🏠 Mortgage vs Cash'!G9*12,'🏠 Mortgage vs Cash'!G13,0),0)</f>
        <v>9835260.4171956461</v>
      </c>
      <c r="F115" s="43">
        <f>IFERROR(C115*'🏠 Mortgage vs Cash'!G8/12,0)</f>
        <v>0.16666666666666666</v>
      </c>
      <c r="G115" s="62">
        <f t="shared" si="9"/>
        <v>9835260.25052898</v>
      </c>
      <c r="H115" s="42">
        <f t="shared" si="10"/>
        <v>0</v>
      </c>
    </row>
    <row r="116" spans="2:8" ht="15.75" customHeight="1" x14ac:dyDescent="0.35">
      <c r="B116" s="63">
        <v>110</v>
      </c>
      <c r="C116" s="40">
        <f>CEILING(110/12,1)</f>
        <v>10</v>
      </c>
      <c r="D116" s="40">
        <f t="shared" si="11"/>
        <v>0</v>
      </c>
      <c r="E116" s="40">
        <f>IFERROR(IF(110&lt;='🏠 Mortgage vs Cash'!G9*12,'🏠 Mortgage vs Cash'!G13,0),0)</f>
        <v>9835260.4171956461</v>
      </c>
      <c r="F116" s="43">
        <f>IFERROR(C116*'🏠 Mortgage vs Cash'!G8/12,0)</f>
        <v>0.16666666666666666</v>
      </c>
      <c r="G116" s="62">
        <f t="shared" si="9"/>
        <v>9835260.25052898</v>
      </c>
      <c r="H116" s="40">
        <f t="shared" si="10"/>
        <v>0</v>
      </c>
    </row>
    <row r="117" spans="2:8" ht="15.75" customHeight="1" x14ac:dyDescent="0.35">
      <c r="B117" s="61">
        <v>111</v>
      </c>
      <c r="C117" s="42">
        <f>CEILING(111/12,1)</f>
        <v>10</v>
      </c>
      <c r="D117" s="42">
        <f t="shared" si="11"/>
        <v>0</v>
      </c>
      <c r="E117" s="42">
        <f>IFERROR(IF(111&lt;='🏠 Mortgage vs Cash'!G9*12,'🏠 Mortgage vs Cash'!G13,0),0)</f>
        <v>9835260.4171956461</v>
      </c>
      <c r="F117" s="43">
        <f>IFERROR(C117*'🏠 Mortgage vs Cash'!G8/12,0)</f>
        <v>0.16666666666666666</v>
      </c>
      <c r="G117" s="62">
        <f t="shared" si="9"/>
        <v>9835260.25052898</v>
      </c>
      <c r="H117" s="42">
        <f t="shared" si="10"/>
        <v>0</v>
      </c>
    </row>
    <row r="118" spans="2:8" ht="15.75" customHeight="1" x14ac:dyDescent="0.35">
      <c r="B118" s="63">
        <v>112</v>
      </c>
      <c r="C118" s="40">
        <f>CEILING(112/12,1)</f>
        <v>10</v>
      </c>
      <c r="D118" s="40">
        <f t="shared" si="11"/>
        <v>0</v>
      </c>
      <c r="E118" s="40">
        <f>IFERROR(IF(112&lt;='🏠 Mortgage vs Cash'!G9*12,'🏠 Mortgage vs Cash'!G13,0),0)</f>
        <v>9835260.4171956461</v>
      </c>
      <c r="F118" s="43">
        <f>IFERROR(C118*'🏠 Mortgage vs Cash'!G8/12,0)</f>
        <v>0.16666666666666666</v>
      </c>
      <c r="G118" s="62">
        <f t="shared" si="9"/>
        <v>9835260.25052898</v>
      </c>
      <c r="H118" s="40">
        <f t="shared" si="10"/>
        <v>0</v>
      </c>
    </row>
    <row r="119" spans="2:8" ht="15.75" customHeight="1" x14ac:dyDescent="0.35">
      <c r="B119" s="61">
        <v>113</v>
      </c>
      <c r="C119" s="42">
        <f>CEILING(113/12,1)</f>
        <v>10</v>
      </c>
      <c r="D119" s="42">
        <f t="shared" si="11"/>
        <v>0</v>
      </c>
      <c r="E119" s="42">
        <f>IFERROR(IF(113&lt;='🏠 Mortgage vs Cash'!G9*12,'🏠 Mortgage vs Cash'!G13,0),0)</f>
        <v>9835260.4171956461</v>
      </c>
      <c r="F119" s="43">
        <f>IFERROR(C119*'🏠 Mortgage vs Cash'!G8/12,0)</f>
        <v>0.16666666666666666</v>
      </c>
      <c r="G119" s="62">
        <f t="shared" si="9"/>
        <v>9835260.25052898</v>
      </c>
      <c r="H119" s="42">
        <f t="shared" si="10"/>
        <v>0</v>
      </c>
    </row>
    <row r="120" spans="2:8" ht="15.75" customHeight="1" x14ac:dyDescent="0.35">
      <c r="B120" s="63">
        <v>114</v>
      </c>
      <c r="C120" s="40">
        <f>CEILING(114/12,1)</f>
        <v>10</v>
      </c>
      <c r="D120" s="40">
        <f t="shared" si="11"/>
        <v>0</v>
      </c>
      <c r="E120" s="40">
        <f>IFERROR(IF(114&lt;='🏠 Mortgage vs Cash'!G9*12,'🏠 Mortgage vs Cash'!G13,0),0)</f>
        <v>9835260.4171956461</v>
      </c>
      <c r="F120" s="43">
        <f>IFERROR(C120*'🏠 Mortgage vs Cash'!G8/12,0)</f>
        <v>0.16666666666666666</v>
      </c>
      <c r="G120" s="62">
        <f t="shared" si="9"/>
        <v>9835260.25052898</v>
      </c>
      <c r="H120" s="40">
        <f t="shared" si="10"/>
        <v>0</v>
      </c>
    </row>
    <row r="121" spans="2:8" ht="15.75" customHeight="1" x14ac:dyDescent="0.35">
      <c r="B121" s="61">
        <v>115</v>
      </c>
      <c r="C121" s="42">
        <f>CEILING(115/12,1)</f>
        <v>10</v>
      </c>
      <c r="D121" s="42">
        <f t="shared" si="11"/>
        <v>0</v>
      </c>
      <c r="E121" s="42">
        <f>IFERROR(IF(115&lt;='🏠 Mortgage vs Cash'!G9*12,'🏠 Mortgage vs Cash'!G13,0),0)</f>
        <v>9835260.4171956461</v>
      </c>
      <c r="F121" s="43">
        <f>IFERROR(C121*'🏠 Mortgage vs Cash'!G8/12,0)</f>
        <v>0.16666666666666666</v>
      </c>
      <c r="G121" s="62">
        <f t="shared" si="9"/>
        <v>9835260.25052898</v>
      </c>
      <c r="H121" s="42">
        <f t="shared" si="10"/>
        <v>0</v>
      </c>
    </row>
    <row r="122" spans="2:8" ht="15.75" customHeight="1" x14ac:dyDescent="0.35">
      <c r="B122" s="63">
        <v>116</v>
      </c>
      <c r="C122" s="40">
        <f>CEILING(116/12,1)</f>
        <v>10</v>
      </c>
      <c r="D122" s="40">
        <f t="shared" si="11"/>
        <v>0</v>
      </c>
      <c r="E122" s="40">
        <f>IFERROR(IF(116&lt;='🏠 Mortgage vs Cash'!G9*12,'🏠 Mortgage vs Cash'!G13,0),0)</f>
        <v>9835260.4171956461</v>
      </c>
      <c r="F122" s="43">
        <f>IFERROR(C122*'🏠 Mortgage vs Cash'!G8/12,0)</f>
        <v>0.16666666666666666</v>
      </c>
      <c r="G122" s="62">
        <f t="shared" si="9"/>
        <v>9835260.25052898</v>
      </c>
      <c r="H122" s="40">
        <f t="shared" si="10"/>
        <v>0</v>
      </c>
    </row>
    <row r="123" spans="2:8" ht="15.75" customHeight="1" x14ac:dyDescent="0.35">
      <c r="B123" s="61">
        <v>117</v>
      </c>
      <c r="C123" s="42">
        <f>CEILING(117/12,1)</f>
        <v>10</v>
      </c>
      <c r="D123" s="42">
        <f t="shared" si="11"/>
        <v>0</v>
      </c>
      <c r="E123" s="42">
        <f>IFERROR(IF(117&lt;='🏠 Mortgage vs Cash'!G9*12,'🏠 Mortgage vs Cash'!G13,0),0)</f>
        <v>9835260.4171956461</v>
      </c>
      <c r="F123" s="43">
        <f>IFERROR(C123*'🏠 Mortgage vs Cash'!G8/12,0)</f>
        <v>0.16666666666666666</v>
      </c>
      <c r="G123" s="62">
        <f t="shared" si="9"/>
        <v>9835260.25052898</v>
      </c>
      <c r="H123" s="42">
        <f t="shared" si="10"/>
        <v>0</v>
      </c>
    </row>
    <row r="124" spans="2:8" ht="15.75" customHeight="1" x14ac:dyDescent="0.35">
      <c r="B124" s="63">
        <v>118</v>
      </c>
      <c r="C124" s="40">
        <f>CEILING(118/12,1)</f>
        <v>10</v>
      </c>
      <c r="D124" s="40">
        <f t="shared" si="11"/>
        <v>0</v>
      </c>
      <c r="E124" s="40">
        <f>IFERROR(IF(118&lt;='🏠 Mortgage vs Cash'!G9*12,'🏠 Mortgage vs Cash'!G13,0),0)</f>
        <v>9835260.4171956461</v>
      </c>
      <c r="F124" s="43">
        <f>IFERROR(C124*'🏠 Mortgage vs Cash'!G8/12,0)</f>
        <v>0.16666666666666666</v>
      </c>
      <c r="G124" s="62">
        <f t="shared" si="9"/>
        <v>9835260.25052898</v>
      </c>
      <c r="H124" s="40">
        <f t="shared" si="10"/>
        <v>0</v>
      </c>
    </row>
    <row r="125" spans="2:8" ht="15.75" customHeight="1" x14ac:dyDescent="0.35">
      <c r="B125" s="61">
        <v>119</v>
      </c>
      <c r="C125" s="42">
        <f>CEILING(119/12,1)</f>
        <v>10</v>
      </c>
      <c r="D125" s="42">
        <f t="shared" si="11"/>
        <v>0</v>
      </c>
      <c r="E125" s="42">
        <f>IFERROR(IF(119&lt;='🏠 Mortgage vs Cash'!G9*12,'🏠 Mortgage vs Cash'!G13,0),0)</f>
        <v>9835260.4171956461</v>
      </c>
      <c r="F125" s="43">
        <f>IFERROR(C125*'🏠 Mortgage vs Cash'!G8/12,0)</f>
        <v>0.16666666666666666</v>
      </c>
      <c r="G125" s="62">
        <f t="shared" si="9"/>
        <v>9835260.25052898</v>
      </c>
      <c r="H125" s="42">
        <f t="shared" si="10"/>
        <v>0</v>
      </c>
    </row>
    <row r="126" spans="2:8" ht="15.75" customHeight="1" x14ac:dyDescent="0.35">
      <c r="B126" s="63">
        <v>120</v>
      </c>
      <c r="C126" s="40">
        <f>CEILING(120/12,1)</f>
        <v>10</v>
      </c>
      <c r="D126" s="40">
        <f t="shared" si="11"/>
        <v>0</v>
      </c>
      <c r="E126" s="40">
        <f>IFERROR(IF(120&lt;='🏠 Mortgage vs Cash'!G9*12,'🏠 Mortgage vs Cash'!G13,0),0)</f>
        <v>9835260.4171956461</v>
      </c>
      <c r="F126" s="43">
        <f>IFERROR(C126*'🏠 Mortgage vs Cash'!G8/12,0)</f>
        <v>0.16666666666666666</v>
      </c>
      <c r="G126" s="62">
        <f t="shared" si="9"/>
        <v>9835260.25052898</v>
      </c>
      <c r="H126" s="40">
        <f t="shared" si="10"/>
        <v>0</v>
      </c>
    </row>
    <row r="127" spans="2:8" ht="15.75" customHeight="1" x14ac:dyDescent="0.35">
      <c r="B127" s="61">
        <v>121</v>
      </c>
      <c r="C127" s="42">
        <f>CEILING(121/12,1)</f>
        <v>11</v>
      </c>
      <c r="D127" s="42">
        <f t="shared" si="11"/>
        <v>0</v>
      </c>
      <c r="E127" s="42">
        <f>IFERROR(IF(121&lt;='🏠 Mortgage vs Cash'!G9*12,'🏠 Mortgage vs Cash'!G13,0),0)</f>
        <v>9835260.4171956461</v>
      </c>
      <c r="F127" s="43">
        <f>IFERROR(C127*'🏠 Mortgage vs Cash'!G8/12,0)</f>
        <v>0.18333333333333335</v>
      </c>
      <c r="G127" s="62">
        <f t="shared" si="9"/>
        <v>9835260.2338623125</v>
      </c>
      <c r="H127" s="42">
        <f t="shared" si="10"/>
        <v>0</v>
      </c>
    </row>
    <row r="128" spans="2:8" ht="15.75" customHeight="1" x14ac:dyDescent="0.35">
      <c r="B128" s="63">
        <v>122</v>
      </c>
      <c r="C128" s="40">
        <f>CEILING(122/12,1)</f>
        <v>11</v>
      </c>
      <c r="D128" s="40">
        <f t="shared" si="11"/>
        <v>0</v>
      </c>
      <c r="E128" s="40">
        <f>IFERROR(IF(122&lt;='🏠 Mortgage vs Cash'!G9*12,'🏠 Mortgage vs Cash'!G13,0),0)</f>
        <v>9835260.4171956461</v>
      </c>
      <c r="F128" s="43">
        <f>IFERROR(C128*'🏠 Mortgage vs Cash'!G8/12,0)</f>
        <v>0.18333333333333335</v>
      </c>
      <c r="G128" s="62">
        <f t="shared" si="9"/>
        <v>9835260.2338623125</v>
      </c>
      <c r="H128" s="40">
        <f t="shared" si="10"/>
        <v>0</v>
      </c>
    </row>
    <row r="129" spans="2:8" ht="15.75" customHeight="1" x14ac:dyDescent="0.35">
      <c r="B129" s="61">
        <v>123</v>
      </c>
      <c r="C129" s="42">
        <f>CEILING(123/12,1)</f>
        <v>11</v>
      </c>
      <c r="D129" s="42">
        <f t="shared" si="11"/>
        <v>0</v>
      </c>
      <c r="E129" s="42">
        <f>IFERROR(IF(123&lt;='🏠 Mortgage vs Cash'!G9*12,'🏠 Mortgage vs Cash'!G13,0),0)</f>
        <v>9835260.4171956461</v>
      </c>
      <c r="F129" s="43">
        <f>IFERROR(C129*'🏠 Mortgage vs Cash'!G8/12,0)</f>
        <v>0.18333333333333335</v>
      </c>
      <c r="G129" s="62">
        <f t="shared" si="9"/>
        <v>9835260.2338623125</v>
      </c>
      <c r="H129" s="42">
        <f t="shared" si="10"/>
        <v>0</v>
      </c>
    </row>
    <row r="130" spans="2:8" ht="15.75" customHeight="1" x14ac:dyDescent="0.35">
      <c r="B130" s="63">
        <v>124</v>
      </c>
      <c r="C130" s="40">
        <f>CEILING(124/12,1)</f>
        <v>11</v>
      </c>
      <c r="D130" s="40">
        <f t="shared" si="11"/>
        <v>0</v>
      </c>
      <c r="E130" s="40">
        <f>IFERROR(IF(124&lt;='🏠 Mortgage vs Cash'!G9*12,'🏠 Mortgage vs Cash'!G13,0),0)</f>
        <v>9835260.4171956461</v>
      </c>
      <c r="F130" s="43">
        <f>IFERROR(C130*'🏠 Mortgage vs Cash'!G8/12,0)</f>
        <v>0.18333333333333335</v>
      </c>
      <c r="G130" s="62">
        <f t="shared" si="9"/>
        <v>9835260.2338623125</v>
      </c>
      <c r="H130" s="40">
        <f t="shared" si="10"/>
        <v>0</v>
      </c>
    </row>
    <row r="131" spans="2:8" ht="15.75" customHeight="1" x14ac:dyDescent="0.35">
      <c r="B131" s="61">
        <v>125</v>
      </c>
      <c r="C131" s="42">
        <f>CEILING(125/12,1)</f>
        <v>11</v>
      </c>
      <c r="D131" s="42">
        <f t="shared" si="11"/>
        <v>0</v>
      </c>
      <c r="E131" s="42">
        <f>IFERROR(IF(125&lt;='🏠 Mortgage vs Cash'!G9*12,'🏠 Mortgage vs Cash'!G13,0),0)</f>
        <v>9835260.4171956461</v>
      </c>
      <c r="F131" s="43">
        <f>IFERROR(C131*'🏠 Mortgage vs Cash'!G8/12,0)</f>
        <v>0.18333333333333335</v>
      </c>
      <c r="G131" s="62">
        <f t="shared" si="9"/>
        <v>9835260.2338623125</v>
      </c>
      <c r="H131" s="42">
        <f t="shared" si="10"/>
        <v>0</v>
      </c>
    </row>
    <row r="132" spans="2:8" ht="15.75" customHeight="1" x14ac:dyDescent="0.35">
      <c r="B132" s="63">
        <v>126</v>
      </c>
      <c r="C132" s="40">
        <f>CEILING(126/12,1)</f>
        <v>11</v>
      </c>
      <c r="D132" s="40">
        <f t="shared" si="11"/>
        <v>0</v>
      </c>
      <c r="E132" s="40">
        <f>IFERROR(IF(126&lt;='🏠 Mortgage vs Cash'!G9*12,'🏠 Mortgage vs Cash'!G13,0),0)</f>
        <v>9835260.4171956461</v>
      </c>
      <c r="F132" s="43">
        <f>IFERROR(C132*'🏠 Mortgage vs Cash'!G8/12,0)</f>
        <v>0.18333333333333335</v>
      </c>
      <c r="G132" s="62">
        <f t="shared" si="9"/>
        <v>9835260.2338623125</v>
      </c>
      <c r="H132" s="40">
        <f t="shared" si="10"/>
        <v>0</v>
      </c>
    </row>
    <row r="133" spans="2:8" ht="15.75" customHeight="1" x14ac:dyDescent="0.35">
      <c r="B133" s="61">
        <v>127</v>
      </c>
      <c r="C133" s="42">
        <f>CEILING(127/12,1)</f>
        <v>11</v>
      </c>
      <c r="D133" s="42">
        <f t="shared" si="11"/>
        <v>0</v>
      </c>
      <c r="E133" s="42">
        <f>IFERROR(IF(127&lt;='🏠 Mortgage vs Cash'!G9*12,'🏠 Mortgage vs Cash'!G13,0),0)</f>
        <v>9835260.4171956461</v>
      </c>
      <c r="F133" s="43">
        <f>IFERROR(C133*'🏠 Mortgage vs Cash'!G8/12,0)</f>
        <v>0.18333333333333335</v>
      </c>
      <c r="G133" s="62">
        <f t="shared" si="9"/>
        <v>9835260.2338623125</v>
      </c>
      <c r="H133" s="42">
        <f t="shared" si="10"/>
        <v>0</v>
      </c>
    </row>
    <row r="134" spans="2:8" ht="15.75" customHeight="1" x14ac:dyDescent="0.35">
      <c r="B134" s="63">
        <v>128</v>
      </c>
      <c r="C134" s="40">
        <f>CEILING(128/12,1)</f>
        <v>11</v>
      </c>
      <c r="D134" s="40">
        <f t="shared" si="11"/>
        <v>0</v>
      </c>
      <c r="E134" s="40">
        <f>IFERROR(IF(128&lt;='🏠 Mortgage vs Cash'!G9*12,'🏠 Mortgage vs Cash'!G13,0),0)</f>
        <v>9835260.4171956461</v>
      </c>
      <c r="F134" s="43">
        <f>IFERROR(C134*'🏠 Mortgage vs Cash'!G8/12,0)</f>
        <v>0.18333333333333335</v>
      </c>
      <c r="G134" s="62">
        <f t="shared" si="9"/>
        <v>9835260.2338623125</v>
      </c>
      <c r="H134" s="40">
        <f t="shared" si="10"/>
        <v>0</v>
      </c>
    </row>
    <row r="135" spans="2:8" ht="15.75" customHeight="1" x14ac:dyDescent="0.35">
      <c r="B135" s="61">
        <v>129</v>
      </c>
      <c r="C135" s="42">
        <f>CEILING(129/12,1)</f>
        <v>11</v>
      </c>
      <c r="D135" s="42">
        <f t="shared" si="11"/>
        <v>0</v>
      </c>
      <c r="E135" s="42">
        <f>IFERROR(IF(129&lt;='🏠 Mortgage vs Cash'!G9*12,'🏠 Mortgage vs Cash'!G13,0),0)</f>
        <v>9835260.4171956461</v>
      </c>
      <c r="F135" s="43">
        <f>IFERROR(C135*'🏠 Mortgage vs Cash'!G8/12,0)</f>
        <v>0.18333333333333335</v>
      </c>
      <c r="G135" s="62">
        <f t="shared" ref="G135:G166" si="12">IFERROR(MAX(E135-F135,0),0)</f>
        <v>9835260.2338623125</v>
      </c>
      <c r="H135" s="42">
        <f t="shared" ref="H135:H166" si="13">IFERROR(MAX(C135-G135,0),0)</f>
        <v>0</v>
      </c>
    </row>
    <row r="136" spans="2:8" ht="15.75" customHeight="1" x14ac:dyDescent="0.35">
      <c r="B136" s="63">
        <v>130</v>
      </c>
      <c r="C136" s="40">
        <f>CEILING(130/12,1)</f>
        <v>11</v>
      </c>
      <c r="D136" s="40">
        <f t="shared" ref="D136:D167" si="14">IFERROR(MAX(H135,0),0)</f>
        <v>0</v>
      </c>
      <c r="E136" s="40">
        <f>IFERROR(IF(130&lt;='🏠 Mortgage vs Cash'!G9*12,'🏠 Mortgage vs Cash'!G13,0),0)</f>
        <v>9835260.4171956461</v>
      </c>
      <c r="F136" s="43">
        <f>IFERROR(C136*'🏠 Mortgage vs Cash'!G8/12,0)</f>
        <v>0.18333333333333335</v>
      </c>
      <c r="G136" s="62">
        <f t="shared" si="12"/>
        <v>9835260.2338623125</v>
      </c>
      <c r="H136" s="40">
        <f t="shared" si="13"/>
        <v>0</v>
      </c>
    </row>
    <row r="137" spans="2:8" ht="15.75" customHeight="1" x14ac:dyDescent="0.35">
      <c r="B137" s="61">
        <v>131</v>
      </c>
      <c r="C137" s="42">
        <f>CEILING(131/12,1)</f>
        <v>11</v>
      </c>
      <c r="D137" s="42">
        <f t="shared" si="14"/>
        <v>0</v>
      </c>
      <c r="E137" s="42">
        <f>IFERROR(IF(131&lt;='🏠 Mortgage vs Cash'!G9*12,'🏠 Mortgage vs Cash'!G13,0),0)</f>
        <v>9835260.4171956461</v>
      </c>
      <c r="F137" s="43">
        <f>IFERROR(C137*'🏠 Mortgage vs Cash'!G8/12,0)</f>
        <v>0.18333333333333335</v>
      </c>
      <c r="G137" s="62">
        <f t="shared" si="12"/>
        <v>9835260.2338623125</v>
      </c>
      <c r="H137" s="42">
        <f t="shared" si="13"/>
        <v>0</v>
      </c>
    </row>
    <row r="138" spans="2:8" ht="15.75" customHeight="1" x14ac:dyDescent="0.35">
      <c r="B138" s="63">
        <v>132</v>
      </c>
      <c r="C138" s="40">
        <f>CEILING(132/12,1)</f>
        <v>11</v>
      </c>
      <c r="D138" s="40">
        <f t="shared" si="14"/>
        <v>0</v>
      </c>
      <c r="E138" s="40">
        <f>IFERROR(IF(132&lt;='🏠 Mortgage vs Cash'!G9*12,'🏠 Mortgage vs Cash'!G13,0),0)</f>
        <v>9835260.4171956461</v>
      </c>
      <c r="F138" s="43">
        <f>IFERROR(C138*'🏠 Mortgage vs Cash'!G8/12,0)</f>
        <v>0.18333333333333335</v>
      </c>
      <c r="G138" s="62">
        <f t="shared" si="12"/>
        <v>9835260.2338623125</v>
      </c>
      <c r="H138" s="40">
        <f t="shared" si="13"/>
        <v>0</v>
      </c>
    </row>
    <row r="139" spans="2:8" ht="15.75" customHeight="1" x14ac:dyDescent="0.35">
      <c r="B139" s="61">
        <v>133</v>
      </c>
      <c r="C139" s="42">
        <f>CEILING(133/12,1)</f>
        <v>12</v>
      </c>
      <c r="D139" s="42">
        <f t="shared" si="14"/>
        <v>0</v>
      </c>
      <c r="E139" s="42">
        <f>IFERROR(IF(133&lt;='🏠 Mortgage vs Cash'!G9*12,'🏠 Mortgage vs Cash'!G13,0),0)</f>
        <v>9835260.4171956461</v>
      </c>
      <c r="F139" s="43">
        <f>IFERROR(C139*'🏠 Mortgage vs Cash'!G8/12,0)</f>
        <v>0.20000000000000004</v>
      </c>
      <c r="G139" s="62">
        <f t="shared" si="12"/>
        <v>9835260.2171956468</v>
      </c>
      <c r="H139" s="42">
        <f t="shared" si="13"/>
        <v>0</v>
      </c>
    </row>
    <row r="140" spans="2:8" ht="15.75" customHeight="1" x14ac:dyDescent="0.35">
      <c r="B140" s="63">
        <v>134</v>
      </c>
      <c r="C140" s="40">
        <f>CEILING(134/12,1)</f>
        <v>12</v>
      </c>
      <c r="D140" s="40">
        <f t="shared" si="14"/>
        <v>0</v>
      </c>
      <c r="E140" s="40">
        <f>IFERROR(IF(134&lt;='🏠 Mortgage vs Cash'!G9*12,'🏠 Mortgage vs Cash'!G13,0),0)</f>
        <v>9835260.4171956461</v>
      </c>
      <c r="F140" s="43">
        <f>IFERROR(C140*'🏠 Mortgage vs Cash'!G8/12,0)</f>
        <v>0.20000000000000004</v>
      </c>
      <c r="G140" s="62">
        <f t="shared" si="12"/>
        <v>9835260.2171956468</v>
      </c>
      <c r="H140" s="40">
        <f t="shared" si="13"/>
        <v>0</v>
      </c>
    </row>
    <row r="141" spans="2:8" ht="15.75" customHeight="1" x14ac:dyDescent="0.35">
      <c r="B141" s="61">
        <v>135</v>
      </c>
      <c r="C141" s="42">
        <f>CEILING(135/12,1)</f>
        <v>12</v>
      </c>
      <c r="D141" s="42">
        <f t="shared" si="14"/>
        <v>0</v>
      </c>
      <c r="E141" s="42">
        <f>IFERROR(IF(135&lt;='🏠 Mortgage vs Cash'!G9*12,'🏠 Mortgage vs Cash'!G13,0),0)</f>
        <v>9835260.4171956461</v>
      </c>
      <c r="F141" s="43">
        <f>IFERROR(C141*'🏠 Mortgage vs Cash'!G8/12,0)</f>
        <v>0.20000000000000004</v>
      </c>
      <c r="G141" s="62">
        <f t="shared" si="12"/>
        <v>9835260.2171956468</v>
      </c>
      <c r="H141" s="42">
        <f t="shared" si="13"/>
        <v>0</v>
      </c>
    </row>
    <row r="142" spans="2:8" ht="15.75" customHeight="1" x14ac:dyDescent="0.35">
      <c r="B142" s="63">
        <v>136</v>
      </c>
      <c r="C142" s="40">
        <f>CEILING(136/12,1)</f>
        <v>12</v>
      </c>
      <c r="D142" s="40">
        <f t="shared" si="14"/>
        <v>0</v>
      </c>
      <c r="E142" s="40">
        <f>IFERROR(IF(136&lt;='🏠 Mortgage vs Cash'!G9*12,'🏠 Mortgage vs Cash'!G13,0),0)</f>
        <v>9835260.4171956461</v>
      </c>
      <c r="F142" s="43">
        <f>IFERROR(C142*'🏠 Mortgage vs Cash'!G8/12,0)</f>
        <v>0.20000000000000004</v>
      </c>
      <c r="G142" s="62">
        <f t="shared" si="12"/>
        <v>9835260.2171956468</v>
      </c>
      <c r="H142" s="40">
        <f t="shared" si="13"/>
        <v>0</v>
      </c>
    </row>
    <row r="143" spans="2:8" ht="15.75" customHeight="1" x14ac:dyDescent="0.35">
      <c r="B143" s="61">
        <v>137</v>
      </c>
      <c r="C143" s="42">
        <f>CEILING(137/12,1)</f>
        <v>12</v>
      </c>
      <c r="D143" s="42">
        <f t="shared" si="14"/>
        <v>0</v>
      </c>
      <c r="E143" s="42">
        <f>IFERROR(IF(137&lt;='🏠 Mortgage vs Cash'!G9*12,'🏠 Mortgage vs Cash'!G13,0),0)</f>
        <v>9835260.4171956461</v>
      </c>
      <c r="F143" s="43">
        <f>IFERROR(C143*'🏠 Mortgage vs Cash'!G8/12,0)</f>
        <v>0.20000000000000004</v>
      </c>
      <c r="G143" s="62">
        <f t="shared" si="12"/>
        <v>9835260.2171956468</v>
      </c>
      <c r="H143" s="42">
        <f t="shared" si="13"/>
        <v>0</v>
      </c>
    </row>
    <row r="144" spans="2:8" ht="15.75" customHeight="1" x14ac:dyDescent="0.35">
      <c r="B144" s="63">
        <v>138</v>
      </c>
      <c r="C144" s="40">
        <f>CEILING(138/12,1)</f>
        <v>12</v>
      </c>
      <c r="D144" s="40">
        <f t="shared" si="14"/>
        <v>0</v>
      </c>
      <c r="E144" s="40">
        <f>IFERROR(IF(138&lt;='🏠 Mortgage vs Cash'!G9*12,'🏠 Mortgage vs Cash'!G13,0),0)</f>
        <v>9835260.4171956461</v>
      </c>
      <c r="F144" s="43">
        <f>IFERROR(C144*'🏠 Mortgage vs Cash'!G8/12,0)</f>
        <v>0.20000000000000004</v>
      </c>
      <c r="G144" s="62">
        <f t="shared" si="12"/>
        <v>9835260.2171956468</v>
      </c>
      <c r="H144" s="40">
        <f t="shared" si="13"/>
        <v>0</v>
      </c>
    </row>
    <row r="145" spans="2:8" ht="15.75" customHeight="1" x14ac:dyDescent="0.35">
      <c r="B145" s="61">
        <v>139</v>
      </c>
      <c r="C145" s="42">
        <f>CEILING(139/12,1)</f>
        <v>12</v>
      </c>
      <c r="D145" s="42">
        <f t="shared" si="14"/>
        <v>0</v>
      </c>
      <c r="E145" s="42">
        <f>IFERROR(IF(139&lt;='🏠 Mortgage vs Cash'!G9*12,'🏠 Mortgage vs Cash'!G13,0),0)</f>
        <v>9835260.4171956461</v>
      </c>
      <c r="F145" s="43">
        <f>IFERROR(C145*'🏠 Mortgage vs Cash'!G8/12,0)</f>
        <v>0.20000000000000004</v>
      </c>
      <c r="G145" s="62">
        <f t="shared" si="12"/>
        <v>9835260.2171956468</v>
      </c>
      <c r="H145" s="42">
        <f t="shared" si="13"/>
        <v>0</v>
      </c>
    </row>
    <row r="146" spans="2:8" ht="15.75" customHeight="1" x14ac:dyDescent="0.35">
      <c r="B146" s="63">
        <v>140</v>
      </c>
      <c r="C146" s="40">
        <f>CEILING(140/12,1)</f>
        <v>12</v>
      </c>
      <c r="D146" s="40">
        <f t="shared" si="14"/>
        <v>0</v>
      </c>
      <c r="E146" s="40">
        <f>IFERROR(IF(140&lt;='🏠 Mortgage vs Cash'!G9*12,'🏠 Mortgage vs Cash'!G13,0),0)</f>
        <v>9835260.4171956461</v>
      </c>
      <c r="F146" s="43">
        <f>IFERROR(C146*'🏠 Mortgage vs Cash'!G8/12,0)</f>
        <v>0.20000000000000004</v>
      </c>
      <c r="G146" s="62">
        <f t="shared" si="12"/>
        <v>9835260.2171956468</v>
      </c>
      <c r="H146" s="40">
        <f t="shared" si="13"/>
        <v>0</v>
      </c>
    </row>
    <row r="147" spans="2:8" ht="15.75" customHeight="1" x14ac:dyDescent="0.35">
      <c r="B147" s="61">
        <v>141</v>
      </c>
      <c r="C147" s="42">
        <f>CEILING(141/12,1)</f>
        <v>12</v>
      </c>
      <c r="D147" s="42">
        <f t="shared" si="14"/>
        <v>0</v>
      </c>
      <c r="E147" s="42">
        <f>IFERROR(IF(141&lt;='🏠 Mortgage vs Cash'!G9*12,'🏠 Mortgage vs Cash'!G13,0),0)</f>
        <v>9835260.4171956461</v>
      </c>
      <c r="F147" s="43">
        <f>IFERROR(C147*'🏠 Mortgage vs Cash'!G8/12,0)</f>
        <v>0.20000000000000004</v>
      </c>
      <c r="G147" s="62">
        <f t="shared" si="12"/>
        <v>9835260.2171956468</v>
      </c>
      <c r="H147" s="42">
        <f t="shared" si="13"/>
        <v>0</v>
      </c>
    </row>
    <row r="148" spans="2:8" ht="15.75" customHeight="1" x14ac:dyDescent="0.35">
      <c r="B148" s="63">
        <v>142</v>
      </c>
      <c r="C148" s="40">
        <f>CEILING(142/12,1)</f>
        <v>12</v>
      </c>
      <c r="D148" s="40">
        <f t="shared" si="14"/>
        <v>0</v>
      </c>
      <c r="E148" s="40">
        <f>IFERROR(IF(142&lt;='🏠 Mortgage vs Cash'!G9*12,'🏠 Mortgage vs Cash'!G13,0),0)</f>
        <v>9835260.4171956461</v>
      </c>
      <c r="F148" s="43">
        <f>IFERROR(C148*'🏠 Mortgage vs Cash'!G8/12,0)</f>
        <v>0.20000000000000004</v>
      </c>
      <c r="G148" s="62">
        <f t="shared" si="12"/>
        <v>9835260.2171956468</v>
      </c>
      <c r="H148" s="40">
        <f t="shared" si="13"/>
        <v>0</v>
      </c>
    </row>
    <row r="149" spans="2:8" ht="15.75" customHeight="1" x14ac:dyDescent="0.35">
      <c r="B149" s="61">
        <v>143</v>
      </c>
      <c r="C149" s="42">
        <f>CEILING(143/12,1)</f>
        <v>12</v>
      </c>
      <c r="D149" s="42">
        <f t="shared" si="14"/>
        <v>0</v>
      </c>
      <c r="E149" s="42">
        <f>IFERROR(IF(143&lt;='🏠 Mortgage vs Cash'!G9*12,'🏠 Mortgage vs Cash'!G13,0),0)</f>
        <v>9835260.4171956461</v>
      </c>
      <c r="F149" s="43">
        <f>IFERROR(C149*'🏠 Mortgage vs Cash'!G8/12,0)</f>
        <v>0.20000000000000004</v>
      </c>
      <c r="G149" s="62">
        <f t="shared" si="12"/>
        <v>9835260.2171956468</v>
      </c>
      <c r="H149" s="42">
        <f t="shared" si="13"/>
        <v>0</v>
      </c>
    </row>
    <row r="150" spans="2:8" ht="15.75" customHeight="1" x14ac:dyDescent="0.35">
      <c r="B150" s="63">
        <v>144</v>
      </c>
      <c r="C150" s="40">
        <f>CEILING(144/12,1)</f>
        <v>12</v>
      </c>
      <c r="D150" s="40">
        <f t="shared" si="14"/>
        <v>0</v>
      </c>
      <c r="E150" s="40">
        <f>IFERROR(IF(144&lt;='🏠 Mortgage vs Cash'!G9*12,'🏠 Mortgage vs Cash'!G13,0),0)</f>
        <v>9835260.4171956461</v>
      </c>
      <c r="F150" s="43">
        <f>IFERROR(C150*'🏠 Mortgage vs Cash'!G8/12,0)</f>
        <v>0.20000000000000004</v>
      </c>
      <c r="G150" s="62">
        <f t="shared" si="12"/>
        <v>9835260.2171956468</v>
      </c>
      <c r="H150" s="40">
        <f t="shared" si="13"/>
        <v>0</v>
      </c>
    </row>
    <row r="151" spans="2:8" ht="15.75" customHeight="1" x14ac:dyDescent="0.35">
      <c r="B151" s="61">
        <v>145</v>
      </c>
      <c r="C151" s="42">
        <f>CEILING(145/12,1)</f>
        <v>13</v>
      </c>
      <c r="D151" s="42">
        <f t="shared" si="14"/>
        <v>0</v>
      </c>
      <c r="E151" s="42">
        <f>IFERROR(IF(145&lt;='🏠 Mortgage vs Cash'!G9*12,'🏠 Mortgage vs Cash'!G13,0),0)</f>
        <v>9835260.4171956461</v>
      </c>
      <c r="F151" s="43">
        <f>IFERROR(C151*'🏠 Mortgage vs Cash'!G8/12,0)</f>
        <v>0.21666666666666667</v>
      </c>
      <c r="G151" s="62">
        <f t="shared" si="12"/>
        <v>9835260.2005289793</v>
      </c>
      <c r="H151" s="42">
        <f t="shared" si="13"/>
        <v>0</v>
      </c>
    </row>
    <row r="152" spans="2:8" ht="15.75" customHeight="1" x14ac:dyDescent="0.35">
      <c r="B152" s="63">
        <v>146</v>
      </c>
      <c r="C152" s="40">
        <f>CEILING(146/12,1)</f>
        <v>13</v>
      </c>
      <c r="D152" s="40">
        <f t="shared" si="14"/>
        <v>0</v>
      </c>
      <c r="E152" s="40">
        <f>IFERROR(IF(146&lt;='🏠 Mortgage vs Cash'!G9*12,'🏠 Mortgage vs Cash'!G13,0),0)</f>
        <v>9835260.4171956461</v>
      </c>
      <c r="F152" s="43">
        <f>IFERROR(C152*'🏠 Mortgage vs Cash'!G8/12,0)</f>
        <v>0.21666666666666667</v>
      </c>
      <c r="G152" s="62">
        <f t="shared" si="12"/>
        <v>9835260.2005289793</v>
      </c>
      <c r="H152" s="40">
        <f t="shared" si="13"/>
        <v>0</v>
      </c>
    </row>
    <row r="153" spans="2:8" ht="15.75" customHeight="1" x14ac:dyDescent="0.35">
      <c r="B153" s="61">
        <v>147</v>
      </c>
      <c r="C153" s="42">
        <f>CEILING(147/12,1)</f>
        <v>13</v>
      </c>
      <c r="D153" s="42">
        <f t="shared" si="14"/>
        <v>0</v>
      </c>
      <c r="E153" s="42">
        <f>IFERROR(IF(147&lt;='🏠 Mortgage vs Cash'!G9*12,'🏠 Mortgage vs Cash'!G13,0),0)</f>
        <v>9835260.4171956461</v>
      </c>
      <c r="F153" s="43">
        <f>IFERROR(C153*'🏠 Mortgage vs Cash'!G8/12,0)</f>
        <v>0.21666666666666667</v>
      </c>
      <c r="G153" s="62">
        <f t="shared" si="12"/>
        <v>9835260.2005289793</v>
      </c>
      <c r="H153" s="42">
        <f t="shared" si="13"/>
        <v>0</v>
      </c>
    </row>
    <row r="154" spans="2:8" ht="15.75" customHeight="1" x14ac:dyDescent="0.35">
      <c r="B154" s="63">
        <v>148</v>
      </c>
      <c r="C154" s="40">
        <f>CEILING(148/12,1)</f>
        <v>13</v>
      </c>
      <c r="D154" s="40">
        <f t="shared" si="14"/>
        <v>0</v>
      </c>
      <c r="E154" s="40">
        <f>IFERROR(IF(148&lt;='🏠 Mortgage vs Cash'!G9*12,'🏠 Mortgage vs Cash'!G13,0),0)</f>
        <v>9835260.4171956461</v>
      </c>
      <c r="F154" s="43">
        <f>IFERROR(C154*'🏠 Mortgage vs Cash'!G8/12,0)</f>
        <v>0.21666666666666667</v>
      </c>
      <c r="G154" s="62">
        <f t="shared" si="12"/>
        <v>9835260.2005289793</v>
      </c>
      <c r="H154" s="40">
        <f t="shared" si="13"/>
        <v>0</v>
      </c>
    </row>
    <row r="155" spans="2:8" ht="15.75" customHeight="1" x14ac:dyDescent="0.35">
      <c r="B155" s="61">
        <v>149</v>
      </c>
      <c r="C155" s="42">
        <f>CEILING(149/12,1)</f>
        <v>13</v>
      </c>
      <c r="D155" s="42">
        <f t="shared" si="14"/>
        <v>0</v>
      </c>
      <c r="E155" s="42">
        <f>IFERROR(IF(149&lt;='🏠 Mortgage vs Cash'!G9*12,'🏠 Mortgage vs Cash'!G13,0),0)</f>
        <v>9835260.4171956461</v>
      </c>
      <c r="F155" s="43">
        <f>IFERROR(C155*'🏠 Mortgage vs Cash'!G8/12,0)</f>
        <v>0.21666666666666667</v>
      </c>
      <c r="G155" s="62">
        <f t="shared" si="12"/>
        <v>9835260.2005289793</v>
      </c>
      <c r="H155" s="42">
        <f t="shared" si="13"/>
        <v>0</v>
      </c>
    </row>
    <row r="156" spans="2:8" ht="15.75" customHeight="1" x14ac:dyDescent="0.35">
      <c r="B156" s="63">
        <v>150</v>
      </c>
      <c r="C156" s="40">
        <f>CEILING(150/12,1)</f>
        <v>13</v>
      </c>
      <c r="D156" s="40">
        <f t="shared" si="14"/>
        <v>0</v>
      </c>
      <c r="E156" s="40">
        <f>IFERROR(IF(150&lt;='🏠 Mortgage vs Cash'!G9*12,'🏠 Mortgage vs Cash'!G13,0),0)</f>
        <v>9835260.4171956461</v>
      </c>
      <c r="F156" s="43">
        <f>IFERROR(C156*'🏠 Mortgage vs Cash'!G8/12,0)</f>
        <v>0.21666666666666667</v>
      </c>
      <c r="G156" s="62">
        <f t="shared" si="12"/>
        <v>9835260.2005289793</v>
      </c>
      <c r="H156" s="40">
        <f t="shared" si="13"/>
        <v>0</v>
      </c>
    </row>
    <row r="157" spans="2:8" ht="15.75" customHeight="1" x14ac:dyDescent="0.35">
      <c r="B157" s="61">
        <v>151</v>
      </c>
      <c r="C157" s="42">
        <f>CEILING(151/12,1)</f>
        <v>13</v>
      </c>
      <c r="D157" s="42">
        <f t="shared" si="14"/>
        <v>0</v>
      </c>
      <c r="E157" s="42">
        <f>IFERROR(IF(151&lt;='🏠 Mortgage vs Cash'!G9*12,'🏠 Mortgage vs Cash'!G13,0),0)</f>
        <v>9835260.4171956461</v>
      </c>
      <c r="F157" s="43">
        <f>IFERROR(C157*'🏠 Mortgage vs Cash'!G8/12,0)</f>
        <v>0.21666666666666667</v>
      </c>
      <c r="G157" s="62">
        <f t="shared" si="12"/>
        <v>9835260.2005289793</v>
      </c>
      <c r="H157" s="42">
        <f t="shared" si="13"/>
        <v>0</v>
      </c>
    </row>
    <row r="158" spans="2:8" ht="15.75" customHeight="1" x14ac:dyDescent="0.35">
      <c r="B158" s="63">
        <v>152</v>
      </c>
      <c r="C158" s="40">
        <f>CEILING(152/12,1)</f>
        <v>13</v>
      </c>
      <c r="D158" s="40">
        <f t="shared" si="14"/>
        <v>0</v>
      </c>
      <c r="E158" s="40">
        <f>IFERROR(IF(152&lt;='🏠 Mortgage vs Cash'!G9*12,'🏠 Mortgage vs Cash'!G13,0),0)</f>
        <v>9835260.4171956461</v>
      </c>
      <c r="F158" s="43">
        <f>IFERROR(C158*'🏠 Mortgage vs Cash'!G8/12,0)</f>
        <v>0.21666666666666667</v>
      </c>
      <c r="G158" s="62">
        <f t="shared" si="12"/>
        <v>9835260.2005289793</v>
      </c>
      <c r="H158" s="40">
        <f t="shared" si="13"/>
        <v>0</v>
      </c>
    </row>
    <row r="159" spans="2:8" ht="15.75" customHeight="1" x14ac:dyDescent="0.35">
      <c r="B159" s="61">
        <v>153</v>
      </c>
      <c r="C159" s="42">
        <f>CEILING(153/12,1)</f>
        <v>13</v>
      </c>
      <c r="D159" s="42">
        <f t="shared" si="14"/>
        <v>0</v>
      </c>
      <c r="E159" s="42">
        <f>IFERROR(IF(153&lt;='🏠 Mortgage vs Cash'!G9*12,'🏠 Mortgage vs Cash'!G13,0),0)</f>
        <v>9835260.4171956461</v>
      </c>
      <c r="F159" s="43">
        <f>IFERROR(C159*'🏠 Mortgage vs Cash'!G8/12,0)</f>
        <v>0.21666666666666667</v>
      </c>
      <c r="G159" s="62">
        <f t="shared" si="12"/>
        <v>9835260.2005289793</v>
      </c>
      <c r="H159" s="42">
        <f t="shared" si="13"/>
        <v>0</v>
      </c>
    </row>
    <row r="160" spans="2:8" ht="15.75" customHeight="1" x14ac:dyDescent="0.35">
      <c r="B160" s="63">
        <v>154</v>
      </c>
      <c r="C160" s="40">
        <f>CEILING(154/12,1)</f>
        <v>13</v>
      </c>
      <c r="D160" s="40">
        <f t="shared" si="14"/>
        <v>0</v>
      </c>
      <c r="E160" s="40">
        <f>IFERROR(IF(154&lt;='🏠 Mortgage vs Cash'!G9*12,'🏠 Mortgage vs Cash'!G13,0),0)</f>
        <v>9835260.4171956461</v>
      </c>
      <c r="F160" s="43">
        <f>IFERROR(C160*'🏠 Mortgage vs Cash'!G8/12,0)</f>
        <v>0.21666666666666667</v>
      </c>
      <c r="G160" s="62">
        <f t="shared" si="12"/>
        <v>9835260.2005289793</v>
      </c>
      <c r="H160" s="40">
        <f t="shared" si="13"/>
        <v>0</v>
      </c>
    </row>
    <row r="161" spans="2:8" ht="15.75" customHeight="1" x14ac:dyDescent="0.35">
      <c r="B161" s="61">
        <v>155</v>
      </c>
      <c r="C161" s="42">
        <f>CEILING(155/12,1)</f>
        <v>13</v>
      </c>
      <c r="D161" s="42">
        <f t="shared" si="14"/>
        <v>0</v>
      </c>
      <c r="E161" s="42">
        <f>IFERROR(IF(155&lt;='🏠 Mortgage vs Cash'!G9*12,'🏠 Mortgage vs Cash'!G13,0),0)</f>
        <v>9835260.4171956461</v>
      </c>
      <c r="F161" s="43">
        <f>IFERROR(C161*'🏠 Mortgage vs Cash'!G8/12,0)</f>
        <v>0.21666666666666667</v>
      </c>
      <c r="G161" s="62">
        <f t="shared" si="12"/>
        <v>9835260.2005289793</v>
      </c>
      <c r="H161" s="42">
        <f t="shared" si="13"/>
        <v>0</v>
      </c>
    </row>
    <row r="162" spans="2:8" ht="15.75" customHeight="1" x14ac:dyDescent="0.35">
      <c r="B162" s="63">
        <v>156</v>
      </c>
      <c r="C162" s="40">
        <f>CEILING(156/12,1)</f>
        <v>13</v>
      </c>
      <c r="D162" s="40">
        <f t="shared" si="14"/>
        <v>0</v>
      </c>
      <c r="E162" s="40">
        <f>IFERROR(IF(156&lt;='🏠 Mortgage vs Cash'!G9*12,'🏠 Mortgage vs Cash'!G13,0),0)</f>
        <v>9835260.4171956461</v>
      </c>
      <c r="F162" s="43">
        <f>IFERROR(C162*'🏠 Mortgage vs Cash'!G8/12,0)</f>
        <v>0.21666666666666667</v>
      </c>
      <c r="G162" s="62">
        <f t="shared" si="12"/>
        <v>9835260.2005289793</v>
      </c>
      <c r="H162" s="40">
        <f t="shared" si="13"/>
        <v>0</v>
      </c>
    </row>
    <row r="163" spans="2:8" ht="15.75" customHeight="1" x14ac:dyDescent="0.35">
      <c r="B163" s="61">
        <v>157</v>
      </c>
      <c r="C163" s="42">
        <f>CEILING(157/12,1)</f>
        <v>14</v>
      </c>
      <c r="D163" s="42">
        <f t="shared" si="14"/>
        <v>0</v>
      </c>
      <c r="E163" s="42">
        <f>IFERROR(IF(157&lt;='🏠 Mortgage vs Cash'!G9*12,'🏠 Mortgage vs Cash'!G13,0),0)</f>
        <v>9835260.4171956461</v>
      </c>
      <c r="F163" s="43">
        <f>IFERROR(C163*'🏠 Mortgage vs Cash'!G8/12,0)</f>
        <v>0.23333333333333336</v>
      </c>
      <c r="G163" s="62">
        <f t="shared" si="12"/>
        <v>9835260.1838623136</v>
      </c>
      <c r="H163" s="42">
        <f t="shared" si="13"/>
        <v>0</v>
      </c>
    </row>
    <row r="164" spans="2:8" ht="15.75" customHeight="1" x14ac:dyDescent="0.35">
      <c r="B164" s="63">
        <v>158</v>
      </c>
      <c r="C164" s="40">
        <f>CEILING(158/12,1)</f>
        <v>14</v>
      </c>
      <c r="D164" s="40">
        <f t="shared" si="14"/>
        <v>0</v>
      </c>
      <c r="E164" s="40">
        <f>IFERROR(IF(158&lt;='🏠 Mortgage vs Cash'!G9*12,'🏠 Mortgage vs Cash'!G13,0),0)</f>
        <v>9835260.4171956461</v>
      </c>
      <c r="F164" s="43">
        <f>IFERROR(C164*'🏠 Mortgage vs Cash'!G8/12,0)</f>
        <v>0.23333333333333336</v>
      </c>
      <c r="G164" s="62">
        <f t="shared" si="12"/>
        <v>9835260.1838623136</v>
      </c>
      <c r="H164" s="40">
        <f t="shared" si="13"/>
        <v>0</v>
      </c>
    </row>
    <row r="165" spans="2:8" ht="15.75" customHeight="1" x14ac:dyDescent="0.35">
      <c r="B165" s="61">
        <v>159</v>
      </c>
      <c r="C165" s="42">
        <f>CEILING(159/12,1)</f>
        <v>14</v>
      </c>
      <c r="D165" s="42">
        <f t="shared" si="14"/>
        <v>0</v>
      </c>
      <c r="E165" s="42">
        <f>IFERROR(IF(159&lt;='🏠 Mortgage vs Cash'!G9*12,'🏠 Mortgage vs Cash'!G13,0),0)</f>
        <v>9835260.4171956461</v>
      </c>
      <c r="F165" s="43">
        <f>IFERROR(C165*'🏠 Mortgage vs Cash'!G8/12,0)</f>
        <v>0.23333333333333336</v>
      </c>
      <c r="G165" s="62">
        <f t="shared" si="12"/>
        <v>9835260.1838623136</v>
      </c>
      <c r="H165" s="42">
        <f t="shared" si="13"/>
        <v>0</v>
      </c>
    </row>
    <row r="166" spans="2:8" ht="15.75" customHeight="1" x14ac:dyDescent="0.35">
      <c r="B166" s="63">
        <v>160</v>
      </c>
      <c r="C166" s="40">
        <f>CEILING(160/12,1)</f>
        <v>14</v>
      </c>
      <c r="D166" s="40">
        <f t="shared" si="14"/>
        <v>0</v>
      </c>
      <c r="E166" s="40">
        <f>IFERROR(IF(160&lt;='🏠 Mortgage vs Cash'!G9*12,'🏠 Mortgage vs Cash'!G13,0),0)</f>
        <v>9835260.4171956461</v>
      </c>
      <c r="F166" s="43">
        <f>IFERROR(C166*'🏠 Mortgage vs Cash'!G8/12,0)</f>
        <v>0.23333333333333336</v>
      </c>
      <c r="G166" s="62">
        <f t="shared" si="12"/>
        <v>9835260.1838623136</v>
      </c>
      <c r="H166" s="40">
        <f t="shared" si="13"/>
        <v>0</v>
      </c>
    </row>
    <row r="167" spans="2:8" ht="15.75" customHeight="1" x14ac:dyDescent="0.35">
      <c r="B167" s="61">
        <v>161</v>
      </c>
      <c r="C167" s="42">
        <f>CEILING(161/12,1)</f>
        <v>14</v>
      </c>
      <c r="D167" s="42">
        <f t="shared" si="14"/>
        <v>0</v>
      </c>
      <c r="E167" s="42">
        <f>IFERROR(IF(161&lt;='🏠 Mortgage vs Cash'!G9*12,'🏠 Mortgage vs Cash'!G13,0),0)</f>
        <v>9835260.4171956461</v>
      </c>
      <c r="F167" s="43">
        <f>IFERROR(C167*'🏠 Mortgage vs Cash'!G8/12,0)</f>
        <v>0.23333333333333336</v>
      </c>
      <c r="G167" s="62">
        <f t="shared" ref="G167:G186" si="15">IFERROR(MAX(E167-F167,0),0)</f>
        <v>9835260.1838623136</v>
      </c>
      <c r="H167" s="42">
        <f t="shared" ref="H167:H186" si="16">IFERROR(MAX(C167-G167,0),0)</f>
        <v>0</v>
      </c>
    </row>
    <row r="168" spans="2:8" ht="15.75" customHeight="1" x14ac:dyDescent="0.35">
      <c r="B168" s="63">
        <v>162</v>
      </c>
      <c r="C168" s="40">
        <f>CEILING(162/12,1)</f>
        <v>14</v>
      </c>
      <c r="D168" s="40">
        <f t="shared" ref="D168:D186" si="17">IFERROR(MAX(H167,0),0)</f>
        <v>0</v>
      </c>
      <c r="E168" s="40">
        <f>IFERROR(IF(162&lt;='🏠 Mortgage vs Cash'!G9*12,'🏠 Mortgage vs Cash'!G13,0),0)</f>
        <v>9835260.4171956461</v>
      </c>
      <c r="F168" s="43">
        <f>IFERROR(C168*'🏠 Mortgage vs Cash'!G8/12,0)</f>
        <v>0.23333333333333336</v>
      </c>
      <c r="G168" s="62">
        <f t="shared" si="15"/>
        <v>9835260.1838623136</v>
      </c>
      <c r="H168" s="40">
        <f t="shared" si="16"/>
        <v>0</v>
      </c>
    </row>
    <row r="169" spans="2:8" ht="15.75" customHeight="1" x14ac:dyDescent="0.35">
      <c r="B169" s="61">
        <v>163</v>
      </c>
      <c r="C169" s="42">
        <f>CEILING(163/12,1)</f>
        <v>14</v>
      </c>
      <c r="D169" s="42">
        <f t="shared" si="17"/>
        <v>0</v>
      </c>
      <c r="E169" s="42">
        <f>IFERROR(IF(163&lt;='🏠 Mortgage vs Cash'!G9*12,'🏠 Mortgage vs Cash'!G13,0),0)</f>
        <v>9835260.4171956461</v>
      </c>
      <c r="F169" s="43">
        <f>IFERROR(C169*'🏠 Mortgage vs Cash'!G8/12,0)</f>
        <v>0.23333333333333336</v>
      </c>
      <c r="G169" s="62">
        <f t="shared" si="15"/>
        <v>9835260.1838623136</v>
      </c>
      <c r="H169" s="42">
        <f t="shared" si="16"/>
        <v>0</v>
      </c>
    </row>
    <row r="170" spans="2:8" ht="15.75" customHeight="1" x14ac:dyDescent="0.35">
      <c r="B170" s="63">
        <v>164</v>
      </c>
      <c r="C170" s="40">
        <f>CEILING(164/12,1)</f>
        <v>14</v>
      </c>
      <c r="D170" s="40">
        <f t="shared" si="17"/>
        <v>0</v>
      </c>
      <c r="E170" s="40">
        <f>IFERROR(IF(164&lt;='🏠 Mortgage vs Cash'!G9*12,'🏠 Mortgage vs Cash'!G13,0),0)</f>
        <v>9835260.4171956461</v>
      </c>
      <c r="F170" s="43">
        <f>IFERROR(C170*'🏠 Mortgage vs Cash'!G8/12,0)</f>
        <v>0.23333333333333336</v>
      </c>
      <c r="G170" s="62">
        <f t="shared" si="15"/>
        <v>9835260.1838623136</v>
      </c>
      <c r="H170" s="40">
        <f t="shared" si="16"/>
        <v>0</v>
      </c>
    </row>
    <row r="171" spans="2:8" ht="15.75" customHeight="1" x14ac:dyDescent="0.35">
      <c r="B171" s="61">
        <v>165</v>
      </c>
      <c r="C171" s="42">
        <f>CEILING(165/12,1)</f>
        <v>14</v>
      </c>
      <c r="D171" s="42">
        <f t="shared" si="17"/>
        <v>0</v>
      </c>
      <c r="E171" s="42">
        <f>IFERROR(IF(165&lt;='🏠 Mortgage vs Cash'!G9*12,'🏠 Mortgage vs Cash'!G13,0),0)</f>
        <v>9835260.4171956461</v>
      </c>
      <c r="F171" s="43">
        <f>IFERROR(C171*'🏠 Mortgage vs Cash'!G8/12,0)</f>
        <v>0.23333333333333336</v>
      </c>
      <c r="G171" s="62">
        <f t="shared" si="15"/>
        <v>9835260.1838623136</v>
      </c>
      <c r="H171" s="42">
        <f t="shared" si="16"/>
        <v>0</v>
      </c>
    </row>
    <row r="172" spans="2:8" ht="15.75" customHeight="1" x14ac:dyDescent="0.35">
      <c r="B172" s="63">
        <v>166</v>
      </c>
      <c r="C172" s="40">
        <f>CEILING(166/12,1)</f>
        <v>14</v>
      </c>
      <c r="D172" s="40">
        <f t="shared" si="17"/>
        <v>0</v>
      </c>
      <c r="E172" s="40">
        <f>IFERROR(IF(166&lt;='🏠 Mortgage vs Cash'!G9*12,'🏠 Mortgage vs Cash'!G13,0),0)</f>
        <v>9835260.4171956461</v>
      </c>
      <c r="F172" s="43">
        <f>IFERROR(C172*'🏠 Mortgage vs Cash'!G8/12,0)</f>
        <v>0.23333333333333336</v>
      </c>
      <c r="G172" s="62">
        <f t="shared" si="15"/>
        <v>9835260.1838623136</v>
      </c>
      <c r="H172" s="40">
        <f t="shared" si="16"/>
        <v>0</v>
      </c>
    </row>
    <row r="173" spans="2:8" ht="15.75" customHeight="1" x14ac:dyDescent="0.35">
      <c r="B173" s="61">
        <v>167</v>
      </c>
      <c r="C173" s="42">
        <f>CEILING(167/12,1)</f>
        <v>14</v>
      </c>
      <c r="D173" s="42">
        <f t="shared" si="17"/>
        <v>0</v>
      </c>
      <c r="E173" s="42">
        <f>IFERROR(IF(167&lt;='🏠 Mortgage vs Cash'!G9*12,'🏠 Mortgage vs Cash'!G13,0),0)</f>
        <v>9835260.4171956461</v>
      </c>
      <c r="F173" s="43">
        <f>IFERROR(C173*'🏠 Mortgage vs Cash'!G8/12,0)</f>
        <v>0.23333333333333336</v>
      </c>
      <c r="G173" s="62">
        <f t="shared" si="15"/>
        <v>9835260.1838623136</v>
      </c>
      <c r="H173" s="42">
        <f t="shared" si="16"/>
        <v>0</v>
      </c>
    </row>
    <row r="174" spans="2:8" ht="15.75" customHeight="1" x14ac:dyDescent="0.35">
      <c r="B174" s="63">
        <v>168</v>
      </c>
      <c r="C174" s="40">
        <f>CEILING(168/12,1)</f>
        <v>14</v>
      </c>
      <c r="D174" s="40">
        <f t="shared" si="17"/>
        <v>0</v>
      </c>
      <c r="E174" s="40">
        <f>IFERROR(IF(168&lt;='🏠 Mortgage vs Cash'!G9*12,'🏠 Mortgage vs Cash'!G13,0),0)</f>
        <v>9835260.4171956461</v>
      </c>
      <c r="F174" s="43">
        <f>IFERROR(C174*'🏠 Mortgage vs Cash'!G8/12,0)</f>
        <v>0.23333333333333336</v>
      </c>
      <c r="G174" s="62">
        <f t="shared" si="15"/>
        <v>9835260.1838623136</v>
      </c>
      <c r="H174" s="40">
        <f t="shared" si="16"/>
        <v>0</v>
      </c>
    </row>
    <row r="175" spans="2:8" ht="15.75" customHeight="1" x14ac:dyDescent="0.35">
      <c r="B175" s="61">
        <v>169</v>
      </c>
      <c r="C175" s="42">
        <f>CEILING(169/12,1)</f>
        <v>15</v>
      </c>
      <c r="D175" s="42">
        <f t="shared" si="17"/>
        <v>0</v>
      </c>
      <c r="E175" s="42">
        <f>IFERROR(IF(169&lt;='🏠 Mortgage vs Cash'!G9*12,'🏠 Mortgage vs Cash'!G13,0),0)</f>
        <v>9835260.4171956461</v>
      </c>
      <c r="F175" s="43">
        <f>IFERROR(C175*'🏠 Mortgage vs Cash'!G8/12,0)</f>
        <v>0.25</v>
      </c>
      <c r="G175" s="62">
        <f t="shared" si="15"/>
        <v>9835260.1671956461</v>
      </c>
      <c r="H175" s="42">
        <f t="shared" si="16"/>
        <v>0</v>
      </c>
    </row>
    <row r="176" spans="2:8" ht="15.75" customHeight="1" x14ac:dyDescent="0.35">
      <c r="B176" s="63">
        <v>170</v>
      </c>
      <c r="C176" s="40">
        <f>CEILING(170/12,1)</f>
        <v>15</v>
      </c>
      <c r="D176" s="40">
        <f t="shared" si="17"/>
        <v>0</v>
      </c>
      <c r="E176" s="40">
        <f>IFERROR(IF(170&lt;='🏠 Mortgage vs Cash'!G9*12,'🏠 Mortgage vs Cash'!G13,0),0)</f>
        <v>9835260.4171956461</v>
      </c>
      <c r="F176" s="43">
        <f>IFERROR(C176*'🏠 Mortgage vs Cash'!G8/12,0)</f>
        <v>0.25</v>
      </c>
      <c r="G176" s="62">
        <f t="shared" si="15"/>
        <v>9835260.1671956461</v>
      </c>
      <c r="H176" s="40">
        <f t="shared" si="16"/>
        <v>0</v>
      </c>
    </row>
    <row r="177" spans="2:8" ht="15.75" customHeight="1" x14ac:dyDescent="0.35">
      <c r="B177" s="61">
        <v>171</v>
      </c>
      <c r="C177" s="42">
        <f>CEILING(171/12,1)</f>
        <v>15</v>
      </c>
      <c r="D177" s="42">
        <f t="shared" si="17"/>
        <v>0</v>
      </c>
      <c r="E177" s="42">
        <f>IFERROR(IF(171&lt;='🏠 Mortgage vs Cash'!G9*12,'🏠 Mortgage vs Cash'!G13,0),0)</f>
        <v>9835260.4171956461</v>
      </c>
      <c r="F177" s="43">
        <f>IFERROR(C177*'🏠 Mortgage vs Cash'!G8/12,0)</f>
        <v>0.25</v>
      </c>
      <c r="G177" s="62">
        <f t="shared" si="15"/>
        <v>9835260.1671956461</v>
      </c>
      <c r="H177" s="42">
        <f t="shared" si="16"/>
        <v>0</v>
      </c>
    </row>
    <row r="178" spans="2:8" ht="15.75" customHeight="1" x14ac:dyDescent="0.35">
      <c r="B178" s="63">
        <v>172</v>
      </c>
      <c r="C178" s="40">
        <f>CEILING(172/12,1)</f>
        <v>15</v>
      </c>
      <c r="D178" s="40">
        <f t="shared" si="17"/>
        <v>0</v>
      </c>
      <c r="E178" s="40">
        <f>IFERROR(IF(172&lt;='🏠 Mortgage vs Cash'!G9*12,'🏠 Mortgage vs Cash'!G13,0),0)</f>
        <v>9835260.4171956461</v>
      </c>
      <c r="F178" s="43">
        <f>IFERROR(C178*'🏠 Mortgage vs Cash'!G8/12,0)</f>
        <v>0.25</v>
      </c>
      <c r="G178" s="62">
        <f t="shared" si="15"/>
        <v>9835260.1671956461</v>
      </c>
      <c r="H178" s="40">
        <f t="shared" si="16"/>
        <v>0</v>
      </c>
    </row>
    <row r="179" spans="2:8" ht="15.75" customHeight="1" x14ac:dyDescent="0.35">
      <c r="B179" s="61">
        <v>173</v>
      </c>
      <c r="C179" s="42">
        <f>CEILING(173/12,1)</f>
        <v>15</v>
      </c>
      <c r="D179" s="42">
        <f t="shared" si="17"/>
        <v>0</v>
      </c>
      <c r="E179" s="42">
        <f>IFERROR(IF(173&lt;='🏠 Mortgage vs Cash'!G9*12,'🏠 Mortgage vs Cash'!G13,0),0)</f>
        <v>9835260.4171956461</v>
      </c>
      <c r="F179" s="43">
        <f>IFERROR(C179*'🏠 Mortgage vs Cash'!G8/12,0)</f>
        <v>0.25</v>
      </c>
      <c r="G179" s="62">
        <f t="shared" si="15"/>
        <v>9835260.1671956461</v>
      </c>
      <c r="H179" s="42">
        <f t="shared" si="16"/>
        <v>0</v>
      </c>
    </row>
    <row r="180" spans="2:8" ht="15.75" customHeight="1" x14ac:dyDescent="0.35">
      <c r="B180" s="63">
        <v>174</v>
      </c>
      <c r="C180" s="40">
        <f>CEILING(174/12,1)</f>
        <v>15</v>
      </c>
      <c r="D180" s="40">
        <f t="shared" si="17"/>
        <v>0</v>
      </c>
      <c r="E180" s="40">
        <f>IFERROR(IF(174&lt;='🏠 Mortgage vs Cash'!G9*12,'🏠 Mortgage vs Cash'!G13,0),0)</f>
        <v>9835260.4171956461</v>
      </c>
      <c r="F180" s="43">
        <f>IFERROR(C180*'🏠 Mortgage vs Cash'!G8/12,0)</f>
        <v>0.25</v>
      </c>
      <c r="G180" s="62">
        <f t="shared" si="15"/>
        <v>9835260.1671956461</v>
      </c>
      <c r="H180" s="40">
        <f t="shared" si="16"/>
        <v>0</v>
      </c>
    </row>
    <row r="181" spans="2:8" ht="15.75" customHeight="1" x14ac:dyDescent="0.35">
      <c r="B181" s="61">
        <v>175</v>
      </c>
      <c r="C181" s="42">
        <f>CEILING(175/12,1)</f>
        <v>15</v>
      </c>
      <c r="D181" s="42">
        <f t="shared" si="17"/>
        <v>0</v>
      </c>
      <c r="E181" s="42">
        <f>IFERROR(IF(175&lt;='🏠 Mortgage vs Cash'!G9*12,'🏠 Mortgage vs Cash'!G13,0),0)</f>
        <v>9835260.4171956461</v>
      </c>
      <c r="F181" s="43">
        <f>IFERROR(C181*'🏠 Mortgage vs Cash'!G8/12,0)</f>
        <v>0.25</v>
      </c>
      <c r="G181" s="62">
        <f t="shared" si="15"/>
        <v>9835260.1671956461</v>
      </c>
      <c r="H181" s="42">
        <f t="shared" si="16"/>
        <v>0</v>
      </c>
    </row>
    <row r="182" spans="2:8" ht="15.75" customHeight="1" x14ac:dyDescent="0.35">
      <c r="B182" s="63">
        <v>176</v>
      </c>
      <c r="C182" s="40">
        <f>CEILING(176/12,1)</f>
        <v>15</v>
      </c>
      <c r="D182" s="40">
        <f t="shared" si="17"/>
        <v>0</v>
      </c>
      <c r="E182" s="40">
        <f>IFERROR(IF(176&lt;='🏠 Mortgage vs Cash'!G9*12,'🏠 Mortgage vs Cash'!G13,0),0)</f>
        <v>9835260.4171956461</v>
      </c>
      <c r="F182" s="43">
        <f>IFERROR(C182*'🏠 Mortgage vs Cash'!G8/12,0)</f>
        <v>0.25</v>
      </c>
      <c r="G182" s="62">
        <f t="shared" si="15"/>
        <v>9835260.1671956461</v>
      </c>
      <c r="H182" s="40">
        <f t="shared" si="16"/>
        <v>0</v>
      </c>
    </row>
    <row r="183" spans="2:8" ht="15.75" customHeight="1" x14ac:dyDescent="0.35">
      <c r="B183" s="61">
        <v>177</v>
      </c>
      <c r="C183" s="42">
        <f>CEILING(177/12,1)</f>
        <v>15</v>
      </c>
      <c r="D183" s="42">
        <f t="shared" si="17"/>
        <v>0</v>
      </c>
      <c r="E183" s="42">
        <f>IFERROR(IF(177&lt;='🏠 Mortgage vs Cash'!G9*12,'🏠 Mortgage vs Cash'!G13,0),0)</f>
        <v>9835260.4171956461</v>
      </c>
      <c r="F183" s="43">
        <f>IFERROR(C183*'🏠 Mortgage vs Cash'!G8/12,0)</f>
        <v>0.25</v>
      </c>
      <c r="G183" s="62">
        <f t="shared" si="15"/>
        <v>9835260.1671956461</v>
      </c>
      <c r="H183" s="42">
        <f t="shared" si="16"/>
        <v>0</v>
      </c>
    </row>
    <row r="184" spans="2:8" ht="15.75" customHeight="1" x14ac:dyDescent="0.35">
      <c r="B184" s="63">
        <v>178</v>
      </c>
      <c r="C184" s="40">
        <f>CEILING(178/12,1)</f>
        <v>15</v>
      </c>
      <c r="D184" s="40">
        <f t="shared" si="17"/>
        <v>0</v>
      </c>
      <c r="E184" s="40">
        <f>IFERROR(IF(178&lt;='🏠 Mortgage vs Cash'!G9*12,'🏠 Mortgage vs Cash'!G13,0),0)</f>
        <v>9835260.4171956461</v>
      </c>
      <c r="F184" s="43">
        <f>IFERROR(C184*'🏠 Mortgage vs Cash'!G8/12,0)</f>
        <v>0.25</v>
      </c>
      <c r="G184" s="62">
        <f t="shared" si="15"/>
        <v>9835260.1671956461</v>
      </c>
      <c r="H184" s="40">
        <f t="shared" si="16"/>
        <v>0</v>
      </c>
    </row>
    <row r="185" spans="2:8" ht="15.75" customHeight="1" x14ac:dyDescent="0.35">
      <c r="B185" s="61">
        <v>179</v>
      </c>
      <c r="C185" s="42">
        <f>CEILING(179/12,1)</f>
        <v>15</v>
      </c>
      <c r="D185" s="42">
        <f t="shared" si="17"/>
        <v>0</v>
      </c>
      <c r="E185" s="42">
        <f>IFERROR(IF(179&lt;='🏠 Mortgage vs Cash'!G9*12,'🏠 Mortgage vs Cash'!G13,0),0)</f>
        <v>9835260.4171956461</v>
      </c>
      <c r="F185" s="43">
        <f>IFERROR(C185*'🏠 Mortgage vs Cash'!G8/12,0)</f>
        <v>0.25</v>
      </c>
      <c r="G185" s="62">
        <f t="shared" si="15"/>
        <v>9835260.1671956461</v>
      </c>
      <c r="H185" s="42">
        <f t="shared" si="16"/>
        <v>0</v>
      </c>
    </row>
    <row r="186" spans="2:8" ht="15.75" customHeight="1" x14ac:dyDescent="0.35">
      <c r="B186" s="63">
        <v>180</v>
      </c>
      <c r="C186" s="40">
        <f>CEILING(180/12,1)</f>
        <v>15</v>
      </c>
      <c r="D186" s="40">
        <f t="shared" si="17"/>
        <v>0</v>
      </c>
      <c r="E186" s="40">
        <f>IFERROR(IF(180&lt;='🏠 Mortgage vs Cash'!G9*12,'🏠 Mortgage vs Cash'!G13,0),0)</f>
        <v>9835260.4171956461</v>
      </c>
      <c r="F186" s="43">
        <f>IFERROR(C186*'🏠 Mortgage vs Cash'!G8/12,0)</f>
        <v>0.25</v>
      </c>
      <c r="G186" s="62">
        <f t="shared" si="15"/>
        <v>9835260.1671956461</v>
      </c>
      <c r="H186" s="40">
        <f t="shared" si="16"/>
        <v>0</v>
      </c>
    </row>
    <row r="187" spans="2:8" ht="21.75" customHeight="1" x14ac:dyDescent="0.35">
      <c r="B187" s="64" t="s">
        <v>127</v>
      </c>
      <c r="C187" s="65"/>
      <c r="D187" s="65"/>
      <c r="E187" s="26">
        <f>SUM(E7:E186)</f>
        <v>1770346875.095211</v>
      </c>
      <c r="F187" s="22">
        <f>SUM(F7:F186)</f>
        <v>23.999999999999986</v>
      </c>
      <c r="G187" s="13">
        <f>SUM(G7:G186)</f>
        <v>1770346851.0952196</v>
      </c>
      <c r="H187" s="65"/>
    </row>
  </sheetData>
  <mergeCells count="2">
    <mergeCell ref="B2:H2"/>
    <mergeCell ref="B3:H3"/>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45229"/>
  </sheetPr>
  <dimension ref="A2:G40"/>
  <sheetViews>
    <sheetView showGridLines="0" topLeftCell="A7" zoomScale="70" zoomScaleNormal="70" workbookViewId="0">
      <selection activeCell="I13" sqref="I13"/>
    </sheetView>
  </sheetViews>
  <sheetFormatPr defaultColWidth="8.6328125" defaultRowHeight="14.5" x14ac:dyDescent="0.35"/>
  <cols>
    <col min="1" max="1" width="2" style="1" customWidth="1"/>
    <col min="2" max="2" width="28.81640625" style="1" customWidth="1"/>
    <col min="3" max="3" width="31.6328125" style="1" customWidth="1"/>
    <col min="4" max="4" width="36.81640625" style="1" customWidth="1"/>
    <col min="5" max="5" width="22" style="1" customWidth="1"/>
    <col min="6" max="6" width="18" style="1" customWidth="1"/>
    <col min="7" max="7" width="28.90625" style="1" customWidth="1"/>
  </cols>
  <sheetData>
    <row r="2" spans="2:7" ht="48" customHeight="1" x14ac:dyDescent="0.35">
      <c r="B2" s="76" t="s">
        <v>128</v>
      </c>
      <c r="C2" s="76"/>
      <c r="D2" s="76"/>
      <c r="E2" s="76"/>
      <c r="F2" s="76"/>
      <c r="G2" s="76"/>
    </row>
    <row r="3" spans="2:7" ht="19.5" customHeight="1" x14ac:dyDescent="0.35">
      <c r="B3" s="73" t="s">
        <v>129</v>
      </c>
      <c r="C3" s="73"/>
      <c r="D3" s="73"/>
      <c r="E3" s="73"/>
      <c r="F3" s="73"/>
      <c r="G3" s="73"/>
    </row>
    <row r="4" spans="2:7" ht="9.75" customHeight="1" x14ac:dyDescent="0.35"/>
    <row r="5" spans="2:7" ht="21.75" customHeight="1" x14ac:dyDescent="0.35">
      <c r="B5" s="68" t="s">
        <v>130</v>
      </c>
      <c r="C5" s="68"/>
      <c r="D5" s="68"/>
      <c r="E5" s="68"/>
      <c r="F5" s="68"/>
      <c r="G5" s="68"/>
    </row>
    <row r="6" spans="2:7" ht="19.5" customHeight="1" x14ac:dyDescent="0.35">
      <c r="B6" s="2" t="s">
        <v>131</v>
      </c>
      <c r="C6" s="2" t="s">
        <v>132</v>
      </c>
      <c r="D6" s="2" t="s">
        <v>133</v>
      </c>
      <c r="E6" s="2" t="s">
        <v>134</v>
      </c>
      <c r="F6" s="2" t="s">
        <v>135</v>
      </c>
      <c r="G6" s="2" t="s">
        <v>7</v>
      </c>
    </row>
    <row r="7" spans="2:7" ht="21.75" customHeight="1" x14ac:dyDescent="0.35">
      <c r="B7" s="66" t="s">
        <v>136</v>
      </c>
      <c r="C7" s="63" t="s">
        <v>137</v>
      </c>
      <c r="D7" s="63" t="s">
        <v>138</v>
      </c>
      <c r="E7" s="63" t="s">
        <v>139</v>
      </c>
      <c r="F7" s="63" t="s">
        <v>140</v>
      </c>
      <c r="G7" s="63" t="s">
        <v>141</v>
      </c>
    </row>
    <row r="8" spans="2:7" ht="21.75" customHeight="1" x14ac:dyDescent="0.35">
      <c r="B8" s="67" t="s">
        <v>142</v>
      </c>
      <c r="C8" s="61" t="s">
        <v>143</v>
      </c>
      <c r="D8" s="61" t="s">
        <v>144</v>
      </c>
      <c r="E8" s="61" t="s">
        <v>145</v>
      </c>
      <c r="F8" s="61" t="s">
        <v>146</v>
      </c>
      <c r="G8" s="61" t="s">
        <v>147</v>
      </c>
    </row>
    <row r="9" spans="2:7" ht="21.75" customHeight="1" x14ac:dyDescent="0.35">
      <c r="B9" s="66" t="s">
        <v>148</v>
      </c>
      <c r="C9" s="63" t="s">
        <v>149</v>
      </c>
      <c r="D9" s="63" t="s">
        <v>138</v>
      </c>
      <c r="E9" s="63" t="s">
        <v>139</v>
      </c>
      <c r="F9" s="63" t="s">
        <v>140</v>
      </c>
      <c r="G9" s="63" t="s">
        <v>150</v>
      </c>
    </row>
    <row r="10" spans="2:7" ht="21.75" customHeight="1" x14ac:dyDescent="0.35">
      <c r="B10" s="67" t="s">
        <v>151</v>
      </c>
      <c r="C10" s="61" t="s">
        <v>152</v>
      </c>
      <c r="D10" s="61" t="s">
        <v>144</v>
      </c>
      <c r="E10" s="61" t="s">
        <v>153</v>
      </c>
      <c r="F10" s="61" t="s">
        <v>146</v>
      </c>
      <c r="G10" s="61" t="s">
        <v>154</v>
      </c>
    </row>
    <row r="11" spans="2:7" ht="21.75" customHeight="1" x14ac:dyDescent="0.35">
      <c r="B11" s="66" t="s">
        <v>155</v>
      </c>
      <c r="C11" s="63" t="s">
        <v>156</v>
      </c>
      <c r="D11" s="63" t="s">
        <v>157</v>
      </c>
      <c r="E11" s="63" t="s">
        <v>158</v>
      </c>
      <c r="F11" s="63" t="s">
        <v>140</v>
      </c>
      <c r="G11" s="63" t="s">
        <v>159</v>
      </c>
    </row>
    <row r="12" spans="2:7" ht="21.75" customHeight="1" x14ac:dyDescent="0.35">
      <c r="B12" s="67" t="s">
        <v>160</v>
      </c>
      <c r="C12" s="61" t="s">
        <v>161</v>
      </c>
      <c r="D12" s="61" t="s">
        <v>157</v>
      </c>
      <c r="E12" s="61" t="s">
        <v>153</v>
      </c>
      <c r="F12" s="61" t="s">
        <v>146</v>
      </c>
      <c r="G12" s="61" t="s">
        <v>162</v>
      </c>
    </row>
    <row r="13" spans="2:7" ht="21.75" customHeight="1" x14ac:dyDescent="0.35">
      <c r="B13" s="66" t="s">
        <v>163</v>
      </c>
      <c r="C13" s="63" t="s">
        <v>137</v>
      </c>
      <c r="D13" s="63" t="s">
        <v>164</v>
      </c>
      <c r="E13" s="63" t="s">
        <v>145</v>
      </c>
      <c r="F13" s="63" t="s">
        <v>146</v>
      </c>
      <c r="G13" s="63" t="s">
        <v>165</v>
      </c>
    </row>
    <row r="14" spans="2:7" ht="21.75" customHeight="1" x14ac:dyDescent="0.35">
      <c r="B14" s="67" t="s">
        <v>166</v>
      </c>
      <c r="C14" s="61" t="s">
        <v>167</v>
      </c>
      <c r="D14" s="61" t="s">
        <v>168</v>
      </c>
      <c r="E14" s="61" t="s">
        <v>153</v>
      </c>
      <c r="F14" s="61" t="s">
        <v>146</v>
      </c>
      <c r="G14" s="61" t="s">
        <v>169</v>
      </c>
    </row>
    <row r="16" spans="2:7" ht="21.75" customHeight="1" x14ac:dyDescent="0.35">
      <c r="B16" s="69" t="s">
        <v>170</v>
      </c>
      <c r="C16" s="69"/>
      <c r="D16" s="69"/>
      <c r="E16" s="69"/>
      <c r="F16" s="69"/>
      <c r="G16" s="69"/>
    </row>
    <row r="17" spans="2:7" ht="19.5" customHeight="1" x14ac:dyDescent="0.35">
      <c r="B17" s="2" t="s">
        <v>171</v>
      </c>
      <c r="C17" s="2" t="s">
        <v>172</v>
      </c>
      <c r="D17" s="2" t="s">
        <v>173</v>
      </c>
    </row>
    <row r="18" spans="2:7" ht="26.5" customHeight="1" x14ac:dyDescent="0.35">
      <c r="B18" s="66" t="s">
        <v>174</v>
      </c>
      <c r="C18" s="63" t="s">
        <v>175</v>
      </c>
      <c r="D18" s="63" t="s">
        <v>176</v>
      </c>
    </row>
    <row r="19" spans="2:7" ht="26" customHeight="1" x14ac:dyDescent="0.35">
      <c r="B19" s="67" t="s">
        <v>177</v>
      </c>
      <c r="C19" s="61" t="s">
        <v>178</v>
      </c>
      <c r="D19" s="61" t="s">
        <v>179</v>
      </c>
    </row>
    <row r="20" spans="2:7" ht="26" customHeight="1" x14ac:dyDescent="0.35">
      <c r="B20" s="66" t="s">
        <v>180</v>
      </c>
      <c r="C20" s="63" t="s">
        <v>181</v>
      </c>
      <c r="D20" s="63" t="s">
        <v>182</v>
      </c>
    </row>
    <row r="21" spans="2:7" ht="26" customHeight="1" x14ac:dyDescent="0.35">
      <c r="B21" s="67" t="s">
        <v>183</v>
      </c>
      <c r="C21" s="61" t="s">
        <v>184</v>
      </c>
      <c r="D21" s="61" t="s">
        <v>185</v>
      </c>
    </row>
    <row r="22" spans="2:7" ht="26" customHeight="1" x14ac:dyDescent="0.35">
      <c r="B22" s="66" t="s">
        <v>186</v>
      </c>
      <c r="C22" s="63" t="s">
        <v>187</v>
      </c>
      <c r="D22" s="63" t="s">
        <v>188</v>
      </c>
    </row>
    <row r="23" spans="2:7" ht="26" customHeight="1" x14ac:dyDescent="0.35">
      <c r="B23" s="67" t="s">
        <v>189</v>
      </c>
      <c r="C23" s="61" t="s">
        <v>190</v>
      </c>
      <c r="D23" s="61" t="s">
        <v>191</v>
      </c>
    </row>
    <row r="24" spans="2:7" ht="26" customHeight="1" x14ac:dyDescent="0.35">
      <c r="B24" s="66" t="s">
        <v>192</v>
      </c>
      <c r="C24" s="63" t="s">
        <v>193</v>
      </c>
      <c r="D24" s="63" t="s">
        <v>194</v>
      </c>
    </row>
    <row r="26" spans="2:7" ht="21.75" customHeight="1" x14ac:dyDescent="0.35">
      <c r="B26" s="75" t="s">
        <v>195</v>
      </c>
      <c r="C26" s="75"/>
      <c r="D26" s="75"/>
      <c r="E26" s="75"/>
      <c r="F26" s="75"/>
      <c r="G26" s="75"/>
    </row>
    <row r="27" spans="2:7" ht="19.5" customHeight="1" x14ac:dyDescent="0.35">
      <c r="B27" s="2" t="s">
        <v>196</v>
      </c>
      <c r="C27" s="2" t="s">
        <v>197</v>
      </c>
      <c r="D27" s="2" t="s">
        <v>198</v>
      </c>
    </row>
    <row r="28" spans="2:7" ht="27" customHeight="1" x14ac:dyDescent="0.35">
      <c r="B28" s="66" t="s">
        <v>199</v>
      </c>
      <c r="C28" s="63" t="s">
        <v>200</v>
      </c>
      <c r="D28" s="63" t="s">
        <v>201</v>
      </c>
    </row>
    <row r="29" spans="2:7" ht="27" customHeight="1" x14ac:dyDescent="0.35">
      <c r="B29" s="67" t="s">
        <v>202</v>
      </c>
      <c r="C29" s="61" t="s">
        <v>203</v>
      </c>
      <c r="D29" s="61" t="s">
        <v>204</v>
      </c>
    </row>
    <row r="30" spans="2:7" ht="27" customHeight="1" x14ac:dyDescent="0.35">
      <c r="B30" s="66" t="s">
        <v>205</v>
      </c>
      <c r="C30" s="63" t="s">
        <v>206</v>
      </c>
      <c r="D30" s="63" t="s">
        <v>207</v>
      </c>
    </row>
    <row r="31" spans="2:7" ht="27" customHeight="1" x14ac:dyDescent="0.35">
      <c r="B31" s="67" t="s">
        <v>208</v>
      </c>
      <c r="C31" s="61" t="s">
        <v>209</v>
      </c>
      <c r="D31" s="61" t="s">
        <v>210</v>
      </c>
    </row>
    <row r="32" spans="2:7" ht="27" customHeight="1" x14ac:dyDescent="0.35">
      <c r="B32" s="66" t="s">
        <v>211</v>
      </c>
      <c r="C32" s="63" t="s">
        <v>200</v>
      </c>
      <c r="D32" s="63" t="s">
        <v>212</v>
      </c>
    </row>
    <row r="33" spans="2:7" ht="27" customHeight="1" x14ac:dyDescent="0.35">
      <c r="B33" s="67" t="s">
        <v>213</v>
      </c>
      <c r="C33" s="61" t="s">
        <v>203</v>
      </c>
      <c r="D33" s="61" t="s">
        <v>214</v>
      </c>
    </row>
    <row r="34" spans="2:7" ht="27" customHeight="1" x14ac:dyDescent="0.35">
      <c r="B34" s="66" t="s">
        <v>215</v>
      </c>
      <c r="C34" s="63" t="s">
        <v>216</v>
      </c>
      <c r="D34" s="63" t="s">
        <v>217</v>
      </c>
    </row>
    <row r="35" spans="2:7" ht="27" customHeight="1" x14ac:dyDescent="0.35">
      <c r="B35" s="67" t="s">
        <v>218</v>
      </c>
      <c r="C35" s="61" t="s">
        <v>203</v>
      </c>
      <c r="D35" s="61" t="s">
        <v>219</v>
      </c>
    </row>
    <row r="38" spans="2:7" ht="13.5" customHeight="1" x14ac:dyDescent="0.35">
      <c r="B38" s="71" t="s">
        <v>245</v>
      </c>
      <c r="C38" s="71"/>
      <c r="D38" s="71"/>
      <c r="E38" s="71"/>
      <c r="F38" s="71"/>
      <c r="G38" s="71"/>
    </row>
    <row r="39" spans="2:7" ht="13.5" customHeight="1" x14ac:dyDescent="0.35">
      <c r="B39" s="71"/>
      <c r="C39" s="71"/>
      <c r="D39" s="71"/>
      <c r="E39" s="71"/>
      <c r="F39" s="71"/>
      <c r="G39" s="71"/>
    </row>
    <row r="40" spans="2:7" ht="13.5" customHeight="1" x14ac:dyDescent="0.35">
      <c r="B40" s="71"/>
      <c r="C40" s="71"/>
      <c r="D40" s="71"/>
      <c r="E40" s="71"/>
      <c r="F40" s="71"/>
      <c r="G40" s="71"/>
    </row>
  </sheetData>
  <mergeCells count="6">
    <mergeCell ref="B38:G40"/>
    <mergeCell ref="B2:G2"/>
    <mergeCell ref="B3:G3"/>
    <mergeCell ref="B5:G5"/>
    <mergeCell ref="B16:G16"/>
    <mergeCell ref="B26:G26"/>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26567"/>
  </sheetPr>
  <dimension ref="A2:C19"/>
  <sheetViews>
    <sheetView showGridLines="0" tabSelected="1" topLeftCell="A13" zoomScale="85" zoomScaleNormal="85" workbookViewId="0">
      <selection activeCell="C21" sqref="C21"/>
    </sheetView>
  </sheetViews>
  <sheetFormatPr defaultColWidth="8.6328125" defaultRowHeight="14.5" x14ac:dyDescent="0.35"/>
  <cols>
    <col min="1" max="1" width="2" style="1" customWidth="1"/>
    <col min="2" max="2" width="28" style="1" customWidth="1"/>
    <col min="3" max="3" width="70.90625" style="1" customWidth="1"/>
  </cols>
  <sheetData>
    <row r="2" spans="2:3" ht="48" customHeight="1" x14ac:dyDescent="0.35">
      <c r="B2" s="78" t="s">
        <v>220</v>
      </c>
      <c r="C2" s="78"/>
    </row>
    <row r="3" spans="2:3" ht="19.5" customHeight="1" x14ac:dyDescent="0.35">
      <c r="B3" s="73" t="s">
        <v>246</v>
      </c>
      <c r="C3" s="73"/>
    </row>
    <row r="5" spans="2:3" ht="37.5" customHeight="1" x14ac:dyDescent="0.35">
      <c r="B5" s="35" t="s">
        <v>221</v>
      </c>
      <c r="C5" s="35" t="s">
        <v>222</v>
      </c>
    </row>
    <row r="6" spans="2:3" ht="52.5" customHeight="1" x14ac:dyDescent="0.35">
      <c r="B6" s="10" t="s">
        <v>223</v>
      </c>
      <c r="C6" s="10" t="s">
        <v>224</v>
      </c>
    </row>
    <row r="7" spans="2:3" ht="47" customHeight="1" x14ac:dyDescent="0.35">
      <c r="B7" s="5" t="s">
        <v>225</v>
      </c>
      <c r="C7" s="5" t="s">
        <v>226</v>
      </c>
    </row>
    <row r="8" spans="2:3" ht="47" customHeight="1" x14ac:dyDescent="0.35">
      <c r="B8" s="10" t="s">
        <v>227</v>
      </c>
      <c r="C8" s="10" t="s">
        <v>228</v>
      </c>
    </row>
    <row r="9" spans="2:3" ht="47" customHeight="1" x14ac:dyDescent="0.35">
      <c r="B9" s="5" t="s">
        <v>229</v>
      </c>
      <c r="C9" s="5" t="s">
        <v>230</v>
      </c>
    </row>
    <row r="10" spans="2:3" ht="37.5" customHeight="1" x14ac:dyDescent="0.35">
      <c r="B10" s="10"/>
      <c r="C10" s="10"/>
    </row>
    <row r="11" spans="2:3" ht="37.5" customHeight="1" x14ac:dyDescent="0.35">
      <c r="B11" s="35" t="s">
        <v>231</v>
      </c>
      <c r="C11" s="35"/>
    </row>
    <row r="12" spans="2:3" ht="48.5" customHeight="1" x14ac:dyDescent="0.35">
      <c r="B12" s="10" t="s">
        <v>232</v>
      </c>
      <c r="C12" s="10" t="s">
        <v>233</v>
      </c>
    </row>
    <row r="13" spans="2:3" ht="48.5" customHeight="1" x14ac:dyDescent="0.35">
      <c r="B13" s="5" t="s">
        <v>234</v>
      </c>
      <c r="C13" s="5" t="s">
        <v>235</v>
      </c>
    </row>
    <row r="14" spans="2:3" ht="48.5" customHeight="1" x14ac:dyDescent="0.35">
      <c r="B14" s="10" t="s">
        <v>236</v>
      </c>
      <c r="C14" s="10" t="s">
        <v>237</v>
      </c>
    </row>
    <row r="15" spans="2:3" ht="48.5" customHeight="1" x14ac:dyDescent="0.35">
      <c r="B15" s="5" t="s">
        <v>238</v>
      </c>
      <c r="C15" s="5" t="s">
        <v>239</v>
      </c>
    </row>
    <row r="16" spans="2:3" ht="37.5" customHeight="1" x14ac:dyDescent="0.35">
      <c r="B16" s="10"/>
      <c r="C16" s="10"/>
    </row>
    <row r="17" spans="2:3" ht="37.5" customHeight="1" x14ac:dyDescent="0.35">
      <c r="B17" s="35" t="s">
        <v>240</v>
      </c>
      <c r="C17" s="35"/>
    </row>
    <row r="18" spans="2:3" ht="42" customHeight="1" x14ac:dyDescent="0.35">
      <c r="B18" s="10" t="s">
        <v>241</v>
      </c>
      <c r="C18" s="10" t="s">
        <v>242</v>
      </c>
    </row>
    <row r="19" spans="2:3" ht="42" customHeight="1" x14ac:dyDescent="0.35">
      <c r="B19" s="5" t="s">
        <v>243</v>
      </c>
      <c r="C19" s="5" t="s">
        <v>247</v>
      </c>
    </row>
  </sheetData>
  <mergeCells count="2">
    <mergeCell ref="B2:C2"/>
    <mergeCell ref="B3:C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 Mortgage vs Cash</vt:lpstr>
      <vt:lpstr>📅 15-Year Comparison</vt:lpstr>
      <vt:lpstr>📋 Amortisation Schedule</vt:lpstr>
      <vt:lpstr>🏦 Uganda Bank Rates</vt:lpstr>
      <vt:lpstr>📖 How to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Raymond Kirungi</cp:lastModifiedBy>
  <cp:revision>0</cp:revision>
  <dcterms:created xsi:type="dcterms:W3CDTF">2026-04-22T15:05:36Z</dcterms:created>
  <dcterms:modified xsi:type="dcterms:W3CDTF">2026-04-23T17:03:08Z</dcterms:modified>
  <dc:language>en-US</dc:language>
</cp:coreProperties>
</file>