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Cavotec\2020 MoorMaster\FINAL Deliverables\"/>
    </mc:Choice>
  </mc:AlternateContent>
  <xr:revisionPtr revIDLastSave="0" documentId="13_ncr:1_{A974E20B-53C5-48CD-8A34-D7B8C819E908}" xr6:coauthVersionLast="47" xr6:coauthVersionMax="47" xr10:uidLastSave="{00000000-0000-0000-0000-000000000000}"/>
  <bookViews>
    <workbookView xWindow="12660" yWindow="2235" windowWidth="31080" windowHeight="20895" xr2:uid="{00000000-000D-0000-FFFF-FFFF00000000}"/>
  </bookViews>
  <sheets>
    <sheet name="Cover &amp; Instructions" sheetId="6" r:id="rId1"/>
    <sheet name="Scenario Summary" sheetId="5" r:id="rId2"/>
    <sheet name="Ship Information" sheetId="7" r:id="rId3"/>
    <sheet name="Assist Tug Information" sheetId="8" r:id="rId4"/>
    <sheet name="Ship Parameters" sheetId="1" r:id="rId5"/>
    <sheet name="Assist Tug Parameters" sheetId="2" r:id="rId6"/>
  </sheets>
  <definedNames>
    <definedName name="_xlnm.Print_Area" localSheetId="3">'Assist Tug Information'!$A$6:$Q$89</definedName>
    <definedName name="_xlnm.Print_Area" localSheetId="5">'Assist Tug Parameters'!$A$7:$D$39</definedName>
    <definedName name="_xlnm.Print_Area" localSheetId="0">'Cover &amp; Instructions'!$A$1:$N$33</definedName>
    <definedName name="_xlnm.Print_Area" localSheetId="1">'Scenario Summary'!$A$5:$Q$108</definedName>
    <definedName name="_xlnm.Print_Area" localSheetId="2">'Ship Information'!$A$6:$Q$127</definedName>
    <definedName name="_xlnm.Print_Area" localSheetId="4">'Ship Parameters'!$A$7:$E$77</definedName>
    <definedName name="_xlnm.Print_Titles" localSheetId="3">'Assist Tug Information'!$1:$5</definedName>
    <definedName name="_xlnm.Print_Titles" localSheetId="5">'Assist Tug Parameters'!$1:$6</definedName>
    <definedName name="_xlnm.Print_Titles" localSheetId="1">'Scenario Summary'!$1:$5</definedName>
    <definedName name="_xlnm.Print_Titles" localSheetId="2">'Ship Information'!$1:$5</definedName>
    <definedName name="_xlnm.Print_Titles" localSheetId="4">'Ship Parameters'!$1:$6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8" l="1"/>
  <c r="Q55" i="5"/>
  <c r="Q54" i="5"/>
  <c r="Q53" i="5"/>
  <c r="Q56" i="5" s="1"/>
  <c r="O55" i="5"/>
  <c r="O54" i="5"/>
  <c r="O53" i="5"/>
  <c r="O56" i="5" s="1"/>
  <c r="M55" i="5"/>
  <c r="M54" i="5"/>
  <c r="M53" i="5"/>
  <c r="M56" i="5" s="1"/>
  <c r="K55" i="5"/>
  <c r="K54" i="5"/>
  <c r="K53" i="5"/>
  <c r="K56" i="5" s="1"/>
  <c r="I55" i="5"/>
  <c r="I54" i="5"/>
  <c r="I53" i="5"/>
  <c r="I56" i="5" s="1"/>
  <c r="G55" i="5"/>
  <c r="G54" i="5"/>
  <c r="G53" i="5"/>
  <c r="G56" i="5" s="1"/>
  <c r="E54" i="5"/>
  <c r="E53" i="5"/>
  <c r="E25" i="5" l="1"/>
  <c r="D68" i="1" l="1"/>
  <c r="Q78" i="7"/>
  <c r="O78" i="7"/>
  <c r="M78" i="7"/>
  <c r="K78" i="7"/>
  <c r="I78" i="7"/>
  <c r="G78" i="7"/>
  <c r="E78" i="7"/>
  <c r="Q79" i="7"/>
  <c r="O79" i="7"/>
  <c r="M79" i="7"/>
  <c r="K79" i="7"/>
  <c r="I79" i="7"/>
  <c r="G79" i="7"/>
  <c r="E79" i="7"/>
  <c r="J29" i="1"/>
  <c r="G29" i="1"/>
  <c r="F29" i="1"/>
  <c r="H29" i="1"/>
  <c r="I29" i="1"/>
  <c r="E29" i="1"/>
  <c r="D29" i="1"/>
  <c r="Q11" i="8"/>
  <c r="O11" i="8"/>
  <c r="M11" i="8"/>
  <c r="K11" i="8"/>
  <c r="I11" i="8"/>
  <c r="G11" i="8"/>
  <c r="E11" i="8"/>
  <c r="G13" i="8"/>
  <c r="I13" i="8" s="1"/>
  <c r="G14" i="8"/>
  <c r="D11" i="2" s="1"/>
  <c r="G15" i="8"/>
  <c r="I15" i="8" s="1"/>
  <c r="E13" i="2" s="1"/>
  <c r="G16" i="8"/>
  <c r="I16" i="8" s="1"/>
  <c r="I38" i="8"/>
  <c r="G38" i="8"/>
  <c r="I23" i="2"/>
  <c r="Q39" i="8" s="1"/>
  <c r="H23" i="2"/>
  <c r="O39" i="8" s="1"/>
  <c r="G23" i="2"/>
  <c r="M39" i="8" s="1"/>
  <c r="F23" i="2"/>
  <c r="K39" i="8" s="1"/>
  <c r="E23" i="2"/>
  <c r="I39" i="8" s="1"/>
  <c r="D23" i="2"/>
  <c r="G39" i="8" s="1"/>
  <c r="I22" i="2"/>
  <c r="Q38" i="8" s="1"/>
  <c r="H22" i="2"/>
  <c r="O38" i="8" s="1"/>
  <c r="G22" i="2"/>
  <c r="M38" i="8" s="1"/>
  <c r="F22" i="2"/>
  <c r="K38" i="8" s="1"/>
  <c r="E22" i="2"/>
  <c r="D22" i="2"/>
  <c r="I16" i="2"/>
  <c r="H16" i="2"/>
  <c r="G16" i="2"/>
  <c r="F16" i="2"/>
  <c r="E16" i="2"/>
  <c r="D16" i="2"/>
  <c r="C16" i="2"/>
  <c r="D13" i="2"/>
  <c r="I8" i="2"/>
  <c r="H8" i="2"/>
  <c r="G8" i="2"/>
  <c r="F8" i="2"/>
  <c r="E8" i="2"/>
  <c r="D8" i="2"/>
  <c r="C8" i="2"/>
  <c r="J53" i="1"/>
  <c r="J67" i="1" s="1"/>
  <c r="I53" i="1"/>
  <c r="I67" i="1" s="1"/>
  <c r="H53" i="1"/>
  <c r="H67" i="1" s="1"/>
  <c r="G53" i="1"/>
  <c r="G67" i="1" s="1"/>
  <c r="F53" i="1"/>
  <c r="F67" i="1" s="1"/>
  <c r="D53" i="1"/>
  <c r="D67" i="1" s="1"/>
  <c r="E53" i="1"/>
  <c r="E67" i="1" s="1"/>
  <c r="J44" i="1"/>
  <c r="I44" i="1"/>
  <c r="H44" i="1"/>
  <c r="G44" i="1"/>
  <c r="F44" i="1"/>
  <c r="E44" i="1"/>
  <c r="J23" i="1"/>
  <c r="I21" i="2" s="1"/>
  <c r="Q37" i="8" s="1"/>
  <c r="J22" i="1"/>
  <c r="I20" i="2" s="1"/>
  <c r="Q36" i="8" s="1"/>
  <c r="I23" i="1"/>
  <c r="H21" i="2" s="1"/>
  <c r="O37" i="8" s="1"/>
  <c r="I22" i="1"/>
  <c r="H20" i="2" s="1"/>
  <c r="O36" i="8" s="1"/>
  <c r="H23" i="1"/>
  <c r="G21" i="2" s="1"/>
  <c r="M37" i="8" s="1"/>
  <c r="H22" i="1"/>
  <c r="G20" i="2" s="1"/>
  <c r="M36" i="8" s="1"/>
  <c r="G23" i="1"/>
  <c r="F21" i="2" s="1"/>
  <c r="K37" i="8" s="1"/>
  <c r="G22" i="1"/>
  <c r="F20" i="2" s="1"/>
  <c r="K36" i="8" s="1"/>
  <c r="F23" i="1"/>
  <c r="E21" i="2" s="1"/>
  <c r="I37" i="8" s="1"/>
  <c r="E23" i="1"/>
  <c r="D21" i="2" s="1"/>
  <c r="G37" i="8" s="1"/>
  <c r="D23" i="1"/>
  <c r="D22" i="1"/>
  <c r="F22" i="1"/>
  <c r="E20" i="2" s="1"/>
  <c r="I36" i="8" s="1"/>
  <c r="E22" i="1"/>
  <c r="D20" i="2" s="1"/>
  <c r="G36" i="8" s="1"/>
  <c r="J8" i="1"/>
  <c r="J15" i="1" s="1"/>
  <c r="I8" i="1"/>
  <c r="I11" i="1" s="1"/>
  <c r="H8" i="1"/>
  <c r="H17" i="1" s="1"/>
  <c r="G8" i="1"/>
  <c r="G17" i="1" s="1"/>
  <c r="F8" i="1"/>
  <c r="F12" i="1" s="1"/>
  <c r="E8" i="1"/>
  <c r="E9" i="1" s="1"/>
  <c r="D8" i="1"/>
  <c r="D15" i="1" s="1"/>
  <c r="V143" i="1"/>
  <c r="W143" i="1" s="1"/>
  <c r="X143" i="1" s="1"/>
  <c r="Y143" i="1" s="1"/>
  <c r="T143" i="1"/>
  <c r="U143" i="1" s="1"/>
  <c r="Q143" i="1"/>
  <c r="R143" i="1" s="1"/>
  <c r="S143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V142" i="1"/>
  <c r="W142" i="1" s="1"/>
  <c r="X142" i="1" s="1"/>
  <c r="Y142" i="1" s="1"/>
  <c r="T142" i="1"/>
  <c r="U142" i="1" s="1"/>
  <c r="Q142" i="1"/>
  <c r="R142" i="1" s="1"/>
  <c r="S142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H9" i="1" l="1"/>
  <c r="D33" i="1"/>
  <c r="E45" i="7" s="1"/>
  <c r="D10" i="2"/>
  <c r="D9" i="1"/>
  <c r="D10" i="1"/>
  <c r="D11" i="1"/>
  <c r="D14" i="1"/>
  <c r="I33" i="1"/>
  <c r="O45" i="7" s="1"/>
  <c r="K15" i="8"/>
  <c r="F13" i="2" s="1"/>
  <c r="F11" i="1"/>
  <c r="E12" i="1"/>
  <c r="E32" i="1"/>
  <c r="F14" i="1"/>
  <c r="I14" i="1"/>
  <c r="I17" i="1"/>
  <c r="I9" i="1"/>
  <c r="H32" i="1"/>
  <c r="I32" i="1"/>
  <c r="F9" i="1"/>
  <c r="G11" i="1"/>
  <c r="F32" i="1"/>
  <c r="G9" i="1"/>
  <c r="G15" i="1"/>
  <c r="G32" i="1"/>
  <c r="H12" i="1"/>
  <c r="G12" i="1"/>
  <c r="G18" i="1"/>
  <c r="H33" i="1"/>
  <c r="M45" i="7" s="1"/>
  <c r="F33" i="1"/>
  <c r="I45" i="7" s="1"/>
  <c r="G33" i="1"/>
  <c r="K45" i="7" s="1"/>
  <c r="G10" i="1"/>
  <c r="K52" i="5" s="1"/>
  <c r="K16" i="8"/>
  <c r="E14" i="2"/>
  <c r="K13" i="8"/>
  <c r="E10" i="2"/>
  <c r="I14" i="8"/>
  <c r="D14" i="2"/>
  <c r="J10" i="1"/>
  <c r="Q52" i="5" s="1"/>
  <c r="J12" i="1"/>
  <c r="J17" i="1"/>
  <c r="J32" i="1"/>
  <c r="J9" i="1"/>
  <c r="J18" i="1"/>
  <c r="J33" i="1"/>
  <c r="Q45" i="7" s="1"/>
  <c r="J14" i="1"/>
  <c r="J11" i="1"/>
  <c r="I18" i="1"/>
  <c r="I10" i="1"/>
  <c r="O52" i="5" s="1"/>
  <c r="I12" i="1"/>
  <c r="I15" i="1"/>
  <c r="H15" i="1"/>
  <c r="H18" i="1"/>
  <c r="H11" i="1"/>
  <c r="H14" i="1"/>
  <c r="H10" i="1"/>
  <c r="M52" i="5" s="1"/>
  <c r="G14" i="1"/>
  <c r="F18" i="1"/>
  <c r="F10" i="1"/>
  <c r="I52" i="5" s="1"/>
  <c r="F15" i="1"/>
  <c r="F17" i="1"/>
  <c r="E18" i="1"/>
  <c r="E15" i="1"/>
  <c r="E33" i="1"/>
  <c r="G45" i="7" s="1"/>
  <c r="E11" i="1"/>
  <c r="E14" i="1"/>
  <c r="E17" i="1"/>
  <c r="E10" i="1"/>
  <c r="G52" i="5" s="1"/>
  <c r="D18" i="1"/>
  <c r="D17" i="1"/>
  <c r="D32" i="1"/>
  <c r="D34" i="1" s="1"/>
  <c r="D35" i="1" s="1"/>
  <c r="D12" i="1"/>
  <c r="D81" i="2"/>
  <c r="D58" i="2"/>
  <c r="D49" i="2"/>
  <c r="M15" i="8" l="1"/>
  <c r="K14" i="8"/>
  <c r="E11" i="2"/>
  <c r="O15" i="8"/>
  <c r="G13" i="2"/>
  <c r="F10" i="2"/>
  <c r="M13" i="8"/>
  <c r="F14" i="2"/>
  <c r="M16" i="8"/>
  <c r="G14" i="2" l="1"/>
  <c r="O16" i="8"/>
  <c r="M14" i="8"/>
  <c r="F11" i="2"/>
  <c r="G10" i="2"/>
  <c r="O13" i="8"/>
  <c r="Q15" i="8"/>
  <c r="I13" i="2" s="1"/>
  <c r="H13" i="2"/>
  <c r="J81" i="1"/>
  <c r="J95" i="1" s="1"/>
  <c r="I81" i="1"/>
  <c r="I95" i="1" s="1"/>
  <c r="H81" i="1"/>
  <c r="H95" i="1" s="1"/>
  <c r="G81" i="1"/>
  <c r="G95" i="1" s="1"/>
  <c r="F81" i="1"/>
  <c r="F95" i="1" s="1"/>
  <c r="E81" i="1"/>
  <c r="E95" i="1" s="1"/>
  <c r="D81" i="1"/>
  <c r="D95" i="1" s="1"/>
  <c r="H14" i="2" l="1"/>
  <c r="Q16" i="8"/>
  <c r="I14" i="2" s="1"/>
  <c r="G11" i="2"/>
  <c r="O14" i="8"/>
  <c r="Q13" i="8"/>
  <c r="I10" i="2" s="1"/>
  <c r="H10" i="2"/>
  <c r="C14" i="2"/>
  <c r="C13" i="2"/>
  <c r="C11" i="2"/>
  <c r="C10" i="2"/>
  <c r="E9" i="8"/>
  <c r="E33" i="8" s="1"/>
  <c r="E59" i="8" s="1"/>
  <c r="E46" i="8" s="1"/>
  <c r="Q9" i="8"/>
  <c r="Q33" i="8" s="1"/>
  <c r="Q59" i="8" s="1"/>
  <c r="Q46" i="8" s="1"/>
  <c r="O9" i="8"/>
  <c r="O33" i="8" s="1"/>
  <c r="O59" i="8" s="1"/>
  <c r="O46" i="8" s="1"/>
  <c r="M9" i="8"/>
  <c r="M33" i="8" s="1"/>
  <c r="M59" i="8" s="1"/>
  <c r="M46" i="8" s="1"/>
  <c r="K9" i="8"/>
  <c r="K33" i="8" s="1"/>
  <c r="K59" i="8" s="1"/>
  <c r="K46" i="8" s="1"/>
  <c r="I9" i="8"/>
  <c r="I33" i="8" s="1"/>
  <c r="I59" i="8" s="1"/>
  <c r="I46" i="8" s="1"/>
  <c r="G9" i="8"/>
  <c r="G33" i="8" s="1"/>
  <c r="G59" i="8" s="1"/>
  <c r="G46" i="8" s="1"/>
  <c r="H11" i="2" l="1"/>
  <c r="Q14" i="8"/>
  <c r="I11" i="2" s="1"/>
  <c r="O82" i="8"/>
  <c r="O72" i="8"/>
  <c r="Q82" i="8"/>
  <c r="Q72" i="8"/>
  <c r="E82" i="8"/>
  <c r="E72" i="8"/>
  <c r="G82" i="8"/>
  <c r="G72" i="8"/>
  <c r="M82" i="8"/>
  <c r="M72" i="8"/>
  <c r="I82" i="8"/>
  <c r="I72" i="8"/>
  <c r="K82" i="8"/>
  <c r="K72" i="8"/>
  <c r="E52" i="5"/>
  <c r="Q9" i="7"/>
  <c r="O9" i="7"/>
  <c r="M9" i="7"/>
  <c r="K9" i="7"/>
  <c r="I9" i="7"/>
  <c r="G9" i="7"/>
  <c r="E9" i="7"/>
  <c r="E42" i="7" s="1"/>
  <c r="E76" i="7" s="1"/>
  <c r="E56" i="7" s="1"/>
  <c r="Q82" i="5"/>
  <c r="Q81" i="5"/>
  <c r="Q79" i="5"/>
  <c r="Q51" i="5"/>
  <c r="O82" i="5"/>
  <c r="O81" i="5"/>
  <c r="O79" i="5"/>
  <c r="O51" i="5"/>
  <c r="M82" i="5"/>
  <c r="M81" i="5"/>
  <c r="M79" i="5"/>
  <c r="M51" i="5"/>
  <c r="K82" i="5"/>
  <c r="K81" i="5"/>
  <c r="K79" i="5"/>
  <c r="K51" i="5"/>
  <c r="I82" i="5"/>
  <c r="I81" i="5"/>
  <c r="I79" i="5"/>
  <c r="I51" i="5"/>
  <c r="G82" i="5"/>
  <c r="G81" i="5"/>
  <c r="G79" i="5"/>
  <c r="G51" i="5"/>
  <c r="E82" i="5"/>
  <c r="E81" i="5"/>
  <c r="E79" i="5"/>
  <c r="E51" i="5"/>
  <c r="D44" i="1"/>
  <c r="E40" i="1"/>
  <c r="D40" i="1"/>
  <c r="I42" i="7" l="1"/>
  <c r="I76" i="7" s="1"/>
  <c r="I56" i="7" s="1"/>
  <c r="I113" i="7" s="1"/>
  <c r="M42" i="7"/>
  <c r="M76" i="7" s="1"/>
  <c r="M56" i="7" s="1"/>
  <c r="M113" i="7" s="1"/>
  <c r="G42" i="7"/>
  <c r="G76" i="7" s="1"/>
  <c r="G56" i="7" s="1"/>
  <c r="G113" i="7" s="1"/>
  <c r="G96" i="7" s="1"/>
  <c r="O42" i="7"/>
  <c r="O76" i="7" s="1"/>
  <c r="O56" i="7" s="1"/>
  <c r="O113" i="7" s="1"/>
  <c r="Q42" i="7"/>
  <c r="Q76" i="7" s="1"/>
  <c r="Q56" i="7" s="1"/>
  <c r="Q113" i="7" s="1"/>
  <c r="K42" i="7"/>
  <c r="K76" i="7" s="1"/>
  <c r="K56" i="7" s="1"/>
  <c r="K113" i="7" s="1"/>
  <c r="K12" i="7"/>
  <c r="M12" i="7"/>
  <c r="O12" i="7"/>
  <c r="Q12" i="7"/>
  <c r="E12" i="7"/>
  <c r="G12" i="7"/>
  <c r="I12" i="7"/>
  <c r="E113" i="7"/>
  <c r="I51" i="7"/>
  <c r="O51" i="7"/>
  <c r="O52" i="7"/>
  <c r="K52" i="7"/>
  <c r="I52" i="7"/>
  <c r="M51" i="7"/>
  <c r="G51" i="7"/>
  <c r="M52" i="7"/>
  <c r="G52" i="7"/>
  <c r="Q51" i="7"/>
  <c r="K51" i="7"/>
  <c r="Q52" i="7"/>
  <c r="I83" i="5"/>
  <c r="M83" i="5"/>
  <c r="Q83" i="5"/>
  <c r="G83" i="5"/>
  <c r="K83" i="5"/>
  <c r="O83" i="5"/>
  <c r="E83" i="5"/>
  <c r="E52" i="7"/>
  <c r="E51" i="7"/>
  <c r="Q11" i="7"/>
  <c r="O11" i="7"/>
  <c r="M11" i="7"/>
  <c r="K11" i="7"/>
  <c r="I11" i="7"/>
  <c r="G11" i="7"/>
  <c r="E11" i="7"/>
  <c r="J59" i="1"/>
  <c r="I59" i="1"/>
  <c r="H59" i="1"/>
  <c r="G59" i="1"/>
  <c r="F59" i="1"/>
  <c r="E59" i="1"/>
  <c r="J40" i="1"/>
  <c r="I40" i="1"/>
  <c r="I45" i="1" s="1"/>
  <c r="H40" i="1"/>
  <c r="H45" i="1" s="1"/>
  <c r="G40" i="1"/>
  <c r="F40" i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F26" i="1"/>
  <c r="E24" i="2" s="1"/>
  <c r="I41" i="8" s="1"/>
  <c r="E26" i="1"/>
  <c r="D24" i="2" s="1"/>
  <c r="G41" i="8" s="1"/>
  <c r="D59" i="1"/>
  <c r="G26" i="1" l="1"/>
  <c r="F24" i="2" s="1"/>
  <c r="K41" i="8" s="1"/>
  <c r="H26" i="1"/>
  <c r="I26" i="1"/>
  <c r="D26" i="1"/>
  <c r="J26" i="1"/>
  <c r="K96" i="7"/>
  <c r="I96" i="7"/>
  <c r="M96" i="7"/>
  <c r="Q96" i="7"/>
  <c r="O96" i="7"/>
  <c r="E96" i="7"/>
  <c r="F27" i="1"/>
  <c r="F28" i="1" s="1"/>
  <c r="E27" i="1"/>
  <c r="E28" i="1" s="1"/>
  <c r="J42" i="1"/>
  <c r="H42" i="1"/>
  <c r="H47" i="1" s="1"/>
  <c r="M82" i="7" s="1"/>
  <c r="J45" i="1"/>
  <c r="G42" i="1"/>
  <c r="E51" i="1"/>
  <c r="E54" i="1" s="1"/>
  <c r="G86" i="7" s="1"/>
  <c r="F51" i="1"/>
  <c r="F54" i="1" s="1"/>
  <c r="I86" i="7" s="1"/>
  <c r="G51" i="1"/>
  <c r="G54" i="1" s="1"/>
  <c r="K86" i="7" s="1"/>
  <c r="H51" i="1"/>
  <c r="H54" i="1" s="1"/>
  <c r="M86" i="7" s="1"/>
  <c r="E42" i="1"/>
  <c r="F42" i="1"/>
  <c r="F45" i="1"/>
  <c r="I42" i="1"/>
  <c r="I47" i="1" s="1"/>
  <c r="O82" i="7" s="1"/>
  <c r="I51" i="1"/>
  <c r="I54" i="1" s="1"/>
  <c r="O86" i="7" s="1"/>
  <c r="E45" i="1"/>
  <c r="J51" i="1"/>
  <c r="J54" i="1" s="1"/>
  <c r="Q86" i="7" s="1"/>
  <c r="G45" i="1"/>
  <c r="G27" i="1" l="1"/>
  <c r="H27" i="1"/>
  <c r="G24" i="2"/>
  <c r="M41" i="8" s="1"/>
  <c r="D26" i="2"/>
  <c r="D25" i="2"/>
  <c r="J27" i="1"/>
  <c r="J28" i="1" s="1"/>
  <c r="I24" i="2"/>
  <c r="Q41" i="8" s="1"/>
  <c r="F36" i="1"/>
  <c r="I46" i="7" s="1"/>
  <c r="E25" i="2"/>
  <c r="I27" i="1"/>
  <c r="H24" i="2"/>
  <c r="O41" i="8" s="1"/>
  <c r="K66" i="7"/>
  <c r="O66" i="7"/>
  <c r="E52" i="1"/>
  <c r="E55" i="1" s="1"/>
  <c r="G87" i="7" s="1"/>
  <c r="F66" i="1"/>
  <c r="F68" i="1" s="1"/>
  <c r="F69" i="1" s="1"/>
  <c r="F70" i="1" s="1"/>
  <c r="E26" i="2"/>
  <c r="G66" i="7"/>
  <c r="M66" i="7"/>
  <c r="I66" i="7"/>
  <c r="Q66" i="7"/>
  <c r="J47" i="1"/>
  <c r="Q82" i="7" s="1"/>
  <c r="G47" i="1"/>
  <c r="K82" i="7" s="1"/>
  <c r="E66" i="1"/>
  <c r="F47" i="1"/>
  <c r="I82" i="7" s="1"/>
  <c r="E47" i="1"/>
  <c r="G82" i="7" s="1"/>
  <c r="H26" i="2" l="1"/>
  <c r="I28" i="1"/>
  <c r="H28" i="1"/>
  <c r="G26" i="2" s="1"/>
  <c r="G66" i="1"/>
  <c r="G28" i="1"/>
  <c r="H66" i="1"/>
  <c r="M58" i="7" s="1"/>
  <c r="I66" i="1"/>
  <c r="O58" i="7" s="1"/>
  <c r="F26" i="2"/>
  <c r="J36" i="1"/>
  <c r="I25" i="2"/>
  <c r="G42" i="8"/>
  <c r="D46" i="2"/>
  <c r="G88" i="8" s="1"/>
  <c r="D29" i="2"/>
  <c r="D45" i="2"/>
  <c r="G87" i="8" s="1"/>
  <c r="D43" i="2"/>
  <c r="G85" i="8" s="1"/>
  <c r="D44" i="2"/>
  <c r="G86" i="8" s="1"/>
  <c r="D30" i="2"/>
  <c r="D42" i="2"/>
  <c r="G84" i="8" s="1"/>
  <c r="J66" i="1"/>
  <c r="J68" i="1" s="1"/>
  <c r="J91" i="1" s="1"/>
  <c r="J84" i="1" s="1"/>
  <c r="I26" i="2"/>
  <c r="H25" i="2"/>
  <c r="H52" i="1"/>
  <c r="H55" i="1" s="1"/>
  <c r="G25" i="2"/>
  <c r="I42" i="8"/>
  <c r="E30" i="2"/>
  <c r="E44" i="2"/>
  <c r="I86" i="8" s="1"/>
  <c r="E42" i="2"/>
  <c r="I84" i="8" s="1"/>
  <c r="E45" i="2"/>
  <c r="I87" i="8" s="1"/>
  <c r="E43" i="2"/>
  <c r="I85" i="8" s="1"/>
  <c r="E46" i="2"/>
  <c r="I88" i="8" s="1"/>
  <c r="E29" i="2"/>
  <c r="G52" i="1"/>
  <c r="G55" i="1" s="1"/>
  <c r="F25" i="2"/>
  <c r="I58" i="7"/>
  <c r="F71" i="1"/>
  <c r="F90" i="1"/>
  <c r="F83" i="1" s="1"/>
  <c r="F92" i="1"/>
  <c r="F85" i="1" s="1"/>
  <c r="F93" i="1"/>
  <c r="F86" i="1" s="1"/>
  <c r="F89" i="1"/>
  <c r="F82" i="1" s="1"/>
  <c r="F91" i="1"/>
  <c r="F84" i="1" s="1"/>
  <c r="K58" i="7"/>
  <c r="G68" i="1"/>
  <c r="G71" i="1" s="1"/>
  <c r="G58" i="7"/>
  <c r="F52" i="1"/>
  <c r="F55" i="1" s="1"/>
  <c r="Q102" i="7"/>
  <c r="Q101" i="7"/>
  <c r="Q99" i="7"/>
  <c r="Q98" i="7"/>
  <c r="Q100" i="7"/>
  <c r="E68" i="1"/>
  <c r="G67" i="7"/>
  <c r="E56" i="1"/>
  <c r="G88" i="7" s="1"/>
  <c r="F41" i="1"/>
  <c r="F43" i="1" s="1"/>
  <c r="E36" i="1"/>
  <c r="G46" i="7" s="1"/>
  <c r="C23" i="2"/>
  <c r="E39" i="8" s="1"/>
  <c r="C22" i="2"/>
  <c r="E38" i="8" s="1"/>
  <c r="C21" i="2"/>
  <c r="E37" i="8" s="1"/>
  <c r="C20" i="2"/>
  <c r="F56" i="1" l="1"/>
  <c r="I88" i="7" s="1"/>
  <c r="I87" i="7"/>
  <c r="J41" i="1"/>
  <c r="J39" i="1" s="1"/>
  <c r="Q49" i="7" s="1"/>
  <c r="Q46" i="7"/>
  <c r="G56" i="1"/>
  <c r="K87" i="7"/>
  <c r="H56" i="1"/>
  <c r="M88" i="7" s="1"/>
  <c r="M68" i="7" s="1"/>
  <c r="M87" i="7"/>
  <c r="M67" i="7" s="1"/>
  <c r="H68" i="1"/>
  <c r="M59" i="5" s="1"/>
  <c r="M91" i="5" s="1"/>
  <c r="J52" i="1"/>
  <c r="J55" i="1" s="1"/>
  <c r="J43" i="1"/>
  <c r="J46" i="1"/>
  <c r="Q62" i="7" s="1"/>
  <c r="I68" i="1"/>
  <c r="I71" i="1" s="1"/>
  <c r="G36" i="1"/>
  <c r="K67" i="7"/>
  <c r="G110" i="1"/>
  <c r="G112" i="1"/>
  <c r="G114" i="1"/>
  <c r="G111" i="1"/>
  <c r="J89" i="1"/>
  <c r="J82" i="1" s="1"/>
  <c r="J93" i="1"/>
  <c r="J86" i="1" s="1"/>
  <c r="J71" i="1"/>
  <c r="G69" i="1"/>
  <c r="G70" i="1" s="1"/>
  <c r="H36" i="1"/>
  <c r="M46" i="7" s="1"/>
  <c r="J90" i="1"/>
  <c r="J83" i="1" s="1"/>
  <c r="E32" i="2"/>
  <c r="I62" i="8"/>
  <c r="M42" i="8"/>
  <c r="G43" i="2"/>
  <c r="M85" i="8" s="1"/>
  <c r="G30" i="2"/>
  <c r="G42" i="2"/>
  <c r="M84" i="8" s="1"/>
  <c r="G46" i="2"/>
  <c r="M88" i="8" s="1"/>
  <c r="G29" i="2"/>
  <c r="G45" i="2"/>
  <c r="M87" i="8" s="1"/>
  <c r="G44" i="2"/>
  <c r="M86" i="8" s="1"/>
  <c r="Q58" i="7"/>
  <c r="I36" i="1"/>
  <c r="O46" i="7" s="1"/>
  <c r="I52" i="1"/>
  <c r="I55" i="1" s="1"/>
  <c r="D32" i="2"/>
  <c r="G62" i="8"/>
  <c r="O42" i="8"/>
  <c r="H30" i="2"/>
  <c r="H46" i="2"/>
  <c r="O88" i="8" s="1"/>
  <c r="H44" i="2"/>
  <c r="O86" i="8" s="1"/>
  <c r="H29" i="2"/>
  <c r="H45" i="2"/>
  <c r="O87" i="8" s="1"/>
  <c r="H42" i="2"/>
  <c r="O84" i="8" s="1"/>
  <c r="H43" i="2"/>
  <c r="O85" i="8" s="1"/>
  <c r="J69" i="1"/>
  <c r="J70" i="1" s="1"/>
  <c r="J92" i="1"/>
  <c r="J85" i="1" s="1"/>
  <c r="K42" i="8"/>
  <c r="F45" i="2"/>
  <c r="K87" i="8" s="1"/>
  <c r="F30" i="2"/>
  <c r="F29" i="2"/>
  <c r="F42" i="2"/>
  <c r="K84" i="8" s="1"/>
  <c r="F44" i="2"/>
  <c r="K86" i="8" s="1"/>
  <c r="F46" i="2"/>
  <c r="K88" i="8" s="1"/>
  <c r="F43" i="2"/>
  <c r="K85" i="8" s="1"/>
  <c r="E33" i="2"/>
  <c r="I65" i="8" s="1"/>
  <c r="I64" i="8"/>
  <c r="Q42" i="8"/>
  <c r="I30" i="2"/>
  <c r="I46" i="2"/>
  <c r="Q88" i="8" s="1"/>
  <c r="I42" i="2"/>
  <c r="Q84" i="8" s="1"/>
  <c r="I29" i="2"/>
  <c r="I45" i="2"/>
  <c r="Q87" i="8" s="1"/>
  <c r="I44" i="2"/>
  <c r="Q86" i="8" s="1"/>
  <c r="I43" i="2"/>
  <c r="Q85" i="8" s="1"/>
  <c r="D33" i="2"/>
  <c r="G65" i="8" s="1"/>
  <c r="G64" i="8"/>
  <c r="I67" i="7"/>
  <c r="G59" i="7"/>
  <c r="G93" i="1"/>
  <c r="G86" i="1" s="1"/>
  <c r="G89" i="1"/>
  <c r="G82" i="1" s="1"/>
  <c r="G90" i="1"/>
  <c r="G83" i="1" s="1"/>
  <c r="G92" i="1"/>
  <c r="G85" i="1" s="1"/>
  <c r="G91" i="1"/>
  <c r="G84" i="1" s="1"/>
  <c r="I59" i="7"/>
  <c r="H92" i="1"/>
  <c r="H85" i="1" s="1"/>
  <c r="I118" i="7" s="1"/>
  <c r="I101" i="7" s="1"/>
  <c r="H90" i="1"/>
  <c r="H83" i="1" s="1"/>
  <c r="I116" i="7" s="1"/>
  <c r="I99" i="7" s="1"/>
  <c r="E92" i="1"/>
  <c r="E85" i="1" s="1"/>
  <c r="E93" i="1"/>
  <c r="E86" i="1" s="1"/>
  <c r="E91" i="1"/>
  <c r="E84" i="1" s="1"/>
  <c r="E90" i="1"/>
  <c r="E83" i="1" s="1"/>
  <c r="E89" i="1"/>
  <c r="E82" i="1" s="1"/>
  <c r="I93" i="1"/>
  <c r="I86" i="1" s="1"/>
  <c r="M118" i="7"/>
  <c r="K59" i="7"/>
  <c r="E114" i="1"/>
  <c r="E112" i="1"/>
  <c r="E113" i="1"/>
  <c r="E111" i="1"/>
  <c r="E110" i="1"/>
  <c r="F111" i="1"/>
  <c r="F114" i="1"/>
  <c r="F113" i="1"/>
  <c r="F112" i="1"/>
  <c r="F110" i="1"/>
  <c r="K59" i="5"/>
  <c r="K91" i="5" s="1"/>
  <c r="Q59" i="7"/>
  <c r="E69" i="1"/>
  <c r="H69" i="1"/>
  <c r="H70" i="1" s="1"/>
  <c r="F46" i="1"/>
  <c r="E71" i="1"/>
  <c r="E36" i="8"/>
  <c r="G68" i="7"/>
  <c r="I68" i="7"/>
  <c r="F39" i="1"/>
  <c r="I49" i="7" s="1"/>
  <c r="E41" i="1"/>
  <c r="C24" i="2"/>
  <c r="E41" i="8" s="1"/>
  <c r="G41" i="1" l="1"/>
  <c r="G43" i="1" s="1"/>
  <c r="K46" i="7"/>
  <c r="J56" i="1"/>
  <c r="Q87" i="7"/>
  <c r="I56" i="1"/>
  <c r="O88" i="7" s="1"/>
  <c r="O87" i="7"/>
  <c r="H113" i="1"/>
  <c r="G113" i="1"/>
  <c r="K88" i="7"/>
  <c r="K68" i="7" s="1"/>
  <c r="H110" i="1"/>
  <c r="H111" i="1"/>
  <c r="H112" i="1"/>
  <c r="H114" i="1"/>
  <c r="F48" i="1"/>
  <c r="I62" i="7"/>
  <c r="G46" i="1"/>
  <c r="G39" i="1"/>
  <c r="K49" i="7" s="1"/>
  <c r="J48" i="1"/>
  <c r="J112" i="1"/>
  <c r="J114" i="1"/>
  <c r="J110" i="1"/>
  <c r="I69" i="1"/>
  <c r="I70" i="1" s="1"/>
  <c r="H91" i="1"/>
  <c r="H84" i="1" s="1"/>
  <c r="I117" i="7" s="1"/>
  <c r="I100" i="7" s="1"/>
  <c r="O59" i="7"/>
  <c r="M59" i="7"/>
  <c r="H93" i="1"/>
  <c r="H86" i="1" s="1"/>
  <c r="I119" i="7" s="1"/>
  <c r="I102" i="7" s="1"/>
  <c r="J111" i="1"/>
  <c r="H71" i="1"/>
  <c r="H89" i="1"/>
  <c r="H82" i="1" s="1"/>
  <c r="I115" i="7" s="1"/>
  <c r="I98" i="7" s="1"/>
  <c r="Q67" i="7"/>
  <c r="I89" i="1"/>
  <c r="I82" i="1" s="1"/>
  <c r="O86" i="5"/>
  <c r="I92" i="1"/>
  <c r="I85" i="1" s="1"/>
  <c r="I91" i="1"/>
  <c r="I84" i="1" s="1"/>
  <c r="I90" i="1"/>
  <c r="I83" i="1" s="1"/>
  <c r="O116" i="7" s="1"/>
  <c r="O99" i="7" s="1"/>
  <c r="H41" i="1"/>
  <c r="H46" i="1" s="1"/>
  <c r="M62" i="7" s="1"/>
  <c r="K119" i="7"/>
  <c r="K102" i="7" s="1"/>
  <c r="O67" i="7"/>
  <c r="G63" i="8"/>
  <c r="D36" i="2"/>
  <c r="Q64" i="8"/>
  <c r="I33" i="2"/>
  <c r="Q65" i="8" s="1"/>
  <c r="F32" i="2"/>
  <c r="K62" i="8"/>
  <c r="I114" i="1"/>
  <c r="I112" i="1"/>
  <c r="I113" i="1"/>
  <c r="I110" i="1"/>
  <c r="I111" i="1"/>
  <c r="M64" i="8"/>
  <c r="G33" i="2"/>
  <c r="M65" i="8" s="1"/>
  <c r="K64" i="8"/>
  <c r="F33" i="2"/>
  <c r="K65" i="8" s="1"/>
  <c r="H32" i="2"/>
  <c r="O62" i="8"/>
  <c r="M119" i="7"/>
  <c r="M102" i="7" s="1"/>
  <c r="I41" i="1"/>
  <c r="I63" i="8"/>
  <c r="E36" i="2"/>
  <c r="I32" i="2"/>
  <c r="Q62" i="8"/>
  <c r="G32" i="2"/>
  <c r="M62" i="8"/>
  <c r="H33" i="2"/>
  <c r="O65" i="8" s="1"/>
  <c r="O64" i="8"/>
  <c r="O119" i="7"/>
  <c r="O102" i="7" s="1"/>
  <c r="K115" i="7"/>
  <c r="K98" i="7" s="1"/>
  <c r="M115" i="7"/>
  <c r="M98" i="7" s="1"/>
  <c r="K118" i="7"/>
  <c r="K101" i="7" s="1"/>
  <c r="G118" i="7"/>
  <c r="G101" i="7" s="1"/>
  <c r="O118" i="7"/>
  <c r="O101" i="7" s="1"/>
  <c r="O115" i="7"/>
  <c r="O98" i="7" s="1"/>
  <c r="O117" i="7"/>
  <c r="O100" i="7" s="1"/>
  <c r="M116" i="7"/>
  <c r="M99" i="7" s="1"/>
  <c r="K117" i="7"/>
  <c r="K100" i="7" s="1"/>
  <c r="K116" i="7"/>
  <c r="K99" i="7" s="1"/>
  <c r="G117" i="7"/>
  <c r="G100" i="7" s="1"/>
  <c r="G116" i="7"/>
  <c r="G99" i="7" s="1"/>
  <c r="G115" i="7"/>
  <c r="G98" i="7" s="1"/>
  <c r="G119" i="7"/>
  <c r="G102" i="7" s="1"/>
  <c r="M86" i="5"/>
  <c r="K86" i="5"/>
  <c r="M101" i="7"/>
  <c r="E70" i="1"/>
  <c r="O68" i="7"/>
  <c r="Q86" i="5"/>
  <c r="Q59" i="5"/>
  <c r="Q91" i="5" s="1"/>
  <c r="I86" i="5"/>
  <c r="I59" i="5"/>
  <c r="I91" i="5" s="1"/>
  <c r="E39" i="1"/>
  <c r="G49" i="7" s="1"/>
  <c r="E46" i="1"/>
  <c r="G62" i="7" s="1"/>
  <c r="E43" i="1"/>
  <c r="D27" i="1"/>
  <c r="F49" i="1" l="1"/>
  <c r="I84" i="7" s="1"/>
  <c r="I83" i="7"/>
  <c r="J49" i="1"/>
  <c r="Q83" i="7"/>
  <c r="J113" i="1"/>
  <c r="Q88" i="7"/>
  <c r="Q68" i="7" s="1"/>
  <c r="M117" i="7"/>
  <c r="M100" i="7" s="1"/>
  <c r="D28" i="1"/>
  <c r="G48" i="1"/>
  <c r="K62" i="7"/>
  <c r="J58" i="1"/>
  <c r="J62" i="1" s="1"/>
  <c r="J105" i="1"/>
  <c r="J98" i="1" s="1"/>
  <c r="J106" i="1"/>
  <c r="J99" i="1" s="1"/>
  <c r="J107" i="1"/>
  <c r="J100" i="1" s="1"/>
  <c r="J104" i="1"/>
  <c r="J97" i="1" s="1"/>
  <c r="H43" i="1"/>
  <c r="H48" i="1" s="1"/>
  <c r="H39" i="1"/>
  <c r="M49" i="7" s="1"/>
  <c r="O59" i="5"/>
  <c r="O91" i="5" s="1"/>
  <c r="H36" i="2"/>
  <c r="O63" i="8"/>
  <c r="K63" i="8"/>
  <c r="F36" i="2"/>
  <c r="E38" i="2"/>
  <c r="E37" i="2"/>
  <c r="E39" i="2" s="1"/>
  <c r="I39" i="1"/>
  <c r="O49" i="7" s="1"/>
  <c r="I43" i="1"/>
  <c r="I46" i="1"/>
  <c r="O62" i="7" s="1"/>
  <c r="Q63" i="8"/>
  <c r="I36" i="2"/>
  <c r="G36" i="2"/>
  <c r="M63" i="8"/>
  <c r="D37" i="2"/>
  <c r="D39" i="2" s="1"/>
  <c r="D38" i="2"/>
  <c r="D36" i="1"/>
  <c r="E46" i="7" s="1"/>
  <c r="F106" i="1"/>
  <c r="F99" i="1" s="1"/>
  <c r="F104" i="1"/>
  <c r="F97" i="1" s="1"/>
  <c r="F107" i="1"/>
  <c r="F100" i="1" s="1"/>
  <c r="F105" i="1"/>
  <c r="F98" i="1" s="1"/>
  <c r="F103" i="1"/>
  <c r="F96" i="1" s="1"/>
  <c r="G86" i="5"/>
  <c r="G59" i="5"/>
  <c r="G91" i="5" s="1"/>
  <c r="Q63" i="7"/>
  <c r="F58" i="1"/>
  <c r="E48" i="1"/>
  <c r="D45" i="1"/>
  <c r="D42" i="1"/>
  <c r="C25" i="2"/>
  <c r="D66" i="1"/>
  <c r="D51" i="1"/>
  <c r="D54" i="1" s="1"/>
  <c r="G83" i="7" l="1"/>
  <c r="G63" i="7" s="1"/>
  <c r="G49" i="1"/>
  <c r="K83" i="7"/>
  <c r="K63" i="7" s="1"/>
  <c r="H49" i="1"/>
  <c r="M84" i="7" s="1"/>
  <c r="M83" i="7"/>
  <c r="J103" i="1"/>
  <c r="J96" i="1" s="1"/>
  <c r="Q84" i="7"/>
  <c r="E86" i="7"/>
  <c r="E66" i="7" s="1"/>
  <c r="J74" i="1"/>
  <c r="J76" i="1" s="1"/>
  <c r="G105" i="1"/>
  <c r="G98" i="1" s="1"/>
  <c r="G106" i="1"/>
  <c r="G99" i="1" s="1"/>
  <c r="G107" i="1"/>
  <c r="G100" i="1" s="1"/>
  <c r="G58" i="1"/>
  <c r="G62" i="1" s="1"/>
  <c r="G103" i="1"/>
  <c r="G96" i="1" s="1"/>
  <c r="J60" i="1"/>
  <c r="J61" i="1" s="1"/>
  <c r="G38" i="2"/>
  <c r="G37" i="2"/>
  <c r="G39" i="2" s="1"/>
  <c r="I37" i="2"/>
  <c r="I39" i="2" s="1"/>
  <c r="I38" i="2"/>
  <c r="F37" i="2"/>
  <c r="F39" i="2" s="1"/>
  <c r="F38" i="2"/>
  <c r="C46" i="2"/>
  <c r="C45" i="2"/>
  <c r="C44" i="2"/>
  <c r="C43" i="2"/>
  <c r="C42" i="2"/>
  <c r="I48" i="1"/>
  <c r="O83" i="7" s="1"/>
  <c r="H38" i="2"/>
  <c r="H37" i="2"/>
  <c r="H39" i="2" s="1"/>
  <c r="D41" i="1"/>
  <c r="D92" i="1"/>
  <c r="D85" i="1" s="1"/>
  <c r="E118" i="7" s="1"/>
  <c r="E101" i="7" s="1"/>
  <c r="E36" i="7" s="1"/>
  <c r="E58" i="7"/>
  <c r="E42" i="8"/>
  <c r="H103" i="1"/>
  <c r="H96" i="1" s="1"/>
  <c r="H105" i="1"/>
  <c r="H98" i="1" s="1"/>
  <c r="H104" i="1"/>
  <c r="H97" i="1" s="1"/>
  <c r="H107" i="1"/>
  <c r="H100" i="1" s="1"/>
  <c r="I63" i="7"/>
  <c r="M63" i="7"/>
  <c r="H58" i="1"/>
  <c r="H60" i="1" s="1"/>
  <c r="H61" i="1" s="1"/>
  <c r="E49" i="1"/>
  <c r="G84" i="7" s="1"/>
  <c r="F74" i="1"/>
  <c r="F60" i="1"/>
  <c r="F61" i="1" s="1"/>
  <c r="F62" i="1"/>
  <c r="D47" i="1"/>
  <c r="E82" i="7" s="1"/>
  <c r="C26" i="2"/>
  <c r="C30" i="2"/>
  <c r="C29" i="2"/>
  <c r="E62" i="8" s="1"/>
  <c r="E49" i="8" s="1"/>
  <c r="D52" i="1"/>
  <c r="D55" i="1" s="1"/>
  <c r="E87" i="7" s="1"/>
  <c r="H106" i="1" l="1"/>
  <c r="H99" i="1" s="1"/>
  <c r="G104" i="1"/>
  <c r="G97" i="1" s="1"/>
  <c r="K84" i="7"/>
  <c r="J75" i="1"/>
  <c r="J77" i="1" s="1"/>
  <c r="G60" i="1"/>
  <c r="G61" i="1" s="1"/>
  <c r="G74" i="1"/>
  <c r="G75" i="1" s="1"/>
  <c r="G77" i="1" s="1"/>
  <c r="D71" i="1"/>
  <c r="D69" i="1"/>
  <c r="D70" i="1" s="1"/>
  <c r="D89" i="1"/>
  <c r="D82" i="1" s="1"/>
  <c r="E115" i="7" s="1"/>
  <c r="E98" i="7" s="1"/>
  <c r="E33" i="7" s="1"/>
  <c r="D90" i="1"/>
  <c r="D83" i="1" s="1"/>
  <c r="E116" i="7" s="1"/>
  <c r="E99" i="7" s="1"/>
  <c r="E34" i="7" s="1"/>
  <c r="D93" i="1"/>
  <c r="D86" i="1" s="1"/>
  <c r="E119" i="7" s="1"/>
  <c r="E102" i="7" s="1"/>
  <c r="E37" i="7" s="1"/>
  <c r="I49" i="1"/>
  <c r="O84" i="7" s="1"/>
  <c r="O63" i="7"/>
  <c r="D56" i="1"/>
  <c r="E67" i="7"/>
  <c r="E26" i="5"/>
  <c r="E59" i="7"/>
  <c r="E20" i="7" s="1"/>
  <c r="D91" i="1"/>
  <c r="D84" i="1" s="1"/>
  <c r="E117" i="7" s="1"/>
  <c r="E100" i="7" s="1"/>
  <c r="E35" i="7" s="1"/>
  <c r="D46" i="1"/>
  <c r="E62" i="7" s="1"/>
  <c r="E86" i="8"/>
  <c r="E85" i="8"/>
  <c r="E87" i="8"/>
  <c r="E88" i="8"/>
  <c r="E84" i="8"/>
  <c r="M64" i="7"/>
  <c r="Q64" i="7"/>
  <c r="K125" i="7"/>
  <c r="K123" i="7"/>
  <c r="K126" i="7"/>
  <c r="K122" i="7"/>
  <c r="E103" i="1"/>
  <c r="E96" i="1" s="1"/>
  <c r="G122" i="7" s="1"/>
  <c r="G105" i="7" s="1"/>
  <c r="E106" i="1"/>
  <c r="E99" i="1" s="1"/>
  <c r="G125" i="7" s="1"/>
  <c r="G108" i="7" s="1"/>
  <c r="E104" i="1"/>
  <c r="E97" i="1" s="1"/>
  <c r="G123" i="7" s="1"/>
  <c r="G106" i="7" s="1"/>
  <c r="E107" i="1"/>
  <c r="E100" i="1" s="1"/>
  <c r="G126" i="7" s="1"/>
  <c r="G109" i="7" s="1"/>
  <c r="E105" i="1"/>
  <c r="E98" i="1" s="1"/>
  <c r="G124" i="7" s="1"/>
  <c r="G107" i="7" s="1"/>
  <c r="H74" i="1"/>
  <c r="H75" i="1" s="1"/>
  <c r="H77" i="1" s="1"/>
  <c r="G64" i="7"/>
  <c r="K64" i="7"/>
  <c r="K124" i="7"/>
  <c r="H62" i="1"/>
  <c r="I64" i="7"/>
  <c r="O49" i="8"/>
  <c r="K49" i="8"/>
  <c r="G49" i="8"/>
  <c r="Q49" i="8"/>
  <c r="M49" i="8"/>
  <c r="I49" i="8"/>
  <c r="O51" i="8"/>
  <c r="K51" i="8"/>
  <c r="G51" i="8"/>
  <c r="Q51" i="8"/>
  <c r="M51" i="8"/>
  <c r="I51" i="8"/>
  <c r="E64" i="8"/>
  <c r="E51" i="8" s="1"/>
  <c r="C32" i="2"/>
  <c r="C33" i="2"/>
  <c r="E58" i="1"/>
  <c r="F75" i="1"/>
  <c r="F77" i="1" s="1"/>
  <c r="F76" i="1"/>
  <c r="D39" i="1"/>
  <c r="E49" i="7" s="1"/>
  <c r="D43" i="1"/>
  <c r="D114" i="1" l="1"/>
  <c r="E88" i="7"/>
  <c r="E68" i="7" s="1"/>
  <c r="G76" i="1"/>
  <c r="D111" i="1"/>
  <c r="D113" i="1"/>
  <c r="I105" i="1"/>
  <c r="I98" i="1" s="1"/>
  <c r="O124" i="7" s="1"/>
  <c r="O107" i="7" s="1"/>
  <c r="I104" i="1"/>
  <c r="I97" i="1" s="1"/>
  <c r="O123" i="7" s="1"/>
  <c r="O106" i="7" s="1"/>
  <c r="I106" i="1"/>
  <c r="I99" i="1" s="1"/>
  <c r="O125" i="7" s="1"/>
  <c r="O108" i="7" s="1"/>
  <c r="I103" i="1"/>
  <c r="I96" i="1" s="1"/>
  <c r="O122" i="7" s="1"/>
  <c r="O105" i="7" s="1"/>
  <c r="I58" i="1"/>
  <c r="I107" i="1"/>
  <c r="I100" i="1" s="1"/>
  <c r="O126" i="7" s="1"/>
  <c r="O109" i="7" s="1"/>
  <c r="O64" i="7"/>
  <c r="H76" i="1"/>
  <c r="E86" i="5"/>
  <c r="E59" i="5"/>
  <c r="D112" i="1"/>
  <c r="Q74" i="8"/>
  <c r="Q71" i="5" s="1"/>
  <c r="Q103" i="5"/>
  <c r="K74" i="8"/>
  <c r="K71" i="5" s="1"/>
  <c r="K103" i="5"/>
  <c r="Q77" i="8"/>
  <c r="Q74" i="5" s="1"/>
  <c r="Q106" i="5"/>
  <c r="O76" i="8"/>
  <c r="O105" i="5"/>
  <c r="E75" i="8"/>
  <c r="E104" i="5"/>
  <c r="I74" i="8"/>
  <c r="I71" i="5" s="1"/>
  <c r="I103" i="5"/>
  <c r="O78" i="8"/>
  <c r="O107" i="5"/>
  <c r="O75" i="8"/>
  <c r="O104" i="5"/>
  <c r="I76" i="8"/>
  <c r="I73" i="5" s="1"/>
  <c r="I105" i="5"/>
  <c r="G74" i="8"/>
  <c r="G103" i="5"/>
  <c r="G96" i="5"/>
  <c r="Q78" i="8"/>
  <c r="Q75" i="5" s="1"/>
  <c r="Q107" i="5"/>
  <c r="O77" i="8"/>
  <c r="O106" i="5"/>
  <c r="M75" i="8"/>
  <c r="M72" i="5" s="1"/>
  <c r="M104" i="5"/>
  <c r="M76" i="8"/>
  <c r="M73" i="5" s="1"/>
  <c r="M105" i="5"/>
  <c r="G78" i="8"/>
  <c r="G107" i="5"/>
  <c r="G100" i="5"/>
  <c r="E74" i="8"/>
  <c r="E103" i="5"/>
  <c r="I78" i="8"/>
  <c r="I75" i="5" s="1"/>
  <c r="I107" i="5"/>
  <c r="K77" i="8"/>
  <c r="K74" i="5" s="1"/>
  <c r="K106" i="5"/>
  <c r="G75" i="8"/>
  <c r="G104" i="5"/>
  <c r="G97" i="5"/>
  <c r="Q105" i="5"/>
  <c r="Q76" i="8"/>
  <c r="Q73" i="5" s="1"/>
  <c r="E77" i="8"/>
  <c r="E106" i="5"/>
  <c r="M74" i="8"/>
  <c r="M71" i="5" s="1"/>
  <c r="M103" i="5"/>
  <c r="K78" i="8"/>
  <c r="K75" i="5" s="1"/>
  <c r="K107" i="5"/>
  <c r="I77" i="8"/>
  <c r="I74" i="5" s="1"/>
  <c r="I106" i="5"/>
  <c r="I75" i="8"/>
  <c r="I72" i="5" s="1"/>
  <c r="I104" i="5"/>
  <c r="E76" i="8"/>
  <c r="E105" i="5"/>
  <c r="O74" i="8"/>
  <c r="O103" i="5"/>
  <c r="M78" i="8"/>
  <c r="M75" i="5" s="1"/>
  <c r="M107" i="5"/>
  <c r="M77" i="8"/>
  <c r="M74" i="5" s="1"/>
  <c r="M106" i="5"/>
  <c r="Q75" i="8"/>
  <c r="Q72" i="5" s="1"/>
  <c r="Q104" i="5"/>
  <c r="G76" i="8"/>
  <c r="G105" i="5"/>
  <c r="G98" i="5"/>
  <c r="E78" i="8"/>
  <c r="E107" i="5"/>
  <c r="G77" i="8"/>
  <c r="G106" i="5"/>
  <c r="G99" i="5"/>
  <c r="K75" i="8"/>
  <c r="K72" i="5" s="1"/>
  <c r="K104" i="5"/>
  <c r="K76" i="8"/>
  <c r="K73" i="5" s="1"/>
  <c r="K105" i="5"/>
  <c r="Q122" i="7"/>
  <c r="Q124" i="7"/>
  <c r="Q125" i="7"/>
  <c r="Q123" i="7"/>
  <c r="Q126" i="7"/>
  <c r="I126" i="7"/>
  <c r="I100" i="5" s="1"/>
  <c r="M126" i="7"/>
  <c r="I123" i="7"/>
  <c r="I106" i="7" s="1"/>
  <c r="M123" i="7"/>
  <c r="I124" i="7"/>
  <c r="I98" i="5" s="1"/>
  <c r="M124" i="7"/>
  <c r="I125" i="7"/>
  <c r="I108" i="7" s="1"/>
  <c r="M125" i="7"/>
  <c r="I122" i="7"/>
  <c r="I105" i="7" s="1"/>
  <c r="M122" i="7"/>
  <c r="G91" i="7"/>
  <c r="K108" i="7"/>
  <c r="K67" i="5" s="1"/>
  <c r="K99" i="5"/>
  <c r="K105" i="7"/>
  <c r="K96" i="5"/>
  <c r="K109" i="7"/>
  <c r="K100" i="5"/>
  <c r="K106" i="7"/>
  <c r="K97" i="5"/>
  <c r="K107" i="7"/>
  <c r="K98" i="5"/>
  <c r="O52" i="8"/>
  <c r="K52" i="8"/>
  <c r="G52" i="8"/>
  <c r="Q52" i="8"/>
  <c r="M52" i="8"/>
  <c r="I52" i="8"/>
  <c r="E65" i="8"/>
  <c r="M50" i="8"/>
  <c r="O50" i="8"/>
  <c r="K50" i="8"/>
  <c r="G50" i="8"/>
  <c r="E50" i="8"/>
  <c r="Q50" i="8"/>
  <c r="I50" i="8"/>
  <c r="C36" i="2"/>
  <c r="E74" i="1"/>
  <c r="E60" i="1"/>
  <c r="E61" i="1" s="1"/>
  <c r="E62" i="1"/>
  <c r="D48" i="1"/>
  <c r="E83" i="7" s="1"/>
  <c r="O99" i="5" l="1"/>
  <c r="O96" i="5"/>
  <c r="G71" i="7"/>
  <c r="G72" i="7" s="1"/>
  <c r="G58" i="5" s="1"/>
  <c r="G90" i="5" s="1"/>
  <c r="K68" i="5"/>
  <c r="E71" i="5"/>
  <c r="E25" i="8"/>
  <c r="E72" i="5"/>
  <c r="E26" i="8"/>
  <c r="E73" i="5"/>
  <c r="E27" i="8"/>
  <c r="E75" i="5"/>
  <c r="E29" i="8"/>
  <c r="E74" i="5"/>
  <c r="E28" i="8"/>
  <c r="I67" i="5"/>
  <c r="O98" i="5"/>
  <c r="O97" i="5"/>
  <c r="E91" i="5"/>
  <c r="E31" i="5"/>
  <c r="I64" i="5"/>
  <c r="I60" i="1"/>
  <c r="I61" i="1" s="1"/>
  <c r="I74" i="1"/>
  <c r="I62" i="1"/>
  <c r="O100" i="5"/>
  <c r="K65" i="5"/>
  <c r="K64" i="5"/>
  <c r="D49" i="1"/>
  <c r="E84" i="7" s="1"/>
  <c r="E63" i="7"/>
  <c r="I107" i="7"/>
  <c r="I66" i="5" s="1"/>
  <c r="K66" i="5"/>
  <c r="G71" i="5"/>
  <c r="G64" i="5"/>
  <c r="O75" i="5"/>
  <c r="O68" i="5"/>
  <c r="O73" i="5"/>
  <c r="O66" i="5"/>
  <c r="G73" i="5"/>
  <c r="G66" i="5"/>
  <c r="O71" i="5"/>
  <c r="O64" i="5"/>
  <c r="G72" i="5"/>
  <c r="G65" i="5"/>
  <c r="O74" i="5"/>
  <c r="O67" i="5"/>
  <c r="G74" i="5"/>
  <c r="G67" i="5"/>
  <c r="G75" i="5"/>
  <c r="G68" i="5"/>
  <c r="I65" i="5"/>
  <c r="O72" i="5"/>
  <c r="O65" i="5"/>
  <c r="I97" i="5"/>
  <c r="Q85" i="5"/>
  <c r="I96" i="5"/>
  <c r="I109" i="7"/>
  <c r="I68" i="5" s="1"/>
  <c r="Q109" i="7"/>
  <c r="Q68" i="5" s="1"/>
  <c r="Q100" i="5"/>
  <c r="Q97" i="5"/>
  <c r="Q106" i="7"/>
  <c r="Q65" i="5" s="1"/>
  <c r="Q108" i="7"/>
  <c r="Q67" i="5" s="1"/>
  <c r="Q99" i="5"/>
  <c r="Q98" i="5"/>
  <c r="Q107" i="7"/>
  <c r="Q66" i="5" s="1"/>
  <c r="I99" i="5"/>
  <c r="Q96" i="5"/>
  <c r="Q105" i="7"/>
  <c r="Q64" i="5" s="1"/>
  <c r="M108" i="7"/>
  <c r="M67" i="5" s="1"/>
  <c r="M99" i="5"/>
  <c r="M98" i="5"/>
  <c r="M107" i="7"/>
  <c r="M66" i="5" s="1"/>
  <c r="M106" i="7"/>
  <c r="M65" i="5" s="1"/>
  <c r="M97" i="5"/>
  <c r="M105" i="7"/>
  <c r="M64" i="5" s="1"/>
  <c r="M96" i="5"/>
  <c r="M100" i="5"/>
  <c r="M109" i="7"/>
  <c r="M68" i="5" s="1"/>
  <c r="M85" i="5"/>
  <c r="G92" i="7"/>
  <c r="M91" i="7"/>
  <c r="M71" i="7" s="1"/>
  <c r="M72" i="7" s="1"/>
  <c r="O91" i="7"/>
  <c r="O71" i="7" s="1"/>
  <c r="O72" i="7" s="1"/>
  <c r="Q91" i="7"/>
  <c r="Q71" i="7" s="1"/>
  <c r="Q72" i="7" s="1"/>
  <c r="I54" i="8"/>
  <c r="G54" i="8"/>
  <c r="Q54" i="8"/>
  <c r="K54" i="8"/>
  <c r="E67" i="8"/>
  <c r="E68" i="8" s="1"/>
  <c r="E52" i="8"/>
  <c r="E54" i="8" s="1"/>
  <c r="E55" i="5" s="1"/>
  <c r="M54" i="8"/>
  <c r="O54" i="8"/>
  <c r="C38" i="2"/>
  <c r="M67" i="8"/>
  <c r="M68" i="8" s="1"/>
  <c r="I67" i="8"/>
  <c r="I68" i="8" s="1"/>
  <c r="C37" i="2"/>
  <c r="C39" i="2" s="1"/>
  <c r="Q67" i="8"/>
  <c r="Q68" i="8" s="1"/>
  <c r="G67" i="8"/>
  <c r="G68" i="8" s="1"/>
  <c r="K67" i="8"/>
  <c r="K68" i="8" s="1"/>
  <c r="O67" i="8"/>
  <c r="O68" i="8" s="1"/>
  <c r="E76" i="1"/>
  <c r="E75" i="1"/>
  <c r="K85" i="5"/>
  <c r="I85" i="5"/>
  <c r="E46" i="5" l="1"/>
  <c r="E55" i="8"/>
  <c r="E60" i="5" s="1"/>
  <c r="E21" i="8"/>
  <c r="E45" i="5"/>
  <c r="E44" i="5"/>
  <c r="E47" i="5"/>
  <c r="E43" i="5"/>
  <c r="D104" i="1"/>
  <c r="D97" i="1" s="1"/>
  <c r="E123" i="7" s="1"/>
  <c r="E106" i="7" s="1"/>
  <c r="D105" i="1"/>
  <c r="D98" i="1" s="1"/>
  <c r="E124" i="7" s="1"/>
  <c r="E107" i="7" s="1"/>
  <c r="D58" i="1"/>
  <c r="D74" i="1" s="1"/>
  <c r="D76" i="1" s="1"/>
  <c r="D106" i="1"/>
  <c r="D99" i="1" s="1"/>
  <c r="E125" i="7" s="1"/>
  <c r="E108" i="7" s="1"/>
  <c r="I76" i="1"/>
  <c r="O85" i="5" s="1"/>
  <c r="I75" i="1"/>
  <c r="I77" i="1" s="1"/>
  <c r="D107" i="1"/>
  <c r="D100" i="1" s="1"/>
  <c r="E126" i="7" s="1"/>
  <c r="E109" i="7" s="1"/>
  <c r="G85" i="5"/>
  <c r="E64" i="7"/>
  <c r="E91" i="7"/>
  <c r="I55" i="8"/>
  <c r="I60" i="5" s="1"/>
  <c r="I92" i="5" s="1"/>
  <c r="Q55" i="8"/>
  <c r="Q60" i="5" s="1"/>
  <c r="O55" i="8"/>
  <c r="O60" i="5" s="1"/>
  <c r="M55" i="8"/>
  <c r="M60" i="5" s="1"/>
  <c r="K55" i="8"/>
  <c r="K60" i="5" s="1"/>
  <c r="G55" i="8"/>
  <c r="G60" i="5" s="1"/>
  <c r="G61" i="5" s="1"/>
  <c r="G93" i="5" s="1"/>
  <c r="K91" i="7"/>
  <c r="K71" i="7" s="1"/>
  <c r="K72" i="7" s="1"/>
  <c r="O58" i="5"/>
  <c r="O90" i="5" s="1"/>
  <c r="O92" i="7"/>
  <c r="Q58" i="5"/>
  <c r="Q90" i="5" s="1"/>
  <c r="Q92" i="7"/>
  <c r="I91" i="7"/>
  <c r="I71" i="7" s="1"/>
  <c r="I72" i="7" s="1"/>
  <c r="M58" i="5"/>
  <c r="M90" i="5" s="1"/>
  <c r="M92" i="7"/>
  <c r="E77" i="1"/>
  <c r="E27" i="5" l="1"/>
  <c r="E22" i="8"/>
  <c r="E92" i="5"/>
  <c r="E32" i="5"/>
  <c r="E87" i="5"/>
  <c r="E65" i="5"/>
  <c r="E37" i="5" s="1"/>
  <c r="E27" i="7"/>
  <c r="E66" i="5"/>
  <c r="E38" i="5" s="1"/>
  <c r="E28" i="7"/>
  <c r="E68" i="5"/>
  <c r="E40" i="5" s="1"/>
  <c r="E30" i="7"/>
  <c r="E67" i="5"/>
  <c r="E39" i="5" s="1"/>
  <c r="E29" i="7"/>
  <c r="E23" i="7"/>
  <c r="D62" i="1"/>
  <c r="D75" i="1"/>
  <c r="D77" i="1" s="1"/>
  <c r="E97" i="5"/>
  <c r="E98" i="5"/>
  <c r="D60" i="1"/>
  <c r="D61" i="1" s="1"/>
  <c r="E100" i="5"/>
  <c r="O88" i="5"/>
  <c r="E99" i="5"/>
  <c r="G88" i="5"/>
  <c r="E71" i="7"/>
  <c r="E92" i="7"/>
  <c r="I87" i="5"/>
  <c r="M61" i="5"/>
  <c r="M93" i="5" s="1"/>
  <c r="Q61" i="5"/>
  <c r="Q93" i="5" s="1"/>
  <c r="O61" i="5"/>
  <c r="O93" i="5" s="1"/>
  <c r="K58" i="5"/>
  <c r="K90" i="5" s="1"/>
  <c r="K92" i="7"/>
  <c r="I58" i="5"/>
  <c r="I92" i="7"/>
  <c r="I88" i="5"/>
  <c r="M92" i="5"/>
  <c r="K92" i="5"/>
  <c r="G92" i="5"/>
  <c r="Q92" i="5"/>
  <c r="O87" i="5"/>
  <c r="Q87" i="5"/>
  <c r="Q88" i="5"/>
  <c r="M87" i="5"/>
  <c r="M88" i="5"/>
  <c r="G87" i="5"/>
  <c r="O92" i="5"/>
  <c r="K87" i="5"/>
  <c r="K88" i="5"/>
  <c r="E19" i="7" l="1"/>
  <c r="E72" i="7"/>
  <c r="I90" i="5"/>
  <c r="I61" i="5"/>
  <c r="I93" i="5" s="1"/>
  <c r="K61" i="5"/>
  <c r="K93" i="5" s="1"/>
  <c r="E85" i="5" l="1"/>
  <c r="E56" i="5"/>
  <c r="E58" i="5"/>
  <c r="E30" i="5" s="1"/>
  <c r="E22" i="7"/>
  <c r="D103" i="1"/>
  <c r="D110" i="1"/>
  <c r="E88" i="5" l="1"/>
  <c r="E28" i="5"/>
  <c r="E61" i="5"/>
  <c r="E93" i="5" s="1"/>
  <c r="E90" i="5"/>
  <c r="D96" i="1"/>
  <c r="E122" i="7" s="1"/>
  <c r="E33" i="5" l="1"/>
  <c r="E105" i="7"/>
  <c r="E26" i="7" s="1"/>
  <c r="E96" i="5"/>
  <c r="E64" i="5" l="1"/>
  <c r="E36" i="5" s="1"/>
</calcChain>
</file>

<file path=xl/sharedStrings.xml><?xml version="1.0" encoding="utf-8"?>
<sst xmlns="http://schemas.openxmlformats.org/spreadsheetml/2006/main" count="763" uniqueCount="312">
  <si>
    <t>MCR</t>
  </si>
  <si>
    <t>kW</t>
  </si>
  <si>
    <t>knots</t>
  </si>
  <si>
    <t>Current mooring time</t>
  </si>
  <si>
    <t>Current release time</t>
  </si>
  <si>
    <t xml:space="preserve">   Open water</t>
  </si>
  <si>
    <t>New release time</t>
  </si>
  <si>
    <t>nm</t>
  </si>
  <si>
    <t>hours</t>
  </si>
  <si>
    <t>Open water transit distance to next port</t>
  </si>
  <si>
    <t>Calls per year</t>
  </si>
  <si>
    <t>Total mooring time saved per year</t>
  </si>
  <si>
    <t>min/call</t>
  </si>
  <si>
    <t>hr/call</t>
  </si>
  <si>
    <t xml:space="preserve">New mooring time </t>
  </si>
  <si>
    <t xml:space="preserve">Total mooring time saved </t>
  </si>
  <si>
    <t>hrs/year</t>
  </si>
  <si>
    <t>Average open water transit</t>
  </si>
  <si>
    <t>ME LF existing</t>
  </si>
  <si>
    <t>ME kWh existing</t>
  </si>
  <si>
    <t>ME fuel existing</t>
  </si>
  <si>
    <t>Aux kWh existing</t>
  </si>
  <si>
    <t>ME SFOCadj existing</t>
  </si>
  <si>
    <t>Aux SFOCbasline</t>
  </si>
  <si>
    <t>ME fuel savings</t>
  </si>
  <si>
    <t xml:space="preserve">Fuel costs </t>
  </si>
  <si>
    <t>Saving per call</t>
  </si>
  <si>
    <t>Total savings</t>
  </si>
  <si>
    <t>Net fuel savings per call</t>
  </si>
  <si>
    <t>Total fuel savings</t>
  </si>
  <si>
    <t>kWh</t>
  </si>
  <si>
    <t>g/kWh</t>
  </si>
  <si>
    <t>kWh/call</t>
  </si>
  <si>
    <t>Savings per call</t>
  </si>
  <si>
    <t>Net savings per call</t>
  </si>
  <si>
    <t>Net total fuel savings</t>
  </si>
  <si>
    <t>tonnes/call</t>
  </si>
  <si>
    <t># of engines</t>
  </si>
  <si>
    <t xml:space="preserve"> </t>
  </si>
  <si>
    <t>Auxiliary engine</t>
  </si>
  <si>
    <t>LF</t>
  </si>
  <si>
    <t>$/tonne</t>
  </si>
  <si>
    <t>kWh per call</t>
  </si>
  <si>
    <t>$/call</t>
  </si>
  <si>
    <t>Net total annual fuel savings</t>
  </si>
  <si>
    <t>$/year</t>
  </si>
  <si>
    <t>tonnes/year</t>
  </si>
  <si>
    <t>Net cost savings per call</t>
  </si>
  <si>
    <t>Net total cost savings</t>
  </si>
  <si>
    <t>SFOC baseline</t>
  </si>
  <si>
    <t xml:space="preserve">   Maneuvering</t>
  </si>
  <si>
    <t>ME SFOC basline</t>
  </si>
  <si>
    <t>tonnes</t>
  </si>
  <si>
    <t>$/tonnes</t>
  </si>
  <si>
    <t xml:space="preserve">tonnes/call </t>
  </si>
  <si>
    <t>Net total annual savings</t>
  </si>
  <si>
    <t>Net savings</t>
  </si>
  <si>
    <t>Ship transit details</t>
  </si>
  <si>
    <t>Ship mooring operational details</t>
  </si>
  <si>
    <t>Ship details</t>
  </si>
  <si>
    <t>Cavotec</t>
  </si>
  <si>
    <t>teus</t>
  </si>
  <si>
    <t>units</t>
  </si>
  <si>
    <t>Container ship class</t>
  </si>
  <si>
    <t>Max rated speed</t>
  </si>
  <si>
    <t>Aux fuel existing</t>
  </si>
  <si>
    <t>Aux fuel savings</t>
  </si>
  <si>
    <t>Auxiliary engines</t>
  </si>
  <si>
    <t>Aux kWh reduced</t>
  </si>
  <si>
    <t>Total ship-related benefits (transit + at-berth)</t>
  </si>
  <si>
    <t>Operational Changes - Ship</t>
  </si>
  <si>
    <t>Propulsion engine rating</t>
  </si>
  <si>
    <t># of assist tugs used</t>
  </si>
  <si>
    <t>Operational Changes - Assist Tug</t>
  </si>
  <si>
    <t xml:space="preserve">Analysis of Potential Fuel &amp; Cost Savings Based on MoorMaster </t>
  </si>
  <si>
    <t>Assist tugs details</t>
  </si>
  <si>
    <t>Propulsion fuel savings</t>
  </si>
  <si>
    <t>Auxiliary fuel savings</t>
  </si>
  <si>
    <t>ME kWh adj</t>
  </si>
  <si>
    <t>ME SFOCadj adj</t>
  </si>
  <si>
    <t>Propulsion kWh reduction</t>
  </si>
  <si>
    <t>Auxiliary kWh reduction</t>
  </si>
  <si>
    <t>Assist tugs benefits</t>
  </si>
  <si>
    <t>MoorMaster vacuum mooring for container terminal fuel, emission &amp; cost savings</t>
  </si>
  <si>
    <t>Model and calculations by</t>
  </si>
  <si>
    <t>Scenario input cell (can be changed)</t>
  </si>
  <si>
    <t>Current mooring time, min</t>
  </si>
  <si>
    <t>Current release time, min</t>
  </si>
  <si>
    <t>Typical average open water speed, knots</t>
  </si>
  <si>
    <t>Ship fuel cost, USD per tonne</t>
  </si>
  <si>
    <t>Tug fuel cost, USD per tonne</t>
  </si>
  <si>
    <t>… of which in port</t>
  </si>
  <si>
    <t>NOx</t>
  </si>
  <si>
    <t>SOx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</si>
  <si>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</si>
  <si>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Cover and Instructions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</si>
  <si>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</si>
  <si>
    <t>Container 1000</t>
  </si>
  <si>
    <t>Container 2000</t>
  </si>
  <si>
    <t>Container 3000</t>
  </si>
  <si>
    <t>Container 4000</t>
  </si>
  <si>
    <t>Container 5000</t>
  </si>
  <si>
    <t>Container 6000</t>
  </si>
  <si>
    <t>Container 7000</t>
  </si>
  <si>
    <t>Container 8000</t>
  </si>
  <si>
    <t>Container 9000</t>
  </si>
  <si>
    <t>Container 10000</t>
  </si>
  <si>
    <t>Container 11000</t>
  </si>
  <si>
    <t>Container 12000</t>
  </si>
  <si>
    <t>Container 13000</t>
  </si>
  <si>
    <t>Container 14000</t>
  </si>
  <si>
    <t>Container 15000</t>
  </si>
  <si>
    <t>Container 16000</t>
  </si>
  <si>
    <t>Container 17000</t>
  </si>
  <si>
    <t>Container 18000</t>
  </si>
  <si>
    <t>Container 19000</t>
  </si>
  <si>
    <t>Container 20000</t>
  </si>
  <si>
    <t>Container 21000</t>
  </si>
  <si>
    <t>Container 22000</t>
  </si>
  <si>
    <t>Container 23000</t>
  </si>
  <si>
    <t>Container 24000</t>
  </si>
  <si>
    <t>&lt;--- World Fleet</t>
  </si>
  <si>
    <t>Time saved, minutes</t>
  </si>
  <si>
    <t>Scenario inputs</t>
  </si>
  <si>
    <t>Ship auxiliary SFOC default, g fuel/kWh</t>
  </si>
  <si>
    <t>Ship propulsion SFOC default, g fuel/kWh</t>
  </si>
  <si>
    <t>g fuel/kWh</t>
  </si>
  <si>
    <t>Select ship size, TEU's</t>
  </si>
  <si>
    <t>Maximum cotinuous engine rating, kW</t>
  </si>
  <si>
    <t>Ship maximum rated speed, knots</t>
  </si>
  <si>
    <t>Typical avg open water speed, knots</t>
  </si>
  <si>
    <t>Adjusted avg open water speed, knots</t>
  </si>
  <si>
    <t>Ship engine operational details</t>
  </si>
  <si>
    <t xml:space="preserve">Ship-related transit fuel consumption </t>
  </si>
  <si>
    <t>Main engine (ME) load reduction for transit</t>
  </si>
  <si>
    <t>ME LF adjusted</t>
  </si>
  <si>
    <t>ME fuel adjusted</t>
  </si>
  <si>
    <t>Aux kWh adjusted</t>
  </si>
  <si>
    <t>Aux fuel adjusted</t>
  </si>
  <si>
    <t>Auxiliary engine (Aux) loads, kW</t>
  </si>
  <si>
    <t>Ship-related at-berth fuel consumption</t>
  </si>
  <si>
    <t>Number of calls per year per ship size</t>
  </si>
  <si>
    <t>Number of assist tugs used</t>
  </si>
  <si>
    <t>Aux kWh reduced, kWh/year</t>
  </si>
  <si>
    <t>ME fuel existing, tonnes/year</t>
  </si>
  <si>
    <t>ME fuel adjusted, tonnes/year</t>
  </si>
  <si>
    <t>Aux fuel existing, tonnes/year</t>
  </si>
  <si>
    <t>Aux fuel adjusted, tonnes/year</t>
  </si>
  <si>
    <t>Propulsion engine kWh reduced, kWh/call</t>
  </si>
  <si>
    <t>Aux kWh reduced, kWh/call</t>
  </si>
  <si>
    <t>Aux fuel savings, tonnes/call</t>
  </si>
  <si>
    <t>Assist tug operational time benefits</t>
  </si>
  <si>
    <t>Assist tug fuel benefits</t>
  </si>
  <si>
    <t>Total mooring time saved</t>
  </si>
  <si>
    <t>ME fuel existing, tonnes/call</t>
  </si>
  <si>
    <t>ME fuel adjusted, tonnes/call</t>
  </si>
  <si>
    <t>Aux fuel existing, tonnes/call</t>
  </si>
  <si>
    <t>Aux fuel adjusted, tonnes/call</t>
  </si>
  <si>
    <t>Current mooring time, min/call</t>
  </si>
  <si>
    <t>Current release time, min/call</t>
  </si>
  <si>
    <t>New mooring time , min/call</t>
  </si>
  <si>
    <t>New release time, min/call</t>
  </si>
  <si>
    <t>Total mooring time saved, min/call</t>
  </si>
  <si>
    <t>Total mooring time save, hr/call</t>
  </si>
  <si>
    <t>Tug propulsion engine rating, kW</t>
  </si>
  <si>
    <t>Tug auxiliary engine load, kW</t>
  </si>
  <si>
    <t>Number of tug auxiliary engines used</t>
  </si>
  <si>
    <t>Number of tug propulsion engines</t>
  </si>
  <si>
    <t xml:space="preserve">Ship-related total fuel consumption </t>
  </si>
  <si>
    <t>DPM</t>
  </si>
  <si>
    <t>Annual savings</t>
  </si>
  <si>
    <t>Annual fuel changes</t>
  </si>
  <si>
    <t>Per call fuel changes</t>
  </si>
  <si>
    <t>Operational details</t>
  </si>
  <si>
    <t>tons/call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</si>
  <si>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e, tonnes/call</t>
    </r>
  </si>
  <si>
    <t>NOx, tons/call</t>
  </si>
  <si>
    <t>SOx, tons/call</t>
  </si>
  <si>
    <t>DPM, tons/call</t>
  </si>
  <si>
    <t>CO2e</t>
  </si>
  <si>
    <t>N2O</t>
  </si>
  <si>
    <t>CH4</t>
  </si>
  <si>
    <t>CO2</t>
  </si>
  <si>
    <t>Average kW</t>
  </si>
  <si>
    <t>Total Potential fuel savings, USD</t>
  </si>
  <si>
    <t>Potential fuel savings for tug, USD</t>
  </si>
  <si>
    <t>Potential fuel savings for ship, USD</t>
  </si>
  <si>
    <t>Potential total fuel savings, tonnes</t>
  </si>
  <si>
    <t>Potential fuel savings for tug, tonnes</t>
  </si>
  <si>
    <t>Potential fuel savings for ship, tonnes</t>
  </si>
  <si>
    <t>Potential net fuel savings per call, tonnes/call</t>
  </si>
  <si>
    <t>Potential net fuel savings per call, $/call</t>
  </si>
  <si>
    <t>Potential aux fuel savings, tonnes/call</t>
  </si>
  <si>
    <t>Potential ME fuel savings, tonnes/call</t>
  </si>
  <si>
    <t xml:space="preserve">Potential aux fuel savings, tonnes/call </t>
  </si>
  <si>
    <t>Potential total fuel savings, USD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</si>
  <si>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e, tonnes/year</t>
    </r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</si>
  <si>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, tonnes/year</t>
    </r>
  </si>
  <si>
    <t>SOx, tons/year</t>
  </si>
  <si>
    <t>NOx, tons/year</t>
  </si>
  <si>
    <t>DPM, tons/year</t>
  </si>
  <si>
    <t>At-berth emission reductions per call</t>
  </si>
  <si>
    <t>Per call emission</t>
  </si>
  <si>
    <t>reductions</t>
  </si>
  <si>
    <t xml:space="preserve">Annual emission </t>
  </si>
  <si>
    <t>&lt;--- SPBP Fleet</t>
  </si>
  <si>
    <t>Potential ship-related at-berth emission reductions</t>
  </si>
  <si>
    <t>Potential ship-related transit emission reductions</t>
  </si>
  <si>
    <t xml:space="preserve">Potential aux fuel savings, tonnes/year </t>
  </si>
  <si>
    <t>Potential ME fuel savings, tonnes/year</t>
  </si>
  <si>
    <t>Potential aux fuel savings, tonnes/year</t>
  </si>
  <si>
    <t>Potential tug-related at-berth emission reductions</t>
  </si>
  <si>
    <t>Potential net fuel savings, tonnes/call</t>
  </si>
  <si>
    <t>Potential net fuel savings, $/call</t>
  </si>
  <si>
    <t>Potential net fuel savings, tonnes/year</t>
  </si>
  <si>
    <t>Potential net fuel savings, $/year</t>
  </si>
  <si>
    <t>POLA</t>
  </si>
  <si>
    <t>POLB</t>
  </si>
  <si>
    <t>Scenario Description and Summary Output - California</t>
  </si>
  <si>
    <t>&lt;--- IMO Fourth GHG Study</t>
  </si>
  <si>
    <t>Manu POLA</t>
  </si>
  <si>
    <t>Manu POLB</t>
  </si>
  <si>
    <t>transit</t>
  </si>
  <si>
    <t xml:space="preserve">  transit</t>
  </si>
  <si>
    <t>Ship Information - California</t>
  </si>
  <si>
    <t>&lt;--- SPBP</t>
  </si>
  <si>
    <t>&lt;--- SPBP to Oakland</t>
  </si>
  <si>
    <t>&lt;--- Cavotec</t>
  </si>
  <si>
    <t>Based on 2019 SPBP Fleet</t>
  </si>
  <si>
    <t>avg grams/kW-hr</t>
  </si>
  <si>
    <t>Assist tug auxiliary emission rates per engine- Non California Based on 2019 PANYNJ EI</t>
  </si>
  <si>
    <t>Assist tug propulsion emission rates per engine- Non California Based on 2019 PANYNJ EI</t>
  </si>
  <si>
    <t>Reduction SOx, tons/call</t>
  </si>
  <si>
    <t>Reduction NOx, tons/call</t>
  </si>
  <si>
    <t>Reduction DPM, tons/call</t>
  </si>
  <si>
    <t>&lt;--- Bunkerworld</t>
  </si>
  <si>
    <t>SCG v2</t>
  </si>
  <si>
    <t>Average open water transit distance to next port, nm</t>
  </si>
  <si>
    <t>Class 1</t>
  </si>
  <si>
    <t>Class 2</t>
  </si>
  <si>
    <t>Class 3</t>
  </si>
  <si>
    <t>Class 4</t>
  </si>
  <si>
    <t>Class 5</t>
  </si>
  <si>
    <t>Class 6</t>
  </si>
  <si>
    <t>Class 7</t>
  </si>
  <si>
    <t>E</t>
  </si>
  <si>
    <t>G</t>
  </si>
  <si>
    <t>I</t>
  </si>
  <si>
    <t>K</t>
  </si>
  <si>
    <t>M</t>
  </si>
  <si>
    <t>O</t>
  </si>
  <si>
    <t>Q</t>
  </si>
  <si>
    <r>
      <t>Reduction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</si>
  <si>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Tug emission reductions</t>
  </si>
  <si>
    <t>Total tugs fuel benefits</t>
  </si>
  <si>
    <r>
      <t>ReductionCO</t>
    </r>
    <r>
      <rPr>
        <vertAlign val="subscript"/>
        <sz val="12"/>
        <color theme="1"/>
        <rFont val="Calibri"/>
        <family val="2"/>
        <scheme val="minor"/>
      </rPr>
      <t>2</t>
    </r>
  </si>
  <si>
    <t>Total annual savings</t>
  </si>
  <si>
    <t>Total annual ship</t>
  </si>
  <si>
    <t>savings</t>
  </si>
  <si>
    <t>Per call fuel reductions</t>
  </si>
  <si>
    <t>Annual fuel reductions</t>
  </si>
  <si>
    <t>Annual emission</t>
  </si>
  <si>
    <t>Total annual tug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</si>
  <si>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tonnes/call</t>
    </r>
  </si>
  <si>
    <t>Potential at-berth emission reductions (ship + tug)</t>
  </si>
  <si>
    <t>Potential total emission reductions (ship + tug)</t>
  </si>
  <si>
    <r>
      <t>CO</t>
    </r>
    <r>
      <rPr>
        <vertAlign val="subscript"/>
        <sz val="12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</si>
  <si>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CO</t>
    </r>
    <r>
      <rPr>
        <vertAlign val="subscript"/>
        <sz val="12"/>
        <rFont val="Calibri"/>
        <family val="2"/>
        <scheme val="minor"/>
      </rPr>
      <t>2</t>
    </r>
  </si>
  <si>
    <t>Propulsion transit reduction</t>
  </si>
  <si>
    <t>%</t>
  </si>
  <si>
    <t>Reference</t>
  </si>
  <si>
    <t># of engines operating</t>
  </si>
  <si>
    <t>Potential total emission reductions, at-berth</t>
  </si>
  <si>
    <t>Potential port emission reductions, transit</t>
  </si>
  <si>
    <t>At-berth aux engine emission rates per call</t>
  </si>
  <si>
    <t>Total transit emission reductions per call</t>
  </si>
  <si>
    <t>ME transit emission reductions per call</t>
  </si>
  <si>
    <t>Auxiliary transit emission reductions per call</t>
  </si>
  <si>
    <t>Propuslion emission factors</t>
  </si>
  <si>
    <t>Auxiliary engine emission factors</t>
  </si>
  <si>
    <t>Assist tug auxiliary emission rates per engine- SPBP</t>
  </si>
  <si>
    <t>Assist tug propulsion emission rates per engine- SPBP</t>
  </si>
  <si>
    <t>Global warming potentials</t>
  </si>
  <si>
    <t>Assist Tug Information - California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</si>
  <si>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tonnes/year</t>
    </r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</si>
  <si>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tonnes/year</t>
    </r>
  </si>
  <si>
    <t>Propulsion engine kWh reduced, kWh/year</t>
  </si>
  <si>
    <t>Propulsion engine kWh reduced, tonnes/year</t>
  </si>
  <si>
    <t>Aux fuel savings, tonnes/year</t>
  </si>
  <si>
    <t>Potential net annual fuel savings, tonnes/year</t>
  </si>
  <si>
    <t>Potential net annual fuel savings, $/year</t>
  </si>
  <si>
    <t>This cast study model is intended for use to evaluate potential fuel, costs, and emission reductions from the effeciency improvements associated with mooring operations</t>
  </si>
  <si>
    <t>from the Cavotec MoorMaster NxG system over conventional mooring operations using lines.</t>
  </si>
  <si>
    <t xml:space="preserve">Scenario inputs are cells with orange highlights </t>
  </si>
  <si>
    <t>There are input cells in the Scenario Summary, Ship Information, and Assist Tug Information pages of this model.</t>
  </si>
  <si>
    <t>Summary outputs from the model are provided across the three pages mentioned above.</t>
  </si>
  <si>
    <t>Details related to San Pedro Bay Ports and other data need for calculations are provided in the Ship Parameter and Assist Tug Parameter pages of this model.</t>
  </si>
  <si>
    <t>General default inputs</t>
  </si>
  <si>
    <t>https://www.cavotec.com/en/contact-us</t>
  </si>
  <si>
    <t>For inquries related to this model, please contact:</t>
  </si>
  <si>
    <t>Nicklas Vedin, Product Manager</t>
  </si>
  <si>
    <t>Ports &amp; Maritime Division</t>
  </si>
  <si>
    <r>
      <t>MoorMaster</t>
    </r>
    <r>
      <rPr>
        <vertAlign val="superscript"/>
        <sz val="11"/>
        <color theme="1"/>
        <rFont val="Calibri"/>
        <family val="2"/>
        <scheme val="minor"/>
      </rPr>
      <t>TM</t>
    </r>
  </si>
  <si>
    <t>nicklas.vedin@cavotec.com</t>
  </si>
  <si>
    <t>To get in contact with your local Cavotec representative, please visit:</t>
  </si>
  <si>
    <t>Time saved loading/unloading from stability at-berth, min</t>
  </si>
  <si>
    <t>Time saved from stability at-berth</t>
  </si>
  <si>
    <t>Adjusted avg open water speed</t>
  </si>
  <si>
    <t>Adjusted vg open water transit time</t>
  </si>
  <si>
    <t>New mooring time, hours</t>
  </si>
  <si>
    <t>New release time, hours</t>
  </si>
  <si>
    <t>Propulsion engine fuel reduced, tonnes/call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</si>
</sst>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00"/>
    <numFmt numFmtId="166" formatCode="0.0"/>
    <numFmt numFmtId="167" formatCode="&quot;$&quot;#,##0"/>
    <numFmt numFmtId="168" formatCode="_ * #,##0_ ;_ * \-#,##0_ ;_ * &quot;-&quot;??_ ;_ @_ "/>
    <numFmt numFmtId="169" formatCode="_ * #,##0.00_ ;_ * \-#,##0.00_ ;_ * &quot;-&quot;??_ ;_ @_ "/>
    <numFmt numFmtId="170" formatCode="_ * #,##0.0_ ;_ * \-#,##0.0_ ;_ * &quot;-&quot;??_ ;_ @_ "/>
    <numFmt numFmtId="171" formatCode="0.0%"/>
    <numFmt numFmtId="172" formatCode="#,##0.0000"/>
    <numFmt numFmtId="173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8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4" fillId="4" borderId="0" xfId="0" applyFont="1" applyFill="1"/>
    <xf numFmtId="0" fontId="15" fillId="4" borderId="0" xfId="0" applyFont="1" applyFill="1"/>
    <xf numFmtId="0" fontId="14" fillId="4" borderId="2" xfId="0" applyFont="1" applyFill="1" applyBorder="1"/>
    <xf numFmtId="0" fontId="14" fillId="0" borderId="0" xfId="0" applyFont="1"/>
    <xf numFmtId="0" fontId="14" fillId="5" borderId="0" xfId="0" applyFont="1" applyFill="1"/>
    <xf numFmtId="0" fontId="9" fillId="4" borderId="3" xfId="0" applyFont="1" applyFill="1" applyBorder="1"/>
    <xf numFmtId="0" fontId="0" fillId="4" borderId="4" xfId="0" applyFill="1" applyBorder="1"/>
    <xf numFmtId="0" fontId="0" fillId="0" borderId="4" xfId="0" applyBorder="1"/>
    <xf numFmtId="0" fontId="0" fillId="0" borderId="5" xfId="0" applyBorder="1"/>
    <xf numFmtId="0" fontId="9" fillId="4" borderId="6" xfId="0" applyFont="1" applyFill="1" applyBorder="1"/>
    <xf numFmtId="0" fontId="0" fillId="4" borderId="0" xfId="0" applyFill="1"/>
    <xf numFmtId="0" fontId="9" fillId="2" borderId="0" xfId="0" applyFont="1" applyFill="1" applyAlignment="1">
      <alignment horizontal="center"/>
    </xf>
    <xf numFmtId="0" fontId="0" fillId="0" borderId="7" xfId="0" applyBorder="1"/>
    <xf numFmtId="0" fontId="16" fillId="2" borderId="0" xfId="0" applyFont="1" applyFill="1" applyAlignment="1">
      <alignment horizontal="center"/>
    </xf>
    <xf numFmtId="0" fontId="0" fillId="4" borderId="6" xfId="0" applyFill="1" applyBorder="1"/>
    <xf numFmtId="168" fontId="0" fillId="2" borderId="0" xfId="1" applyNumberFormat="1" applyFont="1" applyFill="1" applyBorder="1"/>
    <xf numFmtId="0" fontId="0" fillId="4" borderId="8" xfId="0" applyFill="1" applyBorder="1"/>
    <xf numFmtId="0" fontId="0" fillId="4" borderId="2" xfId="0" applyFill="1" applyBorder="1"/>
    <xf numFmtId="0" fontId="0" fillId="0" borderId="2" xfId="0" applyBorder="1" applyAlignment="1">
      <alignment horizontal="left" indent="3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left" indent="3"/>
    </xf>
    <xf numFmtId="168" fontId="16" fillId="2" borderId="0" xfId="0" applyNumberFormat="1" applyFont="1" applyFill="1" applyAlignment="1">
      <alignment horizontal="center"/>
    </xf>
    <xf numFmtId="168" fontId="0" fillId="0" borderId="0" xfId="1" applyNumberFormat="1" applyFont="1" applyFill="1" applyBorder="1"/>
    <xf numFmtId="0" fontId="0" fillId="4" borderId="0" xfId="0" applyFill="1" applyBorder="1"/>
    <xf numFmtId="0" fontId="0" fillId="0" borderId="0" xfId="0" applyBorder="1"/>
    <xf numFmtId="166" fontId="0" fillId="2" borderId="0" xfId="0" applyNumberFormat="1" applyFill="1" applyAlignment="1">
      <alignment horizontal="right"/>
    </xf>
    <xf numFmtId="5" fontId="0" fillId="2" borderId="0" xfId="0" applyNumberForma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4" fillId="0" borderId="0" xfId="0" applyFont="1" applyFill="1"/>
    <xf numFmtId="170" fontId="0" fillId="0" borderId="0" xfId="1" applyNumberFormat="1" applyFont="1" applyFill="1" applyBorder="1"/>
    <xf numFmtId="0" fontId="0" fillId="0" borderId="2" xfId="0" applyFill="1" applyBorder="1" applyAlignment="1">
      <alignment horizontal="left" indent="3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right"/>
    </xf>
    <xf numFmtId="168" fontId="0" fillId="0" borderId="7" xfId="1" applyNumberFormat="1" applyFont="1" applyFill="1" applyBorder="1"/>
    <xf numFmtId="0" fontId="9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68" fontId="0" fillId="2" borderId="7" xfId="0" applyNumberFormat="1" applyFill="1" applyBorder="1" applyAlignment="1">
      <alignment horizontal="right"/>
    </xf>
    <xf numFmtId="168" fontId="16" fillId="2" borderId="7" xfId="0" applyNumberFormat="1" applyFont="1" applyFill="1" applyBorder="1" applyAlignment="1">
      <alignment horizontal="center"/>
    </xf>
    <xf numFmtId="166" fontId="0" fillId="2" borderId="7" xfId="0" applyNumberFormat="1" applyFill="1" applyBorder="1" applyAlignment="1">
      <alignment horizontal="right"/>
    </xf>
    <xf numFmtId="0" fontId="0" fillId="2" borderId="7" xfId="0" applyFill="1" applyBorder="1"/>
    <xf numFmtId="5" fontId="0" fillId="2" borderId="7" xfId="0" applyNumberFormat="1" applyFill="1" applyBorder="1" applyAlignment="1">
      <alignment horizontal="right"/>
    </xf>
    <xf numFmtId="168" fontId="12" fillId="2" borderId="0" xfId="1" applyNumberFormat="1" applyFont="1" applyFill="1" applyBorder="1" applyAlignment="1">
      <alignment horizontal="center"/>
    </xf>
    <xf numFmtId="0" fontId="2" fillId="0" borderId="0" xfId="0" applyFont="1" applyBorder="1"/>
    <xf numFmtId="168" fontId="12" fillId="2" borderId="7" xfId="1" applyNumberFormat="1" applyFont="1" applyFill="1" applyBorder="1" applyAlignment="1">
      <alignment horizontal="center"/>
    </xf>
    <xf numFmtId="168" fontId="0" fillId="2" borderId="7" xfId="1" applyNumberFormat="1" applyFont="1" applyFill="1" applyBorder="1"/>
    <xf numFmtId="0" fontId="0" fillId="0" borderId="9" xfId="0" applyFill="1" applyBorder="1"/>
    <xf numFmtId="3" fontId="0" fillId="2" borderId="7" xfId="0" applyNumberFormat="1" applyFill="1" applyBorder="1" applyAlignment="1">
      <alignment horizontal="right"/>
    </xf>
    <xf numFmtId="171" fontId="0" fillId="2" borderId="7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1" fillId="2" borderId="0" xfId="0" applyFont="1" applyFill="1" applyAlignment="1">
      <alignment horizontal="right"/>
    </xf>
    <xf numFmtId="0" fontId="13" fillId="0" borderId="0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Font="1" applyBorder="1"/>
    <xf numFmtId="3" fontId="0" fillId="2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0" fillId="0" borderId="2" xfId="0" applyFont="1" applyBorder="1"/>
    <xf numFmtId="0" fontId="9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6" fontId="0" fillId="2" borderId="0" xfId="0" applyNumberFormat="1" applyFill="1" applyBorder="1" applyAlignment="1">
      <alignment horizontal="right"/>
    </xf>
    <xf numFmtId="171" fontId="0" fillId="2" borderId="0" xfId="0" applyNumberForma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2" fillId="0" borderId="0" xfId="0" applyFont="1" applyFill="1" applyBorder="1"/>
    <xf numFmtId="3" fontId="0" fillId="0" borderId="0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0" fillId="0" borderId="4" xfId="0" applyFill="1" applyBorder="1"/>
    <xf numFmtId="3" fontId="0" fillId="0" borderId="4" xfId="0" applyNumberForma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ill="1" applyBorder="1" applyAlignment="1">
      <alignment horizontal="left" indent="3"/>
    </xf>
    <xf numFmtId="0" fontId="0" fillId="0" borderId="2" xfId="0" applyFont="1" applyFill="1" applyBorder="1"/>
    <xf numFmtId="2" fontId="0" fillId="2" borderId="0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167" fontId="0" fillId="2" borderId="0" xfId="0" applyNumberFormat="1" applyFill="1" applyBorder="1" applyAlignment="1">
      <alignment horizontal="right"/>
    </xf>
    <xf numFmtId="167" fontId="0" fillId="2" borderId="7" xfId="0" applyNumberForma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 applyFill="1" applyBorder="1"/>
    <xf numFmtId="0" fontId="21" fillId="2" borderId="7" xfId="0" applyFont="1" applyFill="1" applyBorder="1" applyAlignment="1">
      <alignment horizontal="right"/>
    </xf>
    <xf numFmtId="170" fontId="0" fillId="2" borderId="0" xfId="1" applyNumberFormat="1" applyFont="1" applyFill="1" applyBorder="1"/>
    <xf numFmtId="170" fontId="0" fillId="2" borderId="7" xfId="1" applyNumberFormat="1" applyFont="1" applyFill="1" applyBorder="1"/>
    <xf numFmtId="164" fontId="0" fillId="0" borderId="0" xfId="0" applyNumberFormat="1" applyBorder="1"/>
    <xf numFmtId="168" fontId="0" fillId="0" borderId="0" xfId="0" applyNumberFormat="1" applyFill="1"/>
    <xf numFmtId="43" fontId="0" fillId="0" borderId="0" xfId="0" applyNumberFormat="1" applyFill="1" applyBorder="1"/>
    <xf numFmtId="168" fontId="9" fillId="2" borderId="0" xfId="0" applyNumberFormat="1" applyFont="1" applyFill="1" applyBorder="1" applyAlignment="1">
      <alignment horizontal="center"/>
    </xf>
    <xf numFmtId="168" fontId="0" fillId="5" borderId="0" xfId="1" applyNumberFormat="1" applyFont="1" applyFill="1" applyBorder="1" applyProtection="1">
      <protection locked="0"/>
    </xf>
    <xf numFmtId="168" fontId="0" fillId="5" borderId="7" xfId="1" applyNumberFormat="1" applyFont="1" applyFill="1" applyBorder="1" applyProtection="1">
      <protection locked="0"/>
    </xf>
    <xf numFmtId="0" fontId="9" fillId="5" borderId="0" xfId="0" applyFont="1" applyFill="1" applyAlignment="1" applyProtection="1">
      <alignment horizontal="center"/>
      <protection locked="0"/>
    </xf>
    <xf numFmtId="168" fontId="0" fillId="5" borderId="0" xfId="1" applyNumberFormat="1" applyFont="1" applyFill="1" applyBorder="1" applyAlignment="1" applyProtection="1">
      <alignment horizontal="right"/>
      <protection locked="0"/>
    </xf>
    <xf numFmtId="170" fontId="0" fillId="5" borderId="0" xfId="1" applyNumberFormat="1" applyFont="1" applyFill="1" applyBorder="1" applyProtection="1">
      <protection locked="0"/>
    </xf>
    <xf numFmtId="5" fontId="0" fillId="5" borderId="0" xfId="1" applyNumberFormat="1" applyFont="1" applyFill="1" applyBorder="1" applyAlignment="1" applyProtection="1">
      <alignment horizontal="right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168" fontId="0" fillId="5" borderId="7" xfId="1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Protection="1">
      <protection hidden="1"/>
    </xf>
    <xf numFmtId="0" fontId="8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9" fillId="0" borderId="0" xfId="0" applyFont="1" applyProtection="1"/>
    <xf numFmtId="0" fontId="3" fillId="0" borderId="0" xfId="0" applyFont="1" applyProtection="1"/>
    <xf numFmtId="0" fontId="13" fillId="0" borderId="0" xfId="0" applyFont="1" applyFill="1" applyProtection="1"/>
    <xf numFmtId="0" fontId="2" fillId="0" borderId="0" xfId="0" applyFont="1" applyProtection="1"/>
    <xf numFmtId="0" fontId="0" fillId="0" borderId="0" xfId="0" applyFont="1" applyAlignment="1" applyProtection="1">
      <alignment horizontal="right"/>
    </xf>
    <xf numFmtId="0" fontId="18" fillId="0" borderId="0" xfId="0" applyFont="1" applyProtection="1"/>
    <xf numFmtId="0" fontId="0" fillId="2" borderId="0" xfId="0" applyFill="1" applyProtection="1"/>
    <xf numFmtId="3" fontId="3" fillId="2" borderId="0" xfId="0" applyNumberFormat="1" applyFont="1" applyFill="1" applyProtection="1"/>
    <xf numFmtId="0" fontId="13" fillId="0" borderId="0" xfId="0" applyFont="1" applyProtection="1"/>
    <xf numFmtId="0" fontId="19" fillId="0" borderId="0" xfId="0" applyFont="1" applyProtection="1"/>
    <xf numFmtId="0" fontId="0" fillId="0" borderId="0" xfId="0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2" fontId="3" fillId="2" borderId="0" xfId="0" applyNumberFormat="1" applyFont="1" applyFill="1" applyProtection="1"/>
    <xf numFmtId="0" fontId="3" fillId="0" borderId="0" xfId="0" applyFont="1" applyFill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horizontal="right"/>
    </xf>
    <xf numFmtId="167" fontId="0" fillId="2" borderId="1" xfId="0" applyNumberFormat="1" applyFill="1" applyBorder="1" applyProtection="1"/>
    <xf numFmtId="0" fontId="3" fillId="0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left" indent="3"/>
    </xf>
    <xf numFmtId="3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4" fontId="3" fillId="2" borderId="0" xfId="0" applyNumberFormat="1" applyFont="1" applyFill="1" applyProtection="1"/>
    <xf numFmtId="172" fontId="3" fillId="2" borderId="0" xfId="0" applyNumberFormat="1" applyFont="1" applyFill="1" applyProtection="1"/>
    <xf numFmtId="173" fontId="0" fillId="2" borderId="0" xfId="0" applyNumberFormat="1" applyFill="1" applyAlignment="1" applyProtection="1">
      <alignment horizontal="right"/>
    </xf>
    <xf numFmtId="0" fontId="0" fillId="3" borderId="0" xfId="0" applyFill="1" applyProtection="1"/>
    <xf numFmtId="2" fontId="0" fillId="2" borderId="0" xfId="0" applyNumberFormat="1" applyFill="1" applyProtection="1"/>
    <xf numFmtId="166" fontId="0" fillId="2" borderId="0" xfId="0" applyNumberFormat="1" applyFill="1" applyProtection="1"/>
    <xf numFmtId="170" fontId="0" fillId="5" borderId="7" xfId="1" applyNumberFormat="1" applyFont="1" applyFill="1" applyBorder="1" applyProtection="1">
      <protection locked="0"/>
    </xf>
    <xf numFmtId="3" fontId="3" fillId="2" borderId="0" xfId="0" applyNumberFormat="1" applyFont="1" applyFill="1" applyAlignment="1" applyProtection="1">
      <alignment horizontal="right"/>
    </xf>
    <xf numFmtId="3" fontId="19" fillId="0" borderId="0" xfId="0" applyNumberFormat="1" applyFont="1" applyFill="1" applyAlignment="1" applyProtection="1">
      <alignment horizontal="right"/>
    </xf>
    <xf numFmtId="3" fontId="3" fillId="0" borderId="0" xfId="0" applyNumberFormat="1" applyFont="1" applyFill="1" applyAlignment="1" applyProtection="1">
      <alignment horizontal="right"/>
    </xf>
    <xf numFmtId="164" fontId="3" fillId="2" borderId="0" xfId="0" applyNumberFormat="1" applyFont="1" applyFill="1" applyAlignment="1" applyProtection="1">
      <alignment horizontal="right"/>
    </xf>
    <xf numFmtId="166" fontId="3" fillId="2" borderId="0" xfId="0" applyNumberFormat="1" applyFont="1" applyFill="1" applyAlignment="1" applyProtection="1">
      <alignment horizontal="right"/>
    </xf>
    <xf numFmtId="2" fontId="3" fillId="2" borderId="0" xfId="0" applyNumberFormat="1" applyFont="1" applyFill="1" applyAlignment="1" applyProtection="1">
      <alignment horizontal="right"/>
    </xf>
    <xf numFmtId="166" fontId="3" fillId="0" borderId="0" xfId="0" applyNumberFormat="1" applyFont="1" applyAlignment="1" applyProtection="1">
      <alignment horizontal="right"/>
    </xf>
    <xf numFmtId="167" fontId="0" fillId="0" borderId="0" xfId="0" applyNumberFormat="1" applyFill="1" applyAlignment="1" applyProtection="1">
      <alignment horizontal="right"/>
    </xf>
    <xf numFmtId="3" fontId="13" fillId="0" borderId="0" xfId="0" applyNumberFormat="1" applyFont="1" applyAlignment="1" applyProtection="1">
      <alignment horizontal="right"/>
    </xf>
    <xf numFmtId="4" fontId="3" fillId="2" borderId="0" xfId="0" applyNumberFormat="1" applyFont="1" applyFill="1" applyAlignment="1" applyProtection="1">
      <alignment horizontal="right"/>
    </xf>
    <xf numFmtId="172" fontId="3" fillId="2" borderId="0" xfId="0" applyNumberFormat="1" applyFont="1" applyFill="1" applyAlignment="1" applyProtection="1">
      <alignment horizontal="right"/>
    </xf>
    <xf numFmtId="173" fontId="3" fillId="2" borderId="0" xfId="0" applyNumberFormat="1" applyFont="1" applyFill="1" applyAlignment="1" applyProtection="1">
      <alignment horizontal="right"/>
    </xf>
    <xf numFmtId="3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</xf>
    <xf numFmtId="3" fontId="23" fillId="0" borderId="0" xfId="0" applyNumberFormat="1" applyFont="1" applyFill="1" applyAlignment="1" applyProtection="1">
      <alignment horizontal="right"/>
    </xf>
    <xf numFmtId="4" fontId="19" fillId="0" borderId="0" xfId="0" applyNumberFormat="1" applyFont="1" applyFill="1" applyAlignment="1" applyProtection="1">
      <alignment horizontal="right"/>
    </xf>
    <xf numFmtId="0" fontId="23" fillId="0" borderId="0" xfId="0" applyFont="1" applyFill="1" applyAlignment="1" applyProtection="1">
      <alignment horizontal="right"/>
    </xf>
    <xf numFmtId="0" fontId="18" fillId="0" borderId="0" xfId="0" applyFont="1" applyFill="1" applyAlignment="1" applyProtection="1">
      <alignment horizontal="right"/>
    </xf>
    <xf numFmtId="3" fontId="18" fillId="0" borderId="0" xfId="0" applyNumberFormat="1" applyFont="1" applyFill="1" applyAlignment="1" applyProtection="1">
      <alignment horizontal="right"/>
    </xf>
    <xf numFmtId="164" fontId="18" fillId="0" borderId="0" xfId="0" applyNumberFormat="1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</xf>
    <xf numFmtId="166" fontId="3" fillId="0" borderId="0" xfId="0" applyNumberFormat="1" applyFont="1" applyFill="1" applyAlignment="1" applyProtection="1">
      <alignment horizontal="right"/>
    </xf>
    <xf numFmtId="165" fontId="13" fillId="0" borderId="0" xfId="0" applyNumberFormat="1" applyFont="1" applyFill="1" applyAlignment="1" applyProtection="1">
      <alignment horizontal="right"/>
    </xf>
    <xf numFmtId="2" fontId="3" fillId="0" borderId="0" xfId="0" applyNumberFormat="1" applyFont="1" applyFill="1" applyAlignment="1" applyProtection="1">
      <alignment horizontal="right"/>
    </xf>
    <xf numFmtId="165" fontId="18" fillId="0" borderId="0" xfId="0" applyNumberFormat="1" applyFont="1" applyFill="1" applyAlignment="1" applyProtection="1">
      <alignment horizontal="right"/>
    </xf>
    <xf numFmtId="167" fontId="18" fillId="0" borderId="0" xfId="0" applyNumberFormat="1" applyFont="1" applyFill="1" applyAlignment="1" applyProtection="1">
      <alignment horizontal="right"/>
    </xf>
    <xf numFmtId="167" fontId="0" fillId="0" borderId="1" xfId="0" applyNumberFormat="1" applyFill="1" applyBorder="1" applyAlignment="1" applyProtection="1">
      <alignment horizontal="right"/>
    </xf>
    <xf numFmtId="3" fontId="13" fillId="0" borderId="0" xfId="0" applyNumberFormat="1" applyFont="1" applyFill="1" applyAlignment="1" applyProtection="1">
      <alignment horizontal="right"/>
    </xf>
    <xf numFmtId="4" fontId="3" fillId="0" borderId="0" xfId="0" applyNumberFormat="1" applyFont="1" applyFill="1" applyAlignment="1" applyProtection="1">
      <alignment horizontal="right"/>
    </xf>
    <xf numFmtId="172" fontId="3" fillId="0" borderId="0" xfId="0" applyNumberFormat="1" applyFont="1" applyFill="1" applyAlignment="1" applyProtection="1">
      <alignment horizontal="right"/>
    </xf>
    <xf numFmtId="173" fontId="3" fillId="0" borderId="0" xfId="0" applyNumberFormat="1" applyFont="1" applyFill="1" applyAlignment="1" applyProtection="1">
      <alignment horizontal="right"/>
    </xf>
    <xf numFmtId="168" fontId="13" fillId="0" borderId="0" xfId="1" applyNumberFormat="1" applyFont="1" applyFill="1" applyBorder="1" applyProtection="1">
      <protection hidden="1"/>
    </xf>
    <xf numFmtId="0" fontId="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6" xfId="0" applyBorder="1"/>
    <xf numFmtId="0" fontId="9" fillId="0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6" fontId="0" fillId="0" borderId="6" xfId="0" applyNumberForma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5" fontId="12" fillId="2" borderId="0" xfId="0" applyNumberFormat="1" applyFont="1" applyFill="1" applyAlignment="1">
      <alignment horizontal="right"/>
    </xf>
    <xf numFmtId="164" fontId="10" fillId="0" borderId="0" xfId="0" applyNumberFormat="1" applyFont="1" applyBorder="1"/>
    <xf numFmtId="167" fontId="12" fillId="2" borderId="0" xfId="0" applyNumberFormat="1" applyFont="1" applyFill="1" applyAlignment="1">
      <alignment horizontal="right"/>
    </xf>
    <xf numFmtId="3" fontId="25" fillId="2" borderId="0" xfId="0" applyNumberFormat="1" applyFont="1" applyFill="1" applyAlignment="1" applyProtection="1">
      <alignment horizontal="right"/>
    </xf>
    <xf numFmtId="0" fontId="25" fillId="2" borderId="0" xfId="0" applyFont="1" applyFill="1" applyAlignment="1" applyProtection="1">
      <alignment horizontal="right"/>
    </xf>
    <xf numFmtId="0" fontId="7" fillId="0" borderId="0" xfId="0" applyFont="1" applyProtection="1"/>
    <xf numFmtId="165" fontId="3" fillId="2" borderId="0" xfId="0" applyNumberFormat="1" applyFont="1" applyFill="1" applyAlignment="1" applyProtection="1">
      <alignment horizontal="right"/>
    </xf>
    <xf numFmtId="167" fontId="3" fillId="2" borderId="0" xfId="0" applyNumberFormat="1" applyFont="1" applyFill="1" applyAlignment="1" applyProtection="1">
      <alignment horizontal="right"/>
    </xf>
    <xf numFmtId="167" fontId="3" fillId="2" borderId="1" xfId="0" applyNumberFormat="1" applyFont="1" applyFill="1" applyBorder="1" applyAlignment="1" applyProtection="1">
      <alignment horizontal="right"/>
    </xf>
    <xf numFmtId="0" fontId="7" fillId="0" borderId="0" xfId="0" applyFont="1" applyFill="1" applyProtection="1"/>
    <xf numFmtId="0" fontId="3" fillId="2" borderId="0" xfId="0" applyFont="1" applyFill="1" applyAlignment="1" applyProtection="1">
      <alignment horizontal="left" indent="3"/>
    </xf>
    <xf numFmtId="167" fontId="3" fillId="2" borderId="0" xfId="0" applyNumberFormat="1" applyFont="1" applyFill="1" applyProtection="1"/>
    <xf numFmtId="164" fontId="12" fillId="2" borderId="0" xfId="0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5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 indent="3"/>
    </xf>
    <xf numFmtId="168" fontId="0" fillId="0" borderId="0" xfId="1" applyNumberFormat="1" applyFont="1" applyFill="1" applyBorder="1" applyProtection="1">
      <protection locked="0"/>
    </xf>
    <xf numFmtId="168" fontId="0" fillId="0" borderId="7" xfId="1" applyNumberFormat="1" applyFont="1" applyFill="1" applyBorder="1" applyProtection="1">
      <protection locked="0"/>
    </xf>
    <xf numFmtId="168" fontId="29" fillId="0" borderId="0" xfId="1" applyNumberFormat="1" applyFont="1" applyFill="1" applyBorder="1" applyAlignment="1" applyProtection="1">
      <alignment horizontal="center"/>
      <protection hidden="1"/>
    </xf>
    <xf numFmtId="0" fontId="13" fillId="0" borderId="7" xfId="0" applyFont="1" applyFill="1" applyBorder="1" applyProtection="1">
      <protection hidden="1"/>
    </xf>
    <xf numFmtId="0" fontId="0" fillId="0" borderId="7" xfId="0" applyFill="1" applyBorder="1"/>
    <xf numFmtId="0" fontId="14" fillId="4" borderId="0" xfId="0" applyFont="1" applyFill="1" applyProtection="1"/>
    <xf numFmtId="0" fontId="15" fillId="4" borderId="0" xfId="0" applyFont="1" applyFill="1" applyProtection="1"/>
    <xf numFmtId="0" fontId="14" fillId="4" borderId="2" xfId="0" applyFont="1" applyFill="1" applyBorder="1" applyProtection="1"/>
    <xf numFmtId="0" fontId="14" fillId="0" borderId="0" xfId="0" applyFont="1" applyProtection="1"/>
    <xf numFmtId="168" fontId="0" fillId="0" borderId="0" xfId="1" applyNumberFormat="1" applyFont="1" applyProtection="1"/>
    <xf numFmtId="169" fontId="0" fillId="0" borderId="0" xfId="0" applyNumberFormat="1" applyProtection="1"/>
    <xf numFmtId="0" fontId="0" fillId="5" borderId="0" xfId="0" applyFill="1" applyProtection="1"/>
    <xf numFmtId="0" fontId="0" fillId="0" borderId="2" xfId="0" applyBorder="1" applyProtection="1"/>
    <xf numFmtId="0" fontId="30" fillId="0" borderId="0" xfId="2" applyProtection="1"/>
    <xf numFmtId="0" fontId="12" fillId="0" borderId="0" xfId="0" applyFont="1" applyProtection="1"/>
    <xf numFmtId="3" fontId="19" fillId="0" borderId="0" xfId="0" applyNumberFormat="1" applyFont="1" applyFill="1" applyProtection="1"/>
    <xf numFmtId="3" fontId="3" fillId="0" borderId="0" xfId="0" applyNumberFormat="1" applyFont="1" applyFill="1" applyProtection="1"/>
    <xf numFmtId="0" fontId="19" fillId="0" borderId="0" xfId="0" applyFont="1" applyFill="1" applyProtection="1"/>
    <xf numFmtId="0" fontId="10" fillId="0" borderId="0" xfId="0" applyFont="1" applyAlignment="1" applyProtection="1">
      <alignment horizontal="right"/>
    </xf>
    <xf numFmtId="0" fontId="25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24" fillId="0" borderId="0" xfId="0" applyFont="1" applyFill="1" applyAlignment="1" applyProtection="1">
      <alignment horizontal="right"/>
    </xf>
    <xf numFmtId="0" fontId="13" fillId="0" borderId="0" xfId="0" applyFont="1" applyFill="1" applyAlignment="1" applyProtection="1">
      <alignment horizontal="right"/>
    </xf>
    <xf numFmtId="0" fontId="27" fillId="2" borderId="0" xfId="0" applyFont="1" applyFill="1" applyProtection="1"/>
    <xf numFmtId="0" fontId="27" fillId="2" borderId="0" xfId="0" applyFont="1" applyFill="1" applyAlignment="1" applyProtection="1">
      <alignment horizontal="right"/>
    </xf>
    <xf numFmtId="3" fontId="27" fillId="2" borderId="0" xfId="0" applyNumberFormat="1" applyFont="1" applyFill="1" applyAlignment="1" applyProtection="1">
      <alignment horizontal="right"/>
    </xf>
    <xf numFmtId="3" fontId="13" fillId="0" borderId="0" xfId="0" applyNumberFormat="1" applyFont="1" applyFill="1" applyProtection="1"/>
    <xf numFmtId="0" fontId="0" fillId="3" borderId="0" xfId="0" applyFill="1" applyAlignment="1" applyProtection="1">
      <alignment horizontal="right"/>
    </xf>
    <xf numFmtId="0" fontId="0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167" fontId="13" fillId="0" borderId="0" xfId="0" applyNumberFormat="1" applyFont="1" applyFill="1" applyProtection="1"/>
    <xf numFmtId="0" fontId="6" fillId="3" borderId="0" xfId="0" applyFont="1" applyFill="1" applyProtection="1"/>
    <xf numFmtId="3" fontId="1" fillId="3" borderId="0" xfId="0" applyNumberFormat="1" applyFont="1" applyFill="1" applyProtection="1"/>
    <xf numFmtId="0" fontId="1" fillId="3" borderId="0" xfId="0" applyFont="1" applyFill="1" applyProtection="1"/>
    <xf numFmtId="3" fontId="27" fillId="2" borderId="0" xfId="0" applyNumberFormat="1" applyFont="1" applyFill="1" applyProtection="1"/>
    <xf numFmtId="0" fontId="0" fillId="2" borderId="0" xfId="0" applyFill="1" applyAlignment="1" applyProtection="1">
      <alignment horizontal="right"/>
    </xf>
    <xf numFmtId="2" fontId="13" fillId="0" borderId="0" xfId="0" applyNumberFormat="1" applyFont="1" applyFill="1" applyProtection="1"/>
    <xf numFmtId="0" fontId="7" fillId="3" borderId="0" xfId="0" applyFont="1" applyFill="1" applyProtection="1"/>
    <xf numFmtId="166" fontId="13" fillId="0" borderId="0" xfId="0" applyNumberFormat="1" applyFont="1" applyFill="1" applyProtection="1"/>
    <xf numFmtId="167" fontId="13" fillId="0" borderId="1" xfId="0" applyNumberFormat="1" applyFont="1" applyFill="1" applyBorder="1" applyProtection="1"/>
    <xf numFmtId="164" fontId="27" fillId="2" borderId="0" xfId="0" applyNumberFormat="1" applyFont="1" applyFill="1" applyProtection="1"/>
    <xf numFmtId="164" fontId="13" fillId="0" borderId="0" xfId="0" applyNumberFormat="1" applyFont="1" applyFill="1" applyProtection="1"/>
    <xf numFmtId="167" fontId="27" fillId="2" borderId="0" xfId="0" applyNumberFormat="1" applyFont="1" applyFill="1" applyProtection="1"/>
    <xf numFmtId="173" fontId="13" fillId="0" borderId="0" xfId="0" applyNumberFormat="1" applyFont="1" applyFill="1" applyAlignment="1" applyProtection="1">
      <alignment horizontal="right"/>
    </xf>
    <xf numFmtId="0" fontId="5" fillId="0" borderId="0" xfId="0" applyFont="1" applyProtection="1"/>
    <xf numFmtId="3" fontId="0" fillId="3" borderId="0" xfId="0" applyNumberFormat="1" applyFill="1" applyProtection="1"/>
    <xf numFmtId="3" fontId="3" fillId="3" borderId="0" xfId="0" applyNumberFormat="1" applyFont="1" applyFill="1" applyProtection="1"/>
    <xf numFmtId="4" fontId="3" fillId="3" borderId="0" xfId="0" applyNumberFormat="1" applyFont="1" applyFill="1" applyProtection="1"/>
    <xf numFmtId="172" fontId="3" fillId="3" borderId="0" xfId="0" applyNumberFormat="1" applyFont="1" applyFill="1" applyProtection="1"/>
    <xf numFmtId="2" fontId="3" fillId="3" borderId="0" xfId="0" applyNumberFormat="1" applyFont="1" applyFill="1" applyProtection="1"/>
    <xf numFmtId="0" fontId="26" fillId="0" borderId="0" xfId="0" applyFont="1" applyFill="1" applyProtection="1"/>
    <xf numFmtId="0" fontId="13" fillId="0" borderId="0" xfId="0" applyFont="1" applyFill="1" applyAlignment="1" applyProtection="1">
      <alignment horizontal="left" indent="3"/>
    </xf>
    <xf numFmtId="4" fontId="13" fillId="0" borderId="0" xfId="0" applyNumberFormat="1" applyFont="1" applyFill="1" applyProtection="1"/>
    <xf numFmtId="172" fontId="13" fillId="0" borderId="0" xfId="0" applyNumberFormat="1" applyFont="1" applyFill="1" applyProtection="1"/>
    <xf numFmtId="1" fontId="13" fillId="0" borderId="0" xfId="0" applyNumberFormat="1" applyFont="1" applyFill="1" applyProtection="1"/>
    <xf numFmtId="165" fontId="13" fillId="0" borderId="0" xfId="0" applyNumberFormat="1" applyFont="1" applyFill="1" applyProtection="1"/>
    <xf numFmtId="0" fontId="13" fillId="3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3" fontId="0" fillId="2" borderId="0" xfId="0" applyNumberFormat="1" applyFill="1" applyAlignment="1">
      <alignment horizontal="right"/>
    </xf>
    <xf numFmtId="3" fontId="10" fillId="0" borderId="0" xfId="0" applyNumberFormat="1" applyFont="1" applyFill="1" applyBorder="1"/>
    <xf numFmtId="3" fontId="0" fillId="0" borderId="0" xfId="0" applyNumberFormat="1"/>
    <xf numFmtId="1" fontId="0" fillId="2" borderId="7" xfId="0" applyNumberFormat="1" applyFill="1" applyBorder="1" applyAlignment="1">
      <alignment horizontal="right"/>
    </xf>
    <xf numFmtId="166" fontId="0" fillId="0" borderId="0" xfId="0" applyNumberFormat="1" applyFill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/>
    <xf numFmtId="0" fontId="1" fillId="0" borderId="0" xfId="0" applyFont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66" fontId="0" fillId="0" borderId="0" xfId="0" applyNumberFormat="1" applyBorder="1"/>
    <xf numFmtId="2" fontId="0" fillId="2" borderId="0" xfId="0" applyNumberFormat="1" applyFill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Border="1"/>
    <xf numFmtId="2" fontId="0" fillId="0" borderId="0" xfId="0" applyNumberForma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1362075</xdr:colOff>
      <xdr:row>2</xdr:row>
      <xdr:rowOff>28575</xdr:rowOff>
    </xdr:from>
    <xdr:to>
      <xdr:col>11</xdr:col>
      <xdr:colOff>600075</xdr:colOff>
      <xdr:row>3</xdr:row>
      <xdr:rowOff>152158</xdr:rowOff>
    </xdr:to>
    <xdr:pic>
      <xdr:nvPicPr>
        <xdr:cNvPr id="3" name="Picture 2" descr="GloMEEP Project: Port Emissions Sub-component">
          <a:extLst>
            <a:ext uri="{FF2B5EF4-FFF2-40B4-BE49-F238E27FC236}">
              <a16:creationId xmlns:a16="http://schemas.microsoft.com/office/drawing/2014/main" id="{290EEDFE-227F-4F5A-B1DA-95EEDFEF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561975"/>
          <a:ext cx="1914525" cy="6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35061</xdr:rowOff>
    </xdr:from>
    <xdr:to>
      <xdr:col>2</xdr:col>
      <xdr:colOff>666610</xdr:colOff>
      <xdr:row>2</xdr:row>
      <xdr:rowOff>285750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28AD08-F7EC-4A5E-B45D-BBD98EED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01761"/>
          <a:ext cx="2228710" cy="517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1190625</xdr:colOff>
      <xdr:row>2</xdr:row>
      <xdr:rowOff>38100</xdr:rowOff>
    </xdr:from>
    <xdr:to>
      <xdr:col>12</xdr:col>
      <xdr:colOff>1343025</xdr:colOff>
      <xdr:row>3</xdr:row>
      <xdr:rowOff>161683</xdr:rowOff>
    </xdr:to>
    <xdr:pic>
      <xdr:nvPicPr>
        <xdr:cNvPr id="5" name="Picture 4" descr="GloMEEP Project: Port Emissions Sub-component">
          <a:extLst>
            <a:ext uri="{FF2B5EF4-FFF2-40B4-BE49-F238E27FC236}">
              <a16:creationId xmlns:a16="http://schemas.microsoft.com/office/drawing/2014/main" id="{C2A94CBE-2D54-446D-8275-56B26B02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571500"/>
          <a:ext cx="1914525" cy="6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38100</xdr:rowOff>
    </xdr:from>
    <xdr:to>
      <xdr:col>2</xdr:col>
      <xdr:colOff>695185</xdr:colOff>
      <xdr:row>2</xdr:row>
      <xdr:rowOff>288789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8F3DCF-0506-4F46-88E6-F226424B9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04800"/>
          <a:ext cx="2228710" cy="517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1371600</xdr:colOff>
      <xdr:row>2</xdr:row>
      <xdr:rowOff>47625</xdr:rowOff>
    </xdr:from>
    <xdr:to>
      <xdr:col>13</xdr:col>
      <xdr:colOff>114300</xdr:colOff>
      <xdr:row>3</xdr:row>
      <xdr:rowOff>171208</xdr:rowOff>
    </xdr:to>
    <xdr:pic>
      <xdr:nvPicPr>
        <xdr:cNvPr id="5" name="Picture 4" descr="GloMEEP Project: Port Emissions Sub-component">
          <a:extLst>
            <a:ext uri="{FF2B5EF4-FFF2-40B4-BE49-F238E27FC236}">
              <a16:creationId xmlns:a16="http://schemas.microsoft.com/office/drawing/2014/main" id="{3F4A845B-479C-4F0B-8352-DF5ABCDD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5" y="581025"/>
          <a:ext cx="1914525" cy="6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</xdr:row>
      <xdr:rowOff>56029</xdr:rowOff>
    </xdr:from>
    <xdr:to>
      <xdr:col>2</xdr:col>
      <xdr:colOff>693505</xdr:colOff>
      <xdr:row>2</xdr:row>
      <xdr:rowOff>304477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C83FE7-C9CB-4923-B6AE-8A7862DA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324970"/>
          <a:ext cx="2228710" cy="5173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1371600</xdr:colOff>
      <xdr:row>2</xdr:row>
      <xdr:rowOff>47625</xdr:rowOff>
    </xdr:from>
    <xdr:to>
      <xdr:col>13</xdr:col>
      <xdr:colOff>114300</xdr:colOff>
      <xdr:row>3</xdr:row>
      <xdr:rowOff>171208</xdr:rowOff>
    </xdr:to>
    <xdr:pic>
      <xdr:nvPicPr>
        <xdr:cNvPr id="3" name="Picture 2" descr="GloMEEP Project: Port Emissions Sub-component">
          <a:extLst>
            <a:ext uri="{FF2B5EF4-FFF2-40B4-BE49-F238E27FC236}">
              <a16:creationId xmlns:a16="http://schemas.microsoft.com/office/drawing/2014/main" id="{7ACFE38E-D719-4935-9220-8F6EDEA3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5" y="581025"/>
          <a:ext cx="1914525" cy="6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</xdr:row>
      <xdr:rowOff>67235</xdr:rowOff>
    </xdr:from>
    <xdr:to>
      <xdr:col>2</xdr:col>
      <xdr:colOff>682299</xdr:colOff>
      <xdr:row>2</xdr:row>
      <xdr:rowOff>315683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E59239-C77D-4285-8F57-567747EB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336176"/>
          <a:ext cx="2228710" cy="517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cklas.vedin@cavotec.com?subject=MoorMaster%20NxG%20System%20Fuel%20&amp;%20Emission%20Reduction%20Analysis%20Tool" TargetMode="External"/><Relationship Id="rId1" Type="http://schemas.openxmlformats.org/officeDocument/2006/relationships/hyperlink" Target="https://www.cavotec.com/en/contact-u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D085-62B7-410A-A48A-9A9DA60FAE18}">
  <sheetPr codeName="Sheet1"/>
  <dimension ref="A1:N34"/>
  <sheetViews>
    <sheetView showGridLines="0" tabSelected="1" workbookViewId="0">
      <selection activeCell="A5" sqref="A5"/>
    </sheetView>
  </sheetViews>
  <sheetFormatPr defaultRowHeight="15" x14ac:dyDescent="0.25"/>
  <cols>
    <col min="1" max="1" width="12.42578125" style="113" customWidth="1"/>
    <col min="2" max="3" width="12.5703125" style="113"/>
    <col min="4" max="4" width="59.42578125" style="113" customWidth="1"/>
    <col min="5" max="5" width="25.85546875" style="113" customWidth="1"/>
    <col min="6" max="6" width="6.28515625" style="113" customWidth="1"/>
    <col min="7" max="7" width="21.140625" style="113" customWidth="1"/>
    <col min="8" max="8" width="6.7109375" style="113" customWidth="1"/>
    <col min="9" max="9" width="21.85546875" style="113" customWidth="1"/>
    <col min="10" max="16384" width="9.140625" style="113"/>
  </cols>
  <sheetData>
    <row r="1" spans="1:14" ht="21" x14ac:dyDescent="0.35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1" x14ac:dyDescent="0.35">
      <c r="A2" s="211"/>
      <c r="B2" s="211"/>
      <c r="C2" s="211"/>
      <c r="D2" s="211" t="s">
        <v>83</v>
      </c>
      <c r="E2" s="211"/>
      <c r="F2" s="211"/>
      <c r="G2" s="211"/>
      <c r="H2" s="211"/>
      <c r="I2" s="211" t="s">
        <v>84</v>
      </c>
      <c r="J2" s="211"/>
      <c r="K2" s="211"/>
      <c r="L2" s="211"/>
      <c r="M2" s="211"/>
      <c r="N2" s="211"/>
    </row>
    <row r="3" spans="1:14" ht="39" x14ac:dyDescent="0.6">
      <c r="A3" s="211"/>
      <c r="B3" s="212"/>
      <c r="C3" s="211"/>
      <c r="D3" s="212" t="s">
        <v>95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4" ht="21" x14ac:dyDescent="0.3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4" ht="21" x14ac:dyDescent="0.3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</row>
    <row r="7" spans="1:14" x14ac:dyDescent="0.25">
      <c r="B7" s="113" t="s">
        <v>291</v>
      </c>
    </row>
    <row r="8" spans="1:14" x14ac:dyDescent="0.25">
      <c r="B8" s="113" t="s">
        <v>292</v>
      </c>
      <c r="I8" s="215"/>
      <c r="N8" s="216"/>
    </row>
    <row r="9" spans="1:14" x14ac:dyDescent="0.25">
      <c r="I9" s="215"/>
      <c r="N9" s="216"/>
    </row>
    <row r="10" spans="1:14" x14ac:dyDescent="0.25">
      <c r="B10" s="113" t="s">
        <v>293</v>
      </c>
    </row>
    <row r="12" spans="1:14" x14ac:dyDescent="0.25">
      <c r="B12" s="217"/>
    </row>
    <row r="15" spans="1:14" x14ac:dyDescent="0.25">
      <c r="B15" s="113" t="s">
        <v>294</v>
      </c>
    </row>
    <row r="17" spans="2:7" x14ac:dyDescent="0.25">
      <c r="B17" s="113" t="s">
        <v>295</v>
      </c>
    </row>
    <row r="19" spans="2:7" x14ac:dyDescent="0.25">
      <c r="B19" s="113" t="s">
        <v>296</v>
      </c>
    </row>
    <row r="21" spans="2:7" x14ac:dyDescent="0.25">
      <c r="B21" s="218"/>
      <c r="C21" s="218"/>
      <c r="D21" s="218"/>
      <c r="E21" s="218"/>
      <c r="F21" s="218"/>
      <c r="G21" s="218"/>
    </row>
    <row r="23" spans="2:7" x14ac:dyDescent="0.25">
      <c r="B23" s="113" t="s">
        <v>304</v>
      </c>
    </row>
    <row r="25" spans="2:7" x14ac:dyDescent="0.25">
      <c r="B25" s="219" t="s">
        <v>298</v>
      </c>
    </row>
    <row r="26" spans="2:7" x14ac:dyDescent="0.25">
      <c r="B26" s="219"/>
    </row>
    <row r="28" spans="2:7" x14ac:dyDescent="0.25">
      <c r="B28" s="113" t="s">
        <v>299</v>
      </c>
    </row>
    <row r="30" spans="2:7" x14ac:dyDescent="0.25">
      <c r="B30" s="220" t="s">
        <v>300</v>
      </c>
    </row>
    <row r="31" spans="2:7" ht="17.25" x14ac:dyDescent="0.25">
      <c r="B31" s="113" t="s">
        <v>302</v>
      </c>
    </row>
    <row r="32" spans="2:7" x14ac:dyDescent="0.25">
      <c r="B32" s="113" t="s">
        <v>301</v>
      </c>
    </row>
    <row r="33" spans="2:2" x14ac:dyDescent="0.25">
      <c r="B33" s="113" t="s">
        <v>60</v>
      </c>
    </row>
    <row r="34" spans="2:2" x14ac:dyDescent="0.25">
      <c r="B34" s="219" t="s">
        <v>303</v>
      </c>
    </row>
  </sheetData>
  <sheetProtection algorithmName="SHA-512" hashValue="yxAc+A6r9bFmu+HlFWi4H+G9ZuiiDFuMOkd+X3nbCCOLAVvTCknnTVMYfFtMBtw3uiNKsh6zA2FsfruRnQxKnw==" saltValue="dga1IMgpPDGPOx4ldgGdJw==" spinCount="100000" sheet="1" objects="1" scenarios="1"/>
  <hyperlinks>
    <hyperlink ref="B25" r:id="rId1" xr:uid="{FF3D4B29-4BBC-4D75-9190-29D8F44A1671}"/>
    <hyperlink ref="B34" r:id="rId2" xr:uid="{394E5616-7B84-4686-B07D-2BEC60A9762D}"/>
  </hyperlinks>
  <pageMargins left="0.5" right="0.5" top="0.7" bottom="0.7" header="0.3" footer="0.3"/>
  <pageSetup paperSize="5" scale="65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6B33-209F-4607-9268-C0701383DC55}">
  <sheetPr codeName="Sheet2"/>
  <dimension ref="A1:S133"/>
  <sheetViews>
    <sheetView showGridLines="0" topLeftCell="B1" zoomScale="85" zoomScaleNormal="85" workbookViewId="0">
      <selection activeCell="B5" sqref="B5"/>
    </sheetView>
  </sheetViews>
  <sheetFormatPr defaultColWidth="12.5703125" defaultRowHeight="15" x14ac:dyDescent="0.25"/>
  <cols>
    <col min="1" max="1" width="12.42578125" customWidth="1"/>
    <col min="4" max="4" width="59.42578125" customWidth="1"/>
    <col min="5" max="5" width="21.140625" customWidth="1"/>
    <col min="6" max="6" width="6.28515625" customWidth="1"/>
    <col min="7" max="7" width="21.140625" customWidth="1"/>
    <col min="8" max="8" width="6.7109375" customWidth="1"/>
    <col min="9" max="9" width="21.140625" customWidth="1"/>
    <col min="10" max="10" width="5.28515625" customWidth="1"/>
    <col min="11" max="11" width="21.140625" customWidth="1"/>
    <col min="12" max="12" width="5.28515625" customWidth="1"/>
    <col min="13" max="13" width="21.140625" customWidth="1"/>
    <col min="14" max="14" width="5.28515625" customWidth="1"/>
    <col min="15" max="15" width="21.140625" customWidth="1"/>
    <col min="16" max="16" width="5.28515625" customWidth="1"/>
    <col min="17" max="17" width="21.140625" customWidth="1"/>
    <col min="18" max="18" width="9.28515625" style="42" customWidth="1"/>
  </cols>
  <sheetData>
    <row r="1" spans="1:18" ht="2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3"/>
    </row>
    <row r="2" spans="1:18" ht="21" x14ac:dyDescent="0.35">
      <c r="A2" s="6"/>
      <c r="B2" s="6"/>
      <c r="C2" s="6"/>
      <c r="D2" s="6" t="s">
        <v>83</v>
      </c>
      <c r="E2" s="6"/>
      <c r="F2" s="6"/>
      <c r="G2" s="6"/>
      <c r="H2" s="6"/>
      <c r="I2" s="6"/>
      <c r="J2" s="6"/>
      <c r="K2" s="6" t="s">
        <v>84</v>
      </c>
      <c r="L2" s="6"/>
      <c r="M2" s="6"/>
      <c r="N2" s="6"/>
      <c r="O2" s="6"/>
      <c r="P2" s="6"/>
      <c r="Q2" s="6"/>
      <c r="R2" s="43"/>
    </row>
    <row r="3" spans="1:18" ht="39" x14ac:dyDescent="0.6">
      <c r="A3" s="6"/>
      <c r="B3" s="7"/>
      <c r="C3" s="6"/>
      <c r="D3" s="7" t="s">
        <v>218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43"/>
    </row>
    <row r="4" spans="1:18" ht="2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3"/>
    </row>
    <row r="5" spans="1:18" ht="2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43"/>
    </row>
    <row r="6" spans="1:18" ht="21" x14ac:dyDescent="0.35">
      <c r="A6" s="9"/>
      <c r="B6" s="9"/>
      <c r="C6" s="9"/>
      <c r="D6" s="10" t="s">
        <v>85</v>
      </c>
    </row>
    <row r="8" spans="1:18" ht="15.75" x14ac:dyDescent="0.25">
      <c r="B8" s="11" t="s">
        <v>123</v>
      </c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</row>
    <row r="9" spans="1:18" ht="15.75" x14ac:dyDescent="0.25">
      <c r="B9" s="15"/>
      <c r="C9" s="16"/>
      <c r="D9" t="s">
        <v>127</v>
      </c>
      <c r="E9" s="104" t="s">
        <v>98</v>
      </c>
      <c r="G9" s="104" t="s">
        <v>100</v>
      </c>
      <c r="I9" s="104" t="s">
        <v>101</v>
      </c>
      <c r="K9" s="104" t="s">
        <v>102</v>
      </c>
      <c r="M9" s="104" t="s">
        <v>104</v>
      </c>
      <c r="O9" s="104" t="s">
        <v>105</v>
      </c>
      <c r="Q9" s="108" t="s">
        <v>106</v>
      </c>
    </row>
    <row r="10" spans="1:18" x14ac:dyDescent="0.25">
      <c r="B10" s="20"/>
      <c r="C10" s="16"/>
      <c r="D10" t="s">
        <v>141</v>
      </c>
      <c r="E10" s="105">
        <v>53</v>
      </c>
      <c r="F10" s="3"/>
      <c r="G10" s="105">
        <v>12</v>
      </c>
      <c r="H10" s="3"/>
      <c r="I10" s="105">
        <v>3</v>
      </c>
      <c r="J10" s="3"/>
      <c r="K10" s="105">
        <v>16</v>
      </c>
      <c r="L10" s="3"/>
      <c r="M10" s="105">
        <v>31</v>
      </c>
      <c r="N10" s="3"/>
      <c r="O10" s="105">
        <v>24</v>
      </c>
      <c r="P10" s="3"/>
      <c r="Q10" s="109">
        <v>22</v>
      </c>
    </row>
    <row r="11" spans="1:18" x14ac:dyDescent="0.25">
      <c r="B11" s="20"/>
      <c r="C11" s="16"/>
      <c r="E11" s="31"/>
      <c r="F11" s="2"/>
      <c r="G11" s="31"/>
      <c r="H11" s="2"/>
      <c r="I11" s="31"/>
      <c r="J11" s="2"/>
      <c r="K11" s="31"/>
      <c r="L11" s="2"/>
      <c r="M11" s="31"/>
      <c r="N11" s="2"/>
      <c r="O11" s="31"/>
      <c r="P11" s="2"/>
      <c r="Q11" s="45"/>
    </row>
    <row r="12" spans="1:18" x14ac:dyDescent="0.25">
      <c r="B12" s="20"/>
      <c r="C12" s="16"/>
      <c r="D12" t="s">
        <v>86</v>
      </c>
      <c r="E12" s="102">
        <v>30</v>
      </c>
      <c r="G12" s="102">
        <v>30</v>
      </c>
      <c r="I12" s="102">
        <v>30</v>
      </c>
      <c r="K12" s="102">
        <v>30</v>
      </c>
      <c r="M12" s="102">
        <v>30</v>
      </c>
      <c r="O12" s="102">
        <v>30</v>
      </c>
      <c r="Q12" s="103">
        <v>30</v>
      </c>
    </row>
    <row r="13" spans="1:18" x14ac:dyDescent="0.25">
      <c r="B13" s="20"/>
      <c r="C13" s="16"/>
      <c r="D13" t="s">
        <v>87</v>
      </c>
      <c r="E13" s="102">
        <v>15</v>
      </c>
      <c r="G13" s="102">
        <v>15</v>
      </c>
      <c r="I13" s="102">
        <v>15</v>
      </c>
      <c r="K13" s="102">
        <v>15</v>
      </c>
      <c r="M13" s="102">
        <v>15</v>
      </c>
      <c r="O13" s="102">
        <v>15</v>
      </c>
      <c r="Q13" s="103">
        <v>15</v>
      </c>
    </row>
    <row r="14" spans="1:18" x14ac:dyDescent="0.25">
      <c r="B14" s="20"/>
      <c r="C14" s="16"/>
      <c r="D14" t="s">
        <v>305</v>
      </c>
      <c r="E14" s="102">
        <v>0</v>
      </c>
      <c r="G14" s="102">
        <v>0</v>
      </c>
      <c r="I14" s="102">
        <v>0</v>
      </c>
      <c r="K14" s="102">
        <v>0</v>
      </c>
      <c r="M14" s="102">
        <v>0</v>
      </c>
      <c r="O14" s="102">
        <v>0</v>
      </c>
      <c r="Q14" s="103">
        <v>0</v>
      </c>
    </row>
    <row r="15" spans="1:18" x14ac:dyDescent="0.25">
      <c r="B15" s="20"/>
      <c r="C15" s="16"/>
      <c r="D15" t="s">
        <v>88</v>
      </c>
      <c r="E15" s="106">
        <v>14.7</v>
      </c>
      <c r="G15" s="106">
        <v>14.7</v>
      </c>
      <c r="I15" s="106">
        <v>15.7</v>
      </c>
      <c r="K15" s="106">
        <v>15.7</v>
      </c>
      <c r="M15" s="106">
        <v>16.3</v>
      </c>
      <c r="O15" s="106">
        <v>16.3</v>
      </c>
      <c r="Q15" s="142">
        <v>16.3</v>
      </c>
    </row>
    <row r="16" spans="1:18" x14ac:dyDescent="0.25">
      <c r="B16" s="20"/>
      <c r="C16" s="16"/>
      <c r="D16" t="s">
        <v>237</v>
      </c>
      <c r="E16" s="102">
        <v>360</v>
      </c>
      <c r="G16" s="102">
        <v>360</v>
      </c>
      <c r="I16" s="102">
        <v>360</v>
      </c>
      <c r="K16" s="102">
        <v>360</v>
      </c>
      <c r="M16" s="102">
        <v>360</v>
      </c>
      <c r="O16" s="102">
        <v>360</v>
      </c>
      <c r="Q16" s="103">
        <v>360</v>
      </c>
    </row>
    <row r="17" spans="2:17" x14ac:dyDescent="0.25">
      <c r="B17" s="20"/>
      <c r="C17" s="16"/>
      <c r="D17" s="2"/>
      <c r="E17" s="206"/>
      <c r="F17" s="2"/>
      <c r="G17" s="206"/>
      <c r="H17" s="2"/>
      <c r="I17" s="206"/>
      <c r="J17" s="2"/>
      <c r="K17" s="206"/>
      <c r="L17" s="2"/>
      <c r="M17" s="206"/>
      <c r="N17" s="2"/>
      <c r="O17" s="206"/>
      <c r="P17" s="2"/>
      <c r="Q17" s="207"/>
    </row>
    <row r="18" spans="2:17" x14ac:dyDescent="0.25">
      <c r="B18" s="20"/>
      <c r="C18" s="16"/>
      <c r="D18" s="2" t="s">
        <v>142</v>
      </c>
      <c r="E18" s="102">
        <v>1</v>
      </c>
      <c r="F18" s="2"/>
      <c r="G18" s="102">
        <v>1</v>
      </c>
      <c r="H18" s="2"/>
      <c r="I18" s="102">
        <v>1</v>
      </c>
      <c r="J18" s="2"/>
      <c r="K18" s="102">
        <v>1</v>
      </c>
      <c r="L18" s="2"/>
      <c r="M18" s="102">
        <v>1</v>
      </c>
      <c r="N18" s="2"/>
      <c r="O18" s="102">
        <v>2</v>
      </c>
      <c r="P18" s="2"/>
      <c r="Q18" s="103">
        <v>2</v>
      </c>
    </row>
    <row r="19" spans="2:17" x14ac:dyDescent="0.25">
      <c r="B19" s="20"/>
      <c r="C19" s="16"/>
      <c r="Q19" s="18"/>
    </row>
    <row r="20" spans="2:17" x14ac:dyDescent="0.25">
      <c r="B20" s="20"/>
      <c r="C20" s="16"/>
      <c r="D20" t="s">
        <v>89</v>
      </c>
      <c r="E20" s="107">
        <v>600</v>
      </c>
      <c r="Q20" s="18"/>
    </row>
    <row r="21" spans="2:17" x14ac:dyDescent="0.25">
      <c r="B21" s="20"/>
      <c r="C21" s="16"/>
      <c r="D21" t="s">
        <v>90</v>
      </c>
      <c r="E21" s="107">
        <v>1000</v>
      </c>
      <c r="Q21" s="18"/>
    </row>
    <row r="22" spans="2:17" x14ac:dyDescent="0.25">
      <c r="B22" s="22"/>
      <c r="C22" s="23"/>
      <c r="D22" s="24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2:17" x14ac:dyDescent="0.25">
      <c r="E23" s="3"/>
    </row>
    <row r="24" spans="2:17" ht="15.75" x14ac:dyDescent="0.25">
      <c r="B24" s="11" t="s">
        <v>256</v>
      </c>
      <c r="C24" s="12"/>
      <c r="D24" s="13"/>
      <c r="E24" s="28"/>
      <c r="F24" s="14"/>
      <c r="G24" s="182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2:17" ht="15.75" x14ac:dyDescent="0.25">
      <c r="B25" s="15"/>
      <c r="C25" s="32"/>
      <c r="D25" t="s">
        <v>189</v>
      </c>
      <c r="E25" s="204">
        <f>SUM(E53:Q53)</f>
        <v>508.16172828201252</v>
      </c>
      <c r="F25" s="175"/>
      <c r="G25" s="183"/>
      <c r="H25" s="42"/>
      <c r="I25" s="178"/>
      <c r="J25" s="42"/>
      <c r="K25" s="178"/>
      <c r="L25" s="42"/>
      <c r="M25" s="178"/>
      <c r="N25" s="42"/>
      <c r="O25" s="178"/>
      <c r="P25" s="42"/>
      <c r="Q25" s="178"/>
    </row>
    <row r="26" spans="2:17" ht="15.75" x14ac:dyDescent="0.25">
      <c r="B26" s="15"/>
      <c r="C26" s="32"/>
      <c r="D26" s="29" t="s">
        <v>91</v>
      </c>
      <c r="E26" s="204">
        <f>SUM(E54:Q54)</f>
        <v>62.320580000000007</v>
      </c>
      <c r="F26" s="176"/>
      <c r="G26" s="184"/>
      <c r="H26" s="42"/>
      <c r="I26" s="179"/>
      <c r="J26" s="42"/>
      <c r="K26" s="179"/>
      <c r="L26" s="42"/>
      <c r="M26" s="179"/>
      <c r="N26" s="42"/>
      <c r="O26" s="179"/>
      <c r="P26" s="42"/>
      <c r="Q26" s="179"/>
    </row>
    <row r="27" spans="2:17" x14ac:dyDescent="0.25">
      <c r="B27" s="20"/>
      <c r="C27" s="16"/>
      <c r="D27" t="s">
        <v>188</v>
      </c>
      <c r="E27" s="204">
        <f t="shared" ref="E27:E47" si="0">SUM(E55:Q55)</f>
        <v>60.030000000000008</v>
      </c>
      <c r="F27" s="201"/>
      <c r="G27" s="185"/>
      <c r="H27" s="42"/>
      <c r="I27" s="180"/>
      <c r="J27" s="42"/>
      <c r="K27" s="180"/>
      <c r="L27" s="42"/>
      <c r="M27" s="180"/>
      <c r="N27" s="42"/>
      <c r="O27" s="180"/>
      <c r="P27" s="42"/>
      <c r="Q27" s="180"/>
    </row>
    <row r="28" spans="2:17" x14ac:dyDescent="0.25">
      <c r="B28" s="20"/>
      <c r="C28" s="16"/>
      <c r="D28" t="s">
        <v>187</v>
      </c>
      <c r="E28" s="204">
        <f t="shared" si="0"/>
        <v>568.1917282820126</v>
      </c>
      <c r="F28" s="177"/>
      <c r="G28" s="186"/>
      <c r="H28" s="42"/>
      <c r="I28" s="181"/>
      <c r="J28" s="42"/>
      <c r="K28" s="181"/>
      <c r="L28" s="42"/>
      <c r="M28" s="181"/>
      <c r="N28" s="42"/>
      <c r="O28" s="181"/>
      <c r="P28" s="42"/>
      <c r="Q28" s="181"/>
    </row>
    <row r="29" spans="2:17" x14ac:dyDescent="0.25">
      <c r="B29" s="20"/>
      <c r="C29" s="16"/>
      <c r="D29" s="29"/>
      <c r="E29" s="202"/>
      <c r="F29" s="177"/>
      <c r="G29" s="186"/>
      <c r="H29" s="42"/>
      <c r="I29" s="181"/>
      <c r="J29" s="42"/>
      <c r="K29" s="181"/>
      <c r="L29" s="42"/>
      <c r="M29" s="181"/>
      <c r="N29" s="42"/>
      <c r="O29" s="181"/>
      <c r="P29" s="42"/>
      <c r="Q29" s="181"/>
    </row>
    <row r="30" spans="2:17" x14ac:dyDescent="0.25">
      <c r="B30" s="20"/>
      <c r="C30" s="16"/>
      <c r="D30" t="s">
        <v>186</v>
      </c>
      <c r="E30" s="203">
        <f t="shared" si="0"/>
        <v>304897.03696920752</v>
      </c>
      <c r="F30" s="177"/>
      <c r="G30" s="186"/>
      <c r="H30" s="42"/>
      <c r="I30" s="181"/>
      <c r="J30" s="42"/>
      <c r="K30" s="181"/>
      <c r="L30" s="42"/>
      <c r="M30" s="181"/>
      <c r="N30" s="42"/>
      <c r="O30" s="181"/>
      <c r="P30" s="42"/>
      <c r="Q30" s="181"/>
    </row>
    <row r="31" spans="2:17" x14ac:dyDescent="0.25">
      <c r="B31" s="20"/>
      <c r="C31" s="16"/>
      <c r="D31" s="29" t="s">
        <v>91</v>
      </c>
      <c r="E31" s="203">
        <f t="shared" si="0"/>
        <v>37392.347999999998</v>
      </c>
      <c r="F31" s="177"/>
      <c r="G31" s="186"/>
      <c r="H31" s="42"/>
      <c r="I31" s="181"/>
      <c r="J31" s="42"/>
      <c r="K31" s="181"/>
      <c r="L31" s="42"/>
      <c r="M31" s="181"/>
      <c r="N31" s="42"/>
      <c r="O31" s="181"/>
      <c r="P31" s="42"/>
      <c r="Q31" s="181"/>
    </row>
    <row r="32" spans="2:17" x14ac:dyDescent="0.25">
      <c r="B32" s="20"/>
      <c r="C32" s="16"/>
      <c r="D32" t="s">
        <v>185</v>
      </c>
      <c r="E32" s="203">
        <f t="shared" si="0"/>
        <v>60030.000000000007</v>
      </c>
      <c r="F32" s="177"/>
      <c r="G32" s="186"/>
      <c r="H32" s="42"/>
      <c r="I32" s="181"/>
      <c r="J32" s="42"/>
      <c r="K32" s="181"/>
      <c r="L32" s="42"/>
      <c r="M32" s="181"/>
      <c r="N32" s="42"/>
      <c r="O32" s="181"/>
      <c r="P32" s="42"/>
      <c r="Q32" s="181"/>
    </row>
    <row r="33" spans="2:17" x14ac:dyDescent="0.25">
      <c r="B33" s="20"/>
      <c r="C33" s="16"/>
      <c r="D33" t="s">
        <v>195</v>
      </c>
      <c r="E33" s="203">
        <f t="shared" si="0"/>
        <v>364927.03696920746</v>
      </c>
      <c r="F33" s="177"/>
      <c r="G33" s="186"/>
      <c r="H33" s="42"/>
      <c r="I33" s="181"/>
      <c r="J33" s="42"/>
      <c r="K33" s="181"/>
      <c r="L33" s="42"/>
      <c r="M33" s="181"/>
      <c r="N33" s="42"/>
      <c r="O33" s="181"/>
      <c r="P33" s="42"/>
      <c r="Q33" s="181"/>
    </row>
    <row r="34" spans="2:17" x14ac:dyDescent="0.25">
      <c r="B34" s="20"/>
      <c r="C34" s="16"/>
      <c r="D34" s="29"/>
      <c r="E34" s="202"/>
      <c r="F34" s="177"/>
      <c r="G34" s="186"/>
      <c r="H34" s="42"/>
      <c r="I34" s="181"/>
      <c r="J34" s="42"/>
      <c r="K34" s="181"/>
      <c r="L34" s="42"/>
      <c r="M34" s="181"/>
      <c r="N34" s="42"/>
      <c r="O34" s="181"/>
      <c r="P34" s="42"/>
      <c r="Q34" s="181"/>
    </row>
    <row r="35" spans="2:17" x14ac:dyDescent="0.25">
      <c r="B35" s="20"/>
      <c r="C35" s="16"/>
      <c r="D35" t="s">
        <v>265</v>
      </c>
      <c r="E35" s="202"/>
      <c r="F35" s="177"/>
      <c r="G35" s="186"/>
      <c r="H35" s="42"/>
      <c r="I35" s="181"/>
      <c r="J35" s="42"/>
      <c r="K35" s="181"/>
      <c r="L35" s="42"/>
      <c r="M35" s="181"/>
      <c r="N35" s="42"/>
      <c r="O35" s="181"/>
      <c r="P35" s="42"/>
      <c r="Q35" s="181"/>
    </row>
    <row r="36" spans="2:17" ht="18.75" x14ac:dyDescent="0.35">
      <c r="B36" s="20"/>
      <c r="C36" s="16"/>
      <c r="D36" s="29" t="s">
        <v>196</v>
      </c>
      <c r="E36" s="200">
        <f t="shared" si="0"/>
        <v>1912.9492200421041</v>
      </c>
      <c r="F36" s="177"/>
      <c r="G36" s="186"/>
      <c r="H36" s="42"/>
      <c r="I36" s="181"/>
      <c r="J36" s="42"/>
      <c r="K36" s="181"/>
      <c r="L36" s="42"/>
      <c r="M36" s="181"/>
      <c r="N36" s="42"/>
      <c r="O36" s="181"/>
      <c r="P36" s="42"/>
      <c r="Q36" s="181"/>
    </row>
    <row r="37" spans="2:17" ht="18.75" x14ac:dyDescent="0.35">
      <c r="B37" s="20"/>
      <c r="C37" s="16"/>
      <c r="D37" s="29" t="s">
        <v>285</v>
      </c>
      <c r="E37" s="200">
        <f t="shared" si="0"/>
        <v>1887.2144103010721</v>
      </c>
      <c r="F37" s="177"/>
      <c r="G37" s="186"/>
      <c r="H37" s="42"/>
      <c r="I37" s="181"/>
      <c r="J37" s="42"/>
      <c r="K37" s="181"/>
      <c r="L37" s="42"/>
      <c r="M37" s="181"/>
      <c r="N37" s="42"/>
      <c r="O37" s="181"/>
      <c r="P37" s="42"/>
      <c r="Q37" s="181"/>
    </row>
    <row r="38" spans="2:17" x14ac:dyDescent="0.25">
      <c r="B38" s="20"/>
      <c r="C38" s="16"/>
      <c r="D38" s="29" t="s">
        <v>198</v>
      </c>
      <c r="E38" s="200">
        <f t="shared" si="0"/>
        <v>1.2429307104075682</v>
      </c>
      <c r="F38" s="177"/>
      <c r="G38" s="186"/>
      <c r="H38" s="42"/>
      <c r="I38" s="181"/>
      <c r="J38" s="42"/>
      <c r="K38" s="181"/>
      <c r="L38" s="42"/>
      <c r="M38" s="181"/>
      <c r="N38" s="42"/>
      <c r="O38" s="181"/>
      <c r="P38" s="42"/>
      <c r="Q38" s="181"/>
    </row>
    <row r="39" spans="2:17" x14ac:dyDescent="0.25">
      <c r="B39" s="20"/>
      <c r="C39" s="16"/>
      <c r="D39" s="29" t="s">
        <v>199</v>
      </c>
      <c r="E39" s="200">
        <f t="shared" si="0"/>
        <v>51.111666119077469</v>
      </c>
      <c r="F39" s="177"/>
      <c r="G39" s="186"/>
      <c r="H39" s="42"/>
      <c r="I39" s="181"/>
      <c r="J39" s="42"/>
      <c r="K39" s="181"/>
      <c r="L39" s="42"/>
      <c r="M39" s="181"/>
      <c r="N39" s="42"/>
      <c r="O39" s="181"/>
      <c r="P39" s="42"/>
      <c r="Q39" s="181"/>
    </row>
    <row r="40" spans="2:17" x14ac:dyDescent="0.25">
      <c r="B40" s="20"/>
      <c r="C40" s="16"/>
      <c r="D40" s="29" t="s">
        <v>200</v>
      </c>
      <c r="E40" s="200">
        <f t="shared" si="0"/>
        <v>0.89052964175984495</v>
      </c>
      <c r="F40" s="177"/>
      <c r="G40" s="186"/>
      <c r="H40" s="42"/>
      <c r="I40" s="181"/>
      <c r="J40" s="42"/>
      <c r="K40" s="181"/>
      <c r="L40" s="42"/>
      <c r="M40" s="181"/>
      <c r="N40" s="42"/>
      <c r="O40" s="181"/>
      <c r="P40" s="42"/>
      <c r="Q40" s="181"/>
    </row>
    <row r="41" spans="2:17" x14ac:dyDescent="0.25">
      <c r="B41" s="20"/>
      <c r="C41" s="16"/>
      <c r="D41" s="29"/>
      <c r="E41" s="200"/>
      <c r="F41" s="177"/>
      <c r="G41" s="186"/>
      <c r="H41" s="42"/>
      <c r="I41" s="181"/>
      <c r="J41" s="42"/>
      <c r="K41" s="181"/>
      <c r="L41" s="42"/>
      <c r="M41" s="181"/>
      <c r="N41" s="42"/>
      <c r="O41" s="181"/>
      <c r="P41" s="42"/>
      <c r="Q41" s="181"/>
    </row>
    <row r="42" spans="2:17" x14ac:dyDescent="0.25">
      <c r="B42" s="20"/>
      <c r="C42" s="16"/>
      <c r="D42" t="s">
        <v>264</v>
      </c>
      <c r="E42" s="200"/>
      <c r="F42" s="177"/>
      <c r="G42" s="186"/>
      <c r="H42" s="42"/>
      <c r="I42" s="181"/>
      <c r="J42" s="42"/>
      <c r="K42" s="181"/>
      <c r="L42" s="42"/>
      <c r="M42" s="181"/>
      <c r="N42" s="42"/>
      <c r="O42" s="181"/>
      <c r="P42" s="42"/>
      <c r="Q42" s="181"/>
    </row>
    <row r="43" spans="2:17" ht="18.75" x14ac:dyDescent="0.35">
      <c r="B43" s="20"/>
      <c r="C43" s="16"/>
      <c r="D43" s="29" t="s">
        <v>196</v>
      </c>
      <c r="E43" s="200">
        <f t="shared" si="0"/>
        <v>377.69201173671513</v>
      </c>
      <c r="F43" s="177"/>
      <c r="G43" s="186"/>
      <c r="H43" s="42"/>
      <c r="I43" s="181"/>
      <c r="J43" s="42"/>
      <c r="K43" s="181"/>
      <c r="L43" s="42"/>
      <c r="M43" s="181"/>
      <c r="N43" s="42"/>
      <c r="O43" s="181"/>
      <c r="P43" s="42"/>
      <c r="Q43" s="181"/>
    </row>
    <row r="44" spans="2:17" ht="18.75" x14ac:dyDescent="0.35">
      <c r="B44" s="20"/>
      <c r="C44" s="16"/>
      <c r="D44" s="29" t="s">
        <v>197</v>
      </c>
      <c r="E44" s="200">
        <f t="shared" si="0"/>
        <v>375.14466236904184</v>
      </c>
      <c r="F44" s="177"/>
      <c r="G44" s="186"/>
      <c r="H44" s="42"/>
      <c r="I44" s="181"/>
      <c r="J44" s="42"/>
      <c r="K44" s="181"/>
      <c r="L44" s="42"/>
      <c r="M44" s="181"/>
      <c r="N44" s="42"/>
      <c r="O44" s="181"/>
      <c r="P44" s="42"/>
      <c r="Q44" s="181"/>
    </row>
    <row r="45" spans="2:17" x14ac:dyDescent="0.25">
      <c r="B45" s="20"/>
      <c r="C45" s="16"/>
      <c r="D45" s="29" t="s">
        <v>198</v>
      </c>
      <c r="E45" s="200">
        <f t="shared" si="0"/>
        <v>0.14243460485155723</v>
      </c>
      <c r="F45" s="177"/>
      <c r="G45" s="186"/>
      <c r="H45" s="42"/>
      <c r="I45" s="181"/>
      <c r="J45" s="42"/>
      <c r="K45" s="181"/>
      <c r="L45" s="42"/>
      <c r="M45" s="181"/>
      <c r="N45" s="42"/>
      <c r="O45" s="181"/>
      <c r="P45" s="42"/>
      <c r="Q45" s="181"/>
    </row>
    <row r="46" spans="2:17" x14ac:dyDescent="0.25">
      <c r="B46" s="20"/>
      <c r="C46" s="16"/>
      <c r="D46" s="29" t="s">
        <v>199</v>
      </c>
      <c r="E46" s="200">
        <f>SUM(E74:Q74)</f>
        <v>6.1103876670804356</v>
      </c>
      <c r="F46" s="177"/>
      <c r="G46" s="186"/>
      <c r="H46" s="42"/>
      <c r="I46" s="181"/>
      <c r="J46" s="42"/>
      <c r="K46" s="181"/>
      <c r="L46" s="42"/>
      <c r="M46" s="181"/>
      <c r="N46" s="42"/>
      <c r="O46" s="181"/>
      <c r="P46" s="42"/>
      <c r="Q46" s="181"/>
    </row>
    <row r="47" spans="2:17" x14ac:dyDescent="0.25">
      <c r="B47" s="20"/>
      <c r="C47" s="16"/>
      <c r="D47" s="29" t="s">
        <v>200</v>
      </c>
      <c r="E47" s="200">
        <f t="shared" si="0"/>
        <v>0.16209739607596324</v>
      </c>
      <c r="F47" s="177"/>
      <c r="G47" s="186"/>
      <c r="H47" s="42"/>
      <c r="I47" s="181"/>
      <c r="J47" s="42"/>
      <c r="K47" s="181"/>
      <c r="L47" s="42"/>
      <c r="M47" s="181"/>
      <c r="N47" s="42"/>
      <c r="O47" s="181"/>
      <c r="P47" s="42"/>
      <c r="Q47" s="181"/>
    </row>
    <row r="48" spans="2:17" x14ac:dyDescent="0.25">
      <c r="B48" s="22"/>
      <c r="C48" s="23"/>
      <c r="D48" s="24"/>
      <c r="E48" s="26"/>
      <c r="F48" s="27"/>
      <c r="G48" s="182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2:18" x14ac:dyDescent="0.25">
      <c r="E49" s="3"/>
    </row>
    <row r="50" spans="2:18" ht="15.75" x14ac:dyDescent="0.25">
      <c r="B50" s="11" t="s">
        <v>170</v>
      </c>
      <c r="C50" s="12"/>
      <c r="D50" s="13"/>
      <c r="E50" s="2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/>
    </row>
    <row r="51" spans="2:18" ht="15.75" x14ac:dyDescent="0.25">
      <c r="B51" s="15"/>
      <c r="C51" s="32"/>
      <c r="D51" s="33"/>
      <c r="E51" s="17" t="str">
        <f>IF(E9="","",E9)</f>
        <v>Container 2000</v>
      </c>
      <c r="F51" s="2"/>
      <c r="G51" s="17" t="str">
        <f>IF(G9="","",G9)</f>
        <v>Container 4000</v>
      </c>
      <c r="I51" s="17" t="str">
        <f>IF(I9="","",I9)</f>
        <v>Container 5000</v>
      </c>
      <c r="K51" s="17" t="str">
        <f>IF(K9="","",K9)</f>
        <v>Container 6000</v>
      </c>
      <c r="M51" s="17" t="str">
        <f>IF(M9="","",M9)</f>
        <v>Container 8000</v>
      </c>
      <c r="O51" s="17" t="str">
        <f>IF(O9="","",O9)</f>
        <v>Container 9000</v>
      </c>
      <c r="Q51" s="46" t="str">
        <f>IF(Q9="","",Q9)</f>
        <v>Container 10000</v>
      </c>
    </row>
    <row r="52" spans="2:18" ht="15.75" x14ac:dyDescent="0.25">
      <c r="B52" s="15"/>
      <c r="C52" s="32"/>
      <c r="D52" s="62"/>
      <c r="E52" s="63" t="str">
        <f>IF(E9="","",IF($E$15&gt;HLOOKUP(E$9,'Ship Parameters'!$D$8:$Y$77,3,FALSE),"open water speed &gt; avg max rated speed",""))</f>
        <v/>
      </c>
      <c r="F52" s="2"/>
      <c r="G52" s="63" t="str">
        <f>IF(G9="","",IF($G$15&gt;HLOOKUP(G$9,'Ship Parameters'!$D$8:$Y$77,3,FALSE),"open water speed &gt; avg max rated speed",""))</f>
        <v/>
      </c>
      <c r="I52" s="63" t="str">
        <f>IF(I9="","",IF($I$15&gt;HLOOKUP(I$9,'Ship Parameters'!$D$8:$Y$77,3,FALSE),"open water speed &gt; avg max rated speed",""))</f>
        <v/>
      </c>
      <c r="K52" s="63" t="str">
        <f>IF(K9="","",IF($K$15&gt;HLOOKUP(K$9,'Ship Parameters'!$D$8:$Y$77,3,FALSE),"open water speed &gt; avg max rated speed",""))</f>
        <v/>
      </c>
      <c r="M52" s="63" t="str">
        <f>IF(M9="","",IF($M$15&gt;HLOOKUP(M$9,'Ship Parameters'!$D$8:$Y$77,3,FALSE),"open water speed &gt; avg max rated speed",""))</f>
        <v/>
      </c>
      <c r="O52" s="63" t="str">
        <f>IF(O9="","",IF($O$15&gt;HLOOKUP(O$9,'Ship Parameters'!$D$8:$Y$77,3,FALSE),"open water speed &gt; avg max rated speed",""))</f>
        <v/>
      </c>
      <c r="Q52" s="95" t="str">
        <f>IF(Q9="","",IF($Q$15&gt;HLOOKUP(Q$9,'Ship Parameters'!$D$8:$Y$77,3,FALSE),"open water speed &gt; avg max rated speed",""))</f>
        <v/>
      </c>
    </row>
    <row r="53" spans="2:18" x14ac:dyDescent="0.25">
      <c r="B53" s="20"/>
      <c r="C53" s="16"/>
      <c r="D53" t="s">
        <v>189</v>
      </c>
      <c r="E53" s="266">
        <f>IF(E9="","",HLOOKUP(E$9,'Ship Parameters'!$D$8:$Y$77,69,FALSE)*E$10)</f>
        <v>89.540411080204649</v>
      </c>
      <c r="F53" s="267"/>
      <c r="G53" s="266">
        <f>IF(G9="","",HLOOKUP(G$9,'Ship Parameters'!$D$8:$Y$77,69,FALSE)*G$10)</f>
        <v>29.866635311234827</v>
      </c>
      <c r="H53" s="268"/>
      <c r="I53" s="266">
        <f>IF(I9="","",HLOOKUP(I$9,'Ship Parameters'!$D$8:$Y$77,69,FALSE)*I$10)</f>
        <v>9.7200331779449591</v>
      </c>
      <c r="J53" s="268"/>
      <c r="K53" s="266">
        <f>IF(K9="","",HLOOKUP(K$9,'Ship Parameters'!$D$8:$Y$77,69,FALSE)*K$10)</f>
        <v>55.697866170777807</v>
      </c>
      <c r="L53" s="268"/>
      <c r="M53" s="266">
        <f>IF(M9="","",HLOOKUP(M$9,'Ship Parameters'!$D$8:$Y$77,69,FALSE)*M$10)</f>
        <v>129.3040652122566</v>
      </c>
      <c r="N53" s="268"/>
      <c r="O53" s="266">
        <f>IF(O9="","",HLOOKUP(O$9,'Ship Parameters'!$D$8:$Y$77,69,FALSE)*O$10)</f>
        <v>102.43819790277541</v>
      </c>
      <c r="P53" s="268"/>
      <c r="Q53" s="59">
        <f>IF(Q9="","",HLOOKUP(Q$9,'Ship Parameters'!$D$8:$Y$77,69,FALSE)*Q$10)</f>
        <v>91.594519426818266</v>
      </c>
    </row>
    <row r="54" spans="2:18" x14ac:dyDescent="0.25">
      <c r="B54" s="20"/>
      <c r="C54" s="16"/>
      <c r="D54" s="29" t="s">
        <v>91</v>
      </c>
      <c r="E54" s="266">
        <f>IF(E9="","",HLOOKUP(E$9,'Ship Parameters'!$D$8:$Y$77,61,FALSE)*E$10)</f>
        <v>17.685569999999998</v>
      </c>
      <c r="F54" s="267"/>
      <c r="G54" s="266">
        <f>IF(G9="","",HLOOKUP(G$9,'Ship Parameters'!$D$8:$Y$77,61,FALSE)*G$10)</f>
        <v>4.3856400000000004</v>
      </c>
      <c r="H54" s="268"/>
      <c r="I54" s="266">
        <f>IF(I9="","",HLOOKUP(I$9,'Ship Parameters'!$D$8:$Y$77,61,FALSE)*I$10)</f>
        <v>1.8591299999999999</v>
      </c>
      <c r="J54" s="268"/>
      <c r="K54" s="266">
        <f>IF(K9="","",HLOOKUP(K$9,'Ship Parameters'!$D$8:$Y$77,61,FALSE)*K$10)</f>
        <v>6.3559999999999999</v>
      </c>
      <c r="L54" s="268"/>
      <c r="M54" s="266">
        <f>IF(M9="","",HLOOKUP(M$9,'Ship Parameters'!$D$8:$Y$77,61,FALSE)*M$10)</f>
        <v>14.777700000000001</v>
      </c>
      <c r="N54" s="268"/>
      <c r="O54" s="266">
        <f>IF(O9="","",HLOOKUP(O$9,'Ship Parameters'!$D$8:$Y$77,61,FALSE)*O$10)</f>
        <v>9.9153599999999997</v>
      </c>
      <c r="P54" s="268"/>
      <c r="Q54" s="59">
        <f>IF(Q9="","",HLOOKUP(Q$9,'Ship Parameters'!$D$8:$Y$77,61,FALSE)*Q$10)</f>
        <v>7.3411799999999996</v>
      </c>
    </row>
    <row r="55" spans="2:18" x14ac:dyDescent="0.25">
      <c r="B55" s="20"/>
      <c r="C55" s="16"/>
      <c r="D55" t="s">
        <v>188</v>
      </c>
      <c r="E55" s="266">
        <f>IF(E9="","",'Assist Tug Information'!E54)</f>
        <v>15.370000000000001</v>
      </c>
      <c r="F55" s="267"/>
      <c r="G55" s="266">
        <f>IF(G9="","",'Assist Tug Information'!G54)</f>
        <v>3.4800000000000004</v>
      </c>
      <c r="H55" s="268"/>
      <c r="I55" s="266">
        <f>IF(I9="","",'Assist Tug Information'!I54)</f>
        <v>0.87000000000000011</v>
      </c>
      <c r="J55" s="268"/>
      <c r="K55" s="266">
        <f>IF(K9="","",'Assist Tug Information'!K54)</f>
        <v>4.6400000000000006</v>
      </c>
      <c r="L55" s="268"/>
      <c r="M55" s="266">
        <f>IF(M9="","",'Assist Tug Information'!M54)</f>
        <v>8.990000000000002</v>
      </c>
      <c r="N55" s="268"/>
      <c r="O55" s="266">
        <f>IF(O9="","",'Assist Tug Information'!O54)</f>
        <v>13.920000000000002</v>
      </c>
      <c r="P55" s="268"/>
      <c r="Q55" s="59">
        <f>IF(Q9="","",'Assist Tug Information'!Q54)</f>
        <v>12.76</v>
      </c>
    </row>
    <row r="56" spans="2:18" x14ac:dyDescent="0.25">
      <c r="B56" s="20"/>
      <c r="C56" s="16"/>
      <c r="D56" t="s">
        <v>187</v>
      </c>
      <c r="E56" s="266">
        <f>IF(E9="","",E53+E55)</f>
        <v>104.91041108020465</v>
      </c>
      <c r="F56" s="267"/>
      <c r="G56" s="266">
        <f>IF(G9="","",G53+G55)</f>
        <v>33.346635311234827</v>
      </c>
      <c r="H56" s="268"/>
      <c r="I56" s="266">
        <f>IF(I9="","",I53+I55)</f>
        <v>10.59003317794496</v>
      </c>
      <c r="J56" s="268"/>
      <c r="K56" s="266">
        <f>IF(K9="","",K53+K55)</f>
        <v>60.337866170777808</v>
      </c>
      <c r="L56" s="268"/>
      <c r="M56" s="266">
        <f>IF(M9="","",M53+M55)</f>
        <v>138.29406521225661</v>
      </c>
      <c r="N56" s="268"/>
      <c r="O56" s="266">
        <f>IF(O9="","",O53+O55)</f>
        <v>116.35819790277542</v>
      </c>
      <c r="P56" s="268"/>
      <c r="Q56" s="59">
        <f>IF(Q9="","",Q53+Q55)</f>
        <v>104.35451942681827</v>
      </c>
    </row>
    <row r="57" spans="2:18" x14ac:dyDescent="0.25">
      <c r="B57" s="20"/>
      <c r="C57" s="16"/>
      <c r="E57" s="4"/>
      <c r="F57" s="2"/>
      <c r="G57" s="4"/>
      <c r="I57" s="4"/>
      <c r="K57" s="4"/>
      <c r="M57" s="4"/>
      <c r="O57" s="4"/>
      <c r="Q57" s="48"/>
    </row>
    <row r="58" spans="2:18" x14ac:dyDescent="0.25">
      <c r="B58" s="20"/>
      <c r="C58" s="16"/>
      <c r="D58" t="s">
        <v>186</v>
      </c>
      <c r="E58" s="35">
        <f>IF(E9="","",'Ship Information'!E72)</f>
        <v>53724.246648122789</v>
      </c>
      <c r="F58" s="94"/>
      <c r="G58" s="35">
        <f>IF(G9="","",'Ship Information'!G72)</f>
        <v>17919.981186740897</v>
      </c>
      <c r="I58" s="35">
        <f>IF(I9="","",'Ship Information'!I72)</f>
        <v>5832.0199067669755</v>
      </c>
      <c r="K58" s="35">
        <f>IF(K9="","",'Ship Information'!K72)</f>
        <v>33418.719702466682</v>
      </c>
      <c r="M58" s="35">
        <f>IF(M9="","",'Ship Information'!M72)</f>
        <v>77582.439127353966</v>
      </c>
      <c r="O58" s="35">
        <f>IF(O9="","",'Ship Information'!O72)</f>
        <v>61462.918741665249</v>
      </c>
      <c r="Q58" s="53">
        <f>IF(Q9="","",'Ship Information'!Q72)</f>
        <v>54956.711656090956</v>
      </c>
    </row>
    <row r="59" spans="2:18" x14ac:dyDescent="0.25">
      <c r="B59" s="20"/>
      <c r="C59" s="16"/>
      <c r="D59" s="29" t="s">
        <v>91</v>
      </c>
      <c r="E59" s="35">
        <f>IF(E9="","",E54*$E$20)</f>
        <v>10611.341999999999</v>
      </c>
      <c r="F59" s="94"/>
      <c r="G59" s="35">
        <f>IF(G9="","",G54*$E$20)</f>
        <v>2631.3840000000005</v>
      </c>
      <c r="I59" s="35">
        <f>IF(I9="","",I54*$E$20)</f>
        <v>1115.4780000000001</v>
      </c>
      <c r="K59" s="35">
        <f>IF(K9="","",K54*$E$20)</f>
        <v>3813.6</v>
      </c>
      <c r="M59" s="35">
        <f>IF(M9="","",M54*$E$20)</f>
        <v>8866.6200000000008</v>
      </c>
      <c r="O59" s="35">
        <f>IF(O9="","",O54*$E$20)</f>
        <v>5949.2159999999994</v>
      </c>
      <c r="Q59" s="53">
        <f>IF(Q9="","",Q54*$E$20)</f>
        <v>4404.7079999999996</v>
      </c>
    </row>
    <row r="60" spans="2:18" x14ac:dyDescent="0.25">
      <c r="B60" s="20"/>
      <c r="C60" s="16"/>
      <c r="D60" t="s">
        <v>185</v>
      </c>
      <c r="E60" s="35">
        <f>IF(E9="","",'Assist Tug Information'!E55)</f>
        <v>15370.000000000002</v>
      </c>
      <c r="F60" s="94"/>
      <c r="G60" s="35">
        <f>IF(G9="","",'Assist Tug Information'!G55)</f>
        <v>3480.0000000000005</v>
      </c>
      <c r="I60" s="35">
        <f>IF(I9="","",'Assist Tug Information'!I55)</f>
        <v>870.00000000000011</v>
      </c>
      <c r="K60" s="35">
        <f>IF(K9="","",'Assist Tug Information'!K55)</f>
        <v>4640.0000000000009</v>
      </c>
      <c r="M60" s="35">
        <f>IF(M9="","",'Assist Tug Information'!M55)</f>
        <v>8990.0000000000018</v>
      </c>
      <c r="O60" s="35">
        <f>IF(O9="","",'Assist Tug Information'!O55)</f>
        <v>13920.000000000002</v>
      </c>
      <c r="Q60" s="53">
        <f>IF(Q9="","",'Assist Tug Information'!Q55)</f>
        <v>12760</v>
      </c>
    </row>
    <row r="61" spans="2:18" x14ac:dyDescent="0.25">
      <c r="B61" s="20"/>
      <c r="C61" s="16"/>
      <c r="D61" t="s">
        <v>195</v>
      </c>
      <c r="E61" s="35">
        <f>IF(E9="","",E60+E58)</f>
        <v>69094.246648122789</v>
      </c>
      <c r="F61" s="2"/>
      <c r="G61" s="35">
        <f>IF(G9="","",G60+G58)</f>
        <v>21399.981186740897</v>
      </c>
      <c r="I61" s="35">
        <f>IF(I9="","",I60+I58)</f>
        <v>6702.0199067669755</v>
      </c>
      <c r="K61" s="35">
        <f>IF(K9="","",K60+K58)</f>
        <v>38058.719702466682</v>
      </c>
      <c r="M61" s="35">
        <f>IF(M9="","",M60+M58)</f>
        <v>86572.439127353966</v>
      </c>
      <c r="O61" s="35">
        <f>IF(O9="","",O60+O58)</f>
        <v>75382.918741665257</v>
      </c>
      <c r="Q61" s="53">
        <f>IF(Q9="","",Q60+Q58)</f>
        <v>67716.711656090949</v>
      </c>
    </row>
    <row r="62" spans="2:18" x14ac:dyDescent="0.25">
      <c r="B62" s="20"/>
      <c r="C62" s="16"/>
      <c r="E62" s="4"/>
      <c r="F62" s="2"/>
      <c r="G62" s="4"/>
      <c r="I62" s="4"/>
      <c r="J62" s="2"/>
      <c r="K62" s="4"/>
      <c r="M62" s="4"/>
      <c r="O62" s="4"/>
      <c r="P62" s="2"/>
      <c r="Q62" s="48"/>
    </row>
    <row r="63" spans="2:18" x14ac:dyDescent="0.25">
      <c r="B63" s="20"/>
      <c r="C63" s="16"/>
      <c r="D63" t="s">
        <v>265</v>
      </c>
      <c r="E63" s="4"/>
      <c r="F63" s="2"/>
      <c r="G63" s="4"/>
      <c r="H63" s="2"/>
      <c r="I63" s="4"/>
      <c r="J63" s="2"/>
      <c r="K63" s="4"/>
      <c r="L63" s="2"/>
      <c r="M63" s="4"/>
      <c r="N63" s="2"/>
      <c r="O63" s="4"/>
      <c r="P63" s="2"/>
      <c r="Q63" s="48"/>
      <c r="R63" s="2"/>
    </row>
    <row r="64" spans="2:18" ht="18.75" x14ac:dyDescent="0.35">
      <c r="B64" s="20"/>
      <c r="C64" s="16"/>
      <c r="D64" s="29" t="s">
        <v>196</v>
      </c>
      <c r="E64" s="34">
        <f>IF(E$9="","",'Ship Information'!E98+'Ship Information'!E105+'Assist Tug Information'!E74)</f>
        <v>349.06320280102693</v>
      </c>
      <c r="F64" s="270"/>
      <c r="G64" s="34">
        <f>IF(G$9="","",'Ship Information'!G98+'Ship Information'!G105+'Assist Tug Information'!G74)</f>
        <v>111.94749424360214</v>
      </c>
      <c r="H64" s="270"/>
      <c r="I64" s="34">
        <f>IF(I$9="","",'Ship Information'!I98+'Ship Information'!I105+'Assist Tug Information'!I74)</f>
        <v>35.448752662095799</v>
      </c>
      <c r="J64" s="270"/>
      <c r="K64" s="34">
        <f>IF(K$9="","",'Ship Information'!K98+'Ship Information'!K105+'Assist Tug Information'!K74)</f>
        <v>203.41708308735556</v>
      </c>
      <c r="L64" s="270"/>
      <c r="M64" s="34">
        <f>IF(M$9="","",'Ship Information'!M98+'Ship Information'!M105+'Assist Tug Information'!M74)</f>
        <v>466.67847400118359</v>
      </c>
      <c r="N64" s="270"/>
      <c r="O64" s="34">
        <f>IF(O$9="","",'Ship Information'!O98+'Ship Information'!O105+'Assist Tug Information'!O74)</f>
        <v>389.87874012606477</v>
      </c>
      <c r="P64" s="270"/>
      <c r="Q64" s="51">
        <f>IF(Q$9="","",'Ship Information'!Q98+'Ship Information'!Q105+'Assist Tug Information'!Q74)</f>
        <v>356.51547312077548</v>
      </c>
      <c r="R64" s="2"/>
    </row>
    <row r="65" spans="2:18" ht="18.75" x14ac:dyDescent="0.35">
      <c r="B65" s="20"/>
      <c r="C65" s="16"/>
      <c r="D65" s="29" t="s">
        <v>285</v>
      </c>
      <c r="E65" s="34">
        <f>IF(E$9="","",'Ship Information'!E99+'Ship Information'!E106+'Assist Tug Information'!E75)</f>
        <v>344.60045889337448</v>
      </c>
      <c r="F65" s="270"/>
      <c r="G65" s="34">
        <f>IF(G$9="","",'Ship Information'!G99+'Ship Information'!G106+'Assist Tug Information'!G75)</f>
        <v>110.44223782124178</v>
      </c>
      <c r="H65" s="270"/>
      <c r="I65" s="34">
        <f>IF(I$9="","",'Ship Information'!I99+'Ship Information'!I106+'Assist Tug Information'!I75)</f>
        <v>34.965403296626178</v>
      </c>
      <c r="J65" s="270"/>
      <c r="K65" s="34">
        <f>IF(K$9="","",'Ship Information'!K99+'Ship Information'!K106+'Assist Tug Information'!K75)</f>
        <v>200.60196023878927</v>
      </c>
      <c r="L65" s="270"/>
      <c r="M65" s="34">
        <f>IF(M$9="","",'Ship Information'!M99+'Ship Information'!M106+'Assist Tug Information'!M75)</f>
        <v>460.14918212982354</v>
      </c>
      <c r="N65" s="270"/>
      <c r="O65" s="34">
        <f>IF(O$9="","",'Ship Information'!O99+'Ship Information'!O106+'Assist Tug Information'!O75)</f>
        <v>384.71855043619837</v>
      </c>
      <c r="P65" s="270"/>
      <c r="Q65" s="51">
        <f>IF(Q$9="","",'Ship Information'!Q99+'Ship Information'!Q106+'Assist Tug Information'!Q75)</f>
        <v>351.73661748501883</v>
      </c>
      <c r="R65" s="2"/>
    </row>
    <row r="66" spans="2:18" x14ac:dyDescent="0.25">
      <c r="B66" s="20"/>
      <c r="C66" s="16"/>
      <c r="D66" s="29" t="s">
        <v>198</v>
      </c>
      <c r="E66" s="34">
        <f>IF(E$9="","",'Ship Information'!E100+'Ship Information'!E107+'Assist Tug Information'!E76)</f>
        <v>0.21770314089684267</v>
      </c>
      <c r="F66" s="270"/>
      <c r="G66" s="34">
        <f>IF(G$9="","",'Ship Information'!G100+'Ship Information'!G107+'Assist Tug Information'!G76)</f>
        <v>7.2889594318534021E-2</v>
      </c>
      <c r="H66" s="270"/>
      <c r="I66" s="34">
        <f>IF(I$9="","",'Ship Information'!I100+'Ship Information'!I107+'Assist Tug Information'!I76)</f>
        <v>2.3583119571863757E-2</v>
      </c>
      <c r="J66" s="270"/>
      <c r="K66" s="34">
        <f>IF(K$9="","",'Ship Information'!K100+'Ship Information'!K107+'Assist Tug Information'!K76)</f>
        <v>0.13602499156199943</v>
      </c>
      <c r="L66" s="270"/>
      <c r="M66" s="34">
        <f>IF(M$9="","",'Ship Information'!M100+'Ship Information'!M107+'Assist Tug Information'!M76)</f>
        <v>0.31560299578598555</v>
      </c>
      <c r="N66" s="270"/>
      <c r="O66" s="34">
        <f>IF(O$9="","",'Ship Information'!O100+'Ship Information'!O107+'Assist Tug Information'!O76)</f>
        <v>0.25001760584051447</v>
      </c>
      <c r="P66" s="270"/>
      <c r="Q66" s="51">
        <f>IF(Q$9="","",'Ship Information'!Q100+'Ship Information'!Q107+'Assist Tug Information'!Q76)</f>
        <v>0.22710926243182827</v>
      </c>
      <c r="R66" s="2"/>
    </row>
    <row r="67" spans="2:18" x14ac:dyDescent="0.25">
      <c r="B67" s="20"/>
      <c r="C67" s="16"/>
      <c r="D67" s="29" t="s">
        <v>199</v>
      </c>
      <c r="E67" s="34">
        <f>IF(E$9="","",'Ship Information'!E101+'Ship Information'!E108+'Assist Tug Information'!E77)</f>
        <v>9.0289482083818164</v>
      </c>
      <c r="F67" s="270"/>
      <c r="G67" s="34">
        <f>IF(G$9="","",'Ship Information'!G101+'Ship Information'!G108+'Assist Tug Information'!G77)</f>
        <v>2.998847728983506</v>
      </c>
      <c r="H67" s="270"/>
      <c r="I67" s="34">
        <f>IF(I$9="","",'Ship Information'!I101+'Ship Information'!I108+'Assist Tug Information'!I77)</f>
        <v>0.94316236013565335</v>
      </c>
      <c r="J67" s="270"/>
      <c r="K67" s="34">
        <f>IF(K$9="","",'Ship Information'!K101+'Ship Information'!K108+'Assist Tug Information'!K77)</f>
        <v>5.5421456685780361</v>
      </c>
      <c r="L67" s="270"/>
      <c r="M67" s="34">
        <f>IF(M$9="","",'Ship Information'!M101+'Ship Information'!M108+'Assist Tug Information'!M77)</f>
        <v>12.771584034415993</v>
      </c>
      <c r="N67" s="270"/>
      <c r="O67" s="34">
        <f>IF(O$9="","",'Ship Information'!O101+'Ship Information'!O108+'Assist Tug Information'!O77)</f>
        <v>10.35954554992939</v>
      </c>
      <c r="P67" s="270"/>
      <c r="Q67" s="51">
        <f>IF(Q$9="","",'Ship Information'!Q101+'Ship Information'!Q108+'Assist Tug Information'!Q77)</f>
        <v>9.4674325686530842</v>
      </c>
      <c r="R67" s="2"/>
    </row>
    <row r="68" spans="2:18" x14ac:dyDescent="0.25">
      <c r="B68" s="20"/>
      <c r="C68" s="16"/>
      <c r="D68" s="29" t="s">
        <v>200</v>
      </c>
      <c r="E68" s="34">
        <f>IF(E$9="","",'Ship Information'!E102+'Ship Information'!E109+'Assist Tug Information'!E78)</f>
        <v>0.16207264108847497</v>
      </c>
      <c r="F68" s="270"/>
      <c r="G68" s="34">
        <f>IF(G$9="","",'Ship Information'!G102+'Ship Information'!G109+'Assist Tug Information'!G78)</f>
        <v>5.2245147908127496E-2</v>
      </c>
      <c r="H68" s="270"/>
      <c r="I68" s="34">
        <f>IF(I$9="","",'Ship Information'!I102+'Ship Information'!I109+'Assist Tug Information'!I78)</f>
        <v>1.643517125442993E-2</v>
      </c>
      <c r="J68" s="270"/>
      <c r="K68" s="34">
        <f>IF(K$9="","",'Ship Information'!K102+'Ship Information'!K109+'Assist Tug Information'!K78)</f>
        <v>9.5066707607125947E-2</v>
      </c>
      <c r="L68" s="270"/>
      <c r="M68" s="34">
        <f>IF(M$9="","",'Ship Information'!M102+'Ship Information'!M109+'Assist Tug Information'!M78)</f>
        <v>0.21800445302206514</v>
      </c>
      <c r="N68" s="270"/>
      <c r="O68" s="34">
        <f>IF(O$9="","",'Ship Information'!O102+'Ship Information'!O109+'Assist Tug Information'!O78)</f>
        <v>0.18190973814146055</v>
      </c>
      <c r="P68" s="270"/>
      <c r="Q68" s="51">
        <f>IF(Q$9="","",'Ship Information'!Q102+'Ship Information'!Q109+'Assist Tug Information'!Q78)</f>
        <v>0.16479578273816101</v>
      </c>
      <c r="R68" s="2"/>
    </row>
    <row r="69" spans="2:18" x14ac:dyDescent="0.25">
      <c r="B69" s="20"/>
      <c r="C69" s="16"/>
      <c r="D69" s="29"/>
      <c r="E69" s="34"/>
      <c r="F69" s="270"/>
      <c r="G69" s="34"/>
      <c r="H69" s="270"/>
      <c r="I69" s="34"/>
      <c r="J69" s="270"/>
      <c r="K69" s="34"/>
      <c r="L69" s="270"/>
      <c r="M69" s="34"/>
      <c r="N69" s="270"/>
      <c r="O69" s="34"/>
      <c r="P69" s="270"/>
      <c r="Q69" s="51"/>
      <c r="R69" s="2"/>
    </row>
    <row r="70" spans="2:18" x14ac:dyDescent="0.25">
      <c r="B70" s="20"/>
      <c r="C70" s="16"/>
      <c r="D70" t="s">
        <v>264</v>
      </c>
      <c r="E70" s="34"/>
      <c r="F70" s="270"/>
      <c r="G70" s="34"/>
      <c r="H70" s="270"/>
      <c r="I70" s="34"/>
      <c r="J70" s="270"/>
      <c r="K70" s="34"/>
      <c r="L70" s="270"/>
      <c r="M70" s="34"/>
      <c r="N70" s="270"/>
      <c r="O70" s="34"/>
      <c r="P70" s="270"/>
      <c r="Q70" s="51"/>
      <c r="R70" s="2"/>
    </row>
    <row r="71" spans="2:18" ht="18.75" x14ac:dyDescent="0.35">
      <c r="B71" s="20"/>
      <c r="C71" s="16"/>
      <c r="D71" s="29" t="s">
        <v>196</v>
      </c>
      <c r="E71" s="34">
        <f>IF(E$9="","",'Ship Information'!E98+'Assist Tug Information'!E74)</f>
        <v>100.552037992</v>
      </c>
      <c r="F71" s="270"/>
      <c r="G71" s="34">
        <f>IF(G$9="","",'Ship Information'!G98+'Assist Tug Information'!G74)</f>
        <v>23.933833727999996</v>
      </c>
      <c r="H71" s="270"/>
      <c r="I71" s="34">
        <f>IF(I$9="","",'Ship Information'!I98+'Assist Tug Information'!I74)</f>
        <v>8.318127552</v>
      </c>
      <c r="J71" s="270"/>
      <c r="K71" s="34">
        <f>IF(K$9="","",'Ship Information'!K98+'Assist Tug Information'!K74)</f>
        <v>33.468224384000003</v>
      </c>
      <c r="L71" s="270"/>
      <c r="M71" s="34">
        <f>IF(M$9="","",'Ship Information'!M98+'Assist Tug Information'!M74)</f>
        <v>72.383720444000005</v>
      </c>
      <c r="N71" s="270"/>
      <c r="O71" s="34">
        <f>IF(O$9="","",'Ship Information'!O98+'Assist Tug Information'!O74)</f>
        <v>72.38864371199999</v>
      </c>
      <c r="P71" s="270"/>
      <c r="Q71" s="51">
        <f>IF(Q$9="","",'Ship Information'!Q98+'Assist Tug Information'!Q74)</f>
        <v>66.647423924715142</v>
      </c>
      <c r="R71" s="2"/>
    </row>
    <row r="72" spans="2:18" ht="18.75" x14ac:dyDescent="0.35">
      <c r="B72" s="20"/>
      <c r="C72" s="16"/>
      <c r="D72" s="29" t="s">
        <v>285</v>
      </c>
      <c r="E72" s="34">
        <f>IF(E$9="","",'Ship Information'!E99+'Assist Tug Information'!E75)</f>
        <v>99.863157771999994</v>
      </c>
      <c r="F72" s="270"/>
      <c r="G72" s="34">
        <f>IF(G$9="","",'Ship Information'!G99+'Assist Tug Information'!G75)</f>
        <v>23.763006288</v>
      </c>
      <c r="H72" s="270"/>
      <c r="I72" s="34">
        <f>IF(I$9="","",'Ship Information'!I99+'Assist Tug Information'!I75)</f>
        <v>8.2457115719999994</v>
      </c>
      <c r="J72" s="270"/>
      <c r="K72" s="34">
        <f>IF(K$9="","",'Ship Information'!K99+'Assist Tug Information'!K75)</f>
        <v>33.220648384</v>
      </c>
      <c r="L72" s="270"/>
      <c r="M72" s="34">
        <f>IF(M$9="","",'Ship Information'!M99+'Assist Tug Information'!M75)</f>
        <v>71.808106244000001</v>
      </c>
      <c r="N72" s="270"/>
      <c r="O72" s="34">
        <f>IF(O$9="","",'Ship Information'!O99+'Assist Tug Information'!O75)</f>
        <v>72.002425152000001</v>
      </c>
      <c r="P72" s="270"/>
      <c r="Q72" s="51">
        <f>IF(Q$9="","",'Ship Information'!Q99+'Assist Tug Information'!Q75)</f>
        <v>66.24160695704191</v>
      </c>
      <c r="R72" s="2"/>
    </row>
    <row r="73" spans="2:18" x14ac:dyDescent="0.25">
      <c r="B73" s="20"/>
      <c r="C73" s="16"/>
      <c r="D73" s="29" t="s">
        <v>198</v>
      </c>
      <c r="E73" s="34">
        <f>IF(E$9="","",'Ship Information'!E100+'Assist Tug Information'!E76)</f>
        <v>3.960972752353447E-2</v>
      </c>
      <c r="F73" s="270"/>
      <c r="G73" s="34">
        <f>IF(G$9="","",'Ship Information'!G100+'Assist Tug Information'!G76)</f>
        <v>9.8108513626843624E-3</v>
      </c>
      <c r="H73" s="270"/>
      <c r="I73" s="34">
        <f>IF(I$9="","",'Ship Information'!I100+'Assist Tug Information'!I76)</f>
        <v>4.1379351780242071E-3</v>
      </c>
      <c r="J73" s="270"/>
      <c r="K73" s="34">
        <f>IF(K$9="","",'Ship Information'!K100+'Assist Tug Information'!K76)</f>
        <v>1.4204616708481228E-2</v>
      </c>
      <c r="L73" s="270"/>
      <c r="M73" s="34">
        <f>IF(M$9="","",'Ship Information'!M100+'Assist Tug Information'!M76)</f>
        <v>3.2963308670385147E-2</v>
      </c>
      <c r="N73" s="270"/>
      <c r="O73" s="34">
        <f>IF(O$9="","",'Ship Information'!O100+'Assist Tug Information'!O76)</f>
        <v>2.2391182077206282E-2</v>
      </c>
      <c r="P73" s="270"/>
      <c r="Q73" s="51">
        <f>IF(Q$9="","",'Ship Information'!Q100+'Assist Tug Information'!Q76)</f>
        <v>1.9316983331241544E-2</v>
      </c>
      <c r="R73" s="2"/>
    </row>
    <row r="74" spans="2:18" x14ac:dyDescent="0.25">
      <c r="B74" s="20"/>
      <c r="C74" s="16"/>
      <c r="D74" s="29" t="s">
        <v>199</v>
      </c>
      <c r="E74" s="34">
        <f>IF(E$9="","",'Ship Information'!E101+'Assist Tug Information'!E77)</f>
        <v>1.6530448845221184</v>
      </c>
      <c r="F74" s="270"/>
      <c r="G74" s="34">
        <f>IF(G$9="","",'Ship Information'!G101+'Assist Tug Information'!G77)</f>
        <v>0.39610460307842871</v>
      </c>
      <c r="H74" s="270"/>
      <c r="I74" s="34">
        <f>IF(I$9="","",'Ship Information'!I101+'Assist Tug Information'!I77)</f>
        <v>0.14268672997305251</v>
      </c>
      <c r="J74" s="270"/>
      <c r="K74" s="34">
        <f>IF(K$9="","",'Ship Information'!K101+'Assist Tug Information'!K77)</f>
        <v>0.55724652357353521</v>
      </c>
      <c r="L74" s="270"/>
      <c r="M74" s="34">
        <f>IF(M$9="","",'Ship Information'!M101+'Assist Tug Information'!M77)</f>
        <v>1.2206524264348499</v>
      </c>
      <c r="N74" s="270"/>
      <c r="O74" s="34">
        <f>IF(O$9="","",'Ship Information'!O101+'Assist Tug Information'!O77)</f>
        <v>1.1478126202792613</v>
      </c>
      <c r="P74" s="270"/>
      <c r="Q74" s="51">
        <f>IF(Q$9="","",'Ship Information'!Q101+'Assist Tug Information'!Q77)</f>
        <v>0.99283987921918881</v>
      </c>
      <c r="R74" s="2"/>
    </row>
    <row r="75" spans="2:18" x14ac:dyDescent="0.25">
      <c r="B75" s="20"/>
      <c r="C75" s="16"/>
      <c r="D75" s="29" t="s">
        <v>200</v>
      </c>
      <c r="E75" s="34">
        <f>IF(E$9="","",'Ship Information'!E102+'Assist Tug Information'!E78)</f>
        <v>4.3558246556898703E-2</v>
      </c>
      <c r="F75" s="270"/>
      <c r="G75" s="34">
        <f>IF(G$9="","",'Ship Information'!G102+'Assist Tug Information'!G78)</f>
        <v>1.0334477136443318E-2</v>
      </c>
      <c r="H75" s="270"/>
      <c r="I75" s="34">
        <f>IF(I$9="","",'Ship Information'!I102+'Assist Tug Information'!I78)</f>
        <v>3.5280845500999386E-3</v>
      </c>
      <c r="J75" s="270"/>
      <c r="K75" s="34">
        <f>IF(K$9="","",'Ship Information'!K102+'Assist Tug Information'!K78)</f>
        <v>1.4408946359250496E-2</v>
      </c>
      <c r="L75" s="270"/>
      <c r="M75" s="34">
        <f>IF(M$9="","",'Ship Information'!M102+'Assist Tug Information'!M78)</f>
        <v>3.0967169325804338E-2</v>
      </c>
      <c r="N75" s="270"/>
      <c r="O75" s="34">
        <f>IF(O$9="","",'Ship Information'!O102+'Assist Tug Information'!O78)</f>
        <v>3.1893255885882182E-2</v>
      </c>
      <c r="P75" s="270"/>
      <c r="Q75" s="51">
        <f>IF(Q$9="","",'Ship Information'!Q102+'Assist Tug Information'!Q78)</f>
        <v>2.7407216261584263E-2</v>
      </c>
      <c r="R75" s="2"/>
    </row>
    <row r="76" spans="2:18" x14ac:dyDescent="0.25">
      <c r="B76" s="22"/>
      <c r="C76" s="23"/>
      <c r="D76" s="24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7"/>
      <c r="R76" s="2"/>
    </row>
    <row r="78" spans="2:18" ht="15.75" x14ac:dyDescent="0.25">
      <c r="B78" s="11" t="s">
        <v>33</v>
      </c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4"/>
    </row>
    <row r="79" spans="2:18" ht="15.75" x14ac:dyDescent="0.25">
      <c r="B79" s="20"/>
      <c r="C79" s="16"/>
      <c r="E79" s="17" t="str">
        <f>IF(E9="","",E9)</f>
        <v>Container 2000</v>
      </c>
      <c r="G79" s="17" t="str">
        <f>IF(G9="","",G9)</f>
        <v>Container 4000</v>
      </c>
      <c r="I79" s="17" t="str">
        <f>IF(I9="","",I9)</f>
        <v>Container 5000</v>
      </c>
      <c r="K79" s="17" t="str">
        <f>IF(K9="","",K9)</f>
        <v>Container 6000</v>
      </c>
      <c r="M79" s="17" t="str">
        <f>IF(M9="","",M9)</f>
        <v>Container 8000</v>
      </c>
      <c r="O79" s="17" t="str">
        <f>IF(O9="","",O9)</f>
        <v>Container 9000</v>
      </c>
      <c r="Q79" s="46" t="str">
        <f>IF(Q9="","",Q9)</f>
        <v>Container 10000</v>
      </c>
    </row>
    <row r="80" spans="2:18" ht="15.75" x14ac:dyDescent="0.25">
      <c r="B80" s="20"/>
      <c r="C80" s="16"/>
      <c r="E80" s="19"/>
      <c r="G80" s="19"/>
      <c r="I80" s="19"/>
      <c r="K80" s="19"/>
      <c r="M80" s="19"/>
      <c r="O80" s="19"/>
      <c r="Q80" s="47"/>
    </row>
    <row r="81" spans="2:18" x14ac:dyDescent="0.25">
      <c r="B81" s="20"/>
      <c r="C81" s="16"/>
      <c r="D81" t="s">
        <v>309</v>
      </c>
      <c r="E81" s="277">
        <f>IF(E9="","",30/60)</f>
        <v>0.5</v>
      </c>
      <c r="F81" s="278"/>
      <c r="G81" s="277">
        <f>IF(G9="","",30/60)</f>
        <v>0.5</v>
      </c>
      <c r="H81" s="278"/>
      <c r="I81" s="277">
        <f>IF(I9="","",30/60)</f>
        <v>0.5</v>
      </c>
      <c r="J81" s="278"/>
      <c r="K81" s="277">
        <f>IF(K9="","",30/60)</f>
        <v>0.5</v>
      </c>
      <c r="L81" s="278"/>
      <c r="M81" s="277">
        <f>IF(M9="","",30/60)</f>
        <v>0.5</v>
      </c>
      <c r="N81" s="278"/>
      <c r="O81" s="277">
        <f>IF(O9="","",30/60)</f>
        <v>0.5</v>
      </c>
      <c r="P81" s="278"/>
      <c r="Q81" s="86">
        <f>IF(Q9="","",30/60)</f>
        <v>0.5</v>
      </c>
      <c r="R81" s="44"/>
    </row>
    <row r="82" spans="2:18" x14ac:dyDescent="0.25">
      <c r="B82" s="20"/>
      <c r="C82" s="16"/>
      <c r="D82" t="s">
        <v>310</v>
      </c>
      <c r="E82" s="4">
        <f>IF(E9="","",15/60)</f>
        <v>0.25</v>
      </c>
      <c r="F82" s="3"/>
      <c r="G82" s="4">
        <f>IF(G9="","",15/60)</f>
        <v>0.25</v>
      </c>
      <c r="H82" s="3"/>
      <c r="I82" s="4">
        <f>IF(I9="","",15/60)</f>
        <v>0.25</v>
      </c>
      <c r="J82" s="3"/>
      <c r="K82" s="4">
        <f>IF(K9="","",15/60)</f>
        <v>0.25</v>
      </c>
      <c r="L82" s="3"/>
      <c r="M82" s="4">
        <f>IF(M9="","",15/60)</f>
        <v>0.25</v>
      </c>
      <c r="N82" s="3"/>
      <c r="O82" s="4">
        <f>IF(O9="","",15/60)</f>
        <v>0.25</v>
      </c>
      <c r="P82" s="3"/>
      <c r="Q82" s="48">
        <f>IF(Q9="","",15/60)</f>
        <v>0.25</v>
      </c>
      <c r="R82" s="44"/>
    </row>
    <row r="83" spans="2:18" x14ac:dyDescent="0.25">
      <c r="B83" s="20"/>
      <c r="C83" s="16"/>
      <c r="D83" t="s">
        <v>122</v>
      </c>
      <c r="E83" s="36">
        <f>IF(E9="","",$E12+$E13-E81-E82)</f>
        <v>44.25</v>
      </c>
      <c r="F83" s="5"/>
      <c r="G83" s="36">
        <f>IF(G9="","",$E12+$E13-G81-G82)</f>
        <v>44.25</v>
      </c>
      <c r="H83" s="3"/>
      <c r="I83" s="36">
        <f>IF(I9="","",$E12+$E13-I81-I82)</f>
        <v>44.25</v>
      </c>
      <c r="J83" s="3"/>
      <c r="K83" s="36">
        <f>IF(K9="","",$E12+$E13-K81-K82)</f>
        <v>44.25</v>
      </c>
      <c r="L83" s="3"/>
      <c r="M83" s="36">
        <f>IF(M9="","",$E12+$E13-M81-M82)</f>
        <v>44.25</v>
      </c>
      <c r="N83" s="3"/>
      <c r="O83" s="36">
        <f>IF(O9="","",$E12+$E13-O81-O82)</f>
        <v>44.25</v>
      </c>
      <c r="P83" s="3"/>
      <c r="Q83" s="49">
        <f>IF(Q9="","",$E12+$E13-Q81-Q82)</f>
        <v>44.25</v>
      </c>
      <c r="R83" s="44"/>
    </row>
    <row r="84" spans="2:18" ht="15.75" x14ac:dyDescent="0.25">
      <c r="B84" s="20"/>
      <c r="C84" s="16"/>
      <c r="E84" s="30"/>
      <c r="F84" s="2"/>
      <c r="G84" s="30"/>
      <c r="I84" s="30"/>
      <c r="K84" s="30"/>
      <c r="M84" s="30"/>
      <c r="O84" s="30"/>
      <c r="Q84" s="50"/>
    </row>
    <row r="85" spans="2:18" x14ac:dyDescent="0.25">
      <c r="B85" s="20"/>
      <c r="C85" s="16"/>
      <c r="D85" t="s">
        <v>189</v>
      </c>
      <c r="E85" s="34">
        <f>IF(E9="","",E53/E$10)</f>
        <v>1.6894417184944273</v>
      </c>
      <c r="F85" s="99"/>
      <c r="G85" s="34">
        <f>IF(G9="","",G53/G$10)</f>
        <v>2.4888862759362356</v>
      </c>
      <c r="I85" s="34">
        <f>IF(I9="","",I53/I$10)</f>
        <v>3.2400110593149862</v>
      </c>
      <c r="K85" s="34">
        <f>IF(K9="","",K53/K$10)</f>
        <v>3.481116635673613</v>
      </c>
      <c r="M85" s="34">
        <f>IF(M9="","",M53/M$10)</f>
        <v>4.1710988778147291</v>
      </c>
      <c r="O85" s="34">
        <f>IF(O9="","",O53/O$10)</f>
        <v>4.2682582459489753</v>
      </c>
      <c r="Q85" s="51">
        <f>IF(Q9="","",Q53/Q$10)</f>
        <v>4.1633872466735573</v>
      </c>
    </row>
    <row r="86" spans="2:18" x14ac:dyDescent="0.25">
      <c r="B86" s="20"/>
      <c r="C86" s="16"/>
      <c r="D86" s="29" t="s">
        <v>91</v>
      </c>
      <c r="E86" s="34">
        <f>IF(E9="","",E54/E$10)</f>
        <v>0.33368999999999999</v>
      </c>
      <c r="F86" s="99"/>
      <c r="G86" s="34">
        <f>IF(G9="","",G54/G$10)</f>
        <v>0.36547000000000002</v>
      </c>
      <c r="I86" s="34">
        <f>IF(I9="","",I54/I$10)</f>
        <v>0.61970999999999998</v>
      </c>
      <c r="K86" s="34">
        <f>IF(K9="","",K54/K$10)</f>
        <v>0.39724999999999999</v>
      </c>
      <c r="M86" s="34">
        <f>IF(M9="","",M54/M$10)</f>
        <v>0.47670000000000001</v>
      </c>
      <c r="O86" s="34">
        <f>IF(O9="","",O54/O$10)</f>
        <v>0.41314000000000001</v>
      </c>
      <c r="Q86" s="51">
        <f>IF(Q9="","",Q54/Q$10)</f>
        <v>0.33368999999999999</v>
      </c>
    </row>
    <row r="87" spans="2:18" x14ac:dyDescent="0.25">
      <c r="B87" s="20"/>
      <c r="C87" s="16"/>
      <c r="D87" t="s">
        <v>188</v>
      </c>
      <c r="E87" s="34">
        <f>IF(E9="","",E55/E$10)</f>
        <v>0.29000000000000004</v>
      </c>
      <c r="F87" s="2"/>
      <c r="G87" s="34">
        <f>IF(G9="","",G55/G$10)</f>
        <v>0.29000000000000004</v>
      </c>
      <c r="I87" s="34">
        <f>IF(I9="","",I55/I$10)</f>
        <v>0.29000000000000004</v>
      </c>
      <c r="K87" s="34">
        <f>IF(K9="","",K55/K$10)</f>
        <v>0.29000000000000004</v>
      </c>
      <c r="M87" s="34">
        <f>IF(M9="","",M55/M$10)</f>
        <v>0.29000000000000009</v>
      </c>
      <c r="O87" s="34">
        <f>IF(O9="","",O55/O$10)</f>
        <v>0.58000000000000007</v>
      </c>
      <c r="Q87" s="51">
        <f>IF(Q9="","",Q55/Q$10)</f>
        <v>0.57999999999999996</v>
      </c>
    </row>
    <row r="88" spans="2:18" x14ac:dyDescent="0.25">
      <c r="B88" s="20"/>
      <c r="C88" s="16"/>
      <c r="D88" t="s">
        <v>187</v>
      </c>
      <c r="E88" s="34">
        <f>IF(E9="","",E56/E$10)</f>
        <v>1.9794417184944275</v>
      </c>
      <c r="F88" s="2"/>
      <c r="G88" s="34">
        <f>IF(G9="","",G56/G$10)</f>
        <v>2.7788862759362356</v>
      </c>
      <c r="I88" s="34">
        <f>IF(I9="","",I56/I$10)</f>
        <v>3.5300110593149867</v>
      </c>
      <c r="K88" s="34">
        <f>IF(K9="","",K56/K$10)</f>
        <v>3.771116635673613</v>
      </c>
      <c r="M88" s="34">
        <f>IF(M9="","",M56/M$10)</f>
        <v>4.4610988778147291</v>
      </c>
      <c r="O88" s="34">
        <f>IF(O9="","",O56/O$10)</f>
        <v>4.8482582459489754</v>
      </c>
      <c r="Q88" s="51">
        <f>IF(Q9="","",Q56/Q$10)</f>
        <v>4.7433872466735574</v>
      </c>
    </row>
    <row r="89" spans="2:18" x14ac:dyDescent="0.25">
      <c r="B89" s="20"/>
      <c r="C89" s="16"/>
      <c r="E89" s="1"/>
      <c r="F89" s="2"/>
      <c r="G89" s="1"/>
      <c r="I89" s="1"/>
      <c r="K89" s="1"/>
      <c r="M89" s="1"/>
      <c r="O89" s="1"/>
      <c r="Q89" s="52"/>
    </row>
    <row r="90" spans="2:18" x14ac:dyDescent="0.25">
      <c r="B90" s="20"/>
      <c r="C90" s="16"/>
      <c r="D90" t="s">
        <v>186</v>
      </c>
      <c r="E90" s="35">
        <f>IF(E9="","",E58/E$10)</f>
        <v>1013.6650310966564</v>
      </c>
      <c r="F90" s="2"/>
      <c r="G90" s="35">
        <f>IF(G9="","",G58/G$10)</f>
        <v>1493.3317655617413</v>
      </c>
      <c r="I90" s="35">
        <f>IF(I9="","",I58/I$10)</f>
        <v>1944.0066355889919</v>
      </c>
      <c r="K90" s="35">
        <f>IF(K9="","",K58/K$10)</f>
        <v>2088.6699814041676</v>
      </c>
      <c r="M90" s="35">
        <f>IF(M9="","",M58/M$10)</f>
        <v>2502.6593266888376</v>
      </c>
      <c r="O90" s="35">
        <f>IF(O9="","",O58/O$10)</f>
        <v>2560.9549475693852</v>
      </c>
      <c r="Q90" s="53">
        <f>IF(Q9="","",Q58/Q$10)</f>
        <v>2498.0323480041343</v>
      </c>
    </row>
    <row r="91" spans="2:18" x14ac:dyDescent="0.25">
      <c r="B91" s="20"/>
      <c r="C91" s="16"/>
      <c r="D91" s="29" t="s">
        <v>91</v>
      </c>
      <c r="E91" s="35">
        <f>IF(E9="","",E59/E$10)</f>
        <v>200.21399999999997</v>
      </c>
      <c r="F91" s="2"/>
      <c r="G91" s="35">
        <f>IF(G9="","",G59/G$10)</f>
        <v>219.28200000000004</v>
      </c>
      <c r="I91" s="35">
        <f>IF(I9="","",I59/I$10)</f>
        <v>371.82600000000002</v>
      </c>
      <c r="K91" s="35">
        <f>IF(K9="","",K59/K$10)</f>
        <v>238.35</v>
      </c>
      <c r="M91" s="35">
        <f>IF(M9="","",M59/M$10)</f>
        <v>286.02000000000004</v>
      </c>
      <c r="O91" s="35">
        <f>IF(O9="","",O59/O$10)</f>
        <v>247.88399999999999</v>
      </c>
      <c r="Q91" s="53">
        <f>IF(Q9="","",Q59/Q$10)</f>
        <v>200.21399999999997</v>
      </c>
    </row>
    <row r="92" spans="2:18" x14ac:dyDescent="0.25">
      <c r="B92" s="20"/>
      <c r="C92" s="16"/>
      <c r="D92" t="s">
        <v>185</v>
      </c>
      <c r="E92" s="35">
        <f>IF(E9="","",E60/E$10)</f>
        <v>290.00000000000006</v>
      </c>
      <c r="F92" s="2"/>
      <c r="G92" s="35">
        <f>IF(G9="","",G60/G$10)</f>
        <v>290.00000000000006</v>
      </c>
      <c r="I92" s="35">
        <f>IF(I9="","",I60/I$10)</f>
        <v>290.00000000000006</v>
      </c>
      <c r="K92" s="35">
        <f>IF(K9="","",K60/K$10)</f>
        <v>290.00000000000006</v>
      </c>
      <c r="M92" s="35">
        <f>IF(M9="","",M60/M$10)</f>
        <v>290.00000000000006</v>
      </c>
      <c r="O92" s="35">
        <f>IF(O9="","",O60/O$10)</f>
        <v>580.00000000000011</v>
      </c>
      <c r="Q92" s="53">
        <f>IF(Q9="","",Q60/Q$10)</f>
        <v>580</v>
      </c>
    </row>
    <row r="93" spans="2:18" x14ac:dyDescent="0.25">
      <c r="B93" s="20"/>
      <c r="C93" s="16"/>
      <c r="D93" t="s">
        <v>184</v>
      </c>
      <c r="E93" s="35">
        <f>IF(E9="","",E61/E$10)</f>
        <v>1303.6650310966563</v>
      </c>
      <c r="F93" s="2"/>
      <c r="G93" s="35">
        <f>IF(G9="","",G61/G$10)</f>
        <v>1783.3317655617413</v>
      </c>
      <c r="I93" s="35">
        <f>IF(I9="","",I61/I$10)</f>
        <v>2234.0066355889917</v>
      </c>
      <c r="K93" s="35">
        <f>IF(K9="","",K61/K$10)</f>
        <v>2378.6699814041676</v>
      </c>
      <c r="M93" s="35">
        <f>IF(M9="","",M61/M$10)</f>
        <v>2792.6593266888376</v>
      </c>
      <c r="O93" s="35">
        <f>IF(O9="","",O61/O$10)</f>
        <v>3140.9549475693857</v>
      </c>
      <c r="Q93" s="53">
        <f>IF(Q9="","",Q61/Q$10)</f>
        <v>3078.0323480041338</v>
      </c>
    </row>
    <row r="94" spans="2:18" x14ac:dyDescent="0.25">
      <c r="B94" s="20"/>
      <c r="C94" s="16"/>
      <c r="E94" s="1"/>
      <c r="F94" s="2"/>
      <c r="G94" s="1"/>
      <c r="I94" s="1"/>
      <c r="K94" s="1"/>
      <c r="M94" s="1"/>
      <c r="O94" s="1"/>
      <c r="Q94" s="52"/>
    </row>
    <row r="95" spans="2:18" x14ac:dyDescent="0.25">
      <c r="B95" s="20"/>
      <c r="C95" s="16"/>
      <c r="D95" t="s">
        <v>265</v>
      </c>
      <c r="E95" s="1"/>
      <c r="F95" s="2"/>
      <c r="G95" s="1"/>
      <c r="I95" s="1"/>
      <c r="K95" s="1"/>
      <c r="M95" s="1"/>
      <c r="O95" s="1"/>
      <c r="Q95" s="52"/>
    </row>
    <row r="96" spans="2:18" ht="18.75" x14ac:dyDescent="0.35">
      <c r="B96" s="20"/>
      <c r="C96" s="16"/>
      <c r="D96" s="29" t="s">
        <v>175</v>
      </c>
      <c r="E96" s="34">
        <f>IF(E$9="","",'Ship Information'!E115+'Ship Information'!E122+'Assist Tug Information'!E84)</f>
        <v>6.5860981660571118</v>
      </c>
      <c r="F96" s="270"/>
      <c r="G96" s="34">
        <f>IF(G$9="","",'Ship Information'!G115+'Ship Information'!G122+'Assist Tug Information'!G84)</f>
        <v>9.3289578536335114</v>
      </c>
      <c r="H96" s="270"/>
      <c r="I96" s="34">
        <f>IF(I$9="","",'Ship Information'!I115+'Ship Information'!I122+'Assist Tug Information'!I84)</f>
        <v>11.816250887365264</v>
      </c>
      <c r="J96" s="270"/>
      <c r="K96" s="34">
        <f>IF(K$9="","",'Ship Information'!K115+'Ship Information'!K122+'Assist Tug Information'!K84)</f>
        <v>12.713567692959723</v>
      </c>
      <c r="L96" s="270"/>
      <c r="M96" s="34">
        <f>IF(M$9="","",'Ship Information'!M115+'Ship Information'!M122+'Assist Tug Information'!M84)</f>
        <v>15.054144322618825</v>
      </c>
      <c r="N96" s="270"/>
      <c r="O96" s="34">
        <f>IF(O$9="","",'Ship Information'!O115+'Ship Information'!O122+'Assist Tug Information'!O84)</f>
        <v>16.244947505252696</v>
      </c>
      <c r="P96" s="270"/>
      <c r="Q96" s="51">
        <f>IF(Q$9="","",'Ship Information'!Q115+'Ship Information'!Q122+'Assist Tug Information'!Q84)</f>
        <v>16.205248778217069</v>
      </c>
    </row>
    <row r="97" spans="2:19" ht="18.75" x14ac:dyDescent="0.35">
      <c r="B97" s="20"/>
      <c r="C97" s="16"/>
      <c r="D97" s="29" t="s">
        <v>263</v>
      </c>
      <c r="E97" s="34">
        <f>IF(E$9="","",'Ship Information'!E116+'Ship Information'!E123+'Assist Tug Information'!E85)</f>
        <v>6.5018954508183864</v>
      </c>
      <c r="F97" s="270"/>
      <c r="G97" s="34">
        <f>IF(G$9="","",'Ship Information'!G116+'Ship Information'!G123+'Assist Tug Information'!G85)</f>
        <v>9.2035198184368134</v>
      </c>
      <c r="H97" s="270"/>
      <c r="I97" s="34">
        <f>IF(I$9="","",'Ship Information'!I116+'Ship Information'!I123+'Assist Tug Information'!I85)</f>
        <v>11.655134432208726</v>
      </c>
      <c r="J97" s="270"/>
      <c r="K97" s="34">
        <f>IF(K$9="","",'Ship Information'!K116+'Ship Information'!K123+'Assist Tug Information'!K85)</f>
        <v>12.53762251492433</v>
      </c>
      <c r="L97" s="270"/>
      <c r="M97" s="34">
        <f>IF(M$9="","",'Ship Information'!M116+'Ship Information'!M123+'Assist Tug Information'!M85)</f>
        <v>14.843522004187856</v>
      </c>
      <c r="N97" s="270"/>
      <c r="O97" s="34">
        <f>IF(O$9="","",'Ship Information'!O116+'Ship Information'!O123+'Assist Tug Information'!O85)</f>
        <v>16.029939601508264</v>
      </c>
      <c r="P97" s="270"/>
      <c r="Q97" s="51">
        <f>IF(Q$9="","",'Ship Information'!Q116+'Ship Information'!Q123+'Assist Tug Information'!Q85)</f>
        <v>15.988028067500856</v>
      </c>
    </row>
    <row r="98" spans="2:19" x14ac:dyDescent="0.25">
      <c r="B98" s="20"/>
      <c r="C98" s="16"/>
      <c r="D98" s="29" t="s">
        <v>177</v>
      </c>
      <c r="E98" s="34">
        <f>IF(E$9="","",'Ship Information'!E117+'Ship Information'!E124+'Assist Tug Information'!E86)</f>
        <v>4.1076064320158994E-3</v>
      </c>
      <c r="F98" s="270"/>
      <c r="G98" s="34">
        <f>IF(G$9="","",'Ship Information'!G117+'Ship Information'!G124+'Assist Tug Information'!G86)</f>
        <v>6.0741328598778342E-3</v>
      </c>
      <c r="H98" s="270"/>
      <c r="I98" s="34">
        <f>IF(I$9="","",'Ship Information'!I117+'Ship Information'!I124+'Assist Tug Information'!I86)</f>
        <v>7.8610398572879197E-3</v>
      </c>
      <c r="J98" s="270"/>
      <c r="K98" s="34">
        <f>IF(K$9="","",'Ship Information'!K117+'Ship Information'!K124+'Assist Tug Information'!K86)</f>
        <v>8.5015619726249644E-3</v>
      </c>
      <c r="L98" s="270"/>
      <c r="M98" s="34">
        <f>IF(M$9="","",'Ship Information'!M117+'Ship Information'!M124+'Assist Tug Information'!M86)</f>
        <v>1.0180741799547921E-2</v>
      </c>
      <c r="N98" s="270"/>
      <c r="O98" s="34">
        <f>IF(O$9="","",'Ship Information'!O117+'Ship Information'!O124+'Assist Tug Information'!O86)</f>
        <v>1.0417400243354767E-2</v>
      </c>
      <c r="P98" s="270"/>
      <c r="Q98" s="51">
        <f>IF(Q$9="","",'Ship Information'!Q117+'Ship Information'!Q124+'Assist Tug Information'!Q86)</f>
        <v>1.0323148292355831E-2</v>
      </c>
    </row>
    <row r="99" spans="2:19" x14ac:dyDescent="0.25">
      <c r="B99" s="20"/>
      <c r="C99" s="16"/>
      <c r="D99" s="29" t="s">
        <v>176</v>
      </c>
      <c r="E99" s="34">
        <f>IF(E$9="","",'Ship Information'!E118+'Ship Information'!E125+'Assist Tug Information'!E87)</f>
        <v>0.17035751336569466</v>
      </c>
      <c r="F99" s="270"/>
      <c r="G99" s="34">
        <f>IF(G$9="","",'Ship Information'!G118+'Ship Information'!G125+'Assist Tug Information'!G87)</f>
        <v>0.24990397741529216</v>
      </c>
      <c r="H99" s="270"/>
      <c r="I99" s="34">
        <f>IF(I$9="","",'Ship Information'!I118+'Ship Information'!I125+'Assist Tug Information'!I87)</f>
        <v>0.31438745337855112</v>
      </c>
      <c r="J99" s="270"/>
      <c r="K99" s="34">
        <f>IF(K$9="","",'Ship Information'!K118+'Ship Information'!K125+'Assist Tug Information'!K87)</f>
        <v>0.34638410428612726</v>
      </c>
      <c r="L99" s="270"/>
      <c r="M99" s="34">
        <f>IF(M$9="","",'Ship Information'!M118+'Ship Information'!M125+'Assist Tug Information'!M87)</f>
        <v>0.41198658175535463</v>
      </c>
      <c r="N99" s="270"/>
      <c r="O99" s="34">
        <f>IF(O$9="","",'Ship Information'!O118+'Ship Information'!O125+'Assist Tug Information'!O87)</f>
        <v>0.43164773124705791</v>
      </c>
      <c r="P99" s="270"/>
      <c r="Q99" s="51">
        <f>IF(Q$9="","",'Ship Information'!Q118+'Ship Information'!Q125+'Assist Tug Information'!Q87)</f>
        <v>0.43033784402968561</v>
      </c>
      <c r="R99" s="100"/>
    </row>
    <row r="100" spans="2:19" x14ac:dyDescent="0.25">
      <c r="B100" s="20"/>
      <c r="C100" s="16"/>
      <c r="D100" s="29" t="s">
        <v>178</v>
      </c>
      <c r="E100" s="34">
        <f>IF(E$9="","",'Ship Information'!E119+'Ship Information'!E126+'Assist Tug Information'!E88)</f>
        <v>3.0579743601599047E-3</v>
      </c>
      <c r="F100" s="270"/>
      <c r="G100" s="34">
        <f>IF(G$9="","",'Ship Information'!G119+'Ship Information'!G126+'Assist Tug Information'!G88)</f>
        <v>4.3537623256772922E-3</v>
      </c>
      <c r="H100" s="270"/>
      <c r="I100" s="34">
        <f>IF(I$9="","",'Ship Information'!I119+'Ship Information'!I126+'Assist Tug Information'!I88)</f>
        <v>5.4783904181433104E-3</v>
      </c>
      <c r="J100" s="270"/>
      <c r="K100" s="34">
        <f>IF(K$9="","",'Ship Information'!K119+'Ship Information'!K126+'Assist Tug Information'!K88)</f>
        <v>5.9416692254453717E-3</v>
      </c>
      <c r="L100" s="270"/>
      <c r="M100" s="34">
        <f>IF(M$9="","",'Ship Information'!M119+'Ship Information'!M126+'Assist Tug Information'!M88)</f>
        <v>7.0324017103891977E-3</v>
      </c>
      <c r="N100" s="270"/>
      <c r="O100" s="34">
        <f>IF(O$9="","",'Ship Information'!O119+'Ship Information'!O126+'Assist Tug Information'!O88)</f>
        <v>7.5795724225608558E-3</v>
      </c>
      <c r="P100" s="270"/>
      <c r="Q100" s="51">
        <f>IF(Q$9="","",'Ship Information'!Q119+'Ship Information'!Q126+'Assist Tug Information'!Q88)</f>
        <v>7.4907173971891375E-3</v>
      </c>
    </row>
    <row r="101" spans="2:19" x14ac:dyDescent="0.25">
      <c r="B101" s="20"/>
      <c r="C101" s="16"/>
      <c r="D101" s="29"/>
      <c r="E101" s="34"/>
      <c r="F101" s="270"/>
      <c r="G101" s="34"/>
      <c r="H101" s="270"/>
      <c r="I101" s="34"/>
      <c r="J101" s="270"/>
      <c r="K101" s="34"/>
      <c r="L101" s="270"/>
      <c r="M101" s="34"/>
      <c r="N101" s="270"/>
      <c r="O101" s="34"/>
      <c r="P101" s="270"/>
      <c r="Q101" s="51"/>
    </row>
    <row r="102" spans="2:19" x14ac:dyDescent="0.25">
      <c r="B102" s="20"/>
      <c r="C102" s="16"/>
      <c r="D102" t="s">
        <v>264</v>
      </c>
      <c r="E102" s="34"/>
      <c r="F102" s="270"/>
      <c r="G102" s="34"/>
      <c r="H102" s="270"/>
      <c r="I102" s="34"/>
      <c r="J102" s="270"/>
      <c r="K102" s="34"/>
      <c r="L102" s="270"/>
      <c r="M102" s="34"/>
      <c r="N102" s="270"/>
      <c r="O102" s="34"/>
      <c r="P102" s="270"/>
      <c r="Q102" s="51"/>
    </row>
    <row r="103" spans="2:19" ht="18.75" x14ac:dyDescent="0.35">
      <c r="B103" s="20"/>
      <c r="C103" s="16"/>
      <c r="D103" s="29" t="s">
        <v>175</v>
      </c>
      <c r="E103" s="34">
        <f>IF(E$9="","",'Ship Information'!E115+'Assist Tug Information'!E84)</f>
        <v>1.8972082640000001</v>
      </c>
      <c r="F103" s="270"/>
      <c r="G103" s="34">
        <f>IF(G$9="","",'Ship Information'!G115+'Assist Tug Information'!G84)</f>
        <v>1.9944861439999997</v>
      </c>
      <c r="H103" s="270"/>
      <c r="I103" s="34">
        <f>IF(I$9="","",'Ship Information'!I115+'Assist Tug Information'!I84)</f>
        <v>2.772709184</v>
      </c>
      <c r="J103" s="270"/>
      <c r="K103" s="34">
        <f>IF(K$9="","",'Ship Information'!K115+'Assist Tug Information'!K84)</f>
        <v>2.0917640240000002</v>
      </c>
      <c r="L103" s="270"/>
      <c r="M103" s="34">
        <f>IF(M$9="","",'Ship Information'!M115+'Assist Tug Information'!M84)</f>
        <v>2.3349587239999998</v>
      </c>
      <c r="N103" s="270"/>
      <c r="O103" s="34">
        <f>IF(O$9="","",'Ship Information'!O115+'Assist Tug Information'!O84)</f>
        <v>3.0161934879999999</v>
      </c>
      <c r="P103" s="270"/>
      <c r="Q103" s="51">
        <f>IF(Q$9="","",'Ship Information'!Q115+'Assist Tug Information'!Q84)</f>
        <v>3.0294283602143244</v>
      </c>
    </row>
    <row r="104" spans="2:19" ht="18.75" x14ac:dyDescent="0.35">
      <c r="B104" s="20"/>
      <c r="C104" s="16"/>
      <c r="D104" s="29" t="s">
        <v>263</v>
      </c>
      <c r="E104" s="34">
        <f>IF(E$9="","",'Ship Information'!E116+'Assist Tug Information'!E85)</f>
        <v>1.8842105240000002</v>
      </c>
      <c r="F104" s="270"/>
      <c r="G104" s="34">
        <f>IF(G$9="","",'Ship Information'!G116+'Assist Tug Information'!G85)</f>
        <v>1.9802505240000001</v>
      </c>
      <c r="H104" s="270"/>
      <c r="I104" s="34">
        <f>IF(I$9="","",'Ship Information'!I116+'Assist Tug Information'!I85)</f>
        <v>2.7485705239999998</v>
      </c>
      <c r="J104" s="270"/>
      <c r="K104" s="34">
        <f>IF(K$9="","",'Ship Information'!K116+'Assist Tug Information'!K85)</f>
        <v>2.076290524</v>
      </c>
      <c r="L104" s="270"/>
      <c r="M104" s="34">
        <f>IF(M$9="","",'Ship Information'!M116+'Assist Tug Information'!M85)</f>
        <v>2.316390524</v>
      </c>
      <c r="N104" s="270"/>
      <c r="O104" s="34">
        <f>IF(O$9="","",'Ship Information'!O116+'Assist Tug Information'!O85)</f>
        <v>3.0001010479999999</v>
      </c>
      <c r="P104" s="270"/>
      <c r="Q104" s="51">
        <f>IF(Q$9="","",'Ship Information'!Q116+'Assist Tug Information'!Q85)</f>
        <v>3.0109821344109959</v>
      </c>
    </row>
    <row r="105" spans="2:19" x14ac:dyDescent="0.25">
      <c r="B105" s="20"/>
      <c r="C105" s="16"/>
      <c r="D105" s="29" t="s">
        <v>177</v>
      </c>
      <c r="E105" s="34">
        <f>IF(E$9="","",'Ship Information'!E117+'Assist Tug Information'!E86)</f>
        <v>7.473533495006504E-4</v>
      </c>
      <c r="F105" s="270"/>
      <c r="G105" s="34">
        <f>IF(G$9="","",'Ship Information'!G117+'Assist Tug Information'!G86)</f>
        <v>8.1757094689036353E-4</v>
      </c>
      <c r="H105" s="270"/>
      <c r="I105" s="34">
        <f>IF(I$9="","",'Ship Information'!I117+'Assist Tug Information'!I86)</f>
        <v>1.379311726008069E-3</v>
      </c>
      <c r="J105" s="270"/>
      <c r="K105" s="34">
        <f>IF(K$9="","",'Ship Information'!K117+'Assist Tug Information'!K86)</f>
        <v>8.8778854428007677E-4</v>
      </c>
      <c r="L105" s="270"/>
      <c r="M105" s="34">
        <f>IF(M$9="","",'Ship Information'!M117+'Assist Tug Information'!M86)</f>
        <v>1.0633325377543597E-3</v>
      </c>
      <c r="N105" s="270"/>
      <c r="O105" s="34">
        <f>IF(O$9="","",'Ship Information'!O117+'Assist Tug Information'!O86)</f>
        <v>9.329659198835952E-4</v>
      </c>
      <c r="P105" s="270"/>
      <c r="Q105" s="51">
        <f>IF(Q$9="","",'Ship Information'!Q117+'Assist Tug Information'!Q86)</f>
        <v>8.7804469687461566E-4</v>
      </c>
    </row>
    <row r="106" spans="2:19" x14ac:dyDescent="0.25">
      <c r="B106" s="20"/>
      <c r="C106" s="16"/>
      <c r="D106" s="29" t="s">
        <v>176</v>
      </c>
      <c r="E106" s="34">
        <f>IF(E$9="","",'Ship Information'!E118+'Assist Tug Information'!E87)</f>
        <v>3.1189526123058836E-2</v>
      </c>
      <c r="F106" s="270"/>
      <c r="G106" s="34">
        <f>IF(G$9="","",'Ship Information'!G118+'Assist Tug Information'!G87)</f>
        <v>3.300871692320239E-2</v>
      </c>
      <c r="H106" s="270"/>
      <c r="I106" s="34">
        <f>IF(I$9="","",'Ship Information'!I118+'Assist Tug Information'!I87)</f>
        <v>4.7562243324350835E-2</v>
      </c>
      <c r="J106" s="270"/>
      <c r="K106" s="34">
        <f>IF(K$9="","",'Ship Information'!K118+'Assist Tug Information'!K87)</f>
        <v>3.4827907723345951E-2</v>
      </c>
      <c r="L106" s="270"/>
      <c r="M106" s="34">
        <f>IF(M$9="","",'Ship Information'!M118+'Assist Tug Information'!M87)</f>
        <v>3.9375884723704839E-2</v>
      </c>
      <c r="N106" s="270"/>
      <c r="O106" s="34">
        <f>IF(O$9="","",'Ship Information'!O118+'Assist Tug Information'!O87)</f>
        <v>4.782552584496922E-2</v>
      </c>
      <c r="P106" s="270"/>
      <c r="Q106" s="51">
        <f>IF(Q$9="","",'Ship Information'!Q118+'Assist Tug Information'!Q87)</f>
        <v>4.5129085419054041E-2</v>
      </c>
    </row>
    <row r="107" spans="2:19" x14ac:dyDescent="0.25">
      <c r="B107" s="20"/>
      <c r="C107" s="16"/>
      <c r="D107" s="29" t="s">
        <v>178</v>
      </c>
      <c r="E107" s="34">
        <f>IF(E$9="","",'Ship Information'!E119+'Assist Tug Information'!E88)</f>
        <v>8.2185370862073034E-4</v>
      </c>
      <c r="F107" s="270"/>
      <c r="G107" s="34">
        <f>IF(G$9="","",'Ship Information'!G119+'Assist Tug Information'!G88)</f>
        <v>8.6120642803694323E-4</v>
      </c>
      <c r="H107" s="270"/>
      <c r="I107" s="34">
        <f>IF(I$9="","",'Ship Information'!I119+'Assist Tug Information'!I88)</f>
        <v>1.1760281833666463E-3</v>
      </c>
      <c r="J107" s="270"/>
      <c r="K107" s="34">
        <f>IF(K$9="","",'Ship Information'!K119+'Assist Tug Information'!K88)</f>
        <v>9.0055914745315602E-4</v>
      </c>
      <c r="L107" s="270"/>
      <c r="M107" s="34">
        <f>IF(M$9="","",'Ship Information'!M119+'Assist Tug Information'!M88)</f>
        <v>9.9894094599368836E-4</v>
      </c>
      <c r="N107" s="270"/>
      <c r="O107" s="34">
        <f>IF(O$9="","",'Ship Information'!O119+'Assist Tug Information'!O88)</f>
        <v>1.3288856619117575E-3</v>
      </c>
      <c r="P107" s="270"/>
      <c r="Q107" s="51">
        <f>IF(Q$9="","",'Ship Information'!Q119+'Assist Tug Information'!Q88)</f>
        <v>1.2457825573447391E-3</v>
      </c>
    </row>
    <row r="108" spans="2:19" x14ac:dyDescent="0.25">
      <c r="B108" s="22"/>
      <c r="C108" s="23"/>
      <c r="D108" s="24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</row>
    <row r="111" spans="2:19" x14ac:dyDescent="0.25">
      <c r="R111" s="64"/>
      <c r="S111" s="65"/>
    </row>
    <row r="112" spans="2:19" x14ac:dyDescent="0.25">
      <c r="R112" s="64" t="s">
        <v>97</v>
      </c>
      <c r="S112" s="65"/>
    </row>
    <row r="113" spans="18:19" x14ac:dyDescent="0.25">
      <c r="R113" s="64" t="s">
        <v>98</v>
      </c>
      <c r="S113" s="65"/>
    </row>
    <row r="114" spans="18:19" x14ac:dyDescent="0.25">
      <c r="R114" s="64" t="s">
        <v>99</v>
      </c>
      <c r="S114" s="65"/>
    </row>
    <row r="115" spans="18:19" x14ac:dyDescent="0.25">
      <c r="R115" s="64" t="s">
        <v>100</v>
      </c>
      <c r="S115" s="65"/>
    </row>
    <row r="116" spans="18:19" x14ac:dyDescent="0.25">
      <c r="R116" s="64" t="s">
        <v>101</v>
      </c>
      <c r="S116" s="65"/>
    </row>
    <row r="117" spans="18:19" x14ac:dyDescent="0.25">
      <c r="R117" s="64" t="s">
        <v>102</v>
      </c>
      <c r="S117" s="65"/>
    </row>
    <row r="118" spans="18:19" x14ac:dyDescent="0.25">
      <c r="R118" s="64" t="s">
        <v>103</v>
      </c>
      <c r="S118" s="65"/>
    </row>
    <row r="119" spans="18:19" x14ac:dyDescent="0.25">
      <c r="R119" s="64" t="s">
        <v>104</v>
      </c>
      <c r="S119" s="65"/>
    </row>
    <row r="120" spans="18:19" x14ac:dyDescent="0.25">
      <c r="R120" s="64" t="s">
        <v>105</v>
      </c>
      <c r="S120" s="65"/>
    </row>
    <row r="121" spans="18:19" x14ac:dyDescent="0.25">
      <c r="R121" s="64" t="s">
        <v>106</v>
      </c>
      <c r="S121" s="65"/>
    </row>
    <row r="122" spans="18:19" x14ac:dyDescent="0.25">
      <c r="R122" s="64" t="s">
        <v>107</v>
      </c>
      <c r="S122" s="65"/>
    </row>
    <row r="123" spans="18:19" x14ac:dyDescent="0.25">
      <c r="R123" s="64" t="s">
        <v>108</v>
      </c>
      <c r="S123" s="65"/>
    </row>
    <row r="124" spans="18:19" x14ac:dyDescent="0.25">
      <c r="R124" s="64" t="s">
        <v>109</v>
      </c>
      <c r="S124" s="65"/>
    </row>
    <row r="125" spans="18:19" x14ac:dyDescent="0.25">
      <c r="R125" s="64" t="s">
        <v>110</v>
      </c>
      <c r="S125" s="65"/>
    </row>
    <row r="126" spans="18:19" x14ac:dyDescent="0.25">
      <c r="R126" s="64" t="s">
        <v>111</v>
      </c>
      <c r="S126" s="65"/>
    </row>
    <row r="127" spans="18:19" x14ac:dyDescent="0.25">
      <c r="R127" s="64" t="s">
        <v>112</v>
      </c>
      <c r="S127" s="65"/>
    </row>
    <row r="128" spans="18:19" x14ac:dyDescent="0.25">
      <c r="R128" s="64" t="s">
        <v>113</v>
      </c>
      <c r="S128" s="65"/>
    </row>
    <row r="129" spans="18:19" x14ac:dyDescent="0.25">
      <c r="R129" s="64" t="s">
        <v>114</v>
      </c>
      <c r="S129" s="65"/>
    </row>
    <row r="130" spans="18:19" x14ac:dyDescent="0.25">
      <c r="R130" s="64" t="s">
        <v>115</v>
      </c>
      <c r="S130" s="65"/>
    </row>
    <row r="131" spans="18:19" x14ac:dyDescent="0.25">
      <c r="R131" s="64" t="s">
        <v>116</v>
      </c>
      <c r="S131" s="65"/>
    </row>
    <row r="132" spans="18:19" x14ac:dyDescent="0.25">
      <c r="R132" s="64" t="s">
        <v>117</v>
      </c>
      <c r="S132" s="65"/>
    </row>
    <row r="133" spans="18:19" x14ac:dyDescent="0.25">
      <c r="R133" s="64" t="s">
        <v>119</v>
      </c>
      <c r="S133" s="65"/>
    </row>
  </sheetData>
  <sheetProtection algorithmName="SHA-512" hashValue="yTIk9NirUlWhQ+yW5LyasIsYNsRy5mITt9XNs2jaTk2QhXXhWnXwQ4A+iQGKVYAyx4HeUm1e2yqadNgsH6g/nA==" saltValue="2dnYU8nA3/NXG48s+A65zA==" spinCount="100000" sheet="1" objects="1" scenarios="1"/>
  <phoneticPr fontId="4" type="noConversion"/>
  <dataValidations count="1">
    <dataValidation type="list" allowBlank="1" showInputMessage="1" showErrorMessage="1" sqref="E9 R111:R133 I9 K9 G9 M9 O9 Q9" xr:uid="{C8678F0F-9D94-484B-B4DB-9CC3C19D3FE1}">
      <formula1>$R$111:$R$133</formula1>
    </dataValidation>
  </dataValidations>
  <pageMargins left="0.5" right="0.5" top="0.7" bottom="0.7" header="0.3" footer="0.3"/>
  <pageSetup paperSize="5" scale="59" orientation="landscape" r:id="rId1"/>
  <rowBreaks count="2" manualBreakCount="2">
    <brk id="49" max="16" man="1"/>
    <brk id="77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C42D-8691-4EC6-81A6-96368C7CEFBB}">
  <sheetPr codeName="Sheet3"/>
  <dimension ref="A1:Q128"/>
  <sheetViews>
    <sheetView showGridLines="0" zoomScale="85" zoomScaleNormal="85" workbookViewId="0">
      <selection activeCell="A5" sqref="A5"/>
    </sheetView>
  </sheetViews>
  <sheetFormatPr defaultRowHeight="15" x14ac:dyDescent="0.25"/>
  <cols>
    <col min="1" max="1" width="12.42578125" customWidth="1"/>
    <col min="2" max="3" width="12.5703125"/>
    <col min="4" max="4" width="59.42578125" customWidth="1"/>
    <col min="5" max="5" width="21.140625" customWidth="1"/>
    <col min="6" max="6" width="6.28515625" customWidth="1"/>
    <col min="7" max="7" width="21.140625" customWidth="1"/>
    <col min="8" max="8" width="6.7109375" customWidth="1"/>
    <col min="9" max="9" width="21.140625" customWidth="1"/>
    <col min="10" max="10" width="5.28515625" customWidth="1"/>
    <col min="11" max="11" width="21.140625" customWidth="1"/>
    <col min="12" max="12" width="5.28515625" customWidth="1"/>
    <col min="13" max="13" width="21.140625" customWidth="1"/>
    <col min="14" max="14" width="5.28515625" customWidth="1"/>
    <col min="15" max="15" width="21.140625" customWidth="1"/>
    <col min="16" max="16" width="5.28515625" customWidth="1"/>
    <col min="17" max="17" width="21.140625" customWidth="1"/>
  </cols>
  <sheetData>
    <row r="1" spans="1:17" ht="2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1" x14ac:dyDescent="0.35">
      <c r="A2" s="6"/>
      <c r="B2" s="6"/>
      <c r="C2" s="6"/>
      <c r="D2" s="6" t="s">
        <v>83</v>
      </c>
      <c r="E2" s="6"/>
      <c r="F2" s="6"/>
      <c r="G2" s="6"/>
      <c r="H2" s="6"/>
      <c r="I2" s="6"/>
      <c r="J2" s="6"/>
      <c r="K2" s="6" t="s">
        <v>84</v>
      </c>
      <c r="L2" s="6"/>
      <c r="M2" s="6"/>
      <c r="N2" s="6"/>
      <c r="O2" s="6"/>
      <c r="P2" s="6"/>
      <c r="Q2" s="6"/>
    </row>
    <row r="3" spans="1:17" ht="39" x14ac:dyDescent="0.6">
      <c r="A3" s="6"/>
      <c r="B3" s="7"/>
      <c r="C3" s="6"/>
      <c r="D3" s="7" t="s">
        <v>224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2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21" x14ac:dyDescent="0.35">
      <c r="A6" s="9"/>
      <c r="B6" s="9"/>
      <c r="C6" s="9"/>
      <c r="D6" s="37"/>
    </row>
    <row r="8" spans="1:17" ht="15.75" x14ac:dyDescent="0.25">
      <c r="B8" s="11" t="s">
        <v>297</v>
      </c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</row>
    <row r="9" spans="1:17" ht="15.75" x14ac:dyDescent="0.25">
      <c r="B9" s="15"/>
      <c r="C9" s="16"/>
      <c r="D9" s="2"/>
      <c r="E9" s="54" t="str">
        <f>IF('Scenario Summary'!E9="","",'Scenario Summary'!E9)</f>
        <v>Container 2000</v>
      </c>
      <c r="F9" s="2"/>
      <c r="G9" s="54" t="str">
        <f>IF('Scenario Summary'!G9="","",'Scenario Summary'!G9)</f>
        <v>Container 4000</v>
      </c>
      <c r="H9" s="2"/>
      <c r="I9" s="54" t="str">
        <f>IF('Scenario Summary'!I9="","",'Scenario Summary'!I9)</f>
        <v>Container 5000</v>
      </c>
      <c r="J9" s="2"/>
      <c r="K9" s="54" t="str">
        <f>IF('Scenario Summary'!K9="","",'Scenario Summary'!K9)</f>
        <v>Container 6000</v>
      </c>
      <c r="L9" s="2"/>
      <c r="M9" s="54" t="str">
        <f>IF('Scenario Summary'!M9="","",'Scenario Summary'!M9)</f>
        <v>Container 8000</v>
      </c>
      <c r="N9" s="2"/>
      <c r="O9" s="54" t="str">
        <f>IF('Scenario Summary'!O9="","",'Scenario Summary'!O9)</f>
        <v>Container 9000</v>
      </c>
      <c r="P9" s="2"/>
      <c r="Q9" s="56" t="str">
        <f>IF('Scenario Summary'!Q9="","",'Scenario Summary'!Q9)</f>
        <v>Container 10000</v>
      </c>
    </row>
    <row r="10" spans="1:17" x14ac:dyDescent="0.25">
      <c r="B10" s="20"/>
      <c r="C10" s="16"/>
      <c r="D10" s="2"/>
      <c r="E10" s="21"/>
      <c r="F10" s="2"/>
      <c r="G10" s="21"/>
      <c r="H10" s="2"/>
      <c r="I10" s="21"/>
      <c r="J10" s="2"/>
      <c r="K10" s="21"/>
      <c r="L10" s="2"/>
      <c r="M10" s="21"/>
      <c r="N10" s="2"/>
      <c r="O10" s="21"/>
      <c r="P10" s="2"/>
      <c r="Q10" s="57"/>
    </row>
    <row r="11" spans="1:17" x14ac:dyDescent="0.25">
      <c r="B11" s="20"/>
      <c r="C11" s="16"/>
      <c r="D11" s="2" t="s">
        <v>128</v>
      </c>
      <c r="E11" s="21">
        <f>IF(E$9="","",HLOOKUP(E$9,'Ship Parameters'!$D$8:$Y$77,2,FALSE))</f>
        <v>22487.968444444447</v>
      </c>
      <c r="F11" s="2"/>
      <c r="G11" s="21">
        <f>IF(G$9="","",HLOOKUP(G$9,'Ship Parameters'!$D$8:$Y$77,2,FALSE))</f>
        <v>43660.407326388886</v>
      </c>
      <c r="H11" s="2"/>
      <c r="I11" s="21">
        <f>IF(I$9="","",HLOOKUP(I$9,'Ship Parameters'!$D$8:$Y$77,2,FALSE))</f>
        <v>49653.194782608698</v>
      </c>
      <c r="J11" s="2"/>
      <c r="K11" s="21">
        <f>IF(K$9="","",HLOOKUP(K$9,'Ship Parameters'!$D$8:$Y$77,2,FALSE))</f>
        <v>61027.531567164173</v>
      </c>
      <c r="L11" s="2"/>
      <c r="M11" s="21">
        <f>IF(M$9="","",HLOOKUP(M$9,'Ship Parameters'!$D$8:$Y$77,2,FALSE))</f>
        <v>63967.077049608371</v>
      </c>
      <c r="N11" s="2"/>
      <c r="O11" s="21">
        <f>IF(O$9="","",HLOOKUP(O$9,'Ship Parameters'!$D$8:$Y$77,2,FALSE))</f>
        <v>57807.929270073</v>
      </c>
      <c r="P11" s="2"/>
      <c r="Q11" s="57">
        <f>IF(Q$9="","",HLOOKUP(Q$9,'Ship Parameters'!$D$8:$Y$77,2,FALSE))</f>
        <v>62299.542234042543</v>
      </c>
    </row>
    <row r="12" spans="1:17" x14ac:dyDescent="0.25">
      <c r="B12" s="20"/>
      <c r="C12" s="16"/>
      <c r="D12" s="2" t="s">
        <v>129</v>
      </c>
      <c r="E12" s="96">
        <f>IF(E$9="","",HLOOKUP(E$9,'Ship Parameters'!$D$8:$Y$77,3,FALSE))</f>
        <v>21.600444444444445</v>
      </c>
      <c r="F12" s="2"/>
      <c r="G12" s="96">
        <f>IF(G$9="","",HLOOKUP(G$9,'Ship Parameters'!$D$8:$Y$77,3,FALSE))</f>
        <v>23.810486111111114</v>
      </c>
      <c r="H12" s="2"/>
      <c r="I12" s="96">
        <f>IF(I$9="","",HLOOKUP(I$9,'Ship Parameters'!$D$8:$Y$77,3,FALSE))</f>
        <v>24.604347826086954</v>
      </c>
      <c r="J12" s="2"/>
      <c r="K12" s="96">
        <f>IF(K$9="","",HLOOKUP(K$9,'Ship Parameters'!$D$8:$Y$77,3,FALSE))</f>
        <v>25.264179104477616</v>
      </c>
      <c r="L12" s="2"/>
      <c r="M12" s="96">
        <f>IF(M$9="","",HLOOKUP(M$9,'Ship Parameters'!$D$8:$Y$77,3,FALSE))</f>
        <v>24.789112271540475</v>
      </c>
      <c r="N12" s="2"/>
      <c r="O12" s="96">
        <f>IF(O$9="","",HLOOKUP(O$9,'Ship Parameters'!$D$8:$Y$77,3,FALSE))</f>
        <v>23.605474452554745</v>
      </c>
      <c r="P12" s="2"/>
      <c r="Q12" s="97">
        <f>IF(Q$9="","",HLOOKUP(Q$9,'Ship Parameters'!$D$8:$Y$77,3,FALSE))</f>
        <v>24.19595744680851</v>
      </c>
    </row>
    <row r="13" spans="1:17" x14ac:dyDescent="0.25">
      <c r="B13" s="20"/>
      <c r="C13" s="16"/>
      <c r="D13" s="2"/>
      <c r="E13" s="38"/>
      <c r="F13" s="2"/>
      <c r="G13" s="31"/>
      <c r="H13" s="2"/>
      <c r="I13" s="31"/>
      <c r="J13" s="2"/>
      <c r="K13" s="31"/>
      <c r="L13" s="2"/>
      <c r="M13" s="31"/>
      <c r="N13" s="2"/>
      <c r="O13" s="31"/>
      <c r="P13" s="2"/>
      <c r="Q13" s="45"/>
    </row>
    <row r="14" spans="1:17" x14ac:dyDescent="0.25">
      <c r="B14" s="20"/>
      <c r="C14" s="16"/>
      <c r="D14" s="2" t="s">
        <v>125</v>
      </c>
      <c r="E14" s="102">
        <v>175</v>
      </c>
      <c r="F14" s="2"/>
      <c r="G14" s="102">
        <v>175</v>
      </c>
      <c r="H14" s="2"/>
      <c r="I14" s="102">
        <v>175</v>
      </c>
      <c r="J14" s="2"/>
      <c r="K14" s="102">
        <v>175</v>
      </c>
      <c r="L14" s="2"/>
      <c r="M14" s="102">
        <v>175</v>
      </c>
      <c r="N14" s="2"/>
      <c r="O14" s="102">
        <v>175</v>
      </c>
      <c r="P14" s="2"/>
      <c r="Q14" s="103">
        <v>175</v>
      </c>
    </row>
    <row r="15" spans="1:17" x14ac:dyDescent="0.25">
      <c r="B15" s="20"/>
      <c r="C15" s="16"/>
      <c r="D15" s="2" t="s">
        <v>124</v>
      </c>
      <c r="E15" s="102">
        <v>227</v>
      </c>
      <c r="F15" s="2"/>
      <c r="G15" s="102">
        <v>227</v>
      </c>
      <c r="H15" s="2"/>
      <c r="I15" s="102">
        <v>227</v>
      </c>
      <c r="J15" s="2"/>
      <c r="K15" s="102">
        <v>227</v>
      </c>
      <c r="L15" s="2"/>
      <c r="M15" s="102">
        <v>227</v>
      </c>
      <c r="N15" s="2"/>
      <c r="O15" s="102">
        <v>227</v>
      </c>
      <c r="P15" s="2"/>
      <c r="Q15" s="103">
        <v>227</v>
      </c>
    </row>
    <row r="16" spans="1:17" x14ac:dyDescent="0.25">
      <c r="B16" s="22"/>
      <c r="C16" s="23"/>
      <c r="D16" s="39"/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58"/>
    </row>
    <row r="17" spans="2:6" x14ac:dyDescent="0.25">
      <c r="E17" s="3"/>
    </row>
    <row r="18" spans="2:6" ht="15.75" x14ac:dyDescent="0.25">
      <c r="B18" s="11" t="s">
        <v>257</v>
      </c>
      <c r="C18" s="12"/>
      <c r="D18" s="13"/>
      <c r="E18" s="28"/>
      <c r="F18" s="14"/>
    </row>
    <row r="19" spans="2:6" ht="15.75" x14ac:dyDescent="0.25">
      <c r="B19" s="15" t="s">
        <v>258</v>
      </c>
      <c r="C19" s="32"/>
      <c r="D19" s="33" t="s">
        <v>189</v>
      </c>
      <c r="E19" s="204">
        <f>SUM(E71:Q71)</f>
        <v>508.16172828201252</v>
      </c>
      <c r="F19" s="175"/>
    </row>
    <row r="20" spans="2:6" ht="15.75" x14ac:dyDescent="0.25">
      <c r="B20" s="15"/>
      <c r="C20" s="32"/>
      <c r="D20" s="205" t="s">
        <v>91</v>
      </c>
      <c r="E20" s="204">
        <f>SUM(E59:Q59)</f>
        <v>62.320580000000007</v>
      </c>
      <c r="F20" s="176"/>
    </row>
    <row r="21" spans="2:6" x14ac:dyDescent="0.25">
      <c r="B21" s="20"/>
      <c r="C21" s="32"/>
      <c r="D21" s="205"/>
      <c r="E21" s="202"/>
      <c r="F21" s="177"/>
    </row>
    <row r="22" spans="2:6" x14ac:dyDescent="0.25">
      <c r="B22" s="20"/>
      <c r="C22" s="32"/>
      <c r="D22" s="33" t="s">
        <v>186</v>
      </c>
      <c r="E22" s="203">
        <f>SUM(E72:Q72)</f>
        <v>304897.03696920752</v>
      </c>
      <c r="F22" s="177"/>
    </row>
    <row r="23" spans="2:6" x14ac:dyDescent="0.25">
      <c r="B23" s="20"/>
      <c r="C23" s="32"/>
      <c r="D23" s="205" t="s">
        <v>91</v>
      </c>
      <c r="E23" s="203">
        <f>E20*'Scenario Summary'!E20</f>
        <v>37392.348000000005</v>
      </c>
      <c r="F23" s="177"/>
    </row>
    <row r="24" spans="2:6" x14ac:dyDescent="0.25">
      <c r="B24" s="20"/>
      <c r="C24" s="32"/>
      <c r="D24" s="205"/>
      <c r="E24" s="202"/>
      <c r="F24" s="177"/>
    </row>
    <row r="25" spans="2:6" x14ac:dyDescent="0.25">
      <c r="B25" s="20"/>
      <c r="C25" s="32"/>
      <c r="D25" s="33" t="s">
        <v>273</v>
      </c>
      <c r="E25" s="202"/>
      <c r="F25" s="177"/>
    </row>
    <row r="26" spans="2:6" ht="18.75" x14ac:dyDescent="0.35">
      <c r="B26" s="20"/>
      <c r="C26" s="32"/>
      <c r="D26" s="205" t="s">
        <v>196</v>
      </c>
      <c r="E26" s="200">
        <f>SUM(E105:Q105)</f>
        <v>1535.2572083053892</v>
      </c>
      <c r="F26" s="177"/>
    </row>
    <row r="27" spans="2:6" ht="18.75" x14ac:dyDescent="0.35">
      <c r="B27" s="20"/>
      <c r="C27" s="32"/>
      <c r="D27" s="205" t="s">
        <v>284</v>
      </c>
      <c r="E27" s="200">
        <f>SUM(E106:Q106)</f>
        <v>1512.0697479320306</v>
      </c>
      <c r="F27" s="177"/>
    </row>
    <row r="28" spans="2:6" x14ac:dyDescent="0.25">
      <c r="B28" s="20"/>
      <c r="C28" s="32"/>
      <c r="D28" s="205" t="s">
        <v>198</v>
      </c>
      <c r="E28" s="200">
        <f>SUM(E107:Q107)</f>
        <v>1.100496105556011</v>
      </c>
      <c r="F28" s="177"/>
    </row>
    <row r="29" spans="2:6" x14ac:dyDescent="0.25">
      <c r="B29" s="20"/>
      <c r="C29" s="32"/>
      <c r="D29" s="205" t="s">
        <v>199</v>
      </c>
      <c r="E29" s="200">
        <f>SUM(E108:Q108)</f>
        <v>45.001278451997038</v>
      </c>
      <c r="F29" s="177"/>
    </row>
    <row r="30" spans="2:6" x14ac:dyDescent="0.25">
      <c r="B30" s="20"/>
      <c r="C30" s="32"/>
      <c r="D30" s="205" t="s">
        <v>200</v>
      </c>
      <c r="E30" s="200">
        <f>SUM(E109:Q109)</f>
        <v>0.72843224568388187</v>
      </c>
      <c r="F30" s="177"/>
    </row>
    <row r="31" spans="2:6" x14ac:dyDescent="0.25">
      <c r="B31" s="20"/>
      <c r="C31" s="32"/>
      <c r="D31" s="205"/>
      <c r="E31" s="202"/>
      <c r="F31" s="177"/>
    </row>
    <row r="32" spans="2:6" x14ac:dyDescent="0.25">
      <c r="B32" s="20"/>
      <c r="C32" s="32"/>
      <c r="D32" s="33" t="s">
        <v>272</v>
      </c>
      <c r="E32" s="202"/>
      <c r="F32" s="177"/>
    </row>
    <row r="33" spans="2:17" ht="18.75" x14ac:dyDescent="0.35">
      <c r="B33" s="20"/>
      <c r="C33" s="32"/>
      <c r="D33" s="205" t="s">
        <v>196</v>
      </c>
      <c r="E33" s="200">
        <f>SUM(E98:Q98)</f>
        <v>196.40337326871514</v>
      </c>
      <c r="F33" s="177"/>
    </row>
    <row r="34" spans="2:17" ht="18.75" x14ac:dyDescent="0.35">
      <c r="B34" s="20"/>
      <c r="C34" s="32"/>
      <c r="D34" s="205" t="s">
        <v>284</v>
      </c>
      <c r="E34" s="200">
        <f>SUM(E99:Q99)</f>
        <v>193.85602390104191</v>
      </c>
      <c r="F34" s="177"/>
    </row>
    <row r="35" spans="2:17" x14ac:dyDescent="0.25">
      <c r="B35" s="20"/>
      <c r="C35" s="32"/>
      <c r="D35" s="205" t="s">
        <v>198</v>
      </c>
      <c r="E35" s="200">
        <f>SUM(E100:Q100)</f>
        <v>0.14035040943146421</v>
      </c>
      <c r="F35" s="177"/>
    </row>
    <row r="36" spans="2:17" x14ac:dyDescent="0.25">
      <c r="B36" s="20"/>
      <c r="C36" s="32"/>
      <c r="D36" s="205" t="s">
        <v>199</v>
      </c>
      <c r="E36" s="200">
        <f>SUM(E101:Q101)</f>
        <v>3.6081669637192748</v>
      </c>
      <c r="F36" s="177"/>
    </row>
    <row r="37" spans="2:17" x14ac:dyDescent="0.25">
      <c r="B37" s="20"/>
      <c r="C37" s="32"/>
      <c r="D37" s="205" t="s">
        <v>200</v>
      </c>
      <c r="E37" s="200">
        <f>SUM(E102:Q102)</f>
        <v>7.7506814042610755E-2</v>
      </c>
      <c r="F37" s="177"/>
    </row>
    <row r="38" spans="2:17" x14ac:dyDescent="0.25">
      <c r="B38" s="20"/>
      <c r="C38" s="32"/>
      <c r="D38" s="205"/>
      <c r="E38" s="202"/>
      <c r="F38" s="177"/>
    </row>
    <row r="39" spans="2:17" x14ac:dyDescent="0.25">
      <c r="B39" s="22"/>
      <c r="C39" s="23"/>
      <c r="D39" s="24"/>
      <c r="E39" s="26"/>
      <c r="F39" s="27"/>
    </row>
    <row r="40" spans="2:17" x14ac:dyDescent="0.25">
      <c r="E40" s="3"/>
    </row>
    <row r="41" spans="2:17" ht="15.75" x14ac:dyDescent="0.25">
      <c r="B41" s="11" t="s">
        <v>173</v>
      </c>
      <c r="C41" s="12"/>
      <c r="D41" s="13"/>
      <c r="E41" s="28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</row>
    <row r="42" spans="2:17" ht="15.75" x14ac:dyDescent="0.25">
      <c r="B42" s="15"/>
      <c r="C42" s="32"/>
      <c r="D42" s="33"/>
      <c r="E42" s="101" t="str">
        <f>E9</f>
        <v>Container 2000</v>
      </c>
      <c r="F42" s="33"/>
      <c r="G42" s="101" t="str">
        <f>G9</f>
        <v>Container 4000</v>
      </c>
      <c r="H42" s="33"/>
      <c r="I42" s="101" t="str">
        <f>I9</f>
        <v>Container 5000</v>
      </c>
      <c r="J42" s="33"/>
      <c r="K42" s="101" t="str">
        <f>K9</f>
        <v>Container 6000</v>
      </c>
      <c r="L42" s="33"/>
      <c r="M42" s="101" t="str">
        <f>M9</f>
        <v>Container 8000</v>
      </c>
      <c r="N42" s="33"/>
      <c r="O42" s="101" t="str">
        <f>O9</f>
        <v>Container 9000</v>
      </c>
      <c r="P42" s="33"/>
      <c r="Q42" s="46" t="str">
        <f>Q9</f>
        <v>Container 10000</v>
      </c>
    </row>
    <row r="43" spans="2:17" ht="15.75" x14ac:dyDescent="0.25">
      <c r="B43" s="15"/>
      <c r="C43" s="32"/>
      <c r="D43" s="33"/>
      <c r="E43" s="71"/>
      <c r="F43" s="33"/>
      <c r="G43" s="71"/>
      <c r="H43" s="33"/>
      <c r="I43" s="71"/>
      <c r="J43" s="33"/>
      <c r="K43" s="71"/>
      <c r="L43" s="33"/>
      <c r="M43" s="71"/>
      <c r="N43" s="33"/>
      <c r="O43" s="71"/>
      <c r="P43" s="33"/>
      <c r="Q43" s="47"/>
    </row>
    <row r="44" spans="2:17" ht="15.75" x14ac:dyDescent="0.25">
      <c r="B44" s="15"/>
      <c r="C44" s="32"/>
      <c r="D44" s="55" t="s">
        <v>57</v>
      </c>
      <c r="E44" s="71"/>
      <c r="F44" s="33"/>
      <c r="G44" s="71"/>
      <c r="H44" s="33"/>
      <c r="I44" s="71"/>
      <c r="J44" s="33"/>
      <c r="K44" s="71"/>
      <c r="L44" s="33"/>
      <c r="M44" s="71"/>
      <c r="N44" s="33"/>
      <c r="O44" s="71"/>
      <c r="P44" s="33"/>
      <c r="Q44" s="47"/>
    </row>
    <row r="45" spans="2:17" x14ac:dyDescent="0.25">
      <c r="B45" s="20"/>
      <c r="C45" s="32"/>
      <c r="D45" s="33" t="s">
        <v>130</v>
      </c>
      <c r="E45" s="72">
        <f>IF(E$9="","",HLOOKUP(E$9,'Ship Parameters'!$D$8:$Y$77,26,FALSE))</f>
        <v>14.7</v>
      </c>
      <c r="F45" s="276"/>
      <c r="G45" s="72">
        <f>IF(G$9="","",HLOOKUP(G$9,'Ship Parameters'!$D$8:$Y$77,26,FALSE))</f>
        <v>14.7</v>
      </c>
      <c r="H45" s="276"/>
      <c r="I45" s="72">
        <f>IF(I$9="","",HLOOKUP(I$9,'Ship Parameters'!$D$8:$Y$77,26,FALSE))</f>
        <v>15.7</v>
      </c>
      <c r="J45" s="276"/>
      <c r="K45" s="72">
        <f>IF(K$9="","",HLOOKUP(K$9,'Ship Parameters'!$D$8:$Y$77,26,FALSE))</f>
        <v>15.7</v>
      </c>
      <c r="L45" s="276"/>
      <c r="M45" s="72">
        <f>IF(M$9="","",HLOOKUP(M$9,'Ship Parameters'!$D$8:$Y$77,26,FALSE))</f>
        <v>16.3</v>
      </c>
      <c r="N45" s="276"/>
      <c r="O45" s="72">
        <f>IF(O$9="","",HLOOKUP(O$9,'Ship Parameters'!$D$8:$Y$77,26,FALSE))</f>
        <v>16.3</v>
      </c>
      <c r="P45" s="276"/>
      <c r="Q45" s="51">
        <f>IF(Q$9="","",HLOOKUP(Q$9,'Ship Parameters'!$D$8:$Y$77,26,FALSE))</f>
        <v>16.3</v>
      </c>
    </row>
    <row r="46" spans="2:17" x14ac:dyDescent="0.25">
      <c r="B46" s="20"/>
      <c r="C46" s="32"/>
      <c r="D46" s="33" t="s">
        <v>131</v>
      </c>
      <c r="E46" s="72">
        <f>IF(E$9="","",HLOOKUP(E$9,'Ship Parameters'!$D$8:$Y$77,29,FALSE))</f>
        <v>14.291501255772502</v>
      </c>
      <c r="F46" s="33"/>
      <c r="G46" s="72">
        <f>IF(G$9="","",HLOOKUP(G$9,'Ship Parameters'!$D$8:$Y$77,29,FALSE))</f>
        <v>14.291501255772502</v>
      </c>
      <c r="H46" s="33"/>
      <c r="I46" s="72">
        <f>IF(I$9="","",HLOOKUP(I$9,'Ship Parameters'!$D$8:$Y$77,29,FALSE))</f>
        <v>15.234911992236986</v>
      </c>
      <c r="J46" s="33"/>
      <c r="K46" s="72">
        <f>IF(K$9="","",HLOOKUP(K$9,'Ship Parameters'!$D$8:$Y$77,29,FALSE))</f>
        <v>15.234911992236986</v>
      </c>
      <c r="L46" s="33"/>
      <c r="M46" s="72">
        <f>IF(M$9="","",HLOOKUP(M$9,'Ship Parameters'!$D$8:$Y$77,29,FALSE))</f>
        <v>15.79925150103659</v>
      </c>
      <c r="N46" s="33"/>
      <c r="O46" s="72">
        <f>IF(O$9="","",HLOOKUP(O$9,'Ship Parameters'!$D$8:$Y$77,29,FALSE))</f>
        <v>15.79925150103659</v>
      </c>
      <c r="P46" s="33"/>
      <c r="Q46" s="51">
        <f>IF(Q$9="","",HLOOKUP(Q$9,'Ship Parameters'!$D$8:$Y$77,29,FALSE))</f>
        <v>15.79925150103659</v>
      </c>
    </row>
    <row r="47" spans="2:17" x14ac:dyDescent="0.25">
      <c r="B47" s="20"/>
      <c r="C47" s="32"/>
      <c r="D47" s="33"/>
      <c r="E47" s="72"/>
      <c r="F47" s="33"/>
      <c r="G47" s="72"/>
      <c r="H47" s="33"/>
      <c r="I47" s="72"/>
      <c r="J47" s="33"/>
      <c r="K47" s="72"/>
      <c r="L47" s="33"/>
      <c r="M47" s="72"/>
      <c r="N47" s="33"/>
      <c r="O47" s="72"/>
      <c r="P47" s="33"/>
      <c r="Q47" s="51"/>
    </row>
    <row r="48" spans="2:17" ht="15.75" x14ac:dyDescent="0.25">
      <c r="B48" s="15"/>
      <c r="C48" s="32"/>
      <c r="D48" s="55" t="s">
        <v>132</v>
      </c>
      <c r="E48" s="72"/>
      <c r="F48" s="33"/>
      <c r="G48" s="72"/>
      <c r="H48" s="33"/>
      <c r="I48" s="72"/>
      <c r="J48" s="33"/>
      <c r="K48" s="72"/>
      <c r="L48" s="33"/>
      <c r="M48" s="72"/>
      <c r="N48" s="33"/>
      <c r="O48" s="72"/>
      <c r="P48" s="33"/>
      <c r="Q48" s="51"/>
    </row>
    <row r="49" spans="2:17" x14ac:dyDescent="0.25">
      <c r="B49" s="20"/>
      <c r="C49" s="32"/>
      <c r="D49" s="33" t="s">
        <v>134</v>
      </c>
      <c r="E49" s="73">
        <f>IF(E$9="","",HLOOKUP(E$9,'Ship Parameters'!$D$8:$Y$77,32,FALSE))</f>
        <v>8.1071859585421957E-2</v>
      </c>
      <c r="F49" s="33"/>
      <c r="G49" s="73">
        <f>IF(G$9="","",HLOOKUP(G$9,'Ship Parameters'!$D$8:$Y$77,32,FALSE))</f>
        <v>8.1071859585421513E-2</v>
      </c>
      <c r="H49" s="33"/>
      <c r="I49" s="73">
        <f>IF(I$9="","",HLOOKUP(I$9,'Ship Parameters'!$D$8:$Y$77,32,FALSE))</f>
        <v>8.6263671361431982E-2</v>
      </c>
      <c r="J49" s="33"/>
      <c r="K49" s="73">
        <f>IF(K$9="","",HLOOKUP(K$9,'Ship Parameters'!$D$8:$Y$77,32,FALSE))</f>
        <v>8.6263671361432537E-2</v>
      </c>
      <c r="L49" s="33"/>
      <c r="M49" s="73">
        <f>IF(M$9="","",HLOOKUP(M$9,'Ship Parameters'!$D$8:$Y$77,32,FALSE))</f>
        <v>8.9359997083231613E-2</v>
      </c>
      <c r="N49" s="33"/>
      <c r="O49" s="73">
        <f>IF(O$9="","",HLOOKUP(O$9,'Ship Parameters'!$D$8:$Y$77,32,FALSE))</f>
        <v>8.9359997083231613E-2</v>
      </c>
      <c r="P49" s="33"/>
      <c r="Q49" s="60">
        <f>IF(Q$9="","",HLOOKUP(Q$9,'Ship Parameters'!$D$8:$Y$77,32,FALSE))</f>
        <v>8.9359997083231724E-2</v>
      </c>
    </row>
    <row r="50" spans="2:17" x14ac:dyDescent="0.25">
      <c r="B50" s="20"/>
      <c r="C50" s="32"/>
      <c r="D50" s="33" t="s">
        <v>139</v>
      </c>
      <c r="E50" s="74"/>
      <c r="F50" s="33"/>
      <c r="G50" s="74"/>
      <c r="H50" s="33"/>
      <c r="I50" s="74"/>
      <c r="J50" s="33"/>
      <c r="K50" s="74"/>
      <c r="L50" s="33"/>
      <c r="M50" s="74"/>
      <c r="N50" s="33"/>
      <c r="O50" s="74"/>
      <c r="P50" s="33"/>
      <c r="Q50" s="48"/>
    </row>
    <row r="51" spans="2:17" x14ac:dyDescent="0.25">
      <c r="B51" s="20"/>
      <c r="C51" s="32"/>
      <c r="D51" s="33" t="s">
        <v>50</v>
      </c>
      <c r="E51" s="67">
        <f>IF(E$9="","",HLOOKUP(E$9,'Ship Parameters'!$D$8:$Y$77,7,FALSE))</f>
        <v>2100</v>
      </c>
      <c r="F51" s="33"/>
      <c r="G51" s="67">
        <f>IF(G$9="","",HLOOKUP(G$9,'Ship Parameters'!$D$8:$Y$77,7,FALSE))</f>
        <v>2300</v>
      </c>
      <c r="H51" s="33"/>
      <c r="I51" s="67">
        <f>IF(I$9="","",HLOOKUP(I$9,'Ship Parameters'!$D$8:$Y$77,7,FALSE))</f>
        <v>3900</v>
      </c>
      <c r="J51" s="33"/>
      <c r="K51" s="67">
        <f>IF(K$9="","",HLOOKUP(K$9,'Ship Parameters'!$D$8:$Y$77,7,FALSE))</f>
        <v>2500</v>
      </c>
      <c r="L51" s="33"/>
      <c r="M51" s="67">
        <f>IF(M$9="","",HLOOKUP(M$9,'Ship Parameters'!$D$8:$Y$77,7,FALSE))</f>
        <v>3000</v>
      </c>
      <c r="N51" s="33"/>
      <c r="O51" s="67">
        <f>IF(O$9="","",HLOOKUP(O$9,'Ship Parameters'!$D$8:$Y$77,7,FALSE))</f>
        <v>2600</v>
      </c>
      <c r="P51" s="33"/>
      <c r="Q51" s="59">
        <f>IF(Q$9="","",HLOOKUP(Q$9,'Ship Parameters'!$D$8:$Y$77,7,FALSE))</f>
        <v>2100</v>
      </c>
    </row>
    <row r="52" spans="2:17" x14ac:dyDescent="0.25">
      <c r="B52" s="20"/>
      <c r="C52" s="32"/>
      <c r="D52" s="33" t="s">
        <v>5</v>
      </c>
      <c r="E52" s="67">
        <f>IF(E$9="","",HLOOKUP(E$9,'Ship Parameters'!$D$8:$Y$77,8,FALSE))</f>
        <v>1000</v>
      </c>
      <c r="F52" s="33"/>
      <c r="G52" s="67">
        <f>IF(G$9="","",HLOOKUP(G$9,'Ship Parameters'!$D$8:$Y$77,8,FALSE))</f>
        <v>1400</v>
      </c>
      <c r="H52" s="33"/>
      <c r="I52" s="67">
        <f>IF(I$9="","",HLOOKUP(I$9,'Ship Parameters'!$D$8:$Y$77,8,FALSE))</f>
        <v>1600</v>
      </c>
      <c r="J52" s="33"/>
      <c r="K52" s="67">
        <f>IF(K$9="","",HLOOKUP(K$9,'Ship Parameters'!$D$8:$Y$77,8,FALSE))</f>
        <v>1500</v>
      </c>
      <c r="L52" s="33"/>
      <c r="M52" s="67">
        <f>IF(M$9="","",HLOOKUP(M$9,'Ship Parameters'!$D$8:$Y$77,8,FALSE))</f>
        <v>1700</v>
      </c>
      <c r="N52" s="33"/>
      <c r="O52" s="67">
        <f>IF(O$9="","",HLOOKUP(O$9,'Ship Parameters'!$D$8:$Y$77,8,FALSE))</f>
        <v>1000</v>
      </c>
      <c r="P52" s="33"/>
      <c r="Q52" s="59">
        <f>IF(Q$9="","",HLOOKUP(Q$9,'Ship Parameters'!$D$8:$Y$77,8,FALSE))</f>
        <v>1600</v>
      </c>
    </row>
    <row r="53" spans="2:17" x14ac:dyDescent="0.25">
      <c r="B53" s="22"/>
      <c r="C53" s="23"/>
      <c r="D53" s="41"/>
      <c r="E53" s="77"/>
      <c r="F53" s="41"/>
      <c r="G53" s="77"/>
      <c r="H53" s="41"/>
      <c r="I53" s="77"/>
      <c r="J53" s="41"/>
      <c r="K53" s="77"/>
      <c r="L53" s="41"/>
      <c r="M53" s="77"/>
      <c r="N53" s="41"/>
      <c r="O53" s="77"/>
      <c r="P53" s="41"/>
      <c r="Q53" s="78"/>
    </row>
    <row r="54" spans="2:17" s="42" customFormat="1" x14ac:dyDescent="0.25">
      <c r="E54" s="76"/>
      <c r="G54" s="76"/>
      <c r="I54" s="76"/>
      <c r="K54" s="76"/>
      <c r="M54" s="76"/>
      <c r="O54" s="76"/>
      <c r="Q54" s="76"/>
    </row>
    <row r="55" spans="2:17" ht="15.75" x14ac:dyDescent="0.25">
      <c r="B55" s="11" t="s">
        <v>171</v>
      </c>
      <c r="C55" s="12"/>
      <c r="D55" s="13"/>
      <c r="E55" s="80"/>
      <c r="F55" s="79"/>
      <c r="G55" s="80"/>
      <c r="H55" s="79"/>
      <c r="I55" s="80"/>
      <c r="J55" s="79"/>
      <c r="K55" s="80"/>
      <c r="L55" s="79"/>
      <c r="M55" s="80"/>
      <c r="N55" s="79"/>
      <c r="O55" s="80"/>
      <c r="P55" s="79"/>
      <c r="Q55" s="81"/>
    </row>
    <row r="56" spans="2:17" ht="15.75" x14ac:dyDescent="0.25">
      <c r="B56" s="15"/>
      <c r="C56" s="32"/>
      <c r="D56" s="55"/>
      <c r="E56" s="70" t="str">
        <f>E76</f>
        <v>Container 2000</v>
      </c>
      <c r="F56" s="33"/>
      <c r="G56" s="70" t="str">
        <f>G76</f>
        <v>Container 4000</v>
      </c>
      <c r="H56" s="33"/>
      <c r="I56" s="70" t="str">
        <f>I76</f>
        <v>Container 5000</v>
      </c>
      <c r="J56" s="33"/>
      <c r="K56" s="70" t="str">
        <f>K76</f>
        <v>Container 6000</v>
      </c>
      <c r="L56" s="33"/>
      <c r="M56" s="70" t="str">
        <f>M76</f>
        <v>Container 8000</v>
      </c>
      <c r="N56" s="33"/>
      <c r="O56" s="70" t="str">
        <f>O76</f>
        <v>Container 9000</v>
      </c>
      <c r="P56" s="33"/>
      <c r="Q56" s="46" t="str">
        <f>Q76</f>
        <v>Container 10000</v>
      </c>
    </row>
    <row r="57" spans="2:17" ht="15.75" x14ac:dyDescent="0.25">
      <c r="B57" s="15"/>
      <c r="C57" s="32"/>
      <c r="D57" s="55" t="s">
        <v>140</v>
      </c>
      <c r="E57" s="71"/>
      <c r="F57" s="33"/>
      <c r="G57" s="71"/>
      <c r="H57" s="33"/>
      <c r="I57" s="71"/>
      <c r="J57" s="33"/>
      <c r="K57" s="71"/>
      <c r="L57" s="33"/>
      <c r="M57" s="71"/>
      <c r="N57" s="33"/>
      <c r="O57" s="71"/>
      <c r="P57" s="33"/>
      <c r="Q57" s="47"/>
    </row>
    <row r="58" spans="2:17" x14ac:dyDescent="0.25">
      <c r="B58" s="20"/>
      <c r="C58" s="32"/>
      <c r="D58" s="66" t="s">
        <v>143</v>
      </c>
      <c r="E58" s="67">
        <f>IF(E$9="","",E78*'Scenario Summary'!$E$10)</f>
        <v>77910</v>
      </c>
      <c r="F58" s="93"/>
      <c r="G58" s="67">
        <f>IF(G$9="","",G78*'Scenario Summary'!G$10)</f>
        <v>19320</v>
      </c>
      <c r="H58" s="33"/>
      <c r="I58" s="67">
        <f>IF(I$9="","",I78*'Scenario Summary'!I$10)</f>
        <v>8190</v>
      </c>
      <c r="J58" s="33"/>
      <c r="K58" s="67">
        <f>IF(K$9="","",K78*'Scenario Summary'!K$10)</f>
        <v>28000</v>
      </c>
      <c r="L58" s="33"/>
      <c r="M58" s="67">
        <f>IF(M$9="","",M78*'Scenario Summary'!M$10)</f>
        <v>65100</v>
      </c>
      <c r="N58" s="33"/>
      <c r="O58" s="67">
        <f>IF(O$9="","",O78*'Scenario Summary'!O$10)</f>
        <v>43679.999999999993</v>
      </c>
      <c r="P58" s="33"/>
      <c r="Q58" s="59">
        <f>IF(Q$9="","",Q78*'Scenario Summary'!Q$10)</f>
        <v>32340</v>
      </c>
    </row>
    <row r="59" spans="2:17" x14ac:dyDescent="0.25">
      <c r="B59" s="20"/>
      <c r="C59" s="32"/>
      <c r="D59" s="66" t="s">
        <v>208</v>
      </c>
      <c r="E59" s="68">
        <f>IF(E$9="","",E79*'Scenario Summary'!$E$10)</f>
        <v>17.685569999999998</v>
      </c>
      <c r="F59" s="189"/>
      <c r="G59" s="68">
        <f>IF(G$9="","",G79*'Scenario Summary'!G$10)</f>
        <v>4.3856400000000004</v>
      </c>
      <c r="H59" s="98"/>
      <c r="I59" s="68">
        <f>IF(I$9="","",I79*'Scenario Summary'!I$10)</f>
        <v>1.8591299999999999</v>
      </c>
      <c r="J59" s="98"/>
      <c r="K59" s="68">
        <f>IF(K$9="","",K79*'Scenario Summary'!K$10)</f>
        <v>6.3559999999999999</v>
      </c>
      <c r="L59" s="98"/>
      <c r="M59" s="68">
        <f>IF(M$9="","",M79*'Scenario Summary'!M$10)</f>
        <v>14.777700000000001</v>
      </c>
      <c r="N59" s="98"/>
      <c r="O59" s="68">
        <f>IF(O$9="","",O79*'Scenario Summary'!O$10)</f>
        <v>9.9153599999999997</v>
      </c>
      <c r="P59" s="98"/>
      <c r="Q59" s="61">
        <f>IF(Q$9="","",Q79*'Scenario Summary'!Q$10)</f>
        <v>7.3411799999999996</v>
      </c>
    </row>
    <row r="60" spans="2:17" x14ac:dyDescent="0.25">
      <c r="B60" s="20"/>
      <c r="C60" s="32"/>
      <c r="D60" s="33"/>
      <c r="E60" s="67"/>
      <c r="F60" s="93"/>
      <c r="G60" s="67"/>
      <c r="H60" s="33"/>
      <c r="I60" s="67"/>
      <c r="J60" s="33"/>
      <c r="K60" s="67"/>
      <c r="L60" s="33"/>
      <c r="M60" s="67"/>
      <c r="N60" s="33"/>
      <c r="O60" s="67"/>
      <c r="P60" s="33"/>
      <c r="Q60" s="59"/>
    </row>
    <row r="61" spans="2:17" x14ac:dyDescent="0.25">
      <c r="B61" s="20"/>
      <c r="C61" s="32"/>
      <c r="D61" s="55" t="s">
        <v>133</v>
      </c>
      <c r="E61" s="67"/>
      <c r="F61" s="93"/>
      <c r="G61" s="67"/>
      <c r="H61" s="33"/>
      <c r="I61" s="67"/>
      <c r="J61" s="33"/>
      <c r="K61" s="67"/>
      <c r="L61" s="33"/>
      <c r="M61" s="67"/>
      <c r="N61" s="33"/>
      <c r="O61" s="67"/>
      <c r="P61" s="33"/>
      <c r="Q61" s="59"/>
    </row>
    <row r="62" spans="2:17" x14ac:dyDescent="0.25">
      <c r="B62" s="20"/>
      <c r="C62" s="32"/>
      <c r="D62" s="66" t="s">
        <v>144</v>
      </c>
      <c r="E62" s="67">
        <f>IF(E$9="","",E82*'Scenario Summary'!$E$10)</f>
        <v>1773.2339421246927</v>
      </c>
      <c r="F62" s="93"/>
      <c r="G62" s="67">
        <f>IF(G$9="","",G82*'Scenario Summary'!G$10)</f>
        <v>601.35121815152365</v>
      </c>
      <c r="H62" s="33"/>
      <c r="I62" s="67">
        <f>IF(I$9="","",I82*'Scenario Summary'!I$10)</f>
        <v>174.90649180407348</v>
      </c>
      <c r="J62" s="33"/>
      <c r="K62" s="67">
        <f>IF(K$9="","",K82*'Scenario Summary'!K$10)</f>
        <v>1068.0163065273562</v>
      </c>
      <c r="L62" s="33"/>
      <c r="M62" s="67">
        <f>IF(M$9="","",M82*'Scenario Summary'!M$10)</f>
        <v>2429.3807265233149</v>
      </c>
      <c r="N62" s="33"/>
      <c r="O62" s="67">
        <f>IF(O$9="","",O82*'Scenario Summary'!O$10)</f>
        <v>1934.2443911247583</v>
      </c>
      <c r="P62" s="33"/>
      <c r="Q62" s="59">
        <f>IF(Q$9="","",Q82*'Scenario Summary'!Q$10)</f>
        <v>1790.3531119966328</v>
      </c>
    </row>
    <row r="63" spans="2:17" x14ac:dyDescent="0.25">
      <c r="B63" s="20"/>
      <c r="C63" s="32"/>
      <c r="D63" s="66" t="s">
        <v>145</v>
      </c>
      <c r="E63" s="67">
        <f>IF(E$9="","",E83*'Scenario Summary'!$E$10)</f>
        <v>1692.9574010444881</v>
      </c>
      <c r="F63" s="94"/>
      <c r="G63" s="67">
        <f>IF(G$9="","",G83*'Scenario Summary'!G$10)</f>
        <v>573.20070284028884</v>
      </c>
      <c r="H63" s="33"/>
      <c r="I63" s="67">
        <f>IF(I$9="","",I83*'Scenario Summary'!I$10)</f>
        <v>166.28286862612853</v>
      </c>
      <c r="J63" s="33"/>
      <c r="K63" s="67">
        <f>IF(K$9="","",K83*'Scenario Summary'!K$10)</f>
        <v>1014.8608403565784</v>
      </c>
      <c r="L63" s="33"/>
      <c r="M63" s="67">
        <f>IF(M$9="","",M83*'Scenario Summary'!M$10)</f>
        <v>2306.4803313110583</v>
      </c>
      <c r="N63" s="33"/>
      <c r="O63" s="67">
        <f>IF(O$9="","",O83*'Scenario Summary'!O$10)</f>
        <v>1837.907953221983</v>
      </c>
      <c r="P63" s="33"/>
      <c r="Q63" s="59">
        <f>IF(Q$9="","",Q83*'Scenario Summary'!Q$10)</f>
        <v>1700.5064925698146</v>
      </c>
    </row>
    <row r="64" spans="2:17" x14ac:dyDescent="0.25">
      <c r="B64" s="20"/>
      <c r="C64" s="32"/>
      <c r="D64" s="66" t="s">
        <v>209</v>
      </c>
      <c r="E64" s="67">
        <f>IF(E$9="","",E84*'Scenario Summary'!$E$10)</f>
        <v>80.276541080204652</v>
      </c>
      <c r="F64" s="94"/>
      <c r="G64" s="67">
        <f>IF(G$9="","",G84*'Scenario Summary'!G$10)</f>
        <v>28.150515311234813</v>
      </c>
      <c r="H64" s="33"/>
      <c r="I64" s="67">
        <f>IF(I$9="","",I84*'Scenario Summary'!I$10)</f>
        <v>8.6236231779449568</v>
      </c>
      <c r="J64" s="33"/>
      <c r="K64" s="67">
        <f>IF(K$9="","",K84*'Scenario Summary'!K$10)</f>
        <v>53.1554661707778</v>
      </c>
      <c r="L64" s="33"/>
      <c r="M64" s="67">
        <f>IF(M$9="","",M84*'Scenario Summary'!M$10)</f>
        <v>122.9003952122566</v>
      </c>
      <c r="N64" s="33"/>
      <c r="O64" s="67">
        <f>IF(O$9="","",O84*'Scenario Summary'!O$10)</f>
        <v>96.336437902775401</v>
      </c>
      <c r="P64" s="33"/>
      <c r="Q64" s="59">
        <f>IF(Q$9="","",Q84*'Scenario Summary'!Q$10)</f>
        <v>89.846619426818251</v>
      </c>
    </row>
    <row r="65" spans="2:17" x14ac:dyDescent="0.25">
      <c r="B65" s="20"/>
      <c r="C65" s="32"/>
      <c r="D65" s="66"/>
      <c r="E65" s="67"/>
      <c r="F65" s="93"/>
      <c r="G65" s="67"/>
      <c r="H65" s="33"/>
      <c r="I65" s="67"/>
      <c r="J65" s="33"/>
      <c r="K65" s="67"/>
      <c r="L65" s="33"/>
      <c r="M65" s="67"/>
      <c r="N65" s="33"/>
      <c r="O65" s="67"/>
      <c r="P65" s="33"/>
      <c r="Q65" s="59"/>
    </row>
    <row r="66" spans="2:17" x14ac:dyDescent="0.25">
      <c r="B66" s="20"/>
      <c r="C66" s="32"/>
      <c r="D66" s="66" t="s">
        <v>146</v>
      </c>
      <c r="E66" s="67">
        <f>IF(E$9="","",E86*'Scenario Summary'!$E$10)</f>
        <v>294.63673469387754</v>
      </c>
      <c r="F66" s="94"/>
      <c r="G66" s="67">
        <f>IF(G$9="","",G86*'Scenario Summary'!G$10)</f>
        <v>93.394285714285729</v>
      </c>
      <c r="H66" s="33"/>
      <c r="I66" s="67">
        <f>IF(I$9="","",I86*'Scenario Summary'!I$10)</f>
        <v>24.984458598726118</v>
      </c>
      <c r="J66" s="33"/>
      <c r="K66" s="67">
        <f>IF(K$9="","",K86*'Scenario Summary'!K$10)</f>
        <v>124.92229299363059</v>
      </c>
      <c r="L66" s="33"/>
      <c r="M66" s="67">
        <f>IF(M$9="","",M86*'Scenario Summary'!M$10)</f>
        <v>264.21128834355829</v>
      </c>
      <c r="N66" s="33"/>
      <c r="O66" s="67">
        <f>IF(O$9="","",O86*'Scenario Summary'!O$10)</f>
        <v>120.32392638036808</v>
      </c>
      <c r="P66" s="33"/>
      <c r="Q66" s="59">
        <f>IF(Q$9="","",Q86*'Scenario Summary'!Q$10)</f>
        <v>176.47509202453989</v>
      </c>
    </row>
    <row r="67" spans="2:17" x14ac:dyDescent="0.25">
      <c r="B67" s="20"/>
      <c r="C67" s="32"/>
      <c r="D67" s="66" t="s">
        <v>147</v>
      </c>
      <c r="E67" s="67">
        <f>IF(E$9="","",E87*'Scenario Summary'!$E$10)</f>
        <v>303.05843469387753</v>
      </c>
      <c r="F67" s="94"/>
      <c r="G67" s="67">
        <f>IF(G$9="","",G87*'Scenario Summary'!G$10)</f>
        <v>96.063805714285706</v>
      </c>
      <c r="H67" s="33"/>
      <c r="I67" s="67">
        <f>IF(I$9="","",I87*'Scenario Summary'!I$10)</f>
        <v>25.747178598726116</v>
      </c>
      <c r="J67" s="33"/>
      <c r="K67" s="67">
        <f>IF(K$9="","",K87*'Scenario Summary'!K$10)</f>
        <v>128.73589299363059</v>
      </c>
      <c r="L67" s="33"/>
      <c r="M67" s="67">
        <f>IF(M$9="","",M87*'Scenario Summary'!M$10)</f>
        <v>272.5853183435583</v>
      </c>
      <c r="N67" s="33"/>
      <c r="O67" s="67">
        <f>IF(O$9="","",O87*'Scenario Summary'!O$10)</f>
        <v>124.13752638036809</v>
      </c>
      <c r="P67" s="33"/>
      <c r="Q67" s="59">
        <f>IF(Q$9="","",Q87*'Scenario Summary'!Q$10)</f>
        <v>182.06837202453988</v>
      </c>
    </row>
    <row r="68" spans="2:17" x14ac:dyDescent="0.25">
      <c r="B68" s="20"/>
      <c r="C68" s="32"/>
      <c r="D68" s="66" t="s">
        <v>210</v>
      </c>
      <c r="E68" s="67">
        <f>IF(E$9="","",E88*'Scenario Summary'!$E$10)</f>
        <v>-8.4217000000000013</v>
      </c>
      <c r="F68" s="94"/>
      <c r="G68" s="67">
        <f>IF(G$9="","",G88*'Scenario Summary'!G$10)</f>
        <v>-2.6695199999999879</v>
      </c>
      <c r="H68" s="33"/>
      <c r="I68" s="67">
        <f>IF(I$9="","",I88*'Scenario Summary'!I$10)</f>
        <v>-0.76271999999999807</v>
      </c>
      <c r="J68" s="33"/>
      <c r="K68" s="67">
        <f>IF(K$9="","",K88*'Scenario Summary'!K$10)</f>
        <v>-3.8135999999999939</v>
      </c>
      <c r="L68" s="33"/>
      <c r="M68" s="67">
        <f>IF(M$9="","",M88*'Scenario Summary'!M$10)</f>
        <v>-8.3740299999999994</v>
      </c>
      <c r="N68" s="33"/>
      <c r="O68" s="67">
        <f>IF(O$9="","",O88*'Scenario Summary'!O$10)</f>
        <v>-3.813600000000001</v>
      </c>
      <c r="P68" s="33"/>
      <c r="Q68" s="59">
        <f>IF(Q$9="","",Q88*'Scenario Summary'!Q$10)</f>
        <v>-5.5932799999999858</v>
      </c>
    </row>
    <row r="69" spans="2:17" x14ac:dyDescent="0.25">
      <c r="B69" s="20"/>
      <c r="C69" s="32"/>
      <c r="D69" s="66"/>
      <c r="E69" s="67"/>
      <c r="F69" s="94"/>
      <c r="G69" s="67"/>
      <c r="H69" s="33"/>
      <c r="I69" s="67"/>
      <c r="J69" s="33"/>
      <c r="K69" s="67"/>
      <c r="L69" s="33"/>
      <c r="M69" s="67"/>
      <c r="N69" s="33"/>
      <c r="O69" s="67"/>
      <c r="P69" s="33"/>
      <c r="Q69" s="59"/>
    </row>
    <row r="70" spans="2:17" x14ac:dyDescent="0.25">
      <c r="B70" s="20"/>
      <c r="C70" s="32"/>
      <c r="D70" s="55" t="s">
        <v>168</v>
      </c>
      <c r="E70" s="67"/>
      <c r="F70" s="33"/>
      <c r="G70" s="67"/>
      <c r="H70" s="33"/>
      <c r="I70" s="67"/>
      <c r="J70" s="33"/>
      <c r="K70" s="67"/>
      <c r="L70" s="33"/>
      <c r="M70" s="67"/>
      <c r="N70" s="33"/>
      <c r="O70" s="67"/>
      <c r="P70" s="33"/>
      <c r="Q70" s="59"/>
    </row>
    <row r="71" spans="2:17" x14ac:dyDescent="0.25">
      <c r="B71" s="20"/>
      <c r="C71" s="32"/>
      <c r="D71" s="66" t="s">
        <v>289</v>
      </c>
      <c r="E71" s="67">
        <f>IF(E$9="","",E91*'Scenario Summary'!$E$10)</f>
        <v>89.540411080204649</v>
      </c>
      <c r="F71" s="33"/>
      <c r="G71" s="67">
        <f>IF(G$9="","",G91*'Scenario Summary'!G$10)</f>
        <v>29.866635311234827</v>
      </c>
      <c r="H71" s="33"/>
      <c r="I71" s="67">
        <f>IF(I$9="","",I91*'Scenario Summary'!I$10)</f>
        <v>9.7200331779449591</v>
      </c>
      <c r="J71" s="33"/>
      <c r="K71" s="67">
        <f>IF(K$9="","",K91*'Scenario Summary'!K$10)</f>
        <v>55.697866170777807</v>
      </c>
      <c r="L71" s="33"/>
      <c r="M71" s="67">
        <f>IF(M$9="","",M91*'Scenario Summary'!M$10)</f>
        <v>129.3040652122566</v>
      </c>
      <c r="N71" s="33"/>
      <c r="O71" s="67">
        <f>IF(O$9="","",O91*'Scenario Summary'!O$10)</f>
        <v>102.43819790277541</v>
      </c>
      <c r="P71" s="33"/>
      <c r="Q71" s="59">
        <f>IF(Q$9="","",Q91*'Scenario Summary'!Q$10)</f>
        <v>91.594519426818266</v>
      </c>
    </row>
    <row r="72" spans="2:17" x14ac:dyDescent="0.25">
      <c r="B72" s="20"/>
      <c r="C72" s="32"/>
      <c r="D72" s="66" t="s">
        <v>290</v>
      </c>
      <c r="E72" s="89">
        <f>IF(E$9="","",E71*'Scenario Summary'!$E$20)</f>
        <v>53724.246648122789</v>
      </c>
      <c r="F72" s="33"/>
      <c r="G72" s="89">
        <f>IF(G$9="","",G71*'Scenario Summary'!$E$20)</f>
        <v>17919.981186740897</v>
      </c>
      <c r="H72" s="33"/>
      <c r="I72" s="89">
        <f>IF(I$9="","",I71*'Scenario Summary'!$E$20)</f>
        <v>5832.0199067669755</v>
      </c>
      <c r="J72" s="33"/>
      <c r="K72" s="89">
        <f>IF(K$9="","",K71*'Scenario Summary'!$E$20)</f>
        <v>33418.719702466682</v>
      </c>
      <c r="L72" s="33"/>
      <c r="M72" s="89">
        <f>IF(M$9="","",M71*'Scenario Summary'!$E$20)</f>
        <v>77582.439127353966</v>
      </c>
      <c r="N72" s="33"/>
      <c r="O72" s="89">
        <f>IF(O$9="","",O71*'Scenario Summary'!$E$20)</f>
        <v>61462.918741665249</v>
      </c>
      <c r="P72" s="33"/>
      <c r="Q72" s="90">
        <f>IF(Q$9="","",Q71*'Scenario Summary'!$E$20)</f>
        <v>54956.711656090956</v>
      </c>
    </row>
    <row r="73" spans="2:17" s="42" customFormat="1" x14ac:dyDescent="0.25">
      <c r="B73" s="22"/>
      <c r="C73" s="23"/>
      <c r="D73" s="84"/>
      <c r="E73" s="77"/>
      <c r="F73" s="41"/>
      <c r="G73" s="77"/>
      <c r="H73" s="41"/>
      <c r="I73" s="77"/>
      <c r="J73" s="41"/>
      <c r="K73" s="77"/>
      <c r="L73" s="41"/>
      <c r="M73" s="77"/>
      <c r="N73" s="41"/>
      <c r="O73" s="77"/>
      <c r="P73" s="41"/>
      <c r="Q73" s="78"/>
    </row>
    <row r="74" spans="2:17" s="42" customFormat="1" x14ac:dyDescent="0.25">
      <c r="E74" s="76"/>
      <c r="G74" s="76"/>
      <c r="I74" s="76"/>
      <c r="K74" s="76"/>
      <c r="M74" s="76"/>
      <c r="O74" s="76"/>
      <c r="Q74" s="76"/>
    </row>
    <row r="75" spans="2:17" s="42" customFormat="1" ht="15.75" x14ac:dyDescent="0.25">
      <c r="B75" s="11" t="s">
        <v>172</v>
      </c>
      <c r="C75" s="12"/>
      <c r="D75" s="79"/>
      <c r="E75" s="80"/>
      <c r="F75" s="79"/>
      <c r="G75" s="80"/>
      <c r="H75" s="79"/>
      <c r="I75" s="80"/>
      <c r="J75" s="79"/>
      <c r="K75" s="80"/>
      <c r="L75" s="79"/>
      <c r="M75" s="80"/>
      <c r="N75" s="79"/>
      <c r="O75" s="80"/>
      <c r="P75" s="79"/>
      <c r="Q75" s="81"/>
    </row>
    <row r="76" spans="2:17" s="42" customFormat="1" ht="15.75" x14ac:dyDescent="0.25">
      <c r="B76" s="15"/>
      <c r="C76" s="32"/>
      <c r="E76" s="70" t="str">
        <f>E42</f>
        <v>Container 2000</v>
      </c>
      <c r="F76" s="33"/>
      <c r="G76" s="70" t="str">
        <f>G42</f>
        <v>Container 4000</v>
      </c>
      <c r="H76" s="33"/>
      <c r="I76" s="70" t="str">
        <f>I42</f>
        <v>Container 5000</v>
      </c>
      <c r="J76" s="33"/>
      <c r="K76" s="70" t="str">
        <f>K42</f>
        <v>Container 6000</v>
      </c>
      <c r="L76" s="33"/>
      <c r="M76" s="70" t="str">
        <f>M42</f>
        <v>Container 8000</v>
      </c>
      <c r="N76" s="33"/>
      <c r="O76" s="70" t="str">
        <f>O42</f>
        <v>Container 9000</v>
      </c>
      <c r="P76" s="33"/>
      <c r="Q76" s="46" t="str">
        <f>Q42</f>
        <v>Container 10000</v>
      </c>
    </row>
    <row r="77" spans="2:17" ht="15.75" x14ac:dyDescent="0.25">
      <c r="B77" s="15"/>
      <c r="C77" s="32"/>
      <c r="D77" s="55" t="s">
        <v>140</v>
      </c>
      <c r="E77" s="71"/>
      <c r="F77" s="33"/>
      <c r="G77" s="71"/>
      <c r="H77" s="33"/>
      <c r="I77" s="71"/>
      <c r="J77" s="33"/>
      <c r="K77" s="71"/>
      <c r="L77" s="33"/>
      <c r="M77" s="71"/>
      <c r="N77" s="33"/>
      <c r="O77" s="71"/>
      <c r="P77" s="33"/>
      <c r="Q77" s="47"/>
    </row>
    <row r="78" spans="2:17" x14ac:dyDescent="0.25">
      <c r="B78" s="20"/>
      <c r="C78" s="32"/>
      <c r="D78" s="66" t="s">
        <v>149</v>
      </c>
      <c r="E78" s="67">
        <f>IF(E$9="","",HLOOKUP(E$9,'Ship Parameters'!$D$8:$Y$77,59,FALSE))</f>
        <v>1470</v>
      </c>
      <c r="F78" s="33"/>
      <c r="G78" s="67">
        <f>IF(G$9="","",HLOOKUP(G$9,'Ship Parameters'!$D$8:$Y$77,59,FALSE))</f>
        <v>1610</v>
      </c>
      <c r="H78" s="33"/>
      <c r="I78" s="67">
        <f>IF(I$9="","",HLOOKUP(I$9,'Ship Parameters'!$D$8:$Y$77,59,FALSE))</f>
        <v>2730</v>
      </c>
      <c r="J78" s="33"/>
      <c r="K78" s="67">
        <f>IF(K$9="","",HLOOKUP(K$9,'Ship Parameters'!$D$8:$Y$77,59,FALSE))</f>
        <v>1750</v>
      </c>
      <c r="L78" s="33"/>
      <c r="M78" s="67">
        <f>IF(M$9="","",HLOOKUP(M$9,'Ship Parameters'!$D$8:$Y$77,59,FALSE))</f>
        <v>2100</v>
      </c>
      <c r="N78" s="33"/>
      <c r="O78" s="67">
        <f>IF(O$9="","",HLOOKUP(O$9,'Ship Parameters'!$D$8:$Y$77,59,FALSE))</f>
        <v>1819.9999999999998</v>
      </c>
      <c r="P78" s="33"/>
      <c r="Q78" s="59">
        <f>IF(Q$9="","",HLOOKUP(Q$9,'Ship Parameters'!$D$8:$Y$77,59,FALSE))</f>
        <v>1470</v>
      </c>
    </row>
    <row r="79" spans="2:17" x14ac:dyDescent="0.25">
      <c r="B79" s="20"/>
      <c r="C79" s="32"/>
      <c r="D79" s="66" t="s">
        <v>194</v>
      </c>
      <c r="E79" s="72">
        <f>IF(E$9="","",HLOOKUP(E$9,'Ship Parameters'!$D$8:$Y$77,61,FALSE))</f>
        <v>0.33368999999999999</v>
      </c>
      <c r="F79" s="276"/>
      <c r="G79" s="72">
        <f>IF(G$9="","",HLOOKUP(G$9,'Ship Parameters'!$D$8:$Y$77,61,FALSE))</f>
        <v>0.36547000000000002</v>
      </c>
      <c r="H79" s="276"/>
      <c r="I79" s="72">
        <f>IF(I$9="","",HLOOKUP(I$9,'Ship Parameters'!$D$8:$Y$77,61,FALSE))</f>
        <v>0.61970999999999998</v>
      </c>
      <c r="J79" s="276"/>
      <c r="K79" s="72">
        <f>IF(K$9="","",HLOOKUP(K$9,'Ship Parameters'!$D$8:$Y$77,61,FALSE))</f>
        <v>0.39724999999999999</v>
      </c>
      <c r="L79" s="276"/>
      <c r="M79" s="72">
        <f>IF(M$9="","",HLOOKUP(M$9,'Ship Parameters'!$D$8:$Y$77,61,FALSE))</f>
        <v>0.47670000000000001</v>
      </c>
      <c r="N79" s="276"/>
      <c r="O79" s="72">
        <f>IF(O$9="","",HLOOKUP(O$9,'Ship Parameters'!$D$8:$Y$77,61,FALSE))</f>
        <v>0.41313999999999995</v>
      </c>
      <c r="P79" s="276"/>
      <c r="Q79" s="51">
        <f>IF(Q$9="","",HLOOKUP(Q$9,'Ship Parameters'!$D$8:$Y$77,61,FALSE))</f>
        <v>0.33368999999999999</v>
      </c>
    </row>
    <row r="80" spans="2:17" x14ac:dyDescent="0.25">
      <c r="B80" s="20"/>
      <c r="C80" s="32"/>
      <c r="D80" s="33"/>
      <c r="E80" s="67"/>
      <c r="F80" s="33"/>
      <c r="G80" s="67"/>
      <c r="H80" s="33"/>
      <c r="I80" s="67"/>
      <c r="J80" s="33"/>
      <c r="K80" s="67"/>
      <c r="L80" s="33"/>
      <c r="M80" s="67"/>
      <c r="N80" s="33"/>
      <c r="O80" s="67"/>
      <c r="P80" s="33"/>
      <c r="Q80" s="59"/>
    </row>
    <row r="81" spans="2:17" ht="15.75" x14ac:dyDescent="0.25">
      <c r="B81" s="15"/>
      <c r="C81" s="32"/>
      <c r="D81" s="55" t="s">
        <v>133</v>
      </c>
      <c r="E81" s="67"/>
      <c r="F81" s="33"/>
      <c r="G81" s="67"/>
      <c r="H81" s="33"/>
      <c r="I81" s="67"/>
      <c r="J81" s="33"/>
      <c r="K81" s="67"/>
      <c r="L81" s="33"/>
      <c r="M81" s="67"/>
      <c r="N81" s="33"/>
      <c r="O81" s="67"/>
      <c r="P81" s="33"/>
      <c r="Q81" s="59"/>
    </row>
    <row r="82" spans="2:17" x14ac:dyDescent="0.25">
      <c r="B82" s="20"/>
      <c r="C82" s="32"/>
      <c r="D82" s="66" t="s">
        <v>154</v>
      </c>
      <c r="E82" s="68">
        <f>IF(E$9="","",HLOOKUP(E$9,'Ship Parameters'!$D$8:$Y$77,40,FALSE))</f>
        <v>33.45724419103194</v>
      </c>
      <c r="F82" s="33"/>
      <c r="G82" s="68">
        <f>IF(G$9="","",HLOOKUP(G$9,'Ship Parameters'!$D$8:$Y$77,40,FALSE))</f>
        <v>50.112601512626966</v>
      </c>
      <c r="H82" s="33"/>
      <c r="I82" s="68">
        <f>IF(I$9="","",HLOOKUP(I$9,'Ship Parameters'!$D$8:$Y$77,40,FALSE))</f>
        <v>58.302163934691166</v>
      </c>
      <c r="J82" s="33"/>
      <c r="K82" s="68">
        <f>IF(K$9="","",HLOOKUP(K$9,'Ship Parameters'!$D$8:$Y$77,40,FALSE))</f>
        <v>66.75101915795976</v>
      </c>
      <c r="L82" s="33"/>
      <c r="M82" s="68">
        <f>IF(M$9="","",HLOOKUP(M$9,'Ship Parameters'!$D$8:$Y$77,40,FALSE))</f>
        <v>78.367120210429519</v>
      </c>
      <c r="N82" s="33"/>
      <c r="O82" s="68">
        <f>IF(O$9="","",HLOOKUP(O$9,'Ship Parameters'!$D$8:$Y$77,40,FALSE))</f>
        <v>80.593516296864934</v>
      </c>
      <c r="P82" s="33"/>
      <c r="Q82" s="61">
        <f>IF(Q$9="","",HLOOKUP(Q$9,'Ship Parameters'!$D$8:$Y$77,40,FALSE))</f>
        <v>81.379686908937856</v>
      </c>
    </row>
    <row r="83" spans="2:17" x14ac:dyDescent="0.25">
      <c r="B83" s="20"/>
      <c r="C83" s="32"/>
      <c r="D83" s="66" t="s">
        <v>155</v>
      </c>
      <c r="E83" s="68">
        <f>IF(E$9="","",HLOOKUP(E$9,'Ship Parameters'!$D$8:$Y$77,41,FALSE))</f>
        <v>31.942592472537513</v>
      </c>
      <c r="F83" s="33"/>
      <c r="G83" s="68">
        <f>IF(G$9="","",HLOOKUP(G$9,'Ship Parameters'!$D$8:$Y$77,41,FALSE))</f>
        <v>47.766725236690732</v>
      </c>
      <c r="H83" s="33"/>
      <c r="I83" s="68">
        <f>IF(I$9="","",HLOOKUP(I$9,'Ship Parameters'!$D$8:$Y$77,41,FALSE))</f>
        <v>55.42762287537618</v>
      </c>
      <c r="J83" s="33"/>
      <c r="K83" s="68">
        <f>IF(K$9="","",HLOOKUP(K$9,'Ship Parameters'!$D$8:$Y$77,41,FALSE))</f>
        <v>63.428802522286148</v>
      </c>
      <c r="L83" s="33"/>
      <c r="M83" s="68">
        <f>IF(M$9="","",HLOOKUP(M$9,'Ship Parameters'!$D$8:$Y$77,41,FALSE))</f>
        <v>74.40259133261479</v>
      </c>
      <c r="N83" s="33"/>
      <c r="O83" s="68">
        <f>IF(O$9="","",HLOOKUP(O$9,'Ship Parameters'!$D$8:$Y$77,41,FALSE))</f>
        <v>76.579498050915959</v>
      </c>
      <c r="P83" s="33"/>
      <c r="Q83" s="61">
        <f>IF(Q$9="","",HLOOKUP(Q$9,'Ship Parameters'!$D$8:$Y$77,41,FALSE))</f>
        <v>77.295749662264299</v>
      </c>
    </row>
    <row r="84" spans="2:17" x14ac:dyDescent="0.25">
      <c r="B84" s="20"/>
      <c r="C84" s="32"/>
      <c r="D84" s="66" t="s">
        <v>193</v>
      </c>
      <c r="E84" s="68">
        <f>IF(E$9="","",HLOOKUP(E$9,'Ship Parameters'!$D$8:$Y$77,42,FALSE))</f>
        <v>1.5146517184944273</v>
      </c>
      <c r="F84" s="33"/>
      <c r="G84" s="68">
        <f>IF(G$9="","",HLOOKUP(G$9,'Ship Parameters'!$D$8:$Y$77,42,FALSE))</f>
        <v>2.3458762759362344</v>
      </c>
      <c r="H84" s="33"/>
      <c r="I84" s="68">
        <f>IF(I$9="","",HLOOKUP(I$9,'Ship Parameters'!$D$8:$Y$77,42,FALSE))</f>
        <v>2.8745410593149856</v>
      </c>
      <c r="J84" s="33"/>
      <c r="K84" s="68">
        <f>IF(K$9="","",HLOOKUP(K$9,'Ship Parameters'!$D$8:$Y$77,42,FALSE))</f>
        <v>3.3222166356736125</v>
      </c>
      <c r="L84" s="33"/>
      <c r="M84" s="68">
        <f>IF(M$9="","",HLOOKUP(M$9,'Ship Parameters'!$D$8:$Y$77,42,FALSE))</f>
        <v>3.964528877814729</v>
      </c>
      <c r="N84" s="33"/>
      <c r="O84" s="68">
        <f>IF(O$9="","",HLOOKUP(O$9,'Ship Parameters'!$D$8:$Y$77,42,FALSE))</f>
        <v>4.014018245948975</v>
      </c>
      <c r="P84" s="33"/>
      <c r="Q84" s="61">
        <f>IF(Q$9="","",HLOOKUP(Q$9,'Ship Parameters'!$D$8:$Y$77,42,FALSE))</f>
        <v>4.0839372466735568</v>
      </c>
    </row>
    <row r="85" spans="2:17" x14ac:dyDescent="0.25">
      <c r="B85" s="20"/>
      <c r="C85" s="32"/>
      <c r="D85" s="66"/>
      <c r="E85" s="68"/>
      <c r="F85" s="33"/>
      <c r="G85" s="68"/>
      <c r="H85" s="33"/>
      <c r="I85" s="68"/>
      <c r="J85" s="33"/>
      <c r="K85" s="68"/>
      <c r="L85" s="33"/>
      <c r="M85" s="68"/>
      <c r="N85" s="33"/>
      <c r="O85" s="68"/>
      <c r="P85" s="33"/>
      <c r="Q85" s="61"/>
    </row>
    <row r="86" spans="2:17" x14ac:dyDescent="0.25">
      <c r="B86" s="20"/>
      <c r="C86" s="32"/>
      <c r="D86" s="66" t="s">
        <v>156</v>
      </c>
      <c r="E86" s="68">
        <f>IF(E$9="","",HLOOKUP(E$9,'Ship Parameters'!$D$8:$Y$77,47,FALSE))</f>
        <v>5.5591836734693878</v>
      </c>
      <c r="F86" s="33"/>
      <c r="G86" s="68">
        <f>IF(G$9="","",HLOOKUP(G$9,'Ship Parameters'!$D$8:$Y$77,47,FALSE))</f>
        <v>7.7828571428571438</v>
      </c>
      <c r="H86" s="33"/>
      <c r="I86" s="68">
        <f>IF(I$9="","",HLOOKUP(I$9,'Ship Parameters'!$D$8:$Y$77,47,FALSE))</f>
        <v>8.3281528662420392</v>
      </c>
      <c r="J86" s="33"/>
      <c r="K86" s="68">
        <f>IF(K$9="","",HLOOKUP(K$9,'Ship Parameters'!$D$8:$Y$77,47,FALSE))</f>
        <v>7.807643312101912</v>
      </c>
      <c r="L86" s="33"/>
      <c r="M86" s="68">
        <f>IF(M$9="","",HLOOKUP(M$9,'Ship Parameters'!$D$8:$Y$77,47,FALSE))</f>
        <v>8.5229447852760742</v>
      </c>
      <c r="N86" s="33"/>
      <c r="O86" s="68">
        <f>IF(O$9="","",HLOOKUP(O$9,'Ship Parameters'!$D$8:$Y$77,47,FALSE))</f>
        <v>5.0134969325153369</v>
      </c>
      <c r="P86" s="33"/>
      <c r="Q86" s="68">
        <f>IF(Q$9="","",HLOOKUP(Q$9,'Ship Parameters'!$D$8:$Y$77,47,FALSE))</f>
        <v>8.0215950920245405</v>
      </c>
    </row>
    <row r="87" spans="2:17" x14ac:dyDescent="0.25">
      <c r="B87" s="20"/>
      <c r="C87" s="32"/>
      <c r="D87" s="66" t="s">
        <v>157</v>
      </c>
      <c r="E87" s="68">
        <f>IF(E$9="","",HLOOKUP(E$9,'Ship Parameters'!$D$8:$Y$77,48,FALSE))</f>
        <v>5.7180836734693878</v>
      </c>
      <c r="F87" s="33"/>
      <c r="G87" s="68">
        <f>IF(G$9="","",HLOOKUP(G$9,'Ship Parameters'!$D$8:$Y$77,48,FALSE))</f>
        <v>8.0053171428571428</v>
      </c>
      <c r="H87" s="33"/>
      <c r="I87" s="68">
        <f>IF(I$9="","",HLOOKUP(I$9,'Ship Parameters'!$D$8:$Y$77,48,FALSE))</f>
        <v>8.5823928662420386</v>
      </c>
      <c r="J87" s="33"/>
      <c r="K87" s="68">
        <f>IF(K$9="","",HLOOKUP(K$9,'Ship Parameters'!$D$8:$Y$77,48,FALSE))</f>
        <v>8.0459933121019116</v>
      </c>
      <c r="L87" s="33"/>
      <c r="M87" s="68">
        <f>IF(M$9="","",HLOOKUP(M$9,'Ship Parameters'!$D$8:$Y$77,48,FALSE))</f>
        <v>8.7930747852760742</v>
      </c>
      <c r="N87" s="33"/>
      <c r="O87" s="68">
        <f>IF(O$9="","",HLOOKUP(O$9,'Ship Parameters'!$D$8:$Y$77,48,FALSE))</f>
        <v>5.1723969325153369</v>
      </c>
      <c r="P87" s="33"/>
      <c r="Q87" s="68">
        <f>IF(Q$9="","",HLOOKUP(Q$9,'Ship Parameters'!$D$8:$Y$77,48,FALSE))</f>
        <v>8.2758350920245398</v>
      </c>
    </row>
    <row r="88" spans="2:17" x14ac:dyDescent="0.25">
      <c r="B88" s="20"/>
      <c r="C88" s="32"/>
      <c r="D88" s="66" t="s">
        <v>192</v>
      </c>
      <c r="E88" s="68">
        <f>IF(E$9="","",HLOOKUP(E$9,'Ship Parameters'!$D$8:$Y$77,49,FALSE))</f>
        <v>-0.15890000000000004</v>
      </c>
      <c r="F88" s="33"/>
      <c r="G88" s="68">
        <f>IF(G$9="","",HLOOKUP(G$9,'Ship Parameters'!$D$8:$Y$77,49,FALSE))</f>
        <v>-0.22245999999999899</v>
      </c>
      <c r="H88" s="33"/>
      <c r="I88" s="68">
        <f>IF(I$9="","",HLOOKUP(I$9,'Ship Parameters'!$D$8:$Y$77,49,FALSE))</f>
        <v>-0.25423999999999936</v>
      </c>
      <c r="J88" s="33"/>
      <c r="K88" s="68">
        <f>IF(K$9="","",HLOOKUP(K$9,'Ship Parameters'!$D$8:$Y$77,49,FALSE))</f>
        <v>-0.23834999999999962</v>
      </c>
      <c r="L88" s="33"/>
      <c r="M88" s="68">
        <f>IF(M$9="","",HLOOKUP(M$9,'Ship Parameters'!$D$8:$Y$77,49,FALSE))</f>
        <v>-0.27012999999999998</v>
      </c>
      <c r="N88" s="33"/>
      <c r="O88" s="68">
        <f>IF(O$9="","",HLOOKUP(O$9,'Ship Parameters'!$D$8:$Y$77,49,FALSE))</f>
        <v>-0.15890000000000004</v>
      </c>
      <c r="P88" s="33"/>
      <c r="Q88" s="68">
        <f>IF(Q$9="","",HLOOKUP(Q$9,'Ship Parameters'!$D$8:$Y$77,49,FALSE))</f>
        <v>-0.25423999999999936</v>
      </c>
    </row>
    <row r="89" spans="2:17" x14ac:dyDescent="0.25">
      <c r="B89" s="20"/>
      <c r="C89" s="32"/>
      <c r="D89" s="66"/>
      <c r="E89" s="68"/>
      <c r="F89" s="33"/>
      <c r="G89" s="68"/>
      <c r="H89" s="33"/>
      <c r="I89" s="68"/>
      <c r="J89" s="33"/>
      <c r="K89" s="68"/>
      <c r="L89" s="33"/>
      <c r="M89" s="68"/>
      <c r="N89" s="33"/>
      <c r="O89" s="68"/>
      <c r="P89" s="33"/>
      <c r="Q89" s="61"/>
    </row>
    <row r="90" spans="2:17" x14ac:dyDescent="0.25">
      <c r="B90" s="20"/>
      <c r="C90" s="32"/>
      <c r="D90" s="55" t="s">
        <v>168</v>
      </c>
      <c r="E90" s="67"/>
      <c r="F90" s="33"/>
      <c r="G90" s="67"/>
      <c r="H90" s="33"/>
      <c r="I90" s="67"/>
      <c r="J90" s="33"/>
      <c r="K90" s="67"/>
      <c r="L90" s="33"/>
      <c r="M90" s="67"/>
      <c r="N90" s="33"/>
      <c r="O90" s="67"/>
      <c r="P90" s="33"/>
      <c r="Q90" s="59"/>
    </row>
    <row r="91" spans="2:17" x14ac:dyDescent="0.25">
      <c r="B91" s="20"/>
      <c r="C91" s="32"/>
      <c r="D91" s="66" t="s">
        <v>190</v>
      </c>
      <c r="E91" s="68">
        <f>IF(E$9="","",E79+E84+E88)</f>
        <v>1.6894417184944273</v>
      </c>
      <c r="F91" s="33"/>
      <c r="G91" s="68">
        <f>IF(G$9="","",G79+G84+G88)</f>
        <v>2.4888862759362356</v>
      </c>
      <c r="H91" s="33"/>
      <c r="I91" s="68">
        <f>IF(I$9="","",I79+I84+I88)</f>
        <v>3.2400110593149862</v>
      </c>
      <c r="J91" s="33"/>
      <c r="K91" s="68">
        <f>IF(K$9="","",K79+K84+K88)</f>
        <v>3.481116635673613</v>
      </c>
      <c r="L91" s="33"/>
      <c r="M91" s="68">
        <f>IF(M$9="","",M79+M84+M88)</f>
        <v>4.1710988778147291</v>
      </c>
      <c r="N91" s="33"/>
      <c r="O91" s="68">
        <f>IF(O$9="","",O79+O84+O88)</f>
        <v>4.2682582459489753</v>
      </c>
      <c r="P91" s="33"/>
      <c r="Q91" s="61">
        <f>IF(Q$9="","",Q79+Q84+Q88)</f>
        <v>4.1633872466735573</v>
      </c>
    </row>
    <row r="92" spans="2:17" x14ac:dyDescent="0.25">
      <c r="B92" s="20"/>
      <c r="C92" s="32"/>
      <c r="D92" s="66" t="s">
        <v>191</v>
      </c>
      <c r="E92" s="89">
        <f>IF(E$9="","",E91*'Scenario Summary'!$E$20)</f>
        <v>1013.6650310966563</v>
      </c>
      <c r="F92" s="33"/>
      <c r="G92" s="89">
        <f>IF(G$9="","",G91*'Scenario Summary'!$E$20)</f>
        <v>1493.3317655617413</v>
      </c>
      <c r="H92" s="33"/>
      <c r="I92" s="89">
        <f>IF(I$9="","",I91*'Scenario Summary'!$E$20)</f>
        <v>1944.0066355889917</v>
      </c>
      <c r="J92" s="33"/>
      <c r="K92" s="89">
        <f>IF(K$9="","",K91*'Scenario Summary'!$E$20)</f>
        <v>2088.6699814041676</v>
      </c>
      <c r="L92" s="33"/>
      <c r="M92" s="89">
        <f>IF(M$9="","",M91*'Scenario Summary'!$E$20)</f>
        <v>2502.6593266888376</v>
      </c>
      <c r="N92" s="33"/>
      <c r="O92" s="89">
        <f>IF(O$9="","",O91*'Scenario Summary'!$E$20)</f>
        <v>2560.9549475693852</v>
      </c>
      <c r="P92" s="33"/>
      <c r="Q92" s="90">
        <f>IF(Q$9="","",Q91*'Scenario Summary'!$E$20)</f>
        <v>2498.0323480041343</v>
      </c>
    </row>
    <row r="93" spans="2:17" x14ac:dyDescent="0.25">
      <c r="B93" s="22"/>
      <c r="C93" s="23"/>
      <c r="D93" s="69"/>
      <c r="E93" s="91"/>
      <c r="F93" s="41"/>
      <c r="G93" s="91"/>
      <c r="H93" s="41"/>
      <c r="I93" s="91"/>
      <c r="J93" s="41"/>
      <c r="K93" s="91"/>
      <c r="L93" s="41"/>
      <c r="M93" s="91"/>
      <c r="N93" s="41"/>
      <c r="O93" s="91"/>
      <c r="P93" s="41"/>
      <c r="Q93" s="92"/>
    </row>
    <row r="94" spans="2:17" s="42" customFormat="1" x14ac:dyDescent="0.25">
      <c r="D94" s="75"/>
      <c r="E94" s="76"/>
      <c r="G94" s="76"/>
      <c r="I94" s="76"/>
      <c r="K94" s="76"/>
      <c r="M94" s="76"/>
      <c r="O94" s="76"/>
      <c r="Q94" s="76"/>
    </row>
    <row r="95" spans="2:17" s="42" customFormat="1" ht="15.75" x14ac:dyDescent="0.25">
      <c r="B95" s="11" t="s">
        <v>204</v>
      </c>
      <c r="C95" s="12"/>
      <c r="D95" s="13"/>
      <c r="E95" s="80"/>
      <c r="F95" s="79"/>
      <c r="G95" s="80"/>
      <c r="H95" s="79"/>
      <c r="I95" s="80"/>
      <c r="J95" s="79"/>
      <c r="K95" s="80"/>
      <c r="L95" s="79"/>
      <c r="M95" s="80"/>
      <c r="N95" s="79"/>
      <c r="O95" s="80"/>
      <c r="P95" s="79"/>
      <c r="Q95" s="81"/>
    </row>
    <row r="96" spans="2:17" s="42" customFormat="1" ht="15.75" x14ac:dyDescent="0.25">
      <c r="B96" s="15" t="s">
        <v>203</v>
      </c>
      <c r="C96" s="32"/>
      <c r="D96" s="55"/>
      <c r="E96" s="70" t="str">
        <f>E113</f>
        <v>Container 2000</v>
      </c>
      <c r="F96" s="33"/>
      <c r="G96" s="70" t="str">
        <f>G113</f>
        <v>Container 4000</v>
      </c>
      <c r="H96" s="33"/>
      <c r="I96" s="70" t="str">
        <f>I113</f>
        <v>Container 5000</v>
      </c>
      <c r="J96" s="33"/>
      <c r="K96" s="70" t="str">
        <f>K113</f>
        <v>Container 6000</v>
      </c>
      <c r="L96" s="33"/>
      <c r="M96" s="70" t="str">
        <f>M113</f>
        <v>Container 8000</v>
      </c>
      <c r="N96" s="33"/>
      <c r="O96" s="70" t="str">
        <f>O113</f>
        <v>Container 9000</v>
      </c>
      <c r="P96" s="33"/>
      <c r="Q96" s="46" t="str">
        <f>Q113</f>
        <v>Container 10000</v>
      </c>
    </row>
    <row r="97" spans="2:17" s="42" customFormat="1" ht="15.75" x14ac:dyDescent="0.25">
      <c r="B97" s="15"/>
      <c r="C97" s="32"/>
      <c r="D97" s="55" t="s">
        <v>206</v>
      </c>
      <c r="E97" s="71"/>
      <c r="F97" s="33"/>
      <c r="G97" s="71"/>
      <c r="H97" s="33"/>
      <c r="I97" s="71"/>
      <c r="J97" s="33"/>
      <c r="K97" s="71"/>
      <c r="L97" s="33"/>
      <c r="M97" s="71"/>
      <c r="N97" s="33"/>
      <c r="O97" s="71"/>
      <c r="P97" s="33"/>
      <c r="Q97" s="47"/>
    </row>
    <row r="98" spans="2:17" s="42" customFormat="1" ht="18.75" x14ac:dyDescent="0.35">
      <c r="B98" s="20"/>
      <c r="C98" s="32"/>
      <c r="D98" s="205" t="s">
        <v>196</v>
      </c>
      <c r="E98" s="34">
        <f>IF(E$9="","",E115*'Scenario Summary'!E$10)</f>
        <v>54.135140219999997</v>
      </c>
      <c r="F98" s="270"/>
      <c r="G98" s="34">
        <f>IF(G$9="","",G115*'Scenario Summary'!G$10)</f>
        <v>13.424347439999998</v>
      </c>
      <c r="H98" s="270"/>
      <c r="I98" s="34">
        <f>IF(I$9="","",I115*'Scenario Summary'!I$10)</f>
        <v>5.6907559799999996</v>
      </c>
      <c r="J98" s="270"/>
      <c r="K98" s="34">
        <f>IF(K$9="","",K115*'Scenario Summary'!K$10)</f>
        <v>19.455576000000001</v>
      </c>
      <c r="L98" s="270"/>
      <c r="M98" s="34">
        <f>IF(M$9="","",M115*'Scenario Summary'!M$10)</f>
        <v>45.234214199999997</v>
      </c>
      <c r="N98" s="270"/>
      <c r="O98" s="34">
        <f>IF(O$9="","",O115*'Scenario Summary'!O$10)</f>
        <v>30.350698559999991</v>
      </c>
      <c r="P98" s="270"/>
      <c r="Q98" s="51">
        <f>IF(Q$9="","",Q115*'Scenario Summary'!Q$10)</f>
        <v>28.11264086871514</v>
      </c>
    </row>
    <row r="99" spans="2:17" s="42" customFormat="1" ht="18.75" x14ac:dyDescent="0.35">
      <c r="B99" s="20"/>
      <c r="C99" s="32"/>
      <c r="D99" s="205" t="s">
        <v>284</v>
      </c>
      <c r="E99" s="34">
        <f>IF(E$9="","",E116*'Scenario Summary'!E$10)</f>
        <v>53.446260000000002</v>
      </c>
      <c r="F99" s="270"/>
      <c r="G99" s="34">
        <f>IF(G$9="","",G116*'Scenario Summary'!G$10)</f>
        <v>13.25352</v>
      </c>
      <c r="H99" s="270"/>
      <c r="I99" s="34">
        <f>IF(I$9="","",I116*'Scenario Summary'!I$10)</f>
        <v>5.6183399999999999</v>
      </c>
      <c r="J99" s="270"/>
      <c r="K99" s="34">
        <f>IF(K$9="","",K116*'Scenario Summary'!K$10)</f>
        <v>19.207999999999998</v>
      </c>
      <c r="L99" s="270"/>
      <c r="M99" s="34">
        <f>IF(M$9="","",M116*'Scenario Summary'!M$10)</f>
        <v>44.6586</v>
      </c>
      <c r="N99" s="270"/>
      <c r="O99" s="34">
        <f>IF(O$9="","",O116*'Scenario Summary'!O$10)</f>
        <v>29.964479999999995</v>
      </c>
      <c r="P99" s="270"/>
      <c r="Q99" s="51">
        <f>IF(Q$9="","",Q116*'Scenario Summary'!Q$10)</f>
        <v>27.706823901041911</v>
      </c>
    </row>
    <row r="100" spans="2:17" s="42" customFormat="1" x14ac:dyDescent="0.25">
      <c r="B100" s="20"/>
      <c r="C100" s="32"/>
      <c r="D100" s="205" t="s">
        <v>198</v>
      </c>
      <c r="E100" s="34">
        <f>IF(E$9="","",E117*'Scenario Summary'!E$10)</f>
        <v>3.9076092947375386E-2</v>
      </c>
      <c r="F100" s="270"/>
      <c r="G100" s="34">
        <f>IF(G$9="","",G117*'Scenario Summary'!G$10)</f>
        <v>9.6900284397804185E-3</v>
      </c>
      <c r="H100" s="270"/>
      <c r="I100" s="34">
        <f>IF(I$9="","",I117*'Scenario Summary'!I$10)</f>
        <v>4.1077294472982211E-3</v>
      </c>
      <c r="J100" s="270"/>
      <c r="K100" s="34">
        <f>IF(K$9="","",K117*'Scenario Summary'!K$10)</f>
        <v>1.4043519477942636E-2</v>
      </c>
      <c r="L100" s="270"/>
      <c r="M100" s="34">
        <f>IF(M$9="","",M117*'Scenario Summary'!M$10)</f>
        <v>3.2651182786216627E-2</v>
      </c>
      <c r="N100" s="270"/>
      <c r="O100" s="34">
        <f>IF(O$9="","",O117*'Scenario Summary'!O$10)</f>
        <v>2.1907890385590507E-2</v>
      </c>
      <c r="P100" s="270"/>
      <c r="Q100" s="51">
        <f>IF(Q$9="","",Q117*'Scenario Summary'!Q$10)</f>
        <v>1.8873965947260415E-2</v>
      </c>
    </row>
    <row r="101" spans="2:17" s="42" customFormat="1" x14ac:dyDescent="0.25">
      <c r="B101" s="20"/>
      <c r="C101" s="32"/>
      <c r="D101" s="205" t="s">
        <v>199</v>
      </c>
      <c r="E101" s="34">
        <f>IF(E$9="","",E118*'Scenario Summary'!E$10)</f>
        <v>1.012379680279889</v>
      </c>
      <c r="F101" s="270"/>
      <c r="G101" s="34">
        <f>IF(G$9="","",G118*'Scenario Summary'!G$10)</f>
        <v>0.25104833041981073</v>
      </c>
      <c r="H101" s="270"/>
      <c r="I101" s="34">
        <f>IF(I$9="","",I118*'Scenario Summary'!I$10)</f>
        <v>0.10642266180839802</v>
      </c>
      <c r="J101" s="270"/>
      <c r="K101" s="34">
        <f>IF(K$9="","",K118*'Scenario Summary'!K$10)</f>
        <v>0.36383816002871122</v>
      </c>
      <c r="L101" s="270"/>
      <c r="M101" s="34">
        <f>IF(M$9="","",M118*'Scenario Summary'!M$10)</f>
        <v>0.84592372206675348</v>
      </c>
      <c r="N101" s="270"/>
      <c r="O101" s="34">
        <f>IF(O$9="","",O118*'Scenario Summary'!O$10)</f>
        <v>0.56758752964478942</v>
      </c>
      <c r="P101" s="270"/>
      <c r="Q101" s="51">
        <f>IF(Q$9="","",Q118*'Scenario Summary'!Q$10)</f>
        <v>0.46096687947092291</v>
      </c>
    </row>
    <row r="102" spans="2:17" x14ac:dyDescent="0.25">
      <c r="B102" s="20"/>
      <c r="C102" s="32"/>
      <c r="D102" s="205" t="s">
        <v>200</v>
      </c>
      <c r="E102" s="34">
        <f>IF(E$9="","",E119*'Scenario Summary'!E$10)</f>
        <v>2.1899788355122466E-2</v>
      </c>
      <c r="F102" s="270"/>
      <c r="G102" s="34">
        <f>IF(G$9="","",G119*'Scenario Summary'!G$10)</f>
        <v>5.4306752794373771E-3</v>
      </c>
      <c r="H102" s="270"/>
      <c r="I102" s="34">
        <f>IF(I$9="","",I119*'Scenario Summary'!I$10)</f>
        <v>2.3021340858484533E-3</v>
      </c>
      <c r="J102" s="270"/>
      <c r="K102" s="34">
        <f>IF(K$9="","",K119*'Scenario Summary'!K$10)</f>
        <v>7.8705438832425752E-3</v>
      </c>
      <c r="L102" s="270"/>
      <c r="M102" s="34">
        <f>IF(M$9="","",M119*'Scenario Summary'!M$10)</f>
        <v>1.8299014528538989E-2</v>
      </c>
      <c r="N102" s="270"/>
      <c r="O102" s="34">
        <f>IF(O$9="","",O119*'Scenario Summary'!O$10)</f>
        <v>1.2278048457858414E-2</v>
      </c>
      <c r="P102" s="270"/>
      <c r="Q102" s="51">
        <f>IF(Q$9="","",Q119*'Scenario Summary'!Q$10)</f>
        <v>9.4266094525624761E-3</v>
      </c>
    </row>
    <row r="103" spans="2:17" x14ac:dyDescent="0.25">
      <c r="B103" s="20"/>
      <c r="C103" s="32"/>
      <c r="D103" s="66"/>
      <c r="E103" s="87"/>
      <c r="F103" s="94"/>
      <c r="G103" s="87"/>
      <c r="H103" s="33"/>
      <c r="I103" s="87"/>
      <c r="J103" s="33"/>
      <c r="K103" s="87"/>
      <c r="L103" s="33"/>
      <c r="M103" s="87"/>
      <c r="N103" s="33"/>
      <c r="O103" s="87"/>
      <c r="P103" s="33"/>
      <c r="Q103" s="88"/>
    </row>
    <row r="104" spans="2:17" x14ac:dyDescent="0.25">
      <c r="B104" s="20"/>
      <c r="C104" s="32"/>
      <c r="D104" s="55" t="s">
        <v>207</v>
      </c>
      <c r="E104" s="87"/>
      <c r="F104" s="94"/>
      <c r="G104" s="87"/>
      <c r="H104" s="33"/>
      <c r="I104" s="87"/>
      <c r="J104" s="33"/>
      <c r="K104" s="87"/>
      <c r="L104" s="33"/>
      <c r="M104" s="87"/>
      <c r="N104" s="33"/>
      <c r="O104" s="87"/>
      <c r="P104" s="33"/>
      <c r="Q104" s="88"/>
    </row>
    <row r="105" spans="2:17" ht="18.75" x14ac:dyDescent="0.35">
      <c r="B105" s="20"/>
      <c r="C105" s="32"/>
      <c r="D105" s="205" t="s">
        <v>196</v>
      </c>
      <c r="E105" s="34">
        <f>IF(E$9="","",E122*'Scenario Summary'!E$10)</f>
        <v>248.51116480902695</v>
      </c>
      <c r="F105" s="270"/>
      <c r="G105" s="34">
        <f>IF(G$9="","",G122*'Scenario Summary'!G$10)</f>
        <v>88.01366051560214</v>
      </c>
      <c r="H105" s="270"/>
      <c r="I105" s="34">
        <f>IF(I$9="","",I122*'Scenario Summary'!I$10)</f>
        <v>27.130625110095799</v>
      </c>
      <c r="J105" s="270"/>
      <c r="K105" s="34">
        <f>IF(K$9="","",K122*'Scenario Summary'!K$10)</f>
        <v>169.94885870335557</v>
      </c>
      <c r="L105" s="270"/>
      <c r="M105" s="34">
        <f>IF(M$9="","",M122*'Scenario Summary'!M$10)</f>
        <v>394.29475355718358</v>
      </c>
      <c r="N105" s="270"/>
      <c r="O105" s="34">
        <f>IF(O$9="","",O122*'Scenario Summary'!O$10)</f>
        <v>317.49009641406474</v>
      </c>
      <c r="P105" s="270"/>
      <c r="Q105" s="51">
        <f>IF(Q$9="","",Q122*'Scenario Summary'!Q$10)</f>
        <v>289.86804919606038</v>
      </c>
    </row>
    <row r="106" spans="2:17" ht="18.75" x14ac:dyDescent="0.35">
      <c r="B106" s="20"/>
      <c r="C106" s="32"/>
      <c r="D106" s="205" t="s">
        <v>284</v>
      </c>
      <c r="E106" s="34">
        <f>IF(E$9="","",E123*'Scenario Summary'!E$10)</f>
        <v>244.73730112137446</v>
      </c>
      <c r="F106" s="270"/>
      <c r="G106" s="34">
        <f>IF(G$9="","",G123*'Scenario Summary'!G$10)</f>
        <v>86.679231533241776</v>
      </c>
      <c r="H106" s="270"/>
      <c r="I106" s="34">
        <f>IF(I$9="","",I123*'Scenario Summary'!I$10)</f>
        <v>26.71969172462618</v>
      </c>
      <c r="J106" s="270"/>
      <c r="K106" s="34">
        <f>IF(K$9="","",K123*'Scenario Summary'!K$10)</f>
        <v>167.38131185478929</v>
      </c>
      <c r="L106" s="270"/>
      <c r="M106" s="34">
        <f>IF(M$9="","",M123*'Scenario Summary'!M$10)</f>
        <v>388.34107588582356</v>
      </c>
      <c r="N106" s="270"/>
      <c r="O106" s="34">
        <f>IF(O$9="","",O123*'Scenario Summary'!O$10)</f>
        <v>312.71612528419837</v>
      </c>
      <c r="P106" s="270"/>
      <c r="Q106" s="51">
        <f>IF(Q$9="","",Q123*'Scenario Summary'!Q$10)</f>
        <v>285.49501052797694</v>
      </c>
    </row>
    <row r="107" spans="2:17" x14ac:dyDescent="0.25">
      <c r="B107" s="20"/>
      <c r="C107" s="32"/>
      <c r="D107" s="205" t="s">
        <v>198</v>
      </c>
      <c r="E107" s="34">
        <f>IF(E$9="","",E124*'Scenario Summary'!E$10)</f>
        <v>0.1780934133733082</v>
      </c>
      <c r="F107" s="270"/>
      <c r="G107" s="34">
        <f>IF(G$9="","",G124*'Scenario Summary'!G$10)</f>
        <v>6.3078742955849657E-2</v>
      </c>
      <c r="H107" s="270"/>
      <c r="I107" s="34">
        <f>IF(I$9="","",I124*'Scenario Summary'!I$10)</f>
        <v>1.9445184393839552E-2</v>
      </c>
      <c r="J107" s="270"/>
      <c r="K107" s="34">
        <f>IF(K$9="","",K124*'Scenario Summary'!K$10)</f>
        <v>0.12182037485351821</v>
      </c>
      <c r="L107" s="270"/>
      <c r="M107" s="34">
        <f>IF(M$9="","",M124*'Scenario Summary'!M$10)</f>
        <v>0.28263968711560039</v>
      </c>
      <c r="N107" s="270"/>
      <c r="O107" s="34">
        <f>IF(O$9="","",O124*'Scenario Summary'!O$10)</f>
        <v>0.22762642376330816</v>
      </c>
      <c r="P107" s="270"/>
      <c r="Q107" s="51">
        <f>IF(Q$9="","",Q124*'Scenario Summary'!Q$10)</f>
        <v>0.20779227910058676</v>
      </c>
    </row>
    <row r="108" spans="2:17" x14ac:dyDescent="0.25">
      <c r="B108" s="20"/>
      <c r="C108" s="32"/>
      <c r="D108" s="205" t="s">
        <v>199</v>
      </c>
      <c r="E108" s="34">
        <f>IF(E$9="","",E125*'Scenario Summary'!E$10)</f>
        <v>7.3759033238596983</v>
      </c>
      <c r="F108" s="270"/>
      <c r="G108" s="34">
        <f>IF(G$9="","",G125*'Scenario Summary'!G$10)</f>
        <v>2.6027431259050777</v>
      </c>
      <c r="H108" s="270"/>
      <c r="I108" s="34">
        <f>IF(I$9="","",I125*'Scenario Summary'!I$10)</f>
        <v>0.80047563016260082</v>
      </c>
      <c r="J108" s="270"/>
      <c r="K108" s="34">
        <f>IF(K$9="","",K125*'Scenario Summary'!K$10)</f>
        <v>4.9848991450045004</v>
      </c>
      <c r="L108" s="270"/>
      <c r="M108" s="34">
        <f>IF(M$9="","",M125*'Scenario Summary'!M$10)</f>
        <v>11.550931607981143</v>
      </c>
      <c r="N108" s="270"/>
      <c r="O108" s="34">
        <f>IF(O$9="","",O125*'Scenario Summary'!O$10)</f>
        <v>9.2117329296501289</v>
      </c>
      <c r="P108" s="270"/>
      <c r="Q108" s="51">
        <f>IF(Q$9="","",Q125*'Scenario Summary'!Q$10)</f>
        <v>8.4745926894338943</v>
      </c>
    </row>
    <row r="109" spans="2:17" x14ac:dyDescent="0.25">
      <c r="B109" s="20"/>
      <c r="C109" s="32"/>
      <c r="D109" s="205" t="s">
        <v>200</v>
      </c>
      <c r="E109" s="34">
        <f>IF(E$9="","",E126*'Scenario Summary'!E$10)</f>
        <v>0.11851439453157625</v>
      </c>
      <c r="F109" s="270"/>
      <c r="G109" s="34">
        <f>IF(G$9="","",G126*'Scenario Summary'!G$10)</f>
        <v>4.1910670771684179E-2</v>
      </c>
      <c r="H109" s="270"/>
      <c r="I109" s="34">
        <f>IF(I$9="","",I126*'Scenario Summary'!I$10)</f>
        <v>1.2907086704329992E-2</v>
      </c>
      <c r="J109" s="270"/>
      <c r="K109" s="34">
        <f>IF(K$9="","",K126*'Scenario Summary'!K$10)</f>
        <v>8.0657761247875451E-2</v>
      </c>
      <c r="L109" s="270"/>
      <c r="M109" s="34">
        <f>IF(M$9="","",M126*'Scenario Summary'!M$10)</f>
        <v>0.1870372836962608</v>
      </c>
      <c r="N109" s="270"/>
      <c r="O109" s="34">
        <f>IF(O$9="","",O126*'Scenario Summary'!O$10)</f>
        <v>0.15001648225557837</v>
      </c>
      <c r="P109" s="270"/>
      <c r="Q109" s="51">
        <f>IF(Q$9="","",Q126*'Scenario Summary'!Q$10)</f>
        <v>0.13738856647657677</v>
      </c>
    </row>
    <row r="110" spans="2:17" x14ac:dyDescent="0.25">
      <c r="B110" s="22"/>
      <c r="C110" s="23"/>
      <c r="D110" s="84"/>
      <c r="E110" s="77"/>
      <c r="F110" s="41"/>
      <c r="G110" s="77"/>
      <c r="H110" s="41"/>
      <c r="I110" s="77"/>
      <c r="J110" s="41"/>
      <c r="K110" s="77"/>
      <c r="L110" s="41"/>
      <c r="M110" s="77"/>
      <c r="N110" s="41"/>
      <c r="O110" s="77"/>
      <c r="P110" s="41"/>
      <c r="Q110" s="78"/>
    </row>
    <row r="112" spans="2:17" s="42" customFormat="1" ht="15.75" x14ac:dyDescent="0.25">
      <c r="B112" s="11" t="s">
        <v>202</v>
      </c>
      <c r="C112" s="12"/>
      <c r="D112" s="79"/>
      <c r="E112" s="80"/>
      <c r="F112" s="79"/>
      <c r="G112" s="80"/>
      <c r="H112" s="79"/>
      <c r="I112" s="80"/>
      <c r="J112" s="79"/>
      <c r="K112" s="80"/>
      <c r="L112" s="79"/>
      <c r="M112" s="80"/>
      <c r="N112" s="79"/>
      <c r="O112" s="80"/>
      <c r="P112" s="79"/>
      <c r="Q112" s="81"/>
    </row>
    <row r="113" spans="2:17" s="42" customFormat="1" ht="15.75" x14ac:dyDescent="0.25">
      <c r="B113" s="15" t="s">
        <v>203</v>
      </c>
      <c r="C113" s="32"/>
      <c r="E113" s="70" t="str">
        <f>E56</f>
        <v>Container 2000</v>
      </c>
      <c r="F113" s="33"/>
      <c r="G113" s="70" t="str">
        <f>G56</f>
        <v>Container 4000</v>
      </c>
      <c r="H113" s="33"/>
      <c r="I113" s="70" t="str">
        <f>I56</f>
        <v>Container 5000</v>
      </c>
      <c r="J113" s="33"/>
      <c r="K113" s="70" t="str">
        <f>K56</f>
        <v>Container 6000</v>
      </c>
      <c r="L113" s="33"/>
      <c r="M113" s="70" t="str">
        <f>M56</f>
        <v>Container 8000</v>
      </c>
      <c r="N113" s="33"/>
      <c r="O113" s="70" t="str">
        <f>O56</f>
        <v>Container 9000</v>
      </c>
      <c r="P113" s="33"/>
      <c r="Q113" s="46" t="str">
        <f>Q56</f>
        <v>Container 10000</v>
      </c>
    </row>
    <row r="114" spans="2:17" s="42" customFormat="1" ht="15.75" x14ac:dyDescent="0.25">
      <c r="B114" s="15"/>
      <c r="C114" s="32"/>
      <c r="D114" s="55" t="s">
        <v>206</v>
      </c>
      <c r="E114" s="71"/>
      <c r="F114" s="33"/>
      <c r="G114" s="71"/>
      <c r="H114" s="33"/>
      <c r="I114" s="71"/>
      <c r="J114" s="33"/>
      <c r="K114" s="71"/>
      <c r="L114" s="33"/>
      <c r="M114" s="71"/>
      <c r="N114" s="33"/>
      <c r="O114" s="71"/>
      <c r="P114" s="33"/>
      <c r="Q114" s="47"/>
    </row>
    <row r="115" spans="2:17" s="42" customFormat="1" ht="18.75" x14ac:dyDescent="0.35">
      <c r="B115" s="15"/>
      <c r="C115" s="32"/>
      <c r="D115" s="29" t="s">
        <v>175</v>
      </c>
      <c r="E115" s="34">
        <f>IF(E$9="","",HLOOKUP(E$113,'Ship Parameters'!$D$81:$Y$86,2,FALSE))</f>
        <v>1.02141774</v>
      </c>
      <c r="F115" s="270"/>
      <c r="G115" s="34">
        <f>IF(G$9="","",HLOOKUP(G$113,'Ship Parameters'!$D$81:$Y$86,2,FALSE))</f>
        <v>1.1186956199999998</v>
      </c>
      <c r="H115" s="270"/>
      <c r="I115" s="34">
        <f>IF(I$9="","",HLOOKUP(I$113,'Ship Parameters'!$D$81:$Y$86,2,FALSE))</f>
        <v>1.8969186599999999</v>
      </c>
      <c r="J115" s="270"/>
      <c r="K115" s="34">
        <f>IF(K$9="","",HLOOKUP(K$113,'Ship Parameters'!$D$81:$Y$86,2,FALSE))</f>
        <v>1.2159735</v>
      </c>
      <c r="L115" s="270"/>
      <c r="M115" s="34">
        <f>IF(M$9="","",HLOOKUP(M$113,'Ship Parameters'!$D$81:$Y$86,2,FALSE))</f>
        <v>1.4591681999999999</v>
      </c>
      <c r="N115" s="270"/>
      <c r="O115" s="34">
        <f>IF(O$9="","",HLOOKUP(O$113,'Ship Parameters'!$D$81:$Y$86,2,FALSE))</f>
        <v>1.2646124399999996</v>
      </c>
      <c r="P115" s="270"/>
      <c r="Q115" s="51">
        <v>1.2778473122143246</v>
      </c>
    </row>
    <row r="116" spans="2:17" s="42" customFormat="1" ht="18.75" x14ac:dyDescent="0.35">
      <c r="B116" s="15"/>
      <c r="C116" s="32"/>
      <c r="D116" s="29" t="s">
        <v>263</v>
      </c>
      <c r="E116" s="34">
        <f>IF(E$9="","",HLOOKUP(E$113,'Ship Parameters'!$D$81:$Y$86,3,FALSE))</f>
        <v>1.0084200000000001</v>
      </c>
      <c r="F116" s="270"/>
      <c r="G116" s="34">
        <f>IF(G$9="","",HLOOKUP(G$113,'Ship Parameters'!$D$81:$Y$86,3,FALSE))</f>
        <v>1.10446</v>
      </c>
      <c r="H116" s="270"/>
      <c r="I116" s="34">
        <f>IF(I$9="","",HLOOKUP(I$113,'Ship Parameters'!$D$81:$Y$86,3,FALSE))</f>
        <v>1.8727799999999999</v>
      </c>
      <c r="J116" s="270"/>
      <c r="K116" s="34">
        <f>IF(K$9="","",HLOOKUP(K$113,'Ship Parameters'!$D$81:$Y$86,3,FALSE))</f>
        <v>1.2004999999999999</v>
      </c>
      <c r="L116" s="270"/>
      <c r="M116" s="34">
        <f>IF(M$9="","",HLOOKUP(M$113,'Ship Parameters'!$D$81:$Y$86,3,FALSE))</f>
        <v>1.4406000000000001</v>
      </c>
      <c r="N116" s="270"/>
      <c r="O116" s="34">
        <f>IF(O$9="","",HLOOKUP(O$113,'Ship Parameters'!$D$81:$Y$86,3,FALSE))</f>
        <v>1.2485199999999999</v>
      </c>
      <c r="P116" s="270"/>
      <c r="Q116" s="51">
        <v>1.2594010864109959</v>
      </c>
    </row>
    <row r="117" spans="2:17" s="42" customFormat="1" ht="15.75" x14ac:dyDescent="0.25">
      <c r="B117" s="15"/>
      <c r="C117" s="32"/>
      <c r="D117" s="29" t="s">
        <v>177</v>
      </c>
      <c r="E117" s="34">
        <f>IF(E$9="","",HLOOKUP(E$113,'Ship Parameters'!$D$81:$Y$86,4,FALSE))</f>
        <v>7.3728477259198837E-4</v>
      </c>
      <c r="F117" s="270"/>
      <c r="G117" s="34">
        <f>IF(G$9="","",HLOOKUP(G$113,'Ship Parameters'!$D$81:$Y$86,4,FALSE))</f>
        <v>8.0750236998170151E-4</v>
      </c>
      <c r="H117" s="270"/>
      <c r="I117" s="34">
        <f>IF(I$9="","",HLOOKUP(I$113,'Ship Parameters'!$D$81:$Y$86,4,FALSE))</f>
        <v>1.3692431490994071E-3</v>
      </c>
      <c r="J117" s="270"/>
      <c r="K117" s="34">
        <f>IF(K$9="","",HLOOKUP(K$113,'Ship Parameters'!$D$81:$Y$86,4,FALSE))</f>
        <v>8.7771996737141475E-4</v>
      </c>
      <c r="L117" s="270"/>
      <c r="M117" s="34">
        <f>IF(M$9="","",HLOOKUP(M$113,'Ship Parameters'!$D$81:$Y$86,4,FALSE))</f>
        <v>1.0532639608456977E-3</v>
      </c>
      <c r="N117" s="270"/>
      <c r="O117" s="34">
        <f>IF(O$9="","",HLOOKUP(O$113,'Ship Parameters'!$D$81:$Y$86,4,FALSE))</f>
        <v>9.1282876606627115E-4</v>
      </c>
      <c r="P117" s="270"/>
      <c r="Q117" s="51">
        <v>8.5790754305729161E-4</v>
      </c>
    </row>
    <row r="118" spans="2:17" s="42" customFormat="1" ht="15.75" x14ac:dyDescent="0.25">
      <c r="B118" s="15"/>
      <c r="C118" s="32"/>
      <c r="D118" s="29" t="s">
        <v>176</v>
      </c>
      <c r="E118" s="34">
        <f>IF(E$9="","",HLOOKUP(E$113,'Ship Parameters'!$D$81:$Y$86,5,FALSE))</f>
        <v>1.910150340150734E-2</v>
      </c>
      <c r="F118" s="270"/>
      <c r="G118" s="34">
        <f>IF(G$9="","",HLOOKUP(G$113,'Ship Parameters'!$D$81:$Y$86,5,FALSE))</f>
        <v>2.0920694201650894E-2</v>
      </c>
      <c r="H118" s="270"/>
      <c r="I118" s="34">
        <f>IF(I$9="","",HLOOKUP(I$113,'Ship Parameters'!$D$81:$Y$86,5,FALSE))</f>
        <v>3.5474220602799339E-2</v>
      </c>
      <c r="J118" s="270"/>
      <c r="K118" s="34">
        <f>IF(K$9="","",HLOOKUP(K$113,'Ship Parameters'!$D$81:$Y$86,5,FALSE))</f>
        <v>2.2739885001794451E-2</v>
      </c>
      <c r="L118" s="270"/>
      <c r="M118" s="34">
        <f>IF(M$9="","",HLOOKUP(M$113,'Ship Parameters'!$D$81:$Y$86,5,FALSE))</f>
        <v>2.728786200215334E-2</v>
      </c>
      <c r="N118" s="270"/>
      <c r="O118" s="34">
        <f>IF(O$9="","",HLOOKUP(O$113,'Ship Parameters'!$D$81:$Y$86,5,FALSE))</f>
        <v>2.3649480401866225E-2</v>
      </c>
      <c r="P118" s="270"/>
      <c r="Q118" s="51">
        <v>2.0953039975951042E-2</v>
      </c>
    </row>
    <row r="119" spans="2:17" s="42" customFormat="1" ht="15.75" x14ac:dyDescent="0.25">
      <c r="B119" s="15"/>
      <c r="C119" s="32"/>
      <c r="D119" s="29" t="s">
        <v>178</v>
      </c>
      <c r="E119" s="34">
        <f>IF(E$9="","",HLOOKUP(E$113,'Ship Parameters'!$D$81:$Y$86,6,FALSE))</f>
        <v>4.1320355387023522E-4</v>
      </c>
      <c r="F119" s="270"/>
      <c r="G119" s="34">
        <f>IF(G$9="","",HLOOKUP(G$113,'Ship Parameters'!$D$81:$Y$86,6,FALSE))</f>
        <v>4.5255627328644811E-4</v>
      </c>
      <c r="H119" s="270"/>
      <c r="I119" s="34">
        <f>IF(I$9="","",HLOOKUP(I$113,'Ship Parameters'!$D$81:$Y$86,6,FALSE))</f>
        <v>7.673780286161511E-4</v>
      </c>
      <c r="J119" s="270"/>
      <c r="K119" s="34">
        <f>IF(K$9="","",HLOOKUP(K$113,'Ship Parameters'!$D$81:$Y$86,6,FALSE))</f>
        <v>4.9190899270266095E-4</v>
      </c>
      <c r="L119" s="270"/>
      <c r="M119" s="34">
        <f>IF(M$9="","",HLOOKUP(M$113,'Ship Parameters'!$D$81:$Y$86,6,FALSE))</f>
        <v>5.9029079124319319E-4</v>
      </c>
      <c r="N119" s="270"/>
      <c r="O119" s="34">
        <f>IF(O$9="","",HLOOKUP(O$113,'Ship Parameters'!$D$81:$Y$86,6,FALSE))</f>
        <v>5.1158535241076729E-4</v>
      </c>
      <c r="P119" s="270"/>
      <c r="Q119" s="51">
        <v>4.2848224784374894E-4</v>
      </c>
    </row>
    <row r="120" spans="2:17" s="42" customFormat="1" x14ac:dyDescent="0.25">
      <c r="B120" s="20"/>
      <c r="C120" s="32"/>
      <c r="D120" s="66"/>
      <c r="E120" s="87"/>
      <c r="F120" s="94"/>
      <c r="G120" s="67"/>
      <c r="H120" s="33"/>
      <c r="I120" s="67"/>
      <c r="J120" s="33"/>
      <c r="K120" s="67"/>
      <c r="L120" s="33"/>
      <c r="M120" s="67"/>
      <c r="N120" s="33"/>
      <c r="O120" s="67"/>
      <c r="P120" s="33"/>
      <c r="Q120" s="59"/>
    </row>
    <row r="121" spans="2:17" s="42" customFormat="1" ht="15.75" x14ac:dyDescent="0.25">
      <c r="B121" s="15"/>
      <c r="C121" s="32"/>
      <c r="D121" s="55" t="s">
        <v>207</v>
      </c>
      <c r="E121" s="87"/>
      <c r="F121" s="94"/>
      <c r="G121" s="67"/>
      <c r="H121" s="33"/>
      <c r="I121" s="67"/>
      <c r="J121" s="33"/>
      <c r="K121" s="67"/>
      <c r="L121" s="33"/>
      <c r="M121" s="67"/>
      <c r="N121" s="33"/>
      <c r="O121" s="67"/>
      <c r="P121" s="33"/>
      <c r="Q121" s="59"/>
    </row>
    <row r="122" spans="2:17" s="42" customFormat="1" ht="18.75" x14ac:dyDescent="0.35">
      <c r="B122" s="20"/>
      <c r="C122" s="32"/>
      <c r="D122" s="29" t="s">
        <v>175</v>
      </c>
      <c r="E122" s="34">
        <f>IF(E$9="","",HLOOKUP(E$113,'Ship Parameters'!$D$95:$Y$100,2,FALSE))</f>
        <v>4.6888899020571122</v>
      </c>
      <c r="F122" s="270"/>
      <c r="G122" s="34">
        <f>IF(G$9="","",HLOOKUP(G$113,'Ship Parameters'!$D$95:$Y$100,2,FALSE))</f>
        <v>7.3344717096335117</v>
      </c>
      <c r="H122" s="270"/>
      <c r="I122" s="34">
        <f>IF(I$9="","",HLOOKUP(I$113,'Ship Parameters'!$D$95:$Y$100,2,FALSE))</f>
        <v>9.0435417033652659</v>
      </c>
      <c r="J122" s="270"/>
      <c r="K122" s="34">
        <f>IF(K$9="","",HLOOKUP(K$113,'Ship Parameters'!$D$95:$Y$100,2,FALSE))</f>
        <v>10.621803668959723</v>
      </c>
      <c r="L122" s="270"/>
      <c r="M122" s="34">
        <f>IF(M$9="","",HLOOKUP(M$113,'Ship Parameters'!$D$95:$Y$100,2,FALSE))</f>
        <v>12.719185598618825</v>
      </c>
      <c r="N122" s="270"/>
      <c r="O122" s="34">
        <f>IF(O$9="","",HLOOKUP(O$113,'Ship Parameters'!$D$95:$Y$100,2,FALSE))</f>
        <v>13.228754017252697</v>
      </c>
      <c r="P122" s="270"/>
      <c r="Q122" s="51">
        <f>IF(Q$9="","",HLOOKUP(Q$113,'Ship Parameters'!$D$95:$Y$100,2,FALSE))</f>
        <v>13.175820418002743</v>
      </c>
    </row>
    <row r="123" spans="2:17" s="42" customFormat="1" ht="18.75" x14ac:dyDescent="0.35">
      <c r="B123" s="20"/>
      <c r="C123" s="32"/>
      <c r="D123" s="29" t="s">
        <v>263</v>
      </c>
      <c r="E123" s="34">
        <f>IF(E$9="","",HLOOKUP(E$113,'Ship Parameters'!$D$95:$Y$100,3,FALSE))</f>
        <v>4.6176849268183862</v>
      </c>
      <c r="F123" s="270"/>
      <c r="G123" s="34">
        <f>IF(G$9="","",HLOOKUP(G$113,'Ship Parameters'!$D$95:$Y$100,3,FALSE))</f>
        <v>7.2232692944368146</v>
      </c>
      <c r="H123" s="270"/>
      <c r="I123" s="34">
        <f>IF(I$9="","",HLOOKUP(I$113,'Ship Parameters'!$D$95:$Y$100,3,FALSE))</f>
        <v>8.9065639082087262</v>
      </c>
      <c r="J123" s="270"/>
      <c r="K123" s="34">
        <f>IF(K$9="","",HLOOKUP(K$113,'Ship Parameters'!$D$95:$Y$100,3,FALSE))</f>
        <v>10.461331990924331</v>
      </c>
      <c r="L123" s="270"/>
      <c r="M123" s="34">
        <f>IF(M$9="","",HLOOKUP(M$113,'Ship Parameters'!$D$95:$Y$100,3,FALSE))</f>
        <v>12.527131480187856</v>
      </c>
      <c r="N123" s="270"/>
      <c r="O123" s="34">
        <f>IF(O$9="","",HLOOKUP(O$113,'Ship Parameters'!$D$95:$Y$100,3,FALSE))</f>
        <v>13.029838553508265</v>
      </c>
      <c r="P123" s="270"/>
      <c r="Q123" s="51">
        <f>IF(Q$9="","",HLOOKUP(Q$113,'Ship Parameters'!$D$95:$Y$100,3,FALSE))</f>
        <v>12.97704593308986</v>
      </c>
    </row>
    <row r="124" spans="2:17" s="42" customFormat="1" x14ac:dyDescent="0.25">
      <c r="B124" s="20"/>
      <c r="C124" s="32"/>
      <c r="D124" s="29" t="s">
        <v>177</v>
      </c>
      <c r="E124" s="34">
        <f>IF(E$9="","",HLOOKUP(E$113,'Ship Parameters'!$D$95:$Y$100,4,FALSE))</f>
        <v>3.3602530825152491E-3</v>
      </c>
      <c r="F124" s="270"/>
      <c r="G124" s="34">
        <f>IF(G$9="","",HLOOKUP(G$113,'Ship Parameters'!$D$95:$Y$100,4,FALSE))</f>
        <v>5.2565619129874711E-3</v>
      </c>
      <c r="H124" s="270"/>
      <c r="I124" s="34">
        <f>IF(I$9="","",HLOOKUP(I$113,'Ship Parameters'!$D$95:$Y$100,4,FALSE))</f>
        <v>6.4817281312798507E-3</v>
      </c>
      <c r="J124" s="270"/>
      <c r="K124" s="34">
        <f>IF(K$9="","",HLOOKUP(K$113,'Ship Parameters'!$D$95:$Y$100,4,FALSE))</f>
        <v>7.6137734283448881E-3</v>
      </c>
      <c r="L124" s="270"/>
      <c r="M124" s="34">
        <f>IF(M$9="","",HLOOKUP(M$113,'Ship Parameters'!$D$95:$Y$100,4,FALSE))</f>
        <v>9.1174092617935607E-3</v>
      </c>
      <c r="N124" s="270"/>
      <c r="O124" s="34">
        <f>IF(O$9="","",HLOOKUP(O$113,'Ship Parameters'!$D$95:$Y$100,4,FALSE))</f>
        <v>9.4844343234711734E-3</v>
      </c>
      <c r="P124" s="270"/>
      <c r="Q124" s="51">
        <f>IF(Q$9="","",HLOOKUP(Q$113,'Ship Parameters'!$D$95:$Y$100,4,FALSE))</f>
        <v>9.4451035954812163E-3</v>
      </c>
    </row>
    <row r="125" spans="2:17" s="42" customFormat="1" x14ac:dyDescent="0.25">
      <c r="B125" s="20"/>
      <c r="C125" s="32"/>
      <c r="D125" s="29" t="s">
        <v>176</v>
      </c>
      <c r="E125" s="34">
        <f>IF(E$9="","",HLOOKUP(E$113,'Ship Parameters'!$D$95:$Y$100,5,FALSE))</f>
        <v>0.13916798724263582</v>
      </c>
      <c r="F125" s="270"/>
      <c r="G125" s="34">
        <f>IF(G$9="","",HLOOKUP(G$113,'Ship Parameters'!$D$95:$Y$100,5,FALSE))</f>
        <v>0.21689526049208979</v>
      </c>
      <c r="H125" s="270"/>
      <c r="I125" s="34">
        <f>IF(I$9="","",HLOOKUP(I$113,'Ship Parameters'!$D$95:$Y$100,5,FALSE))</f>
        <v>0.26682521005420029</v>
      </c>
      <c r="J125" s="270"/>
      <c r="K125" s="34">
        <f>IF(K$9="","",HLOOKUP(K$113,'Ship Parameters'!$D$95:$Y$100,5,FALSE))</f>
        <v>0.31155619656278127</v>
      </c>
      <c r="L125" s="270"/>
      <c r="M125" s="34">
        <f>IF(M$9="","",HLOOKUP(M$113,'Ship Parameters'!$D$95:$Y$100,5,FALSE))</f>
        <v>0.37261069703164978</v>
      </c>
      <c r="N125" s="270"/>
      <c r="O125" s="34">
        <f>IF(O$9="","",HLOOKUP(O$113,'Ship Parameters'!$D$95:$Y$100,5,FALSE))</f>
        <v>0.38382220540208872</v>
      </c>
      <c r="P125" s="270"/>
      <c r="Q125" s="51">
        <f>IF(Q$9="","",HLOOKUP(Q$113,'Ship Parameters'!$D$95:$Y$100,5,FALSE))</f>
        <v>0.38520875861063159</v>
      </c>
    </row>
    <row r="126" spans="2:17" s="42" customFormat="1" x14ac:dyDescent="0.25">
      <c r="B126" s="20"/>
      <c r="C126" s="32"/>
      <c r="D126" s="29" t="s">
        <v>178</v>
      </c>
      <c r="E126" s="34">
        <f>IF(E$9="","",HLOOKUP(E$113,'Ship Parameters'!$D$95:$Y$100,6,FALSE))</f>
        <v>2.2361206515391745E-3</v>
      </c>
      <c r="F126" s="270"/>
      <c r="G126" s="34">
        <f>IF(G$9="","",HLOOKUP(G$113,'Ship Parameters'!$D$95:$Y$100,6,FALSE))</f>
        <v>3.4925558976403484E-3</v>
      </c>
      <c r="H126" s="270"/>
      <c r="I126" s="34">
        <f>IF(I$9="","",HLOOKUP(I$113,'Ship Parameters'!$D$95:$Y$100,6,FALSE))</f>
        <v>4.3023622347766639E-3</v>
      </c>
      <c r="J126" s="270"/>
      <c r="K126" s="34">
        <f>IF(K$9="","",HLOOKUP(K$113,'Ship Parameters'!$D$95:$Y$100,6,FALSE))</f>
        <v>5.0411100779922157E-3</v>
      </c>
      <c r="L126" s="270"/>
      <c r="M126" s="34">
        <f>IF(M$9="","",HLOOKUP(M$113,'Ship Parameters'!$D$95:$Y$100,6,FALSE))</f>
        <v>6.0334607643955096E-3</v>
      </c>
      <c r="N126" s="270"/>
      <c r="O126" s="34">
        <f>IF(O$9="","",HLOOKUP(O$113,'Ship Parameters'!$D$95:$Y$100,6,FALSE))</f>
        <v>6.2506867606490985E-3</v>
      </c>
      <c r="P126" s="270"/>
      <c r="Q126" s="51">
        <f>IF(Q$9="","",HLOOKUP(Q$113,'Ship Parameters'!$D$95:$Y$100,6,FALSE))</f>
        <v>6.2449348398443986E-3</v>
      </c>
    </row>
    <row r="127" spans="2:17" s="42" customFormat="1" x14ac:dyDescent="0.25">
      <c r="B127" s="22"/>
      <c r="C127" s="23"/>
      <c r="D127" s="69"/>
      <c r="E127" s="91"/>
      <c r="F127" s="41"/>
      <c r="G127" s="91"/>
      <c r="H127" s="41"/>
      <c r="I127" s="91"/>
      <c r="J127" s="41"/>
      <c r="K127" s="91"/>
      <c r="L127" s="41"/>
      <c r="M127" s="91"/>
      <c r="N127" s="41"/>
      <c r="O127" s="91"/>
      <c r="P127" s="41"/>
      <c r="Q127" s="92"/>
    </row>
    <row r="128" spans="2:17" s="42" customFormat="1" x14ac:dyDescent="0.25">
      <c r="D128" s="75"/>
      <c r="E128" s="76"/>
      <c r="G128" s="76"/>
      <c r="I128" s="76"/>
      <c r="K128" s="76"/>
      <c r="M128" s="76"/>
      <c r="O128" s="76"/>
      <c r="Q128" s="76"/>
    </row>
  </sheetData>
  <sheetProtection algorithmName="SHA-512" hashValue="pFoxx77HU8SzZGT8/DzAMlSzky6NyYu5qGBmK4EL/QwH1JmxdHJBaFi97F8eJ6IkrLBwa+DkZIGZ5tjlx960DA==" saltValue="SXQeW3Lut4LfpHNoktvpXQ==" spinCount="100000" sheet="1" objects="1" scenarios="1"/>
  <pageMargins left="0.5" right="0.5" top="0.7" bottom="0.7" header="0.3" footer="0.3"/>
  <pageSetup paperSize="5" scale="59" orientation="landscape" r:id="rId1"/>
  <rowBreaks count="2" manualBreakCount="2">
    <brk id="54" max="16" man="1"/>
    <brk id="9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2413-69A2-4F2C-AAB3-713E396371EA}">
  <sheetPr codeName="Sheet4"/>
  <dimension ref="A1:Q89"/>
  <sheetViews>
    <sheetView showGridLines="0" topLeftCell="B1" zoomScale="85" zoomScaleNormal="85" workbookViewId="0">
      <selection activeCell="B5" sqref="B5"/>
    </sheetView>
  </sheetViews>
  <sheetFormatPr defaultRowHeight="15" x14ac:dyDescent="0.25"/>
  <cols>
    <col min="1" max="3" width="12.5703125" customWidth="1"/>
    <col min="4" max="4" width="59.42578125" customWidth="1"/>
    <col min="5" max="5" width="21.140625" customWidth="1"/>
    <col min="6" max="6" width="6.28515625" customWidth="1"/>
    <col min="7" max="7" width="21.140625" customWidth="1"/>
    <col min="8" max="8" width="6.7109375" customWidth="1"/>
    <col min="9" max="9" width="21.140625" customWidth="1"/>
    <col min="10" max="10" width="5.28515625" customWidth="1"/>
    <col min="11" max="11" width="21.140625" customWidth="1"/>
    <col min="12" max="12" width="5.28515625" customWidth="1"/>
    <col min="13" max="13" width="21.140625" customWidth="1"/>
    <col min="14" max="14" width="5.28515625" customWidth="1"/>
    <col min="15" max="15" width="21.140625" customWidth="1"/>
    <col min="16" max="16" width="5.28515625" customWidth="1"/>
    <col min="17" max="17" width="21.140625" customWidth="1"/>
  </cols>
  <sheetData>
    <row r="1" spans="1:17" ht="2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1" x14ac:dyDescent="0.35">
      <c r="A2" s="6"/>
      <c r="B2" s="6"/>
      <c r="C2" s="6"/>
      <c r="D2" s="6" t="s">
        <v>83</v>
      </c>
      <c r="E2" s="6"/>
      <c r="F2" s="6"/>
      <c r="G2" s="6"/>
      <c r="H2" s="6"/>
      <c r="I2" s="6"/>
      <c r="J2" s="6"/>
      <c r="K2" s="6" t="s">
        <v>84</v>
      </c>
      <c r="L2" s="6"/>
      <c r="M2" s="6"/>
      <c r="N2" s="6"/>
      <c r="O2" s="6"/>
      <c r="P2" s="6"/>
      <c r="Q2" s="6"/>
    </row>
    <row r="3" spans="1:17" ht="39" x14ac:dyDescent="0.6">
      <c r="A3" s="6"/>
      <c r="B3" s="7"/>
      <c r="C3" s="6"/>
      <c r="D3" s="7" t="s">
        <v>283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2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21" x14ac:dyDescent="0.35">
      <c r="A6" s="9"/>
      <c r="B6" s="9"/>
      <c r="C6" s="9"/>
      <c r="D6" s="37"/>
    </row>
    <row r="8" spans="1:17" ht="15.75" x14ac:dyDescent="0.25">
      <c r="B8" s="11" t="s">
        <v>297</v>
      </c>
      <c r="C8" s="12"/>
      <c r="D8" s="13"/>
      <c r="E8" s="13"/>
      <c r="F8" s="1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hidden="1" x14ac:dyDescent="0.25">
      <c r="B9" s="15"/>
      <c r="C9" s="16"/>
      <c r="D9" s="110"/>
      <c r="E9" s="208" t="str">
        <f>IF('Scenario Summary'!E9="","",'Scenario Summary'!E9)</f>
        <v>Container 2000</v>
      </c>
      <c r="F9" s="209"/>
      <c r="G9" s="208" t="str">
        <f>IF('Scenario Summary'!G9="","",'Scenario Summary'!G9)</f>
        <v>Container 4000</v>
      </c>
      <c r="H9" s="64"/>
      <c r="I9" s="208" t="str">
        <f>IF('Scenario Summary'!I9="","",'Scenario Summary'!I9)</f>
        <v>Container 5000</v>
      </c>
      <c r="J9" s="64"/>
      <c r="K9" s="208" t="str">
        <f>IF('Scenario Summary'!K9="","",'Scenario Summary'!K9)</f>
        <v>Container 6000</v>
      </c>
      <c r="L9" s="64"/>
      <c r="M9" s="208" t="str">
        <f>IF('Scenario Summary'!M9="","",'Scenario Summary'!M9)</f>
        <v>Container 8000</v>
      </c>
      <c r="N9" s="64"/>
      <c r="O9" s="208" t="str">
        <f>IF('Scenario Summary'!O9="","",'Scenario Summary'!O9)</f>
        <v>Container 9000</v>
      </c>
      <c r="P9" s="64"/>
      <c r="Q9" s="208" t="str">
        <f>IF('Scenario Summary'!Q9="","",'Scenario Summary'!Q9)</f>
        <v>Container 10000</v>
      </c>
    </row>
    <row r="10" spans="1:17" hidden="1" x14ac:dyDescent="0.25">
      <c r="B10" s="20"/>
      <c r="C10" s="16"/>
      <c r="D10" s="110"/>
      <c r="E10" s="174"/>
      <c r="F10" s="209"/>
      <c r="G10" s="174"/>
      <c r="H10" s="64"/>
      <c r="I10" s="174"/>
      <c r="J10" s="64"/>
      <c r="K10" s="174"/>
      <c r="L10" s="64"/>
      <c r="M10" s="174"/>
      <c r="N10" s="64"/>
      <c r="O10" s="174"/>
      <c r="P10" s="64"/>
      <c r="Q10" s="174"/>
    </row>
    <row r="11" spans="1:17" hidden="1" x14ac:dyDescent="0.25">
      <c r="B11" s="20"/>
      <c r="C11" s="16"/>
      <c r="D11" s="110" t="s">
        <v>142</v>
      </c>
      <c r="E11" s="174">
        <f>'Scenario Summary'!E18</f>
        <v>1</v>
      </c>
      <c r="F11" s="209"/>
      <c r="G11" s="174">
        <f>'Scenario Summary'!G18</f>
        <v>1</v>
      </c>
      <c r="H11" s="64"/>
      <c r="I11" s="174">
        <f>'Scenario Summary'!I18</f>
        <v>1</v>
      </c>
      <c r="J11" s="64"/>
      <c r="K11" s="174">
        <f>'Scenario Summary'!K18</f>
        <v>1</v>
      </c>
      <c r="L11" s="64"/>
      <c r="M11" s="174">
        <f>'Scenario Summary'!M18</f>
        <v>1</v>
      </c>
      <c r="N11" s="64"/>
      <c r="O11" s="174">
        <f>'Scenario Summary'!O18</f>
        <v>2</v>
      </c>
      <c r="P11" s="64"/>
      <c r="Q11" s="174">
        <f>'Scenario Summary'!Q18</f>
        <v>2</v>
      </c>
    </row>
    <row r="12" spans="1:17" hidden="1" x14ac:dyDescent="0.25">
      <c r="B12" s="20"/>
      <c r="C12" s="16"/>
      <c r="D12" s="2"/>
      <c r="E12" s="31"/>
      <c r="F12" s="210"/>
      <c r="G12" s="31"/>
      <c r="H12" s="42"/>
      <c r="I12" s="31"/>
      <c r="J12" s="42"/>
      <c r="K12" s="31"/>
      <c r="L12" s="42"/>
      <c r="M12" s="31"/>
      <c r="N12" s="42"/>
      <c r="O12" s="31"/>
      <c r="P12" s="42"/>
      <c r="Q12" s="31"/>
    </row>
    <row r="13" spans="1:17" x14ac:dyDescent="0.25">
      <c r="B13" s="20"/>
      <c r="C13" s="16"/>
      <c r="D13" s="2" t="s">
        <v>164</v>
      </c>
      <c r="E13" s="102">
        <v>3000</v>
      </c>
      <c r="F13" s="210"/>
      <c r="G13" s="174">
        <f>E13</f>
        <v>3000</v>
      </c>
      <c r="H13" s="64"/>
      <c r="I13" s="174">
        <f>G13</f>
        <v>3000</v>
      </c>
      <c r="J13" s="64"/>
      <c r="K13" s="174">
        <f>I13</f>
        <v>3000</v>
      </c>
      <c r="L13" s="64"/>
      <c r="M13" s="174">
        <f>K13</f>
        <v>3000</v>
      </c>
      <c r="N13" s="64"/>
      <c r="O13" s="174">
        <f>M13</f>
        <v>3000</v>
      </c>
      <c r="P13" s="64"/>
      <c r="Q13" s="174">
        <f>O13</f>
        <v>3000</v>
      </c>
    </row>
    <row r="14" spans="1:17" x14ac:dyDescent="0.25">
      <c r="B14" s="20"/>
      <c r="C14" s="16"/>
      <c r="D14" s="2" t="s">
        <v>167</v>
      </c>
      <c r="E14" s="102">
        <v>2</v>
      </c>
      <c r="F14" s="210"/>
      <c r="G14" s="174">
        <f>E14</f>
        <v>2</v>
      </c>
      <c r="H14" s="64"/>
      <c r="I14" s="174">
        <f>G14</f>
        <v>2</v>
      </c>
      <c r="J14" s="64"/>
      <c r="K14" s="174">
        <f>I14</f>
        <v>2</v>
      </c>
      <c r="L14" s="64"/>
      <c r="M14" s="174">
        <f>K14</f>
        <v>2</v>
      </c>
      <c r="N14" s="64"/>
      <c r="O14" s="174">
        <f>M14</f>
        <v>2</v>
      </c>
      <c r="P14" s="64"/>
      <c r="Q14" s="174">
        <f>O14</f>
        <v>2</v>
      </c>
    </row>
    <row r="15" spans="1:17" x14ac:dyDescent="0.25">
      <c r="B15" s="20"/>
      <c r="C15" s="16"/>
      <c r="D15" s="2" t="s">
        <v>165</v>
      </c>
      <c r="E15" s="102">
        <v>137</v>
      </c>
      <c r="F15" s="210"/>
      <c r="G15" s="174">
        <f>E15</f>
        <v>137</v>
      </c>
      <c r="H15" s="64"/>
      <c r="I15" s="174">
        <f>G15</f>
        <v>137</v>
      </c>
      <c r="J15" s="64"/>
      <c r="K15" s="174">
        <f>I15</f>
        <v>137</v>
      </c>
      <c r="L15" s="64"/>
      <c r="M15" s="174">
        <f>K15</f>
        <v>137</v>
      </c>
      <c r="N15" s="64"/>
      <c r="O15" s="174">
        <f>M15</f>
        <v>137</v>
      </c>
      <c r="P15" s="64"/>
      <c r="Q15" s="174">
        <f>O15</f>
        <v>137</v>
      </c>
    </row>
    <row r="16" spans="1:17" x14ac:dyDescent="0.25">
      <c r="B16" s="20"/>
      <c r="C16" s="16"/>
      <c r="D16" s="2" t="s">
        <v>166</v>
      </c>
      <c r="E16" s="102">
        <v>1</v>
      </c>
      <c r="F16" s="210"/>
      <c r="G16" s="174">
        <f>E16</f>
        <v>1</v>
      </c>
      <c r="H16" s="64"/>
      <c r="I16" s="174">
        <f>G16</f>
        <v>1</v>
      </c>
      <c r="J16" s="64"/>
      <c r="K16" s="174">
        <f>I16</f>
        <v>1</v>
      </c>
      <c r="L16" s="64"/>
      <c r="M16" s="174">
        <f>K16</f>
        <v>1</v>
      </c>
      <c r="N16" s="64"/>
      <c r="O16" s="174">
        <f>M16</f>
        <v>1</v>
      </c>
      <c r="P16" s="64"/>
      <c r="Q16" s="174">
        <f>O16</f>
        <v>1</v>
      </c>
    </row>
    <row r="17" spans="2:17" x14ac:dyDescent="0.25">
      <c r="B17" s="22"/>
      <c r="C17" s="23"/>
      <c r="D17" s="39"/>
      <c r="E17" s="40"/>
      <c r="F17" s="58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2:17" s="2" customFormat="1" x14ac:dyDescent="0.25">
      <c r="B18" s="42"/>
      <c r="C18" s="42"/>
      <c r="D18" s="83"/>
      <c r="E18" s="4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2:17" s="2" customFormat="1" ht="15.75" x14ac:dyDescent="0.25">
      <c r="B19" s="11" t="s">
        <v>262</v>
      </c>
      <c r="C19" s="12"/>
      <c r="D19" s="13"/>
      <c r="E19" s="28"/>
      <c r="F19" s="14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2:17" s="2" customFormat="1" ht="15.75" x14ac:dyDescent="0.25">
      <c r="B20" s="15" t="s">
        <v>258</v>
      </c>
      <c r="C20" s="32"/>
      <c r="D20"/>
      <c r="E20" s="187"/>
      <c r="F20" s="175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2:17" s="2" customFormat="1" ht="15.75" x14ac:dyDescent="0.25">
      <c r="B21" s="15"/>
      <c r="C21" s="32"/>
      <c r="D21" s="66" t="s">
        <v>214</v>
      </c>
      <c r="E21" s="187">
        <f>SUM(E54:Q54)</f>
        <v>60.030000000000008</v>
      </c>
      <c r="F21" s="176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2:17" s="2" customFormat="1" x14ac:dyDescent="0.25">
      <c r="B22" s="20"/>
      <c r="C22" s="16"/>
      <c r="D22" s="82" t="s">
        <v>215</v>
      </c>
      <c r="E22" s="190">
        <f>SUM(E55:Q55)</f>
        <v>60030.000000000007</v>
      </c>
      <c r="F22" s="177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s="2" customFormat="1" x14ac:dyDescent="0.25">
      <c r="B23" s="20"/>
      <c r="C23" s="16"/>
      <c r="D23"/>
      <c r="E23" s="188"/>
      <c r="F23" s="177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s="2" customFormat="1" x14ac:dyDescent="0.25">
      <c r="B24" s="20"/>
      <c r="C24" s="16"/>
      <c r="D24" s="66" t="s">
        <v>211</v>
      </c>
      <c r="E24" s="188"/>
      <c r="F24" s="177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s="2" customFormat="1" ht="18.75" x14ac:dyDescent="0.35">
      <c r="B25" s="20"/>
      <c r="C25" s="16"/>
      <c r="D25" s="29" t="s">
        <v>196</v>
      </c>
      <c r="E25" s="187">
        <f>SUM(E74:Q74)</f>
        <v>181.28863846799999</v>
      </c>
      <c r="F25" s="177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s="2" customFormat="1" ht="18.75" x14ac:dyDescent="0.35">
      <c r="B26" s="20"/>
      <c r="C26" s="16"/>
      <c r="D26" s="29" t="s">
        <v>284</v>
      </c>
      <c r="E26" s="187">
        <f>SUM(E75:Q75)</f>
        <v>181.28863846799999</v>
      </c>
      <c r="F26" s="177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s="2" customFormat="1" x14ac:dyDescent="0.25">
      <c r="B27" s="20"/>
      <c r="C27" s="16"/>
      <c r="D27" s="29" t="s">
        <v>198</v>
      </c>
      <c r="E27" s="187">
        <f>SUM(E76:Q76)</f>
        <v>2.0841954200930359E-3</v>
      </c>
      <c r="F27" s="177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s="2" customFormat="1" x14ac:dyDescent="0.25">
      <c r="B28" s="20"/>
      <c r="C28" s="16"/>
      <c r="D28" s="29" t="s">
        <v>199</v>
      </c>
      <c r="E28" s="187">
        <f>SUM(E77:Q77)</f>
        <v>2.5022207033611599</v>
      </c>
      <c r="F28" s="17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s="2" customFormat="1" x14ac:dyDescent="0.25">
      <c r="B29" s="20"/>
      <c r="C29" s="16"/>
      <c r="D29" s="29" t="s">
        <v>200</v>
      </c>
      <c r="E29" s="187">
        <f>SUM(E78:Q78)</f>
        <v>8.4590582033352485E-2</v>
      </c>
      <c r="F29" s="177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s="2" customFormat="1" x14ac:dyDescent="0.25">
      <c r="B30" s="22"/>
      <c r="C30" s="23"/>
      <c r="D30" s="24"/>
      <c r="E30" s="26"/>
      <c r="F30" s="27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s="2" customFormat="1" x14ac:dyDescent="0.25">
      <c r="B31" s="42"/>
      <c r="C31" s="42"/>
      <c r="D31" s="83"/>
      <c r="E31" s="44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2:17" s="2" customFormat="1" ht="15.75" x14ac:dyDescent="0.25">
      <c r="B32" s="11" t="s">
        <v>173</v>
      </c>
      <c r="C32" s="12"/>
      <c r="D32" s="13"/>
      <c r="E32" s="28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spans="2:17" s="2" customFormat="1" ht="15.75" x14ac:dyDescent="0.25">
      <c r="B33" s="15"/>
      <c r="C33" s="32"/>
      <c r="D33" s="33"/>
      <c r="E33" s="101" t="str">
        <f>E9</f>
        <v>Container 2000</v>
      </c>
      <c r="F33" s="33"/>
      <c r="G33" s="101" t="str">
        <f>G9</f>
        <v>Container 4000</v>
      </c>
      <c r="H33" s="33"/>
      <c r="I33" s="101" t="str">
        <f>I9</f>
        <v>Container 5000</v>
      </c>
      <c r="J33" s="33"/>
      <c r="K33" s="101" t="str">
        <f>K9</f>
        <v>Container 6000</v>
      </c>
      <c r="L33" s="33"/>
      <c r="M33" s="101" t="str">
        <f>M9</f>
        <v>Container 8000</v>
      </c>
      <c r="N33" s="33"/>
      <c r="O33" s="101" t="str">
        <f>O9</f>
        <v>Container 9000</v>
      </c>
      <c r="P33" s="33"/>
      <c r="Q33" s="46" t="str">
        <f>Q9</f>
        <v>Container 10000</v>
      </c>
    </row>
    <row r="34" spans="2:17" s="2" customFormat="1" ht="15.75" x14ac:dyDescent="0.25">
      <c r="B34" s="15"/>
      <c r="C34" s="32"/>
      <c r="D34" s="33"/>
      <c r="E34" s="71"/>
      <c r="F34" s="33"/>
      <c r="G34" s="71"/>
      <c r="H34" s="33"/>
      <c r="I34" s="71"/>
      <c r="J34" s="33"/>
      <c r="K34" s="71"/>
      <c r="L34" s="33"/>
      <c r="M34" s="71"/>
      <c r="N34" s="33"/>
      <c r="O34" s="71"/>
      <c r="P34" s="33"/>
      <c r="Q34" s="47"/>
    </row>
    <row r="35" spans="2:17" s="2" customFormat="1" ht="15.75" x14ac:dyDescent="0.25">
      <c r="B35" s="15"/>
      <c r="C35" s="32"/>
      <c r="D35" s="55" t="s">
        <v>151</v>
      </c>
      <c r="E35" s="71"/>
      <c r="F35" s="33"/>
      <c r="G35" s="71"/>
      <c r="H35" s="33"/>
      <c r="I35" s="71"/>
      <c r="J35" s="33"/>
      <c r="K35" s="71"/>
      <c r="L35" s="33"/>
      <c r="M35" s="71"/>
      <c r="N35" s="33"/>
      <c r="O35" s="71"/>
      <c r="P35" s="33"/>
      <c r="Q35" s="47"/>
    </row>
    <row r="36" spans="2:17" s="2" customFormat="1" ht="15.75" x14ac:dyDescent="0.25">
      <c r="B36" s="15"/>
      <c r="C36" s="32"/>
      <c r="D36" s="66" t="s">
        <v>158</v>
      </c>
      <c r="E36" s="67">
        <f>'Assist Tug Parameters'!C20</f>
        <v>30</v>
      </c>
      <c r="F36" s="33"/>
      <c r="G36" s="67">
        <f>'Assist Tug Parameters'!D20</f>
        <v>30</v>
      </c>
      <c r="H36" s="33"/>
      <c r="I36" s="67">
        <f>'Assist Tug Parameters'!E20</f>
        <v>30</v>
      </c>
      <c r="J36" s="33"/>
      <c r="K36" s="67">
        <f>'Assist Tug Parameters'!F20</f>
        <v>30</v>
      </c>
      <c r="L36" s="33"/>
      <c r="M36" s="67">
        <f>'Assist Tug Parameters'!G20</f>
        <v>30</v>
      </c>
      <c r="N36" s="33"/>
      <c r="O36" s="67">
        <f>'Assist Tug Parameters'!H20</f>
        <v>30</v>
      </c>
      <c r="P36" s="33"/>
      <c r="Q36" s="59">
        <f>'Assist Tug Parameters'!I20</f>
        <v>30</v>
      </c>
    </row>
    <row r="37" spans="2:17" s="2" customFormat="1" ht="15.75" x14ac:dyDescent="0.25">
      <c r="B37" s="15"/>
      <c r="C37" s="32"/>
      <c r="D37" s="66" t="s">
        <v>159</v>
      </c>
      <c r="E37" s="67">
        <f>'Assist Tug Parameters'!C21</f>
        <v>15</v>
      </c>
      <c r="F37" s="33"/>
      <c r="G37" s="67">
        <f>'Assist Tug Parameters'!D21</f>
        <v>15</v>
      </c>
      <c r="H37" s="33"/>
      <c r="I37" s="67">
        <f>'Assist Tug Parameters'!E21</f>
        <v>15</v>
      </c>
      <c r="J37" s="33"/>
      <c r="K37" s="67">
        <f>'Assist Tug Parameters'!F21</f>
        <v>15</v>
      </c>
      <c r="L37" s="33"/>
      <c r="M37" s="67">
        <f>'Assist Tug Parameters'!G21</f>
        <v>15</v>
      </c>
      <c r="N37" s="33"/>
      <c r="O37" s="67">
        <f>'Assist Tug Parameters'!H21</f>
        <v>15</v>
      </c>
      <c r="P37" s="33"/>
      <c r="Q37" s="59">
        <f>'Assist Tug Parameters'!I21</f>
        <v>15</v>
      </c>
    </row>
    <row r="38" spans="2:17" s="2" customFormat="1" x14ac:dyDescent="0.25">
      <c r="B38" s="20"/>
      <c r="C38" s="32"/>
      <c r="D38" s="66" t="s">
        <v>160</v>
      </c>
      <c r="E38" s="87">
        <f>'Assist Tug Parameters'!C22</f>
        <v>0.5</v>
      </c>
      <c r="F38" s="33"/>
      <c r="G38" s="87">
        <f>'Assist Tug Parameters'!D22</f>
        <v>0.5</v>
      </c>
      <c r="H38" s="33"/>
      <c r="I38" s="87">
        <f>'Assist Tug Parameters'!E22</f>
        <v>0.5</v>
      </c>
      <c r="J38" s="33"/>
      <c r="K38" s="87">
        <f>'Assist Tug Parameters'!F22</f>
        <v>0.5</v>
      </c>
      <c r="L38" s="33"/>
      <c r="M38" s="87">
        <f>'Assist Tug Parameters'!G22</f>
        <v>0.5</v>
      </c>
      <c r="N38" s="33"/>
      <c r="O38" s="87">
        <f>'Assist Tug Parameters'!H22</f>
        <v>0.5</v>
      </c>
      <c r="P38" s="33"/>
      <c r="Q38" s="88">
        <f>'Assist Tug Parameters'!I22</f>
        <v>0.5</v>
      </c>
    </row>
    <row r="39" spans="2:17" s="2" customFormat="1" x14ac:dyDescent="0.25">
      <c r="B39" s="20"/>
      <c r="C39" s="32"/>
      <c r="D39" s="66" t="s">
        <v>161</v>
      </c>
      <c r="E39" s="87">
        <f>'Assist Tug Parameters'!C23</f>
        <v>0.25</v>
      </c>
      <c r="F39" s="33"/>
      <c r="G39" s="87">
        <f>'Assist Tug Parameters'!D23</f>
        <v>0.25</v>
      </c>
      <c r="H39" s="33"/>
      <c r="I39" s="87">
        <f>'Assist Tug Parameters'!E23</f>
        <v>0.25</v>
      </c>
      <c r="J39" s="33"/>
      <c r="K39" s="87">
        <f>'Assist Tug Parameters'!F23</f>
        <v>0.25</v>
      </c>
      <c r="L39" s="33"/>
      <c r="M39" s="87">
        <f>'Assist Tug Parameters'!G23</f>
        <v>0.25</v>
      </c>
      <c r="N39" s="33"/>
      <c r="O39" s="87">
        <f>'Assist Tug Parameters'!H23</f>
        <v>0.25</v>
      </c>
      <c r="P39" s="33"/>
      <c r="Q39" s="88">
        <f>'Assist Tug Parameters'!I23</f>
        <v>0.25</v>
      </c>
    </row>
    <row r="40" spans="2:17" s="2" customFormat="1" x14ac:dyDescent="0.25">
      <c r="B40" s="20"/>
      <c r="C40" s="32"/>
      <c r="D40" s="66"/>
      <c r="E40" s="85"/>
      <c r="F40" s="33"/>
      <c r="G40" s="85"/>
      <c r="H40" s="33"/>
      <c r="I40" s="85"/>
      <c r="J40" s="33"/>
      <c r="K40" s="85"/>
      <c r="L40" s="33"/>
      <c r="M40" s="85"/>
      <c r="N40" s="33"/>
      <c r="O40" s="85"/>
      <c r="P40" s="33"/>
      <c r="Q40" s="86"/>
    </row>
    <row r="41" spans="2:17" s="2" customFormat="1" x14ac:dyDescent="0.25">
      <c r="B41" s="20"/>
      <c r="C41" s="32"/>
      <c r="D41" s="66" t="s">
        <v>162</v>
      </c>
      <c r="E41" s="271">
        <f>'Assist Tug Parameters'!C24</f>
        <v>44.25</v>
      </c>
      <c r="F41" s="272"/>
      <c r="G41" s="271">
        <f>'Assist Tug Parameters'!D24</f>
        <v>44.25</v>
      </c>
      <c r="H41" s="272"/>
      <c r="I41" s="271">
        <f>'Assist Tug Parameters'!E24</f>
        <v>44.25</v>
      </c>
      <c r="J41" s="272"/>
      <c r="K41" s="271">
        <f>'Assist Tug Parameters'!F24</f>
        <v>44.25</v>
      </c>
      <c r="L41" s="272"/>
      <c r="M41" s="271">
        <f>'Assist Tug Parameters'!G24</f>
        <v>44.25</v>
      </c>
      <c r="N41" s="272"/>
      <c r="O41" s="271">
        <f>'Assist Tug Parameters'!H24</f>
        <v>44.25</v>
      </c>
      <c r="P41" s="272"/>
      <c r="Q41" s="269">
        <f>'Assist Tug Parameters'!I24</f>
        <v>44.25</v>
      </c>
    </row>
    <row r="42" spans="2:17" s="2" customFormat="1" ht="15.75" x14ac:dyDescent="0.25">
      <c r="B42" s="15"/>
      <c r="C42" s="32"/>
      <c r="D42" s="66" t="s">
        <v>163</v>
      </c>
      <c r="E42" s="72">
        <f>'Assist Tug Parameters'!C25</f>
        <v>0.7</v>
      </c>
      <c r="F42" s="33"/>
      <c r="G42" s="72">
        <f>'Assist Tug Parameters'!D25</f>
        <v>0.7</v>
      </c>
      <c r="H42" s="33"/>
      <c r="I42" s="72">
        <f>'Assist Tug Parameters'!E25</f>
        <v>0.7</v>
      </c>
      <c r="J42" s="33"/>
      <c r="K42" s="72">
        <f>'Assist Tug Parameters'!F25</f>
        <v>0.7</v>
      </c>
      <c r="L42" s="33"/>
      <c r="M42" s="72">
        <f>'Assist Tug Parameters'!G25</f>
        <v>0.7</v>
      </c>
      <c r="N42" s="33"/>
      <c r="O42" s="72">
        <f>'Assist Tug Parameters'!H25</f>
        <v>0.7</v>
      </c>
      <c r="P42" s="33"/>
      <c r="Q42" s="51">
        <f>'Assist Tug Parameters'!I25</f>
        <v>0.7</v>
      </c>
    </row>
    <row r="43" spans="2:17" s="2" customFormat="1" x14ac:dyDescent="0.25">
      <c r="B43" s="22"/>
      <c r="C43" s="23"/>
      <c r="D43" s="41"/>
      <c r="E43" s="77"/>
      <c r="F43" s="41"/>
      <c r="G43" s="77"/>
      <c r="H43" s="41"/>
      <c r="I43" s="77"/>
      <c r="J43" s="41"/>
      <c r="K43" s="77"/>
      <c r="L43" s="41"/>
      <c r="M43" s="77"/>
      <c r="N43" s="41"/>
      <c r="O43" s="77"/>
      <c r="P43" s="41"/>
      <c r="Q43" s="78"/>
    </row>
    <row r="44" spans="2:17" s="2" customFormat="1" x14ac:dyDescent="0.25">
      <c r="B44" s="42"/>
      <c r="C44" s="42"/>
      <c r="D44" s="83"/>
      <c r="E44" s="44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2:17" ht="15.75" x14ac:dyDescent="0.25">
      <c r="B45" s="11" t="s">
        <v>260</v>
      </c>
      <c r="C45" s="12"/>
      <c r="D45" s="13"/>
      <c r="E45" s="28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</row>
    <row r="46" spans="2:17" ht="15.75" x14ac:dyDescent="0.25">
      <c r="B46" s="15"/>
      <c r="C46" s="32"/>
      <c r="D46" s="33"/>
      <c r="E46" s="70" t="str">
        <f>E59</f>
        <v>Container 2000</v>
      </c>
      <c r="F46" s="33"/>
      <c r="G46" s="70" t="str">
        <f>G59</f>
        <v>Container 4000</v>
      </c>
      <c r="H46" s="33"/>
      <c r="I46" s="70" t="str">
        <f>I59</f>
        <v>Container 5000</v>
      </c>
      <c r="J46" s="33"/>
      <c r="K46" s="70" t="str">
        <f>K59</f>
        <v>Container 6000</v>
      </c>
      <c r="L46" s="33"/>
      <c r="M46" s="70" t="str">
        <f>M59</f>
        <v>Container 8000</v>
      </c>
      <c r="N46" s="33"/>
      <c r="O46" s="70" t="str">
        <f>O59</f>
        <v>Container 9000</v>
      </c>
      <c r="P46" s="33"/>
      <c r="Q46" s="46" t="str">
        <f>Q59</f>
        <v>Container 10000</v>
      </c>
    </row>
    <row r="47" spans="2:17" ht="15.75" x14ac:dyDescent="0.25">
      <c r="B47" s="15"/>
      <c r="C47" s="32"/>
      <c r="D47" s="33"/>
      <c r="E47" s="71"/>
      <c r="F47" s="33"/>
      <c r="G47" s="71"/>
      <c r="H47" s="33"/>
      <c r="I47" s="71"/>
      <c r="J47" s="33"/>
      <c r="K47" s="71"/>
      <c r="L47" s="33"/>
      <c r="M47" s="71"/>
      <c r="N47" s="33"/>
      <c r="O47" s="71"/>
      <c r="P47" s="33"/>
      <c r="Q47" s="47"/>
    </row>
    <row r="48" spans="2:17" ht="15.75" x14ac:dyDescent="0.25">
      <c r="B48" s="15"/>
      <c r="C48" s="32"/>
      <c r="D48" s="55" t="s">
        <v>152</v>
      </c>
      <c r="E48" s="71"/>
      <c r="F48" s="33"/>
      <c r="G48" s="71"/>
      <c r="H48" s="33"/>
      <c r="I48" s="71"/>
      <c r="J48" s="33"/>
      <c r="K48" s="71"/>
      <c r="L48" s="33"/>
      <c r="M48" s="71"/>
      <c r="N48" s="33"/>
      <c r="O48" s="71"/>
      <c r="P48" s="33"/>
      <c r="Q48" s="47"/>
    </row>
    <row r="49" spans="2:17" ht="15.75" x14ac:dyDescent="0.25">
      <c r="B49" s="15"/>
      <c r="C49" s="32"/>
      <c r="D49" s="66" t="s">
        <v>286</v>
      </c>
      <c r="E49" s="67">
        <f>E62*'Scenario Summary'!E$10</f>
        <v>69006</v>
      </c>
      <c r="F49" s="33"/>
      <c r="G49" s="67">
        <f>G62*'Scenario Summary'!G$10</f>
        <v>15624</v>
      </c>
      <c r="H49" s="33"/>
      <c r="I49" s="67">
        <f>I62*'Scenario Summary'!I$10</f>
        <v>3906</v>
      </c>
      <c r="J49" s="33"/>
      <c r="K49" s="67">
        <f>K62*'Scenario Summary'!K$10</f>
        <v>20832</v>
      </c>
      <c r="L49" s="33"/>
      <c r="M49" s="67">
        <f>M62*'Scenario Summary'!M$10</f>
        <v>40362</v>
      </c>
      <c r="N49" s="33"/>
      <c r="O49" s="67">
        <f>O62*'Scenario Summary'!O$10</f>
        <v>62496</v>
      </c>
      <c r="P49" s="33"/>
      <c r="Q49" s="59">
        <f>Q62*'Scenario Summary'!Q$10</f>
        <v>57288</v>
      </c>
    </row>
    <row r="50" spans="2:17" ht="15.75" x14ac:dyDescent="0.25">
      <c r="B50" s="15"/>
      <c r="C50" s="32"/>
      <c r="D50" s="66" t="s">
        <v>287</v>
      </c>
      <c r="E50" s="87">
        <f>E63*'Scenario Summary'!E$10</f>
        <v>14.840000000000002</v>
      </c>
      <c r="F50" s="33"/>
      <c r="G50" s="87">
        <f>G63*'Scenario Summary'!G$10</f>
        <v>3.3600000000000003</v>
      </c>
      <c r="H50" s="33"/>
      <c r="I50" s="87">
        <f>I63*'Scenario Summary'!I$10</f>
        <v>0.84000000000000008</v>
      </c>
      <c r="J50" s="33"/>
      <c r="K50" s="87">
        <f>K63*'Scenario Summary'!K$10</f>
        <v>4.4800000000000004</v>
      </c>
      <c r="L50" s="33"/>
      <c r="M50" s="87">
        <f>M63*'Scenario Summary'!M$10</f>
        <v>8.6800000000000015</v>
      </c>
      <c r="N50" s="33"/>
      <c r="O50" s="87">
        <f>O63*'Scenario Summary'!O$10</f>
        <v>13.440000000000001</v>
      </c>
      <c r="P50" s="33"/>
      <c r="Q50" s="88">
        <f>Q63*'Scenario Summary'!Q$10</f>
        <v>12.32</v>
      </c>
    </row>
    <row r="51" spans="2:17" x14ac:dyDescent="0.25">
      <c r="B51" s="20"/>
      <c r="C51" s="32"/>
      <c r="D51" s="66" t="s">
        <v>143</v>
      </c>
      <c r="E51" s="67">
        <f>E64*'Scenario Summary'!E$10</f>
        <v>2185.5609999999997</v>
      </c>
      <c r="F51" s="33"/>
      <c r="G51" s="67">
        <f>G64*'Scenario Summary'!G$10</f>
        <v>494.84399999999994</v>
      </c>
      <c r="H51" s="33"/>
      <c r="I51" s="67">
        <f>I64*'Scenario Summary'!I$10</f>
        <v>123.71099999999998</v>
      </c>
      <c r="J51" s="33"/>
      <c r="K51" s="67">
        <f>K64*'Scenario Summary'!K$10</f>
        <v>659.79199999999992</v>
      </c>
      <c r="L51" s="33"/>
      <c r="M51" s="67">
        <f>M64*'Scenario Summary'!M$10</f>
        <v>1278.3469999999998</v>
      </c>
      <c r="N51" s="33"/>
      <c r="O51" s="67">
        <f>O64*'Scenario Summary'!O$10</f>
        <v>1979.3759999999997</v>
      </c>
      <c r="P51" s="33"/>
      <c r="Q51" s="59">
        <f>Q64*'Scenario Summary'!Q$10</f>
        <v>1814.4279999999999</v>
      </c>
    </row>
    <row r="52" spans="2:17" x14ac:dyDescent="0.25">
      <c r="B52" s="20"/>
      <c r="C52" s="32"/>
      <c r="D52" s="66" t="s">
        <v>288</v>
      </c>
      <c r="E52" s="87">
        <f>E65*'Scenario Summary'!E$10</f>
        <v>0.53</v>
      </c>
      <c r="F52" s="279"/>
      <c r="G52" s="87">
        <f>G65*'Scenario Summary'!G$10</f>
        <v>0.12</v>
      </c>
      <c r="H52" s="279"/>
      <c r="I52" s="87">
        <f>I65*'Scenario Summary'!I$10</f>
        <v>0.03</v>
      </c>
      <c r="J52" s="279"/>
      <c r="K52" s="87">
        <f>K65*'Scenario Summary'!K$10</f>
        <v>0.16</v>
      </c>
      <c r="L52" s="279"/>
      <c r="M52" s="87">
        <f>M65*'Scenario Summary'!M$10</f>
        <v>0.31</v>
      </c>
      <c r="N52" s="279"/>
      <c r="O52" s="87">
        <f>O65*'Scenario Summary'!O$10</f>
        <v>0.48</v>
      </c>
      <c r="P52" s="279"/>
      <c r="Q52" s="88">
        <f>Q65*'Scenario Summary'!Q$10</f>
        <v>0.44</v>
      </c>
    </row>
    <row r="53" spans="2:17" x14ac:dyDescent="0.25">
      <c r="B53" s="20"/>
      <c r="C53" s="32"/>
      <c r="D53" s="33"/>
      <c r="E53" s="72"/>
      <c r="F53" s="33"/>
      <c r="G53" s="72"/>
      <c r="H53" s="33"/>
      <c r="I53" s="72"/>
      <c r="J53" s="33"/>
      <c r="K53" s="72"/>
      <c r="L53" s="33"/>
      <c r="M53" s="72"/>
      <c r="N53" s="33"/>
      <c r="O53" s="72"/>
      <c r="P53" s="33"/>
      <c r="Q53" s="51"/>
    </row>
    <row r="54" spans="2:17" ht="15.75" x14ac:dyDescent="0.25">
      <c r="B54" s="15"/>
      <c r="C54" s="32"/>
      <c r="D54" s="66" t="s">
        <v>214</v>
      </c>
      <c r="E54" s="271">
        <f>E52+E50</f>
        <v>15.370000000000001</v>
      </c>
      <c r="F54" s="272"/>
      <c r="G54" s="271">
        <f>G52+G50</f>
        <v>3.4800000000000004</v>
      </c>
      <c r="H54" s="272"/>
      <c r="I54" s="271">
        <f>I52+I50</f>
        <v>0.87000000000000011</v>
      </c>
      <c r="J54" s="272"/>
      <c r="K54" s="271">
        <f>K52+K50</f>
        <v>4.6400000000000006</v>
      </c>
      <c r="L54" s="272"/>
      <c r="M54" s="271">
        <f>M52+M50</f>
        <v>8.990000000000002</v>
      </c>
      <c r="N54" s="272"/>
      <c r="O54" s="271">
        <f>O52+O50</f>
        <v>13.920000000000002</v>
      </c>
      <c r="P54" s="272"/>
      <c r="Q54" s="269">
        <f>Q52+Q50</f>
        <v>12.76</v>
      </c>
    </row>
    <row r="55" spans="2:17" ht="15.75" x14ac:dyDescent="0.25">
      <c r="B55" s="15"/>
      <c r="C55" s="32"/>
      <c r="D55" s="82" t="s">
        <v>215</v>
      </c>
      <c r="E55" s="89">
        <f>E54*'Scenario Summary'!$E$21</f>
        <v>15370.000000000002</v>
      </c>
      <c r="F55" s="33"/>
      <c r="G55" s="89">
        <f>G54*'Scenario Summary'!$E$21</f>
        <v>3480.0000000000005</v>
      </c>
      <c r="H55" s="33"/>
      <c r="I55" s="89">
        <f>I54*'Scenario Summary'!$E$21</f>
        <v>870.00000000000011</v>
      </c>
      <c r="J55" s="33"/>
      <c r="K55" s="89">
        <f>K54*'Scenario Summary'!$E$21</f>
        <v>4640.0000000000009</v>
      </c>
      <c r="L55" s="33"/>
      <c r="M55" s="89">
        <f>M54*'Scenario Summary'!$E$21</f>
        <v>8990.0000000000018</v>
      </c>
      <c r="N55" s="33"/>
      <c r="O55" s="89">
        <f>O54*'Scenario Summary'!$E$21</f>
        <v>13920.000000000002</v>
      </c>
      <c r="P55" s="33"/>
      <c r="Q55" s="90">
        <f>Q54*'Scenario Summary'!$E$21</f>
        <v>12760</v>
      </c>
    </row>
    <row r="56" spans="2:17" x14ac:dyDescent="0.25">
      <c r="B56" s="22"/>
      <c r="C56" s="23"/>
      <c r="D56" s="41"/>
      <c r="E56" s="77"/>
      <c r="F56" s="41"/>
      <c r="G56" s="77"/>
      <c r="H56" s="41"/>
      <c r="I56" s="77"/>
      <c r="J56" s="41"/>
      <c r="K56" s="77"/>
      <c r="L56" s="41"/>
      <c r="M56" s="77"/>
      <c r="N56" s="41"/>
      <c r="O56" s="77"/>
      <c r="P56" s="41"/>
      <c r="Q56" s="78"/>
    </row>
    <row r="57" spans="2:17" s="2" customFormat="1" x14ac:dyDescent="0.25">
      <c r="B57" s="42"/>
      <c r="C57" s="42"/>
      <c r="D57" s="83"/>
      <c r="E57" s="44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2:17" ht="15.75" x14ac:dyDescent="0.25">
      <c r="B58" s="11" t="s">
        <v>259</v>
      </c>
      <c r="C58" s="12"/>
      <c r="D58" s="13"/>
      <c r="E58" s="28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/>
    </row>
    <row r="59" spans="2:17" ht="15.75" x14ac:dyDescent="0.25">
      <c r="B59" s="15"/>
      <c r="C59" s="32"/>
      <c r="D59" s="33"/>
      <c r="E59" s="101" t="str">
        <f>E33</f>
        <v>Container 2000</v>
      </c>
      <c r="F59" s="33"/>
      <c r="G59" s="101" t="str">
        <f>G33</f>
        <v>Container 4000</v>
      </c>
      <c r="H59" s="33"/>
      <c r="I59" s="101" t="str">
        <f>I33</f>
        <v>Container 5000</v>
      </c>
      <c r="J59" s="33"/>
      <c r="K59" s="101" t="str">
        <f>K33</f>
        <v>Container 6000</v>
      </c>
      <c r="L59" s="33"/>
      <c r="M59" s="101" t="str">
        <f>M33</f>
        <v>Container 8000</v>
      </c>
      <c r="N59" s="33"/>
      <c r="O59" s="101" t="str">
        <f>O33</f>
        <v>Container 9000</v>
      </c>
      <c r="P59" s="33"/>
      <c r="Q59" s="46" t="str">
        <f>Q33</f>
        <v>Container 10000</v>
      </c>
    </row>
    <row r="60" spans="2:17" ht="15.75" x14ac:dyDescent="0.25">
      <c r="B60" s="15"/>
      <c r="C60" s="32"/>
      <c r="D60" s="33"/>
      <c r="E60" s="71"/>
      <c r="F60" s="33"/>
      <c r="G60" s="71"/>
      <c r="H60" s="33"/>
      <c r="I60" s="71"/>
      <c r="J60" s="33"/>
      <c r="K60" s="71"/>
      <c r="L60" s="33"/>
      <c r="M60" s="71"/>
      <c r="N60" s="33"/>
      <c r="O60" s="71"/>
      <c r="P60" s="33"/>
      <c r="Q60" s="47"/>
    </row>
    <row r="61" spans="2:17" ht="15.75" x14ac:dyDescent="0.25">
      <c r="B61" s="15"/>
      <c r="C61" s="32"/>
      <c r="D61" s="55" t="s">
        <v>152</v>
      </c>
      <c r="E61" s="71"/>
      <c r="F61" s="33"/>
      <c r="G61" s="71"/>
      <c r="H61" s="33"/>
      <c r="I61" s="71"/>
      <c r="J61" s="33"/>
      <c r="K61" s="71"/>
      <c r="L61" s="33"/>
      <c r="M61" s="71"/>
      <c r="N61" s="33"/>
      <c r="O61" s="71"/>
      <c r="P61" s="33"/>
      <c r="Q61" s="47"/>
    </row>
    <row r="62" spans="2:17" ht="15.75" x14ac:dyDescent="0.25">
      <c r="B62" s="15"/>
      <c r="C62" s="32"/>
      <c r="D62" s="66" t="s">
        <v>148</v>
      </c>
      <c r="E62" s="67">
        <f>'Assist Tug Parameters'!$C29*E$11</f>
        <v>1302</v>
      </c>
      <c r="F62" s="33"/>
      <c r="G62" s="67">
        <f>'Assist Tug Parameters'!D29*G$11</f>
        <v>1302</v>
      </c>
      <c r="H62" s="33"/>
      <c r="I62" s="67">
        <f>'Assist Tug Parameters'!E29*I$11</f>
        <v>1302</v>
      </c>
      <c r="J62" s="33"/>
      <c r="K62" s="67">
        <f>'Assist Tug Parameters'!F29*K$11</f>
        <v>1302</v>
      </c>
      <c r="L62" s="33"/>
      <c r="M62" s="67">
        <f>'Assist Tug Parameters'!G29*M$11</f>
        <v>1302</v>
      </c>
      <c r="N62" s="33"/>
      <c r="O62" s="67">
        <f>'Assist Tug Parameters'!H29*O$11</f>
        <v>2604</v>
      </c>
      <c r="P62" s="33"/>
      <c r="Q62" s="59">
        <f>'Assist Tug Parameters'!I29*Q$11</f>
        <v>2604</v>
      </c>
    </row>
    <row r="63" spans="2:17" ht="15.75" x14ac:dyDescent="0.25">
      <c r="B63" s="15"/>
      <c r="C63" s="32"/>
      <c r="D63" s="66" t="s">
        <v>311</v>
      </c>
      <c r="E63" s="85">
        <f>'Assist Tug Parameters'!$C32*E$11</f>
        <v>0.28000000000000003</v>
      </c>
      <c r="F63" s="33"/>
      <c r="G63" s="85">
        <f>'Assist Tug Parameters'!D32*G$11</f>
        <v>0.28000000000000003</v>
      </c>
      <c r="H63" s="33"/>
      <c r="I63" s="85">
        <f>'Assist Tug Parameters'!E32*I$11</f>
        <v>0.28000000000000003</v>
      </c>
      <c r="J63" s="33"/>
      <c r="K63" s="85">
        <f>'Assist Tug Parameters'!F32*K$11</f>
        <v>0.28000000000000003</v>
      </c>
      <c r="L63" s="33"/>
      <c r="M63" s="85">
        <f>'Assist Tug Parameters'!G32*M$11</f>
        <v>0.28000000000000003</v>
      </c>
      <c r="N63" s="33"/>
      <c r="O63" s="85">
        <f>'Assist Tug Parameters'!H32*O$11</f>
        <v>0.56000000000000005</v>
      </c>
      <c r="P63" s="33"/>
      <c r="Q63" s="86">
        <f>'Assist Tug Parameters'!I32*Q$11</f>
        <v>0.56000000000000005</v>
      </c>
    </row>
    <row r="64" spans="2:17" x14ac:dyDescent="0.25">
      <c r="B64" s="20"/>
      <c r="C64" s="32"/>
      <c r="D64" s="66" t="s">
        <v>149</v>
      </c>
      <c r="E64" s="67">
        <f>'Assist Tug Parameters'!$C30*E$11</f>
        <v>41.236999999999995</v>
      </c>
      <c r="F64" s="33"/>
      <c r="G64" s="67">
        <f>'Assist Tug Parameters'!D30*G$11</f>
        <v>41.236999999999995</v>
      </c>
      <c r="H64" s="33"/>
      <c r="I64" s="67">
        <f>'Assist Tug Parameters'!E30*I$11</f>
        <v>41.236999999999995</v>
      </c>
      <c r="J64" s="33"/>
      <c r="K64" s="67">
        <f>'Assist Tug Parameters'!F30*K$11</f>
        <v>41.236999999999995</v>
      </c>
      <c r="L64" s="33"/>
      <c r="M64" s="67">
        <f>'Assist Tug Parameters'!G30*M$11</f>
        <v>41.236999999999995</v>
      </c>
      <c r="N64" s="33"/>
      <c r="O64" s="67">
        <f>'Assist Tug Parameters'!H30*O$11</f>
        <v>82.47399999999999</v>
      </c>
      <c r="P64" s="33"/>
      <c r="Q64" s="59">
        <f>'Assist Tug Parameters'!I30*Q$11</f>
        <v>82.47399999999999</v>
      </c>
    </row>
    <row r="65" spans="2:17" x14ac:dyDescent="0.25">
      <c r="B65" s="20"/>
      <c r="C65" s="32"/>
      <c r="D65" s="66" t="s">
        <v>150</v>
      </c>
      <c r="E65" s="85">
        <f>'Assist Tug Parameters'!$C33*E$11</f>
        <v>0.01</v>
      </c>
      <c r="F65" s="33"/>
      <c r="G65" s="85">
        <f>'Assist Tug Parameters'!D33*G$11</f>
        <v>0.01</v>
      </c>
      <c r="H65" s="33"/>
      <c r="I65" s="85">
        <f>'Assist Tug Parameters'!E33*I$11</f>
        <v>0.01</v>
      </c>
      <c r="J65" s="33"/>
      <c r="K65" s="85">
        <f>'Assist Tug Parameters'!F33*K$11</f>
        <v>0.01</v>
      </c>
      <c r="L65" s="33"/>
      <c r="M65" s="85">
        <f>'Assist Tug Parameters'!G33*M$11</f>
        <v>0.01</v>
      </c>
      <c r="N65" s="33"/>
      <c r="O65" s="85">
        <f>'Assist Tug Parameters'!H33*O$11</f>
        <v>0.02</v>
      </c>
      <c r="P65" s="33"/>
      <c r="Q65" s="86">
        <f>'Assist Tug Parameters'!I33*Q$11</f>
        <v>0.02</v>
      </c>
    </row>
    <row r="66" spans="2:17" x14ac:dyDescent="0.25">
      <c r="B66" s="20"/>
      <c r="C66" s="32"/>
      <c r="D66" s="33"/>
      <c r="E66" s="72"/>
      <c r="F66" s="33"/>
      <c r="G66" s="72"/>
      <c r="H66" s="33"/>
      <c r="I66" s="72"/>
      <c r="J66" s="33"/>
      <c r="K66" s="72"/>
      <c r="L66" s="33"/>
      <c r="M66" s="72"/>
      <c r="N66" s="33"/>
      <c r="O66" s="72"/>
      <c r="P66" s="33"/>
      <c r="Q66" s="51"/>
    </row>
    <row r="67" spans="2:17" ht="15.75" x14ac:dyDescent="0.25">
      <c r="B67" s="15"/>
      <c r="C67" s="32"/>
      <c r="D67" s="66" t="s">
        <v>212</v>
      </c>
      <c r="E67" s="85">
        <f>E65+E63</f>
        <v>0.29000000000000004</v>
      </c>
      <c r="F67" s="33"/>
      <c r="G67" s="85">
        <f>G65+G63</f>
        <v>0.29000000000000004</v>
      </c>
      <c r="H67" s="33"/>
      <c r="I67" s="85">
        <f>I65+I63</f>
        <v>0.29000000000000004</v>
      </c>
      <c r="J67" s="33"/>
      <c r="K67" s="85">
        <f>K65+K63</f>
        <v>0.29000000000000004</v>
      </c>
      <c r="L67" s="33"/>
      <c r="M67" s="85">
        <f>M65+M63</f>
        <v>0.29000000000000004</v>
      </c>
      <c r="N67" s="33"/>
      <c r="O67" s="85">
        <f>O65+O63</f>
        <v>0.58000000000000007</v>
      </c>
      <c r="P67" s="33"/>
      <c r="Q67" s="86">
        <f>Q65+Q63</f>
        <v>0.58000000000000007</v>
      </c>
    </row>
    <row r="68" spans="2:17" ht="15.75" x14ac:dyDescent="0.25">
      <c r="B68" s="15"/>
      <c r="C68" s="32"/>
      <c r="D68" s="82" t="s">
        <v>213</v>
      </c>
      <c r="E68" s="89">
        <f>E67*'Scenario Summary'!$E$21</f>
        <v>290.00000000000006</v>
      </c>
      <c r="F68" s="33"/>
      <c r="G68" s="89">
        <f>G67*'Scenario Summary'!$E$21</f>
        <v>290.00000000000006</v>
      </c>
      <c r="H68" s="33"/>
      <c r="I68" s="89">
        <f>I67*'Scenario Summary'!$E$21</f>
        <v>290.00000000000006</v>
      </c>
      <c r="J68" s="33"/>
      <c r="K68" s="89">
        <f>K67*'Scenario Summary'!$E$21</f>
        <v>290.00000000000006</v>
      </c>
      <c r="L68" s="33"/>
      <c r="M68" s="89">
        <f>M67*'Scenario Summary'!$E$21</f>
        <v>290.00000000000006</v>
      </c>
      <c r="N68" s="33"/>
      <c r="O68" s="89">
        <f>O67*'Scenario Summary'!$E$21</f>
        <v>580.00000000000011</v>
      </c>
      <c r="P68" s="33"/>
      <c r="Q68" s="90">
        <f>Q67*'Scenario Summary'!$E$21</f>
        <v>580.00000000000011</v>
      </c>
    </row>
    <row r="69" spans="2:17" x14ac:dyDescent="0.25">
      <c r="B69" s="22"/>
      <c r="C69" s="23"/>
      <c r="D69" s="41"/>
      <c r="E69" s="77"/>
      <c r="F69" s="41"/>
      <c r="G69" s="77"/>
      <c r="H69" s="41"/>
      <c r="I69" s="77"/>
      <c r="J69" s="41"/>
      <c r="K69" s="77"/>
      <c r="L69" s="41"/>
      <c r="M69" s="77"/>
      <c r="N69" s="41"/>
      <c r="O69" s="77"/>
      <c r="P69" s="41"/>
      <c r="Q69" s="78"/>
    </row>
    <row r="71" spans="2:17" ht="15.75" x14ac:dyDescent="0.25">
      <c r="B71" s="11" t="s">
        <v>261</v>
      </c>
      <c r="C71" s="12"/>
      <c r="D71" s="79"/>
      <c r="E71" s="80"/>
      <c r="F71" s="79"/>
      <c r="G71" s="80"/>
      <c r="H71" s="79"/>
      <c r="I71" s="80"/>
      <c r="J71" s="79"/>
      <c r="K71" s="80"/>
      <c r="L71" s="79"/>
      <c r="M71" s="80"/>
      <c r="N71" s="79"/>
      <c r="O71" s="80"/>
      <c r="P71" s="13"/>
      <c r="Q71" s="14"/>
    </row>
    <row r="72" spans="2:17" ht="15.75" x14ac:dyDescent="0.25">
      <c r="B72" s="15" t="s">
        <v>203</v>
      </c>
      <c r="C72" s="32"/>
      <c r="D72" s="42"/>
      <c r="E72" s="70" t="str">
        <f>E46</f>
        <v>Container 2000</v>
      </c>
      <c r="F72" s="33"/>
      <c r="G72" s="70" t="str">
        <f>G46</f>
        <v>Container 4000</v>
      </c>
      <c r="H72" s="33"/>
      <c r="I72" s="70" t="str">
        <f>I46</f>
        <v>Container 5000</v>
      </c>
      <c r="J72" s="33"/>
      <c r="K72" s="70" t="str">
        <f>K46</f>
        <v>Container 6000</v>
      </c>
      <c r="L72" s="33"/>
      <c r="M72" s="70" t="str">
        <f>M46</f>
        <v>Container 8000</v>
      </c>
      <c r="N72" s="33"/>
      <c r="O72" s="70" t="str">
        <f>O46</f>
        <v>Container 9000</v>
      </c>
      <c r="P72" s="33"/>
      <c r="Q72" s="46" t="str">
        <f>Q46</f>
        <v>Container 10000</v>
      </c>
    </row>
    <row r="73" spans="2:17" ht="15.75" x14ac:dyDescent="0.25">
      <c r="B73" s="15"/>
      <c r="C73" s="32"/>
      <c r="D73" s="55" t="s">
        <v>211</v>
      </c>
      <c r="E73" s="71"/>
      <c r="F73" s="33"/>
      <c r="G73" s="71"/>
      <c r="H73" s="33"/>
      <c r="I73" s="71"/>
      <c r="J73" s="33"/>
      <c r="K73" s="71"/>
      <c r="L73" s="33"/>
      <c r="M73" s="71"/>
      <c r="N73" s="33"/>
      <c r="O73" s="71"/>
      <c r="P73" s="33"/>
      <c r="Q73" s="47"/>
    </row>
    <row r="74" spans="2:17" ht="18.75" x14ac:dyDescent="0.35">
      <c r="B74" s="15"/>
      <c r="C74" s="32"/>
      <c r="D74" s="205" t="s">
        <v>196</v>
      </c>
      <c r="E74" s="34">
        <f>E84*'Scenario Summary'!E$10</f>
        <v>46.416897771999999</v>
      </c>
      <c r="F74" s="270"/>
      <c r="G74" s="34">
        <f>G84*'Scenario Summary'!G$10</f>
        <v>10.509486288</v>
      </c>
      <c r="H74" s="270"/>
      <c r="I74" s="34">
        <f>I84*'Scenario Summary'!I$10</f>
        <v>2.6273715719999999</v>
      </c>
      <c r="J74" s="270"/>
      <c r="K74" s="34">
        <f>K84*'Scenario Summary'!K$10</f>
        <v>14.012648384</v>
      </c>
      <c r="L74" s="270"/>
      <c r="M74" s="34">
        <f>M84*'Scenario Summary'!M$10</f>
        <v>27.149506244000001</v>
      </c>
      <c r="N74" s="270"/>
      <c r="O74" s="34">
        <f>O84*'Scenario Summary'!O$10</f>
        <v>42.037945151999999</v>
      </c>
      <c r="P74" s="270"/>
      <c r="Q74" s="51">
        <f>Q84*'Scenario Summary'!Q$10</f>
        <v>38.534783056000002</v>
      </c>
    </row>
    <row r="75" spans="2:17" ht="18.75" x14ac:dyDescent="0.35">
      <c r="B75" s="15"/>
      <c r="C75" s="32"/>
      <c r="D75" s="205" t="s">
        <v>284</v>
      </c>
      <c r="E75" s="34">
        <f>E85*'Scenario Summary'!E$10</f>
        <v>46.416897771999999</v>
      </c>
      <c r="F75" s="270"/>
      <c r="G75" s="34">
        <f>G85*'Scenario Summary'!G$10</f>
        <v>10.509486288</v>
      </c>
      <c r="H75" s="270"/>
      <c r="I75" s="34">
        <f>I85*'Scenario Summary'!I$10</f>
        <v>2.6273715719999999</v>
      </c>
      <c r="J75" s="270"/>
      <c r="K75" s="34">
        <f>K85*'Scenario Summary'!K$10</f>
        <v>14.012648384</v>
      </c>
      <c r="L75" s="270"/>
      <c r="M75" s="34">
        <f>M85*'Scenario Summary'!M$10</f>
        <v>27.149506244000001</v>
      </c>
      <c r="N75" s="270"/>
      <c r="O75" s="34">
        <f>O85*'Scenario Summary'!O$10</f>
        <v>42.037945151999999</v>
      </c>
      <c r="P75" s="270"/>
      <c r="Q75" s="51">
        <f>Q85*'Scenario Summary'!Q$10</f>
        <v>38.534783056000002</v>
      </c>
    </row>
    <row r="76" spans="2:17" ht="15.75" x14ac:dyDescent="0.25">
      <c r="B76" s="15"/>
      <c r="C76" s="32"/>
      <c r="D76" s="205" t="s">
        <v>198</v>
      </c>
      <c r="E76" s="34">
        <f>E86*'Scenario Summary'!E$10</f>
        <v>5.3363457615908643E-4</v>
      </c>
      <c r="F76" s="270"/>
      <c r="G76" s="34">
        <f>G86*'Scenario Summary'!G$10</f>
        <v>1.2082292290394411E-4</v>
      </c>
      <c r="H76" s="270"/>
      <c r="I76" s="34">
        <f>I86*'Scenario Summary'!I$10</f>
        <v>3.0205730725986027E-5</v>
      </c>
      <c r="J76" s="270"/>
      <c r="K76" s="34">
        <f>K86*'Scenario Summary'!K$10</f>
        <v>1.6109723053859214E-4</v>
      </c>
      <c r="L76" s="270"/>
      <c r="M76" s="34">
        <f>M86*'Scenario Summary'!M$10</f>
        <v>3.1212588416852226E-4</v>
      </c>
      <c r="N76" s="270"/>
      <c r="O76" s="34">
        <f>O86*'Scenario Summary'!O$10</f>
        <v>4.8329169161577643E-4</v>
      </c>
      <c r="P76" s="270"/>
      <c r="Q76" s="51">
        <f>Q86*'Scenario Summary'!Q$10</f>
        <v>4.4301738398112839E-4</v>
      </c>
    </row>
    <row r="77" spans="2:17" ht="15.75" x14ac:dyDescent="0.25">
      <c r="B77" s="15"/>
      <c r="C77" s="32"/>
      <c r="D77" s="205" t="s">
        <v>199</v>
      </c>
      <c r="E77" s="34">
        <f>E87*'Scenario Summary'!E$10</f>
        <v>0.64066520424222939</v>
      </c>
      <c r="F77" s="270"/>
      <c r="G77" s="34">
        <f>G87*'Scenario Summary'!G$10</f>
        <v>0.14505627265861798</v>
      </c>
      <c r="H77" s="270"/>
      <c r="I77" s="34">
        <f>I87*'Scenario Summary'!I$10</f>
        <v>3.6264068164654495E-2</v>
      </c>
      <c r="J77" s="270"/>
      <c r="K77" s="34">
        <f>K87*'Scenario Summary'!K$10</f>
        <v>0.19340836354482396</v>
      </c>
      <c r="L77" s="270"/>
      <c r="M77" s="34">
        <f>M87*'Scenario Summary'!M$10</f>
        <v>0.37472870436809641</v>
      </c>
      <c r="N77" s="270"/>
      <c r="O77" s="34">
        <f>O87*'Scenario Summary'!O$10</f>
        <v>0.58022509063447192</v>
      </c>
      <c r="P77" s="270"/>
      <c r="Q77" s="51">
        <f>Q87*'Scenario Summary'!Q$10</f>
        <v>0.53187299974826585</v>
      </c>
    </row>
    <row r="78" spans="2:17" ht="15.75" x14ac:dyDescent="0.25">
      <c r="B78" s="15"/>
      <c r="C78" s="32"/>
      <c r="D78" s="205" t="s">
        <v>200</v>
      </c>
      <c r="E78" s="34">
        <f>E88*'Scenario Summary'!E$10</f>
        <v>2.165845820177624E-2</v>
      </c>
      <c r="F78" s="270"/>
      <c r="G78" s="34">
        <f>G88*'Scenario Summary'!G$10</f>
        <v>4.9038018570059412E-3</v>
      </c>
      <c r="H78" s="270"/>
      <c r="I78" s="34">
        <f>I88*'Scenario Summary'!I$10</f>
        <v>1.2259504642514853E-3</v>
      </c>
      <c r="J78" s="270"/>
      <c r="K78" s="34">
        <f>K88*'Scenario Summary'!K$10</f>
        <v>6.5384024760079219E-3</v>
      </c>
      <c r="L78" s="270"/>
      <c r="M78" s="34">
        <f>M88*'Scenario Summary'!M$10</f>
        <v>1.2668154797265348E-2</v>
      </c>
      <c r="N78" s="270"/>
      <c r="O78" s="34">
        <f>O88*'Scenario Summary'!O$10</f>
        <v>1.9615207428023765E-2</v>
      </c>
      <c r="P78" s="270"/>
      <c r="Q78" s="51">
        <f>Q88*'Scenario Summary'!Q$10</f>
        <v>1.7980606809021787E-2</v>
      </c>
    </row>
    <row r="79" spans="2:17" x14ac:dyDescent="0.25">
      <c r="B79" s="22"/>
      <c r="C79" s="23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7"/>
    </row>
    <row r="80" spans="2:17" s="42" customFormat="1" x14ac:dyDescent="0.25">
      <c r="E80" s="76"/>
      <c r="G80" s="76"/>
      <c r="I80" s="76"/>
      <c r="K80" s="76"/>
      <c r="M80" s="76"/>
      <c r="O80" s="76"/>
      <c r="Q80" s="76"/>
    </row>
    <row r="81" spans="2:17" ht="15.75" x14ac:dyDescent="0.25">
      <c r="B81" s="11" t="s">
        <v>202</v>
      </c>
      <c r="C81" s="12"/>
      <c r="D81" s="79"/>
      <c r="E81" s="80"/>
      <c r="F81" s="79"/>
      <c r="G81" s="80"/>
      <c r="H81" s="79"/>
      <c r="I81" s="80"/>
      <c r="J81" s="79"/>
      <c r="K81" s="80"/>
      <c r="L81" s="79"/>
      <c r="M81" s="80"/>
      <c r="N81" s="79"/>
      <c r="O81" s="80"/>
      <c r="P81" s="13"/>
      <c r="Q81" s="14"/>
    </row>
    <row r="82" spans="2:17" ht="15.75" x14ac:dyDescent="0.25">
      <c r="B82" s="15" t="s">
        <v>203</v>
      </c>
      <c r="C82" s="32"/>
      <c r="D82" s="42"/>
      <c r="E82" s="70" t="str">
        <f>E46</f>
        <v>Container 2000</v>
      </c>
      <c r="F82" s="33"/>
      <c r="G82" s="70" t="str">
        <f>G46</f>
        <v>Container 4000</v>
      </c>
      <c r="H82" s="33"/>
      <c r="I82" s="70" t="str">
        <f>I46</f>
        <v>Container 5000</v>
      </c>
      <c r="J82" s="33"/>
      <c r="K82" s="70" t="str">
        <f>K46</f>
        <v>Container 6000</v>
      </c>
      <c r="L82" s="33"/>
      <c r="M82" s="70" t="str">
        <f>M46</f>
        <v>Container 8000</v>
      </c>
      <c r="N82" s="33"/>
      <c r="O82" s="70" t="str">
        <f>O46</f>
        <v>Container 9000</v>
      </c>
      <c r="P82" s="33"/>
      <c r="Q82" s="46" t="str">
        <f>Q46</f>
        <v>Container 10000</v>
      </c>
    </row>
    <row r="83" spans="2:17" ht="15.75" x14ac:dyDescent="0.25">
      <c r="B83" s="15"/>
      <c r="C83" s="32"/>
      <c r="D83" s="55" t="s">
        <v>211</v>
      </c>
      <c r="E83" s="71"/>
      <c r="F83" s="33"/>
      <c r="G83" s="71"/>
      <c r="H83" s="33"/>
      <c r="I83" s="71"/>
      <c r="J83" s="33"/>
      <c r="K83" s="71"/>
      <c r="L83" s="33"/>
      <c r="M83" s="71"/>
      <c r="N83" s="33"/>
      <c r="O83" s="71"/>
      <c r="P83" s="33"/>
      <c r="Q83" s="47"/>
    </row>
    <row r="84" spans="2:17" ht="18.75" x14ac:dyDescent="0.35">
      <c r="B84" s="15"/>
      <c r="C84" s="32"/>
      <c r="D84" s="29" t="s">
        <v>175</v>
      </c>
      <c r="E84" s="277">
        <f>E$11*'Assist Tug Parameters'!$C42</f>
        <v>0.87579052400000001</v>
      </c>
      <c r="F84" s="280"/>
      <c r="G84" s="277">
        <f>G$11*'Assist Tug Parameters'!D42</f>
        <v>0.87579052400000001</v>
      </c>
      <c r="H84" s="280"/>
      <c r="I84" s="277">
        <f>I$11*'Assist Tug Parameters'!E42</f>
        <v>0.87579052400000001</v>
      </c>
      <c r="J84" s="280"/>
      <c r="K84" s="277">
        <f>K$11*'Assist Tug Parameters'!F42</f>
        <v>0.87579052400000001</v>
      </c>
      <c r="L84" s="280"/>
      <c r="M84" s="277">
        <f>M$11*'Assist Tug Parameters'!G42</f>
        <v>0.87579052400000001</v>
      </c>
      <c r="N84" s="280"/>
      <c r="O84" s="277">
        <f>O$11*'Assist Tug Parameters'!H42</f>
        <v>1.751581048</v>
      </c>
      <c r="P84" s="280"/>
      <c r="Q84" s="86">
        <f>Q$11*'Assist Tug Parameters'!I42</f>
        <v>1.751581048</v>
      </c>
    </row>
    <row r="85" spans="2:17" ht="18.75" x14ac:dyDescent="0.35">
      <c r="B85" s="15"/>
      <c r="C85" s="32"/>
      <c r="D85" s="29" t="s">
        <v>263</v>
      </c>
      <c r="E85" s="277">
        <f>E$11*'Assist Tug Parameters'!$C43</f>
        <v>0.87579052400000001</v>
      </c>
      <c r="F85" s="280"/>
      <c r="G85" s="277">
        <f>G$11*'Assist Tug Parameters'!D43</f>
        <v>0.87579052400000001</v>
      </c>
      <c r="H85" s="280"/>
      <c r="I85" s="277">
        <f>I$11*'Assist Tug Parameters'!E43</f>
        <v>0.87579052400000001</v>
      </c>
      <c r="J85" s="280"/>
      <c r="K85" s="277">
        <f>K$11*'Assist Tug Parameters'!F43</f>
        <v>0.87579052400000001</v>
      </c>
      <c r="L85" s="280"/>
      <c r="M85" s="277">
        <f>M$11*'Assist Tug Parameters'!G43</f>
        <v>0.87579052400000001</v>
      </c>
      <c r="N85" s="280"/>
      <c r="O85" s="277">
        <f>O$11*'Assist Tug Parameters'!H43</f>
        <v>1.751581048</v>
      </c>
      <c r="P85" s="280"/>
      <c r="Q85" s="86">
        <f>Q$11*'Assist Tug Parameters'!I43</f>
        <v>1.751581048</v>
      </c>
    </row>
    <row r="86" spans="2:17" ht="15.75" x14ac:dyDescent="0.25">
      <c r="B86" s="15"/>
      <c r="C86" s="32"/>
      <c r="D86" s="29" t="s">
        <v>177</v>
      </c>
      <c r="E86" s="277">
        <f>E$11*'Assist Tug Parameters'!$C44</f>
        <v>1.0068576908662009E-5</v>
      </c>
      <c r="F86" s="280"/>
      <c r="G86" s="277">
        <f>G$11*'Assist Tug Parameters'!D44</f>
        <v>1.0068576908662009E-5</v>
      </c>
      <c r="H86" s="280"/>
      <c r="I86" s="277">
        <f>I$11*'Assist Tug Parameters'!E44</f>
        <v>1.0068576908662009E-5</v>
      </c>
      <c r="J86" s="280"/>
      <c r="K86" s="277">
        <f>K$11*'Assist Tug Parameters'!F44</f>
        <v>1.0068576908662009E-5</v>
      </c>
      <c r="L86" s="280"/>
      <c r="M86" s="277">
        <f>M$11*'Assist Tug Parameters'!G44</f>
        <v>1.0068576908662009E-5</v>
      </c>
      <c r="N86" s="280"/>
      <c r="O86" s="277">
        <f>O$11*'Assist Tug Parameters'!H44</f>
        <v>2.0137153817324018E-5</v>
      </c>
      <c r="P86" s="280"/>
      <c r="Q86" s="86">
        <f>Q$11*'Assist Tug Parameters'!I44</f>
        <v>2.0137153817324018E-5</v>
      </c>
    </row>
    <row r="87" spans="2:17" ht="15.75" x14ac:dyDescent="0.25">
      <c r="B87" s="15"/>
      <c r="C87" s="32"/>
      <c r="D87" s="29" t="s">
        <v>176</v>
      </c>
      <c r="E87" s="277">
        <f>E$11*'Assist Tug Parameters'!$C45</f>
        <v>1.2088022721551498E-2</v>
      </c>
      <c r="F87" s="280"/>
      <c r="G87" s="277">
        <f>G$11*'Assist Tug Parameters'!D45</f>
        <v>1.2088022721551498E-2</v>
      </c>
      <c r="H87" s="280"/>
      <c r="I87" s="277">
        <f>I$11*'Assist Tug Parameters'!E45</f>
        <v>1.2088022721551498E-2</v>
      </c>
      <c r="J87" s="280"/>
      <c r="K87" s="277">
        <f>K$11*'Assist Tug Parameters'!F45</f>
        <v>1.2088022721551498E-2</v>
      </c>
      <c r="L87" s="280"/>
      <c r="M87" s="277">
        <f>M$11*'Assist Tug Parameters'!G45</f>
        <v>1.2088022721551498E-2</v>
      </c>
      <c r="N87" s="280"/>
      <c r="O87" s="277">
        <f>O$11*'Assist Tug Parameters'!H45</f>
        <v>2.4176045443102995E-2</v>
      </c>
      <c r="P87" s="280"/>
      <c r="Q87" s="86">
        <f>Q$11*'Assist Tug Parameters'!I45</f>
        <v>2.4176045443102995E-2</v>
      </c>
    </row>
    <row r="88" spans="2:17" ht="15.75" x14ac:dyDescent="0.25">
      <c r="B88" s="15"/>
      <c r="C88" s="32"/>
      <c r="D88" s="29" t="s">
        <v>178</v>
      </c>
      <c r="E88" s="277">
        <f>E$11*'Assist Tug Parameters'!$C46</f>
        <v>4.0865015475049512E-4</v>
      </c>
      <c r="F88" s="280"/>
      <c r="G88" s="277">
        <f>G$11*'Assist Tug Parameters'!D46</f>
        <v>4.0865015475049512E-4</v>
      </c>
      <c r="H88" s="280"/>
      <c r="I88" s="277">
        <f>I$11*'Assist Tug Parameters'!E46</f>
        <v>4.0865015475049512E-4</v>
      </c>
      <c r="J88" s="280"/>
      <c r="K88" s="277">
        <f>K$11*'Assist Tug Parameters'!F46</f>
        <v>4.0865015475049512E-4</v>
      </c>
      <c r="L88" s="280"/>
      <c r="M88" s="277">
        <f>M$11*'Assist Tug Parameters'!G46</f>
        <v>4.0865015475049512E-4</v>
      </c>
      <c r="N88" s="280"/>
      <c r="O88" s="277">
        <f>O$11*'Assist Tug Parameters'!H46</f>
        <v>8.1730030950099024E-4</v>
      </c>
      <c r="P88" s="280"/>
      <c r="Q88" s="86">
        <f>Q$11*'Assist Tug Parameters'!I46</f>
        <v>8.1730030950099024E-4</v>
      </c>
    </row>
    <row r="89" spans="2:17" x14ac:dyDescent="0.25">
      <c r="B89" s="22"/>
      <c r="C89" s="23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7"/>
    </row>
  </sheetData>
  <sheetProtection algorithmName="SHA-512" hashValue="jpNOITNGJhHtuaWEzNQVsj8xb9Hrm2FkcRkXRYBcEMqpQKOmQLk4SPcO9GWtenV/iK+IS6/YQL09viOsh5SMkw==" saltValue="oNwrieMZj1E5o0fKOrn3sA==" spinCount="100000" sheet="1" objects="1" scenarios="1"/>
  <pageMargins left="0.5" right="0.5" top="0.7" bottom="0.7" header="0.3" footer="0.3"/>
  <pageSetup paperSize="5" scale="59" orientation="landscape" r:id="rId1"/>
  <rowBreaks count="1" manualBreakCount="1">
    <brk id="44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D496"/>
  <sheetViews>
    <sheetView showGridLines="0" workbookViewId="0">
      <pane ySplit="7" topLeftCell="A38" activePane="bottomLeft" state="frozen"/>
      <selection pane="bottomLeft" activeCell="A4" sqref="A4"/>
    </sheetView>
  </sheetViews>
  <sheetFormatPr defaultRowHeight="15" x14ac:dyDescent="0.25"/>
  <cols>
    <col min="1" max="1" width="37.85546875" style="113" customWidth="1"/>
    <col min="2" max="2" width="13.85546875" style="112" customWidth="1"/>
    <col min="3" max="3" width="4.5703125" style="273" customWidth="1"/>
    <col min="4" max="25" width="10.7109375" style="115" customWidth="1"/>
    <col min="26" max="16384" width="9.140625" style="113"/>
  </cols>
  <sheetData>
    <row r="1" spans="1:30" ht="21" x14ac:dyDescent="0.35">
      <c r="A1" s="111" t="s">
        <v>60</v>
      </c>
      <c r="D1" s="221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128"/>
      <c r="AA1" s="115"/>
    </row>
    <row r="2" spans="1:30" ht="15.75" x14ac:dyDescent="0.25">
      <c r="A2" s="114" t="s">
        <v>74</v>
      </c>
      <c r="D2" s="223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15"/>
    </row>
    <row r="3" spans="1:30" ht="15.75" x14ac:dyDescent="0.25">
      <c r="A3" s="114" t="s">
        <v>70</v>
      </c>
      <c r="Z3" s="115"/>
      <c r="AA3" s="115"/>
    </row>
    <row r="4" spans="1:30" ht="15.75" x14ac:dyDescent="0.25">
      <c r="A4" s="114"/>
      <c r="D4" s="224" t="s">
        <v>236</v>
      </c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115"/>
      <c r="AA4" s="115"/>
    </row>
    <row r="5" spans="1:30" ht="15.75" x14ac:dyDescent="0.25">
      <c r="A5" s="114"/>
      <c r="Z5" s="115"/>
      <c r="AA5" s="115"/>
    </row>
    <row r="6" spans="1:30" ht="15.75" x14ac:dyDescent="0.25">
      <c r="A6" s="114"/>
      <c r="D6" s="226" t="s">
        <v>245</v>
      </c>
      <c r="E6" s="226" t="s">
        <v>246</v>
      </c>
      <c r="F6" s="226" t="s">
        <v>247</v>
      </c>
      <c r="G6" s="226" t="s">
        <v>248</v>
      </c>
      <c r="H6" s="226" t="s">
        <v>249</v>
      </c>
      <c r="I6" s="226" t="s">
        <v>250</v>
      </c>
      <c r="J6" s="226" t="s">
        <v>251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15"/>
      <c r="AA6" s="115"/>
    </row>
    <row r="7" spans="1:30" x14ac:dyDescent="0.25">
      <c r="A7" s="117" t="s">
        <v>59</v>
      </c>
      <c r="B7" s="118" t="s">
        <v>62</v>
      </c>
      <c r="D7" s="112" t="s">
        <v>238</v>
      </c>
      <c r="E7" s="112" t="s">
        <v>239</v>
      </c>
      <c r="F7" s="112" t="s">
        <v>240</v>
      </c>
      <c r="G7" s="112" t="s">
        <v>241</v>
      </c>
      <c r="H7" s="112" t="s">
        <v>242</v>
      </c>
      <c r="I7" s="112" t="s">
        <v>243</v>
      </c>
      <c r="J7" s="112" t="s">
        <v>244</v>
      </c>
      <c r="K7" s="227" t="s">
        <v>270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AA7" s="119"/>
    </row>
    <row r="8" spans="1:30" x14ac:dyDescent="0.25">
      <c r="A8" s="125" t="s">
        <v>63</v>
      </c>
      <c r="B8" s="126" t="s">
        <v>61</v>
      </c>
      <c r="C8" s="274">
        <v>1</v>
      </c>
      <c r="D8" s="143" t="str">
        <f>'Scenario Summary'!E9</f>
        <v>Container 2000</v>
      </c>
      <c r="E8" s="143" t="str">
        <f>'Scenario Summary'!G9</f>
        <v>Container 4000</v>
      </c>
      <c r="F8" s="143" t="str">
        <f>'Scenario Summary'!I9</f>
        <v>Container 5000</v>
      </c>
      <c r="G8" s="143" t="str">
        <f>'Scenario Summary'!K9</f>
        <v>Container 6000</v>
      </c>
      <c r="H8" s="143" t="str">
        <f>'Scenario Summary'!M9</f>
        <v>Container 8000</v>
      </c>
      <c r="I8" s="143" t="str">
        <f>'Scenario Summary'!O9</f>
        <v>Container 9000</v>
      </c>
      <c r="J8" s="143" t="str">
        <f>'Scenario Summary'!Q9</f>
        <v>Container 10000</v>
      </c>
      <c r="K8" s="113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AC8" s="122" t="s">
        <v>97</v>
      </c>
      <c r="AD8" s="122"/>
    </row>
    <row r="9" spans="1:30" s="123" customFormat="1" x14ac:dyDescent="0.25">
      <c r="A9" s="125" t="s">
        <v>0</v>
      </c>
      <c r="B9" s="126" t="s">
        <v>1</v>
      </c>
      <c r="C9" s="274">
        <v>2</v>
      </c>
      <c r="D9" s="143">
        <f>HLOOKUP(D$8,$D$136:$Y$146,$C137,FALSE)</f>
        <v>22487.968444444447</v>
      </c>
      <c r="E9" s="143">
        <f t="shared" ref="E9:J9" si="0">HLOOKUP(E$8,$D$136:$Y$146,$C137,FALSE)</f>
        <v>43660.407326388886</v>
      </c>
      <c r="F9" s="143">
        <f t="shared" si="0"/>
        <v>49653.194782608698</v>
      </c>
      <c r="G9" s="143">
        <f t="shared" si="0"/>
        <v>61027.531567164173</v>
      </c>
      <c r="H9" s="143">
        <f t="shared" si="0"/>
        <v>63967.077049608371</v>
      </c>
      <c r="I9" s="143">
        <f t="shared" si="0"/>
        <v>57807.929270073</v>
      </c>
      <c r="J9" s="143">
        <f t="shared" si="0"/>
        <v>62299.542234042543</v>
      </c>
      <c r="K9" s="123" t="s">
        <v>205</v>
      </c>
      <c r="L9" s="144"/>
      <c r="M9" s="144"/>
      <c r="N9" s="144"/>
      <c r="O9" s="144"/>
      <c r="P9" s="144"/>
      <c r="Q9" s="144"/>
      <c r="R9" s="157"/>
      <c r="S9" s="157"/>
      <c r="T9" s="144"/>
      <c r="U9" s="157"/>
      <c r="V9" s="144"/>
      <c r="W9" s="157"/>
      <c r="X9" s="157"/>
      <c r="Y9" s="157"/>
      <c r="AC9" s="122" t="s">
        <v>98</v>
      </c>
      <c r="AD9" s="122"/>
    </row>
    <row r="10" spans="1:30" s="123" customFormat="1" x14ac:dyDescent="0.25">
      <c r="A10" s="125" t="s">
        <v>64</v>
      </c>
      <c r="B10" s="126" t="s">
        <v>2</v>
      </c>
      <c r="C10" s="274">
        <v>3</v>
      </c>
      <c r="D10" s="152">
        <f t="shared" ref="D10:J10" si="1">HLOOKUP(D$8,$D$136:$Y$146,$C138,FALSE)</f>
        <v>21.600444444444445</v>
      </c>
      <c r="E10" s="152">
        <f t="shared" si="1"/>
        <v>23.810486111111114</v>
      </c>
      <c r="F10" s="152">
        <f t="shared" si="1"/>
        <v>24.604347826086954</v>
      </c>
      <c r="G10" s="152">
        <f t="shared" si="1"/>
        <v>25.264179104477616</v>
      </c>
      <c r="H10" s="152">
        <f t="shared" si="1"/>
        <v>24.789112271540475</v>
      </c>
      <c r="I10" s="152">
        <f t="shared" si="1"/>
        <v>23.605474452554745</v>
      </c>
      <c r="J10" s="152">
        <f t="shared" si="1"/>
        <v>24.19595744680851</v>
      </c>
      <c r="K10" s="123" t="s">
        <v>205</v>
      </c>
      <c r="L10" s="158"/>
      <c r="M10" s="158"/>
      <c r="N10" s="158"/>
      <c r="O10" s="158"/>
      <c r="P10" s="158"/>
      <c r="Q10" s="158"/>
      <c r="R10" s="159"/>
      <c r="S10" s="159"/>
      <c r="T10" s="158"/>
      <c r="U10" s="159"/>
      <c r="V10" s="158"/>
      <c r="W10" s="159"/>
      <c r="X10" s="159"/>
      <c r="Y10" s="159"/>
      <c r="AC10" s="122" t="s">
        <v>99</v>
      </c>
      <c r="AD10" s="122"/>
    </row>
    <row r="11" spans="1:30" x14ac:dyDescent="0.25">
      <c r="A11" s="128"/>
      <c r="B11" s="229" t="s">
        <v>220</v>
      </c>
      <c r="C11" s="274">
        <v>4</v>
      </c>
      <c r="D11" s="170">
        <f t="shared" ref="D11:J11" si="2">HLOOKUP(D$8,$D$136:$Y$146,$C139,FALSE)</f>
        <v>2099</v>
      </c>
      <c r="E11" s="170">
        <f t="shared" si="2"/>
        <v>2314</v>
      </c>
      <c r="F11" s="170">
        <f t="shared" si="2"/>
        <v>3293</v>
      </c>
      <c r="G11" s="170">
        <f t="shared" si="2"/>
        <v>2237</v>
      </c>
      <c r="H11" s="170">
        <f t="shared" si="2"/>
        <v>2666</v>
      </c>
      <c r="I11" s="170">
        <f t="shared" si="2"/>
        <v>2864</v>
      </c>
      <c r="J11" s="170">
        <f t="shared" si="2"/>
        <v>2210</v>
      </c>
      <c r="K11" s="122" t="s">
        <v>205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AC11" s="122" t="s">
        <v>100</v>
      </c>
      <c r="AD11" s="122"/>
    </row>
    <row r="12" spans="1:30" x14ac:dyDescent="0.25">
      <c r="A12" s="193" t="s">
        <v>132</v>
      </c>
      <c r="B12" s="229" t="s">
        <v>221</v>
      </c>
      <c r="C12" s="274">
        <v>5</v>
      </c>
      <c r="D12" s="170">
        <f t="shared" ref="D12:J12" si="3">HLOOKUP(D$8,$D$136:$Y$146,$C140,FALSE)</f>
        <v>2188</v>
      </c>
      <c r="E12" s="170">
        <f t="shared" si="3"/>
        <v>2327</v>
      </c>
      <c r="F12" s="170">
        <f t="shared" si="3"/>
        <v>4487</v>
      </c>
      <c r="G12" s="170">
        <f t="shared" si="3"/>
        <v>2771</v>
      </c>
      <c r="H12" s="170">
        <f t="shared" si="3"/>
        <v>3262</v>
      </c>
      <c r="I12" s="170">
        <f t="shared" si="3"/>
        <v>2236</v>
      </c>
      <c r="J12" s="170">
        <f t="shared" si="3"/>
        <v>1925</v>
      </c>
      <c r="K12" s="122" t="s">
        <v>205</v>
      </c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AC12" s="122" t="s">
        <v>101</v>
      </c>
      <c r="AD12" s="122"/>
    </row>
    <row r="13" spans="1:30" x14ac:dyDescent="0.25">
      <c r="A13" s="125" t="s">
        <v>139</v>
      </c>
      <c r="B13" s="126"/>
      <c r="C13" s="274">
        <v>6</v>
      </c>
      <c r="D13" s="143"/>
      <c r="E13" s="143"/>
      <c r="F13" s="143"/>
      <c r="G13" s="143"/>
      <c r="H13" s="143"/>
      <c r="I13" s="143"/>
      <c r="J13" s="143"/>
      <c r="K13" s="113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AC13" s="122" t="s">
        <v>102</v>
      </c>
      <c r="AD13" s="122"/>
    </row>
    <row r="14" spans="1:30" s="123" customFormat="1" x14ac:dyDescent="0.25">
      <c r="A14" s="125" t="s">
        <v>50</v>
      </c>
      <c r="B14" s="126" t="s">
        <v>1</v>
      </c>
      <c r="C14" s="274">
        <v>7</v>
      </c>
      <c r="D14" s="143">
        <f t="shared" ref="D14:J14" si="4">HLOOKUP(D$8,$D$136:$Y$146,$C142,FALSE)</f>
        <v>2100</v>
      </c>
      <c r="E14" s="143">
        <f t="shared" si="4"/>
        <v>2300</v>
      </c>
      <c r="F14" s="143">
        <f t="shared" si="4"/>
        <v>3900</v>
      </c>
      <c r="G14" s="143">
        <f t="shared" si="4"/>
        <v>2500</v>
      </c>
      <c r="H14" s="143">
        <f t="shared" si="4"/>
        <v>3000</v>
      </c>
      <c r="I14" s="143">
        <f t="shared" si="4"/>
        <v>2600</v>
      </c>
      <c r="J14" s="143">
        <f t="shared" si="4"/>
        <v>2100</v>
      </c>
      <c r="K14" s="123" t="s">
        <v>205</v>
      </c>
      <c r="L14" s="144"/>
      <c r="M14" s="144"/>
      <c r="N14" s="144"/>
      <c r="O14" s="144"/>
      <c r="P14" s="144"/>
      <c r="Q14" s="144"/>
      <c r="R14" s="157"/>
      <c r="S14" s="157"/>
      <c r="T14" s="144"/>
      <c r="U14" s="157"/>
      <c r="V14" s="144"/>
      <c r="W14" s="157"/>
      <c r="X14" s="157"/>
      <c r="Y14" s="157"/>
      <c r="AA14" s="113"/>
      <c r="AC14" s="122" t="s">
        <v>103</v>
      </c>
      <c r="AD14" s="122"/>
    </row>
    <row r="15" spans="1:30" s="123" customFormat="1" x14ac:dyDescent="0.25">
      <c r="A15" s="125" t="s">
        <v>223</v>
      </c>
      <c r="B15" s="126" t="s">
        <v>1</v>
      </c>
      <c r="C15" s="274">
        <v>8</v>
      </c>
      <c r="D15" s="143">
        <f t="shared" ref="D15:J15" si="5">HLOOKUP(D$8,$D$136:$Y$146,$C143,FALSE)</f>
        <v>1000</v>
      </c>
      <c r="E15" s="143">
        <f t="shared" si="5"/>
        <v>1400</v>
      </c>
      <c r="F15" s="143">
        <f t="shared" si="5"/>
        <v>1600</v>
      </c>
      <c r="G15" s="143">
        <f t="shared" si="5"/>
        <v>1500</v>
      </c>
      <c r="H15" s="143">
        <f t="shared" si="5"/>
        <v>1700</v>
      </c>
      <c r="I15" s="143">
        <f t="shared" si="5"/>
        <v>1000</v>
      </c>
      <c r="J15" s="143">
        <f t="shared" si="5"/>
        <v>1600</v>
      </c>
      <c r="K15" s="123" t="s">
        <v>205</v>
      </c>
      <c r="L15" s="144"/>
      <c r="M15" s="144"/>
      <c r="N15" s="144"/>
      <c r="O15" s="144"/>
      <c r="P15" s="144"/>
      <c r="Q15" s="144"/>
      <c r="R15" s="157"/>
      <c r="S15" s="157"/>
      <c r="T15" s="144"/>
      <c r="U15" s="157"/>
      <c r="V15" s="144"/>
      <c r="W15" s="157"/>
      <c r="X15" s="157"/>
      <c r="Y15" s="157"/>
      <c r="AA15" s="113"/>
      <c r="AC15" s="122" t="s">
        <v>104</v>
      </c>
      <c r="AD15" s="122"/>
    </row>
    <row r="16" spans="1:30" x14ac:dyDescent="0.25">
      <c r="A16" s="125"/>
      <c r="B16" s="126"/>
      <c r="C16" s="274">
        <v>9</v>
      </c>
      <c r="D16" s="126"/>
      <c r="E16" s="126"/>
      <c r="F16" s="126"/>
      <c r="G16" s="126"/>
      <c r="H16" s="126"/>
      <c r="I16" s="126"/>
      <c r="J16" s="126"/>
      <c r="K16" s="113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AC16" s="122" t="s">
        <v>105</v>
      </c>
      <c r="AD16" s="122"/>
    </row>
    <row r="17" spans="1:30" s="123" customFormat="1" x14ac:dyDescent="0.25">
      <c r="A17" s="125" t="s">
        <v>222</v>
      </c>
      <c r="B17" s="126" t="s">
        <v>216</v>
      </c>
      <c r="C17" s="274">
        <v>10</v>
      </c>
      <c r="D17" s="143">
        <f t="shared" ref="D17:J17" si="6">HLOOKUP(D$8,$D$136:$Y$146,$C145,FALSE)</f>
        <v>968</v>
      </c>
      <c r="E17" s="143">
        <f t="shared" si="6"/>
        <v>1454</v>
      </c>
      <c r="F17" s="143">
        <f t="shared" si="6"/>
        <v>1811</v>
      </c>
      <c r="G17" s="143">
        <f t="shared" si="6"/>
        <v>1509</v>
      </c>
      <c r="H17" s="143">
        <f t="shared" si="6"/>
        <v>1544</v>
      </c>
      <c r="I17" s="143">
        <f t="shared" si="6"/>
        <v>514</v>
      </c>
      <c r="J17" s="143">
        <f t="shared" si="6"/>
        <v>1757</v>
      </c>
      <c r="K17" s="123" t="s">
        <v>205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AC17" s="122" t="s">
        <v>106</v>
      </c>
      <c r="AD17" s="122"/>
    </row>
    <row r="18" spans="1:30" s="123" customFormat="1" x14ac:dyDescent="0.25">
      <c r="A18" s="125" t="s">
        <v>222</v>
      </c>
      <c r="B18" s="126" t="s">
        <v>217</v>
      </c>
      <c r="C18" s="274">
        <v>11</v>
      </c>
      <c r="D18" s="143">
        <f t="shared" ref="D18:J18" si="7">HLOOKUP(D$8,$D$136:$Y$146,$C146,FALSE)</f>
        <v>985</v>
      </c>
      <c r="E18" s="143">
        <f t="shared" si="7"/>
        <v>1348</v>
      </c>
      <c r="F18" s="143">
        <f t="shared" si="7"/>
        <v>1333</v>
      </c>
      <c r="G18" s="143">
        <f t="shared" si="7"/>
        <v>1518</v>
      </c>
      <c r="H18" s="143">
        <f t="shared" si="7"/>
        <v>1849</v>
      </c>
      <c r="I18" s="143">
        <f t="shared" si="7"/>
        <v>1476</v>
      </c>
      <c r="J18" s="143">
        <f t="shared" si="7"/>
        <v>1360</v>
      </c>
      <c r="K18" s="123" t="s">
        <v>205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AC18" s="122" t="s">
        <v>107</v>
      </c>
      <c r="AD18" s="122"/>
    </row>
    <row r="19" spans="1:30" x14ac:dyDescent="0.25">
      <c r="A19" s="128"/>
      <c r="B19" s="132"/>
      <c r="C19" s="274">
        <v>12</v>
      </c>
      <c r="D19" s="145"/>
      <c r="E19" s="145"/>
      <c r="F19" s="145"/>
      <c r="G19" s="145"/>
      <c r="H19" s="145"/>
      <c r="I19" s="145"/>
      <c r="J19" s="145"/>
      <c r="K19" s="113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AC19" s="122" t="s">
        <v>108</v>
      </c>
      <c r="AD19" s="122"/>
    </row>
    <row r="20" spans="1:30" x14ac:dyDescent="0.25">
      <c r="A20" s="193" t="s">
        <v>58</v>
      </c>
      <c r="B20" s="135"/>
      <c r="C20" s="274">
        <v>13</v>
      </c>
      <c r="D20" s="135"/>
      <c r="E20" s="135"/>
      <c r="F20" s="135"/>
      <c r="G20" s="135"/>
      <c r="H20" s="135"/>
      <c r="I20" s="135"/>
      <c r="J20" s="135"/>
      <c r="K20" s="113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AC20" s="122" t="s">
        <v>109</v>
      </c>
      <c r="AD20" s="122"/>
    </row>
    <row r="21" spans="1:30" x14ac:dyDescent="0.25">
      <c r="A21" s="230" t="s">
        <v>10</v>
      </c>
      <c r="B21" s="231"/>
      <c r="C21" s="274">
        <v>14</v>
      </c>
      <c r="D21" s="232">
        <v>1</v>
      </c>
      <c r="E21" s="232">
        <v>1</v>
      </c>
      <c r="F21" s="232">
        <v>1</v>
      </c>
      <c r="G21" s="232">
        <v>1</v>
      </c>
      <c r="H21" s="232">
        <v>1</v>
      </c>
      <c r="I21" s="232">
        <v>1</v>
      </c>
      <c r="J21" s="232">
        <v>1</v>
      </c>
      <c r="K21" s="113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AC21" s="122" t="s">
        <v>110</v>
      </c>
      <c r="AD21" s="122"/>
    </row>
    <row r="22" spans="1:30" s="119" customFormat="1" x14ac:dyDescent="0.25">
      <c r="A22" s="125" t="s">
        <v>3</v>
      </c>
      <c r="B22" s="126" t="s">
        <v>12</v>
      </c>
      <c r="C22" s="274">
        <v>15</v>
      </c>
      <c r="D22" s="126">
        <f>'Scenario Summary'!E12</f>
        <v>30</v>
      </c>
      <c r="E22" s="126">
        <f>'Scenario Summary'!G12</f>
        <v>30</v>
      </c>
      <c r="F22" s="126">
        <f>'Scenario Summary'!I12</f>
        <v>30</v>
      </c>
      <c r="G22" s="126">
        <f>'Scenario Summary'!K12</f>
        <v>30</v>
      </c>
      <c r="H22" s="126">
        <f>'Scenario Summary'!M12</f>
        <v>30</v>
      </c>
      <c r="I22" s="126">
        <f>'Scenario Summary'!O12</f>
        <v>30</v>
      </c>
      <c r="J22" s="126">
        <f>'Scenario Summary'!Q12</f>
        <v>30</v>
      </c>
      <c r="K22" s="123" t="s">
        <v>227</v>
      </c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AC22" s="122" t="s">
        <v>111</v>
      </c>
      <c r="AD22" s="122"/>
    </row>
    <row r="23" spans="1:30" s="119" customFormat="1" x14ac:dyDescent="0.25">
      <c r="A23" s="125" t="s">
        <v>4</v>
      </c>
      <c r="B23" s="126" t="s">
        <v>12</v>
      </c>
      <c r="C23" s="274">
        <v>16</v>
      </c>
      <c r="D23" s="126">
        <f>'Scenario Summary'!E13</f>
        <v>15</v>
      </c>
      <c r="E23" s="126">
        <f>'Scenario Summary'!G13</f>
        <v>15</v>
      </c>
      <c r="F23" s="126">
        <f>'Scenario Summary'!I13</f>
        <v>15</v>
      </c>
      <c r="G23" s="126">
        <f>'Scenario Summary'!K13</f>
        <v>15</v>
      </c>
      <c r="H23" s="126">
        <f>'Scenario Summary'!M13</f>
        <v>15</v>
      </c>
      <c r="I23" s="126">
        <f>'Scenario Summary'!O13</f>
        <v>15</v>
      </c>
      <c r="J23" s="126">
        <f>'Scenario Summary'!Q13</f>
        <v>15</v>
      </c>
      <c r="K23" s="123" t="s">
        <v>227</v>
      </c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AC23" s="122" t="s">
        <v>112</v>
      </c>
      <c r="AD23" s="122"/>
    </row>
    <row r="24" spans="1:30" x14ac:dyDescent="0.25">
      <c r="A24" s="125" t="s">
        <v>14</v>
      </c>
      <c r="B24" s="126" t="s">
        <v>12</v>
      </c>
      <c r="C24" s="274">
        <v>17</v>
      </c>
      <c r="D24" s="126">
        <v>0.5</v>
      </c>
      <c r="E24" s="126">
        <v>0.5</v>
      </c>
      <c r="F24" s="126">
        <v>0.5</v>
      </c>
      <c r="G24" s="126">
        <v>0.5</v>
      </c>
      <c r="H24" s="126">
        <v>0.5</v>
      </c>
      <c r="I24" s="126">
        <v>0.5</v>
      </c>
      <c r="J24" s="126">
        <v>0.5</v>
      </c>
      <c r="K24" s="113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AC24" s="122" t="s">
        <v>113</v>
      </c>
      <c r="AD24" s="122"/>
    </row>
    <row r="25" spans="1:30" x14ac:dyDescent="0.25">
      <c r="A25" s="125" t="s">
        <v>6</v>
      </c>
      <c r="B25" s="126" t="s">
        <v>12</v>
      </c>
      <c r="C25" s="274">
        <v>18</v>
      </c>
      <c r="D25" s="126">
        <v>0.25</v>
      </c>
      <c r="E25" s="126">
        <v>0.25</v>
      </c>
      <c r="F25" s="126">
        <v>0.25</v>
      </c>
      <c r="G25" s="126">
        <v>0.25</v>
      </c>
      <c r="H25" s="126">
        <v>0.25</v>
      </c>
      <c r="I25" s="126">
        <v>0.25</v>
      </c>
      <c r="J25" s="126">
        <v>0.25</v>
      </c>
      <c r="K25" s="113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AC25" s="122" t="s">
        <v>114</v>
      </c>
      <c r="AD25" s="122"/>
    </row>
    <row r="26" spans="1:30" s="124" customFormat="1" x14ac:dyDescent="0.25">
      <c r="A26" s="125" t="s">
        <v>15</v>
      </c>
      <c r="B26" s="126" t="s">
        <v>12</v>
      </c>
      <c r="C26" s="274">
        <v>19</v>
      </c>
      <c r="D26" s="126">
        <f>SUM(D22:D23)-SUM(D24:D25)</f>
        <v>44.25</v>
      </c>
      <c r="E26" s="126">
        <f t="shared" ref="E26:J26" si="8">SUM(E22:E23)-SUM(E24:E25)</f>
        <v>44.25</v>
      </c>
      <c r="F26" s="126">
        <f t="shared" si="8"/>
        <v>44.25</v>
      </c>
      <c r="G26" s="126">
        <f t="shared" si="8"/>
        <v>44.25</v>
      </c>
      <c r="H26" s="126">
        <f t="shared" si="8"/>
        <v>44.25</v>
      </c>
      <c r="I26" s="126">
        <f t="shared" si="8"/>
        <v>44.25</v>
      </c>
      <c r="J26" s="126">
        <f t="shared" si="8"/>
        <v>44.25</v>
      </c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AC26" s="116" t="s">
        <v>115</v>
      </c>
      <c r="AD26" s="116"/>
    </row>
    <row r="27" spans="1:30" x14ac:dyDescent="0.25">
      <c r="A27" s="125"/>
      <c r="B27" s="126" t="s">
        <v>13</v>
      </c>
      <c r="C27" s="274">
        <v>20</v>
      </c>
      <c r="D27" s="126">
        <f>ROUND(D26/60,1)</f>
        <v>0.7</v>
      </c>
      <c r="E27" s="126">
        <f t="shared" ref="E27:J27" si="9">ROUND(E26/60,1)</f>
        <v>0.7</v>
      </c>
      <c r="F27" s="126">
        <f t="shared" si="9"/>
        <v>0.7</v>
      </c>
      <c r="G27" s="126">
        <f t="shared" si="9"/>
        <v>0.7</v>
      </c>
      <c r="H27" s="126">
        <f t="shared" si="9"/>
        <v>0.7</v>
      </c>
      <c r="I27" s="126">
        <f t="shared" si="9"/>
        <v>0.7</v>
      </c>
      <c r="J27" s="126">
        <f t="shared" si="9"/>
        <v>0.7</v>
      </c>
      <c r="K27" s="113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AC27" s="122" t="s">
        <v>116</v>
      </c>
      <c r="AD27" s="122"/>
    </row>
    <row r="28" spans="1:30" x14ac:dyDescent="0.25">
      <c r="A28" s="125"/>
      <c r="B28" s="126"/>
      <c r="C28" s="274">
        <v>21</v>
      </c>
      <c r="D28" s="126">
        <f>D27</f>
        <v>0.7</v>
      </c>
      <c r="E28" s="126">
        <f t="shared" ref="E28:J28" si="10">E27</f>
        <v>0.7</v>
      </c>
      <c r="F28" s="126">
        <f t="shared" si="10"/>
        <v>0.7</v>
      </c>
      <c r="G28" s="126">
        <f t="shared" si="10"/>
        <v>0.7</v>
      </c>
      <c r="H28" s="126">
        <f t="shared" si="10"/>
        <v>0.7</v>
      </c>
      <c r="I28" s="126">
        <f t="shared" si="10"/>
        <v>0.7</v>
      </c>
      <c r="J28" s="126">
        <f t="shared" si="10"/>
        <v>0.7</v>
      </c>
      <c r="K28" s="113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AC28" s="122"/>
      <c r="AD28" s="122"/>
    </row>
    <row r="29" spans="1:30" x14ac:dyDescent="0.25">
      <c r="A29" s="125" t="s">
        <v>306</v>
      </c>
      <c r="B29" s="126" t="s">
        <v>12</v>
      </c>
      <c r="C29" s="274">
        <v>22</v>
      </c>
      <c r="D29" s="126">
        <f>'Scenario Summary'!E14</f>
        <v>0</v>
      </c>
      <c r="E29" s="126">
        <f>'Scenario Summary'!G14</f>
        <v>0</v>
      </c>
      <c r="F29" s="126">
        <f>'Scenario Summary'!I14</f>
        <v>0</v>
      </c>
      <c r="G29" s="126">
        <f>'Scenario Summary'!K14</f>
        <v>0</v>
      </c>
      <c r="H29" s="126">
        <f>'Scenario Summary'!M14</f>
        <v>0</v>
      </c>
      <c r="I29" s="126">
        <f>'Scenario Summary'!O14</f>
        <v>0</v>
      </c>
      <c r="J29" s="126">
        <f>'Scenario Summary'!Q14</f>
        <v>0</v>
      </c>
      <c r="K29" s="113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AC29" s="122"/>
      <c r="AD29" s="122"/>
    </row>
    <row r="30" spans="1:30" x14ac:dyDescent="0.25">
      <c r="A30" s="115"/>
      <c r="B30" s="135"/>
      <c r="C30" s="274">
        <v>23</v>
      </c>
      <c r="D30" s="135"/>
      <c r="E30" s="135"/>
      <c r="F30" s="135"/>
      <c r="G30" s="135"/>
      <c r="H30" s="135"/>
      <c r="I30" s="135"/>
      <c r="J30" s="135"/>
      <c r="K30" s="113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AC30" s="122" t="s">
        <v>118</v>
      </c>
      <c r="AD30" s="122"/>
    </row>
    <row r="31" spans="1:30" x14ac:dyDescent="0.25">
      <c r="A31" s="193" t="s">
        <v>57</v>
      </c>
      <c r="B31" s="135"/>
      <c r="C31" s="274">
        <v>24</v>
      </c>
      <c r="D31" s="135"/>
      <c r="E31" s="135"/>
      <c r="F31" s="135"/>
      <c r="G31" s="135"/>
      <c r="H31" s="135"/>
      <c r="I31" s="135"/>
      <c r="J31" s="135"/>
      <c r="K31" s="113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AC31" s="122" t="s">
        <v>119</v>
      </c>
      <c r="AD31" s="122"/>
    </row>
    <row r="32" spans="1:30" s="119" customFormat="1" x14ac:dyDescent="0.25">
      <c r="A32" s="125" t="s">
        <v>9</v>
      </c>
      <c r="B32" s="126" t="s">
        <v>7</v>
      </c>
      <c r="C32" s="274">
        <v>25</v>
      </c>
      <c r="D32" s="143">
        <f>HLOOKUP(D$8,'Scenario Summary'!$E$9:$Q$16,8,FALSE)</f>
        <v>360</v>
      </c>
      <c r="E32" s="143">
        <f>HLOOKUP(E$8,'Scenario Summary'!$E$9:$Q$16,8,FALSE)</f>
        <v>360</v>
      </c>
      <c r="F32" s="143">
        <f>HLOOKUP(F$8,'Scenario Summary'!$E$9:$Q$16,8,FALSE)</f>
        <v>360</v>
      </c>
      <c r="G32" s="143">
        <f>HLOOKUP(G$8,'Scenario Summary'!$E$9:$Q$16,8,FALSE)</f>
        <v>360</v>
      </c>
      <c r="H32" s="143">
        <f>HLOOKUP(H$8,'Scenario Summary'!$E$9:$Q$16,8,FALSE)</f>
        <v>360</v>
      </c>
      <c r="I32" s="143">
        <f>HLOOKUP(I$8,'Scenario Summary'!$E$9:$Q$16,8,FALSE)</f>
        <v>360</v>
      </c>
      <c r="J32" s="143">
        <f>HLOOKUP(J$8,'Scenario Summary'!$E$9:$Q$16,8,FALSE)</f>
        <v>360</v>
      </c>
      <c r="K32" s="123" t="s">
        <v>226</v>
      </c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AC32" s="122" t="s">
        <v>120</v>
      </c>
      <c r="AD32" s="122"/>
    </row>
    <row r="33" spans="1:25" s="119" customFormat="1" x14ac:dyDescent="0.25">
      <c r="A33" s="125" t="s">
        <v>130</v>
      </c>
      <c r="B33" s="126" t="s">
        <v>2</v>
      </c>
      <c r="C33" s="274">
        <v>26</v>
      </c>
      <c r="D33" s="146">
        <f>HLOOKUP(D$8,'Scenario Summary'!$E$9:$Q$16,7,FALSE)</f>
        <v>14.7</v>
      </c>
      <c r="E33" s="146">
        <f>HLOOKUP(E$8,'Scenario Summary'!$E$9:$Q$16,7,FALSE)</f>
        <v>14.7</v>
      </c>
      <c r="F33" s="146">
        <f>HLOOKUP(F$8,'Scenario Summary'!$E$9:$Q$16,7,FALSE)</f>
        <v>15.7</v>
      </c>
      <c r="G33" s="146">
        <f>HLOOKUP(G$8,'Scenario Summary'!$E$9:$Q$16,7,FALSE)</f>
        <v>15.7</v>
      </c>
      <c r="H33" s="146">
        <f>HLOOKUP(H$8,'Scenario Summary'!$E$9:$Q$16,7,FALSE)</f>
        <v>16.3</v>
      </c>
      <c r="I33" s="146">
        <f>HLOOKUP(I$8,'Scenario Summary'!$E$9:$Q$16,7,FALSE)</f>
        <v>16.3</v>
      </c>
      <c r="J33" s="146">
        <f>HLOOKUP(J$8,'Scenario Summary'!$E$9:$Q$16,7,FALSE)</f>
        <v>16.3</v>
      </c>
      <c r="K33" s="123" t="s">
        <v>219</v>
      </c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</row>
    <row r="34" spans="1:25" x14ac:dyDescent="0.25">
      <c r="A34" s="125" t="s">
        <v>17</v>
      </c>
      <c r="B34" s="126" t="s">
        <v>8</v>
      </c>
      <c r="C34" s="274">
        <v>27</v>
      </c>
      <c r="D34" s="146">
        <f>D32/D33</f>
        <v>24.489795918367349</v>
      </c>
      <c r="E34" s="146">
        <f t="shared" ref="E34:J34" si="11">E32/E33</f>
        <v>24.489795918367349</v>
      </c>
      <c r="F34" s="146">
        <f t="shared" si="11"/>
        <v>22.929936305732486</v>
      </c>
      <c r="G34" s="146">
        <f t="shared" si="11"/>
        <v>22.929936305732486</v>
      </c>
      <c r="H34" s="146">
        <f t="shared" si="11"/>
        <v>22.085889570552148</v>
      </c>
      <c r="I34" s="146">
        <f t="shared" si="11"/>
        <v>22.085889570552148</v>
      </c>
      <c r="J34" s="146">
        <f t="shared" si="11"/>
        <v>22.085889570552148</v>
      </c>
      <c r="K34" s="11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</row>
    <row r="35" spans="1:25" s="124" customFormat="1" x14ac:dyDescent="0.25">
      <c r="A35" s="125" t="s">
        <v>308</v>
      </c>
      <c r="B35" s="126" t="s">
        <v>8</v>
      </c>
      <c r="C35" s="274">
        <v>28</v>
      </c>
      <c r="D35" s="147">
        <f>D34+D27+(D29/60)</f>
        <v>25.189795918367349</v>
      </c>
      <c r="E35" s="147">
        <f>E34+E27+(E29/60)</f>
        <v>25.189795918367349</v>
      </c>
      <c r="F35" s="147">
        <f>F34+F27+(F29/60)</f>
        <v>23.629936305732485</v>
      </c>
      <c r="G35" s="147">
        <f>G34+G27+(G29/60)</f>
        <v>23.629936305732485</v>
      </c>
      <c r="H35" s="147">
        <f>H34+H27+(H29/60)</f>
        <v>22.785889570552147</v>
      </c>
      <c r="I35" s="147">
        <f>I34+I27+(I29/60)</f>
        <v>22.785889570552147</v>
      </c>
      <c r="J35" s="147">
        <f>J34+J27+(J29/60)</f>
        <v>22.785889570552147</v>
      </c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spans="1:25" s="124" customFormat="1" x14ac:dyDescent="0.25">
      <c r="A36" s="125" t="s">
        <v>307</v>
      </c>
      <c r="B36" s="126" t="s">
        <v>2</v>
      </c>
      <c r="C36" s="274">
        <v>29</v>
      </c>
      <c r="D36" s="146">
        <f>D32/D35</f>
        <v>14.291501255772502</v>
      </c>
      <c r="E36" s="146">
        <f t="shared" ref="E36:J36" si="12">E32/E35</f>
        <v>14.291501255772502</v>
      </c>
      <c r="F36" s="146">
        <f t="shared" si="12"/>
        <v>15.234911992236986</v>
      </c>
      <c r="G36" s="146">
        <f t="shared" si="12"/>
        <v>15.234911992236986</v>
      </c>
      <c r="H36" s="146">
        <f t="shared" si="12"/>
        <v>15.79925150103659</v>
      </c>
      <c r="I36" s="146">
        <f t="shared" si="12"/>
        <v>15.79925150103659</v>
      </c>
      <c r="J36" s="146">
        <f t="shared" si="12"/>
        <v>15.79925150103659</v>
      </c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</row>
    <row r="37" spans="1:25" s="124" customFormat="1" x14ac:dyDescent="0.25">
      <c r="A37" s="128"/>
      <c r="B37" s="132"/>
      <c r="C37" s="274">
        <v>30</v>
      </c>
      <c r="D37" s="173"/>
      <c r="E37" s="173"/>
      <c r="F37" s="173"/>
      <c r="G37" s="173"/>
      <c r="H37" s="173"/>
      <c r="I37" s="173"/>
      <c r="J37" s="173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</row>
    <row r="38" spans="1:25" x14ac:dyDescent="0.25">
      <c r="A38" s="193" t="s">
        <v>133</v>
      </c>
      <c r="B38" s="135"/>
      <c r="C38" s="274">
        <v>31</v>
      </c>
      <c r="D38" s="135"/>
      <c r="E38" s="135"/>
      <c r="F38" s="135"/>
      <c r="G38" s="135"/>
      <c r="H38" s="135"/>
      <c r="I38" s="135"/>
      <c r="J38" s="135"/>
      <c r="K38" s="113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</row>
    <row r="39" spans="1:25" x14ac:dyDescent="0.25">
      <c r="A39" s="125" t="s">
        <v>268</v>
      </c>
      <c r="B39" s="126" t="s">
        <v>269</v>
      </c>
      <c r="C39" s="274">
        <v>32</v>
      </c>
      <c r="D39" s="194">
        <f>1-D41/D40</f>
        <v>8.1071859585421957E-2</v>
      </c>
      <c r="E39" s="194">
        <f t="shared" ref="E39:J39" si="13">1-E41/E40</f>
        <v>8.1071859585421513E-2</v>
      </c>
      <c r="F39" s="194">
        <f t="shared" si="13"/>
        <v>8.6263671361431982E-2</v>
      </c>
      <c r="G39" s="194">
        <f t="shared" si="13"/>
        <v>8.6263671361432537E-2</v>
      </c>
      <c r="H39" s="194">
        <f t="shared" si="13"/>
        <v>8.9359997083231613E-2</v>
      </c>
      <c r="I39" s="194">
        <f t="shared" si="13"/>
        <v>8.9359997083231613E-2</v>
      </c>
      <c r="J39" s="194">
        <f t="shared" si="13"/>
        <v>8.9359997083231724E-2</v>
      </c>
      <c r="K39" s="113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</row>
    <row r="40" spans="1:25" x14ac:dyDescent="0.25">
      <c r="A40" s="125" t="s">
        <v>18</v>
      </c>
      <c r="B40" s="126"/>
      <c r="C40" s="274">
        <v>33</v>
      </c>
      <c r="D40" s="148">
        <f>(D33/D$10)^3</f>
        <v>0.31518384027482671</v>
      </c>
      <c r="E40" s="148">
        <f>(E33/E$10)^3</f>
        <v>0.23531370308432562</v>
      </c>
      <c r="F40" s="148">
        <f t="shared" ref="F40:J40" si="14">(F33/F$10)^3</f>
        <v>0.25981449910225729</v>
      </c>
      <c r="G40" s="148">
        <f t="shared" si="14"/>
        <v>0.23998460504354313</v>
      </c>
      <c r="H40" s="148">
        <f t="shared" si="14"/>
        <v>0.28430198367357762</v>
      </c>
      <c r="I40" s="148">
        <f t="shared" si="14"/>
        <v>0.32924911149304548</v>
      </c>
      <c r="J40" s="148">
        <f t="shared" si="14"/>
        <v>0.30572740994079994</v>
      </c>
      <c r="K40" s="113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</row>
    <row r="41" spans="1:25" x14ac:dyDescent="0.25">
      <c r="A41" s="125" t="s">
        <v>135</v>
      </c>
      <c r="B41" s="126"/>
      <c r="C41" s="274">
        <v>34</v>
      </c>
      <c r="D41" s="148">
        <f>(D36/D$10)^3</f>
        <v>0.28963130023247191</v>
      </c>
      <c r="E41" s="148">
        <f>(E36/E$10)^3</f>
        <v>0.2162363835893476</v>
      </c>
      <c r="F41" s="148">
        <f t="shared" ref="F41:J41" si="15">(F36/F$10)^3</f>
        <v>0.23740194653676511</v>
      </c>
      <c r="G41" s="148">
        <f t="shared" si="15"/>
        <v>0.21928265194226373</v>
      </c>
      <c r="H41" s="148">
        <f t="shared" si="15"/>
        <v>0.25889675924174976</v>
      </c>
      <c r="I41" s="148">
        <f t="shared" si="15"/>
        <v>0.29982741185037032</v>
      </c>
      <c r="J41" s="148">
        <f t="shared" si="15"/>
        <v>0.27840760948022608</v>
      </c>
      <c r="K41" s="113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</row>
    <row r="42" spans="1:25" x14ac:dyDescent="0.25">
      <c r="A42" s="125" t="s">
        <v>19</v>
      </c>
      <c r="B42" s="126" t="s">
        <v>30</v>
      </c>
      <c r="C42" s="274">
        <v>35</v>
      </c>
      <c r="D42" s="143">
        <f>D40*D$9*D34</f>
        <v>173579.85928895811</v>
      </c>
      <c r="E42" s="143">
        <f t="shared" ref="E42:J42" si="16">E40*E$9*E34</f>
        <v>251605.52145655322</v>
      </c>
      <c r="F42" s="143">
        <f t="shared" si="16"/>
        <v>295810.39332849084</v>
      </c>
      <c r="G42" s="143">
        <f t="shared" si="16"/>
        <v>335824.23576905555</v>
      </c>
      <c r="H42" s="143">
        <f t="shared" si="16"/>
        <v>401653.25657678075</v>
      </c>
      <c r="I42" s="143">
        <f t="shared" si="16"/>
        <v>420365.35986458696</v>
      </c>
      <c r="J42" s="143">
        <f t="shared" si="16"/>
        <v>420662.82009669137</v>
      </c>
      <c r="K42" s="113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</row>
    <row r="43" spans="1:25" x14ac:dyDescent="0.25">
      <c r="A43" s="125" t="s">
        <v>78</v>
      </c>
      <c r="B43" s="126" t="s">
        <v>30</v>
      </c>
      <c r="C43" s="274">
        <v>36</v>
      </c>
      <c r="D43" s="143">
        <f>D41*D$9*D35</f>
        <v>164066.67098793224</v>
      </c>
      <c r="E43" s="143">
        <f t="shared" ref="E43:J43" si="17">E41*E$9*E35</f>
        <v>237816.07196051808</v>
      </c>
      <c r="F43" s="143">
        <f t="shared" si="17"/>
        <v>278544.13833831833</v>
      </c>
      <c r="G43" s="143">
        <f t="shared" si="17"/>
        <v>316222.39953394607</v>
      </c>
      <c r="H43" s="143">
        <f t="shared" si="17"/>
        <v>377354.13100302679</v>
      </c>
      <c r="I43" s="143">
        <f t="shared" si="17"/>
        <v>394934.19380542851</v>
      </c>
      <c r="J43" s="143">
        <f t="shared" si="17"/>
        <v>395213.65835739148</v>
      </c>
      <c r="K43" s="113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</row>
    <row r="44" spans="1:25" s="119" customFormat="1" x14ac:dyDescent="0.25">
      <c r="A44" s="125" t="s">
        <v>51</v>
      </c>
      <c r="B44" s="126" t="s">
        <v>126</v>
      </c>
      <c r="C44" s="274">
        <v>37</v>
      </c>
      <c r="D44" s="126">
        <f>'Ship Information'!$E14</f>
        <v>175</v>
      </c>
      <c r="E44" s="126">
        <f>'Ship Information'!G14</f>
        <v>175</v>
      </c>
      <c r="F44" s="126">
        <f>'Ship Information'!I14</f>
        <v>175</v>
      </c>
      <c r="G44" s="126">
        <f>'Ship Information'!K14</f>
        <v>175</v>
      </c>
      <c r="H44" s="126">
        <f>'Ship Information'!M14</f>
        <v>175</v>
      </c>
      <c r="I44" s="126">
        <f>'Ship Information'!O14</f>
        <v>175</v>
      </c>
      <c r="J44" s="126">
        <f>'Ship Information'!Q14</f>
        <v>175</v>
      </c>
      <c r="K44" s="123" t="s">
        <v>219</v>
      </c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</row>
    <row r="45" spans="1:25" x14ac:dyDescent="0.25">
      <c r="A45" s="125" t="s">
        <v>22</v>
      </c>
      <c r="B45" s="126" t="s">
        <v>126</v>
      </c>
      <c r="C45" s="274">
        <v>38</v>
      </c>
      <c r="D45" s="194">
        <f>((0.455*D40^2)-(0.71*D40)+1.28)</f>
        <v>1.1014195615973994</v>
      </c>
      <c r="E45" s="194">
        <f t="shared" ref="E45:J45" si="18">((0.455*E40^2)-(0.71*E40)+1.28)</f>
        <v>1.1381217759910913</v>
      </c>
      <c r="F45" s="194">
        <f t="shared" si="18"/>
        <v>1.1262458317818067</v>
      </c>
      <c r="G45" s="194">
        <f t="shared" si="18"/>
        <v>1.1358155682684314</v>
      </c>
      <c r="H45" s="194">
        <f t="shared" si="18"/>
        <v>1.1149221577456927</v>
      </c>
      <c r="I45" s="194">
        <f t="shared" si="18"/>
        <v>1.0955573955655644</v>
      </c>
      <c r="J45" s="194">
        <f t="shared" si="18"/>
        <v>1.1054620473230772</v>
      </c>
      <c r="K45" s="123" t="s">
        <v>219</v>
      </c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</row>
    <row r="46" spans="1:25" x14ac:dyDescent="0.25">
      <c r="A46" s="125" t="s">
        <v>79</v>
      </c>
      <c r="B46" s="126" t="s">
        <v>126</v>
      </c>
      <c r="C46" s="274">
        <v>39</v>
      </c>
      <c r="D46" s="194">
        <f>((0.455*D41^2)-(0.71*D41)+1.28)</f>
        <v>1.1125300388187753</v>
      </c>
      <c r="E46" s="194">
        <f t="shared" ref="E46:J46" si="19">((0.455*E41^2)-(0.71*E41)+1.28)</f>
        <v>1.147747136634012</v>
      </c>
      <c r="F46" s="194">
        <f t="shared" si="19"/>
        <v>1.1370882742787443</v>
      </c>
      <c r="G46" s="194">
        <f t="shared" si="19"/>
        <v>1.1461879381774813</v>
      </c>
      <c r="H46" s="194">
        <f t="shared" si="19"/>
        <v>1.1266808279737333</v>
      </c>
      <c r="I46" s="194">
        <f t="shared" si="19"/>
        <v>1.1080254345743228</v>
      </c>
      <c r="J46" s="194">
        <f t="shared" si="19"/>
        <v>1.1175980099115443</v>
      </c>
      <c r="K46" s="123" t="s">
        <v>219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</row>
    <row r="47" spans="1:25" x14ac:dyDescent="0.25">
      <c r="A47" s="125" t="s">
        <v>20</v>
      </c>
      <c r="B47" s="126" t="s">
        <v>36</v>
      </c>
      <c r="C47" s="274">
        <v>40</v>
      </c>
      <c r="D47" s="147">
        <f>(D$44*D45*D42)/10^6</f>
        <v>33.45724419103194</v>
      </c>
      <c r="E47" s="147">
        <f t="shared" ref="E47:J47" si="20">(E$44*E45*E42)/10^6</f>
        <v>50.112601512626966</v>
      </c>
      <c r="F47" s="147">
        <f t="shared" si="20"/>
        <v>58.302163934691166</v>
      </c>
      <c r="G47" s="147">
        <f t="shared" si="20"/>
        <v>66.75101915795976</v>
      </c>
      <c r="H47" s="147">
        <f t="shared" si="20"/>
        <v>78.367120210429519</v>
      </c>
      <c r="I47" s="147">
        <f t="shared" si="20"/>
        <v>80.593516296864934</v>
      </c>
      <c r="J47" s="147">
        <f t="shared" si="20"/>
        <v>81.379686908937856</v>
      </c>
      <c r="K47" s="113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</row>
    <row r="48" spans="1:25" x14ac:dyDescent="0.25">
      <c r="A48" s="125" t="s">
        <v>136</v>
      </c>
      <c r="B48" s="126" t="s">
        <v>36</v>
      </c>
      <c r="C48" s="274">
        <v>41</v>
      </c>
      <c r="D48" s="147">
        <f>(D$44*D46*D43)/10^6</f>
        <v>31.942592472537513</v>
      </c>
      <c r="E48" s="147">
        <f t="shared" ref="E48:J48" si="21">(E$44*E46*E43)/10^6</f>
        <v>47.766725236690732</v>
      </c>
      <c r="F48" s="147">
        <f t="shared" si="21"/>
        <v>55.42762287537618</v>
      </c>
      <c r="G48" s="147">
        <f t="shared" si="21"/>
        <v>63.428802522286148</v>
      </c>
      <c r="H48" s="147">
        <f t="shared" si="21"/>
        <v>74.40259133261479</v>
      </c>
      <c r="I48" s="147">
        <f t="shared" si="21"/>
        <v>76.579498050915959</v>
      </c>
      <c r="J48" s="147">
        <f t="shared" si="21"/>
        <v>77.295749662264299</v>
      </c>
      <c r="K48" s="113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</row>
    <row r="49" spans="1:25" x14ac:dyDescent="0.25">
      <c r="A49" s="125" t="s">
        <v>24</v>
      </c>
      <c r="B49" s="126" t="s">
        <v>36</v>
      </c>
      <c r="C49" s="274">
        <v>42</v>
      </c>
      <c r="D49" s="147">
        <f>D47-D48</f>
        <v>1.5146517184944273</v>
      </c>
      <c r="E49" s="147">
        <f t="shared" ref="E49:J49" si="22">E47-E48</f>
        <v>2.3458762759362344</v>
      </c>
      <c r="F49" s="147">
        <f t="shared" si="22"/>
        <v>2.8745410593149856</v>
      </c>
      <c r="G49" s="147">
        <f t="shared" si="22"/>
        <v>3.3222166356736125</v>
      </c>
      <c r="H49" s="147">
        <f t="shared" si="22"/>
        <v>3.964528877814729</v>
      </c>
      <c r="I49" s="147">
        <f t="shared" si="22"/>
        <v>4.014018245948975</v>
      </c>
      <c r="J49" s="147">
        <f t="shared" si="22"/>
        <v>4.0839372466735568</v>
      </c>
      <c r="K49" s="113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</row>
    <row r="50" spans="1:25" x14ac:dyDescent="0.25">
      <c r="A50" s="115" t="s">
        <v>67</v>
      </c>
      <c r="B50" s="135"/>
      <c r="C50" s="274">
        <v>43</v>
      </c>
      <c r="D50" s="149"/>
      <c r="E50" s="149"/>
      <c r="F50" s="149"/>
      <c r="G50" s="149"/>
      <c r="H50" s="149"/>
      <c r="I50" s="149"/>
      <c r="J50" s="149"/>
      <c r="K50" s="113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spans="1:25" x14ac:dyDescent="0.25">
      <c r="A51" s="125" t="s">
        <v>21</v>
      </c>
      <c r="B51" s="126" t="s">
        <v>30</v>
      </c>
      <c r="C51" s="274">
        <v>44</v>
      </c>
      <c r="D51" s="143">
        <f>D34*D15</f>
        <v>24489.795918367348</v>
      </c>
      <c r="E51" s="143">
        <f t="shared" ref="E51:J51" si="23">E34*E15</f>
        <v>34285.71428571429</v>
      </c>
      <c r="F51" s="143">
        <f t="shared" si="23"/>
        <v>36687.898089171977</v>
      </c>
      <c r="G51" s="143">
        <f t="shared" si="23"/>
        <v>34394.904458598729</v>
      </c>
      <c r="H51" s="143">
        <f t="shared" si="23"/>
        <v>37546.012269938648</v>
      </c>
      <c r="I51" s="143">
        <f t="shared" si="23"/>
        <v>22085.889570552146</v>
      </c>
      <c r="J51" s="143">
        <f t="shared" si="23"/>
        <v>35337.423312883438</v>
      </c>
      <c r="K51" s="113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</row>
    <row r="52" spans="1:25" x14ac:dyDescent="0.25">
      <c r="A52" s="125" t="s">
        <v>137</v>
      </c>
      <c r="B52" s="126" t="s">
        <v>30</v>
      </c>
      <c r="C52" s="274">
        <v>45</v>
      </c>
      <c r="D52" s="143">
        <f>D35*D15</f>
        <v>25189.795918367348</v>
      </c>
      <c r="E52" s="143">
        <f t="shared" ref="E52:J52" si="24">E35*E15</f>
        <v>35265.71428571429</v>
      </c>
      <c r="F52" s="143">
        <f t="shared" si="24"/>
        <v>37807.898089171977</v>
      </c>
      <c r="G52" s="143">
        <f t="shared" si="24"/>
        <v>35444.904458598729</v>
      </c>
      <c r="H52" s="143">
        <f t="shared" si="24"/>
        <v>38736.012269938648</v>
      </c>
      <c r="I52" s="143">
        <f t="shared" si="24"/>
        <v>22785.889570552146</v>
      </c>
      <c r="J52" s="143">
        <f t="shared" si="24"/>
        <v>36457.423312883438</v>
      </c>
      <c r="K52" s="113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</row>
    <row r="53" spans="1:25" s="119" customFormat="1" x14ac:dyDescent="0.25">
      <c r="A53" s="125" t="s">
        <v>23</v>
      </c>
      <c r="B53" s="126" t="s">
        <v>126</v>
      </c>
      <c r="C53" s="274">
        <v>46</v>
      </c>
      <c r="D53" s="126">
        <f>'Ship Information'!E15</f>
        <v>227</v>
      </c>
      <c r="E53" s="126">
        <f>'Ship Information'!G15</f>
        <v>227</v>
      </c>
      <c r="F53" s="126">
        <f>'Ship Information'!I15</f>
        <v>227</v>
      </c>
      <c r="G53" s="126">
        <f>'Ship Information'!K15</f>
        <v>227</v>
      </c>
      <c r="H53" s="126">
        <f>'Ship Information'!M15</f>
        <v>227</v>
      </c>
      <c r="I53" s="126">
        <f>'Ship Information'!O15</f>
        <v>227</v>
      </c>
      <c r="J53" s="126">
        <f>'Ship Information'!Q15</f>
        <v>227</v>
      </c>
      <c r="K53" s="123" t="s">
        <v>219</v>
      </c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</row>
    <row r="54" spans="1:25" x14ac:dyDescent="0.25">
      <c r="A54" s="125" t="s">
        <v>65</v>
      </c>
      <c r="B54" s="126" t="s">
        <v>36</v>
      </c>
      <c r="C54" s="274">
        <v>47</v>
      </c>
      <c r="D54" s="147">
        <f>(D$53*D51)/10^6</f>
        <v>5.5591836734693878</v>
      </c>
      <c r="E54" s="147">
        <f t="shared" ref="E54:J54" si="25">(E$53*E51)/10^6</f>
        <v>7.7828571428571438</v>
      </c>
      <c r="F54" s="147">
        <f t="shared" si="25"/>
        <v>8.3281528662420392</v>
      </c>
      <c r="G54" s="147">
        <f t="shared" si="25"/>
        <v>7.807643312101912</v>
      </c>
      <c r="H54" s="147">
        <f t="shared" si="25"/>
        <v>8.5229447852760742</v>
      </c>
      <c r="I54" s="147">
        <f t="shared" si="25"/>
        <v>5.0134969325153369</v>
      </c>
      <c r="J54" s="147">
        <f t="shared" si="25"/>
        <v>8.0215950920245405</v>
      </c>
      <c r="K54" s="113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</row>
    <row r="55" spans="1:25" x14ac:dyDescent="0.25">
      <c r="A55" s="125" t="s">
        <v>138</v>
      </c>
      <c r="B55" s="126" t="s">
        <v>36</v>
      </c>
      <c r="C55" s="274">
        <v>48</v>
      </c>
      <c r="D55" s="147">
        <f>(D$53*D52)/10^6</f>
        <v>5.7180836734693878</v>
      </c>
      <c r="E55" s="147">
        <f t="shared" ref="E55:J55" si="26">(E$53*E52)/10^6</f>
        <v>8.0053171428571428</v>
      </c>
      <c r="F55" s="147">
        <f t="shared" si="26"/>
        <v>8.5823928662420386</v>
      </c>
      <c r="G55" s="147">
        <f t="shared" si="26"/>
        <v>8.0459933121019116</v>
      </c>
      <c r="H55" s="147">
        <f t="shared" si="26"/>
        <v>8.7930747852760742</v>
      </c>
      <c r="I55" s="147">
        <f t="shared" si="26"/>
        <v>5.1723969325153369</v>
      </c>
      <c r="J55" s="147">
        <f t="shared" si="26"/>
        <v>8.2758350920245398</v>
      </c>
      <c r="K55" s="113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</row>
    <row r="56" spans="1:25" x14ac:dyDescent="0.25">
      <c r="A56" s="125" t="s">
        <v>66</v>
      </c>
      <c r="B56" s="126" t="s">
        <v>36</v>
      </c>
      <c r="C56" s="274">
        <v>49</v>
      </c>
      <c r="D56" s="147">
        <f>D54-D55</f>
        <v>-0.15890000000000004</v>
      </c>
      <c r="E56" s="147">
        <f t="shared" ref="E56:J56" si="27">E54-E55</f>
        <v>-0.22245999999999899</v>
      </c>
      <c r="F56" s="147">
        <f t="shared" si="27"/>
        <v>-0.25423999999999936</v>
      </c>
      <c r="G56" s="147">
        <f t="shared" si="27"/>
        <v>-0.23834999999999962</v>
      </c>
      <c r="H56" s="147">
        <f t="shared" si="27"/>
        <v>-0.27012999999999998</v>
      </c>
      <c r="I56" s="147">
        <f t="shared" si="27"/>
        <v>-0.15890000000000004</v>
      </c>
      <c r="J56" s="147">
        <f t="shared" si="27"/>
        <v>-0.25423999999999936</v>
      </c>
      <c r="K56" s="113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</row>
    <row r="57" spans="1:25" x14ac:dyDescent="0.25">
      <c r="A57" s="115" t="s">
        <v>56</v>
      </c>
      <c r="B57" s="135"/>
      <c r="C57" s="274">
        <v>50</v>
      </c>
      <c r="D57" s="135"/>
      <c r="E57" s="135"/>
      <c r="F57" s="135"/>
      <c r="G57" s="135"/>
      <c r="H57" s="135"/>
      <c r="I57" s="135"/>
      <c r="J57" s="135"/>
      <c r="K57" s="113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</row>
    <row r="58" spans="1:25" x14ac:dyDescent="0.25">
      <c r="A58" s="125" t="s">
        <v>28</v>
      </c>
      <c r="B58" s="126" t="s">
        <v>36</v>
      </c>
      <c r="C58" s="274">
        <v>51</v>
      </c>
      <c r="D58" s="147">
        <f t="shared" ref="D58:J58" si="28">D49+D56</f>
        <v>1.3557517184944272</v>
      </c>
      <c r="E58" s="147">
        <f t="shared" si="28"/>
        <v>2.1234162759362354</v>
      </c>
      <c r="F58" s="147">
        <f t="shared" si="28"/>
        <v>2.6203010593149862</v>
      </c>
      <c r="G58" s="147">
        <f t="shared" si="28"/>
        <v>3.0838666356736129</v>
      </c>
      <c r="H58" s="147">
        <f t="shared" si="28"/>
        <v>3.694398877814729</v>
      </c>
      <c r="I58" s="147">
        <f t="shared" si="28"/>
        <v>3.855118245948975</v>
      </c>
      <c r="J58" s="147">
        <f t="shared" si="28"/>
        <v>3.8296972466735575</v>
      </c>
      <c r="K58" s="113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</row>
    <row r="59" spans="1:25" s="119" customFormat="1" x14ac:dyDescent="0.25">
      <c r="A59" s="125" t="s">
        <v>25</v>
      </c>
      <c r="B59" s="126" t="s">
        <v>53</v>
      </c>
      <c r="C59" s="274">
        <v>52</v>
      </c>
      <c r="D59" s="195">
        <f>'Scenario Summary'!$E20</f>
        <v>600</v>
      </c>
      <c r="E59" s="195">
        <f>'Scenario Summary'!$E20</f>
        <v>600</v>
      </c>
      <c r="F59" s="195">
        <f>'Scenario Summary'!$E20</f>
        <v>600</v>
      </c>
      <c r="G59" s="195">
        <f>'Scenario Summary'!$E20</f>
        <v>600</v>
      </c>
      <c r="H59" s="195">
        <f>'Scenario Summary'!$E20</f>
        <v>600</v>
      </c>
      <c r="I59" s="195">
        <f>'Scenario Summary'!$E20</f>
        <v>600</v>
      </c>
      <c r="J59" s="195">
        <f>'Scenario Summary'!$E20</f>
        <v>600</v>
      </c>
      <c r="K59" s="123" t="s">
        <v>235</v>
      </c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</row>
    <row r="60" spans="1:25" x14ac:dyDescent="0.25">
      <c r="A60" s="125" t="s">
        <v>26</v>
      </c>
      <c r="B60" s="126" t="s">
        <v>43</v>
      </c>
      <c r="C60" s="274">
        <v>53</v>
      </c>
      <c r="D60" s="195">
        <f>D59*D58</f>
        <v>813.45103109665638</v>
      </c>
      <c r="E60" s="195">
        <f t="shared" ref="E60:J60" si="29">E59*E58</f>
        <v>1274.0497655617412</v>
      </c>
      <c r="F60" s="195">
        <f t="shared" si="29"/>
        <v>1572.1806355889917</v>
      </c>
      <c r="G60" s="195">
        <f t="shared" si="29"/>
        <v>1850.3199814041677</v>
      </c>
      <c r="H60" s="195">
        <f t="shared" si="29"/>
        <v>2216.6393266888372</v>
      </c>
      <c r="I60" s="195">
        <f t="shared" si="29"/>
        <v>2313.0709475693852</v>
      </c>
      <c r="J60" s="195">
        <f t="shared" si="29"/>
        <v>2297.8183480041344</v>
      </c>
      <c r="K60" s="113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</row>
    <row r="61" spans="1:25" x14ac:dyDescent="0.25">
      <c r="A61" s="125" t="s">
        <v>27</v>
      </c>
      <c r="B61" s="126" t="s">
        <v>43</v>
      </c>
      <c r="C61" s="274">
        <v>54</v>
      </c>
      <c r="D61" s="195">
        <f t="shared" ref="D61:J61" si="30">D60*D21</f>
        <v>813.45103109665638</v>
      </c>
      <c r="E61" s="195">
        <f t="shared" si="30"/>
        <v>1274.0497655617412</v>
      </c>
      <c r="F61" s="195">
        <f t="shared" si="30"/>
        <v>1572.1806355889917</v>
      </c>
      <c r="G61" s="195">
        <f t="shared" si="30"/>
        <v>1850.3199814041677</v>
      </c>
      <c r="H61" s="195">
        <f t="shared" si="30"/>
        <v>2216.6393266888372</v>
      </c>
      <c r="I61" s="195">
        <f t="shared" si="30"/>
        <v>2313.0709475693852</v>
      </c>
      <c r="J61" s="195">
        <f t="shared" si="30"/>
        <v>2297.8183480041344</v>
      </c>
      <c r="K61" s="113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</row>
    <row r="62" spans="1:25" x14ac:dyDescent="0.25">
      <c r="A62" s="125" t="s">
        <v>29</v>
      </c>
      <c r="B62" s="126" t="s">
        <v>52</v>
      </c>
      <c r="C62" s="274">
        <v>55</v>
      </c>
      <c r="D62" s="147">
        <f t="shared" ref="D62:J62" si="31">D58*D21</f>
        <v>1.3557517184944272</v>
      </c>
      <c r="E62" s="147">
        <f t="shared" si="31"/>
        <v>2.1234162759362354</v>
      </c>
      <c r="F62" s="147">
        <f t="shared" si="31"/>
        <v>2.6203010593149862</v>
      </c>
      <c r="G62" s="147">
        <f t="shared" si="31"/>
        <v>3.0838666356736129</v>
      </c>
      <c r="H62" s="147">
        <f t="shared" si="31"/>
        <v>3.694398877814729</v>
      </c>
      <c r="I62" s="147">
        <f t="shared" si="31"/>
        <v>3.855118245948975</v>
      </c>
      <c r="J62" s="147">
        <f t="shared" si="31"/>
        <v>3.8296972466735575</v>
      </c>
      <c r="K62" s="113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</row>
    <row r="63" spans="1:25" x14ac:dyDescent="0.25">
      <c r="A63" s="115"/>
      <c r="B63" s="135"/>
      <c r="C63" s="274">
        <v>56</v>
      </c>
      <c r="D63" s="135"/>
      <c r="E63" s="135"/>
      <c r="F63" s="135"/>
      <c r="G63" s="135"/>
      <c r="H63" s="135"/>
      <c r="I63" s="135"/>
      <c r="J63" s="135"/>
      <c r="K63" s="113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</row>
    <row r="64" spans="1:25" s="124" customFormat="1" x14ac:dyDescent="0.25">
      <c r="A64" s="197" t="s">
        <v>140</v>
      </c>
      <c r="B64" s="132"/>
      <c r="C64" s="274">
        <v>57</v>
      </c>
      <c r="D64" s="132"/>
      <c r="E64" s="132"/>
      <c r="F64" s="132"/>
      <c r="G64" s="132"/>
      <c r="H64" s="132"/>
      <c r="I64" s="132"/>
      <c r="J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</row>
    <row r="65" spans="1:25" x14ac:dyDescent="0.25">
      <c r="A65" s="115" t="s">
        <v>67</v>
      </c>
      <c r="B65" s="135"/>
      <c r="C65" s="274">
        <v>58</v>
      </c>
      <c r="D65" s="135"/>
      <c r="E65" s="135"/>
      <c r="F65" s="135"/>
      <c r="G65" s="135"/>
      <c r="H65" s="135"/>
      <c r="I65" s="135"/>
      <c r="J65" s="135"/>
      <c r="K65" s="113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</row>
    <row r="66" spans="1:25" x14ac:dyDescent="0.25">
      <c r="A66" s="125" t="s">
        <v>68</v>
      </c>
      <c r="B66" s="126" t="s">
        <v>32</v>
      </c>
      <c r="C66" s="274">
        <v>59</v>
      </c>
      <c r="D66" s="143">
        <f t="shared" ref="D66:J66" si="32">D27*D14</f>
        <v>1470</v>
      </c>
      <c r="E66" s="143">
        <f t="shared" si="32"/>
        <v>1610</v>
      </c>
      <c r="F66" s="143">
        <f t="shared" si="32"/>
        <v>2730</v>
      </c>
      <c r="G66" s="143">
        <f t="shared" si="32"/>
        <v>1750</v>
      </c>
      <c r="H66" s="143">
        <f t="shared" si="32"/>
        <v>2100</v>
      </c>
      <c r="I66" s="143">
        <f t="shared" si="32"/>
        <v>1819.9999999999998</v>
      </c>
      <c r="J66" s="143">
        <f t="shared" si="32"/>
        <v>1470</v>
      </c>
      <c r="K66" s="113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</row>
    <row r="67" spans="1:25" s="119" customFormat="1" x14ac:dyDescent="0.25">
      <c r="A67" s="125" t="s">
        <v>23</v>
      </c>
      <c r="B67" s="126" t="s">
        <v>31</v>
      </c>
      <c r="C67" s="274">
        <v>60</v>
      </c>
      <c r="D67" s="126">
        <f>D53</f>
        <v>227</v>
      </c>
      <c r="E67" s="126">
        <f t="shared" ref="E67:J67" si="33">E53</f>
        <v>227</v>
      </c>
      <c r="F67" s="126">
        <f t="shared" si="33"/>
        <v>227</v>
      </c>
      <c r="G67" s="126">
        <f t="shared" si="33"/>
        <v>227</v>
      </c>
      <c r="H67" s="126">
        <f t="shared" si="33"/>
        <v>227</v>
      </c>
      <c r="I67" s="126">
        <f t="shared" si="33"/>
        <v>227</v>
      </c>
      <c r="J67" s="126">
        <f t="shared" si="33"/>
        <v>227</v>
      </c>
      <c r="K67" s="123" t="s">
        <v>219</v>
      </c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</row>
    <row r="68" spans="1:25" x14ac:dyDescent="0.25">
      <c r="A68" s="125" t="s">
        <v>66</v>
      </c>
      <c r="B68" s="126" t="s">
        <v>54</v>
      </c>
      <c r="C68" s="274">
        <v>61</v>
      </c>
      <c r="D68" s="147">
        <f>(D$67*D66)/10^6</f>
        <v>0.33368999999999999</v>
      </c>
      <c r="E68" s="147">
        <f t="shared" ref="E68:J68" si="34">(E$67*E66)/10^6</f>
        <v>0.36547000000000002</v>
      </c>
      <c r="F68" s="147">
        <f t="shared" si="34"/>
        <v>0.61970999999999998</v>
      </c>
      <c r="G68" s="147">
        <f t="shared" si="34"/>
        <v>0.39724999999999999</v>
      </c>
      <c r="H68" s="147">
        <f t="shared" si="34"/>
        <v>0.47670000000000001</v>
      </c>
      <c r="I68" s="147">
        <f t="shared" si="34"/>
        <v>0.41313999999999995</v>
      </c>
      <c r="J68" s="147">
        <f t="shared" si="34"/>
        <v>0.33368999999999999</v>
      </c>
      <c r="K68" s="113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</row>
    <row r="69" spans="1:25" x14ac:dyDescent="0.25">
      <c r="A69" s="125" t="s">
        <v>33</v>
      </c>
      <c r="B69" s="126" t="s">
        <v>43</v>
      </c>
      <c r="C69" s="274">
        <v>62</v>
      </c>
      <c r="D69" s="195">
        <f>D68*D59</f>
        <v>200.214</v>
      </c>
      <c r="E69" s="195">
        <f t="shared" ref="E69:J69" si="35">E68*E59</f>
        <v>219.28200000000001</v>
      </c>
      <c r="F69" s="195">
        <f t="shared" si="35"/>
        <v>371.82599999999996</v>
      </c>
      <c r="G69" s="195">
        <f t="shared" si="35"/>
        <v>238.35</v>
      </c>
      <c r="H69" s="195">
        <f t="shared" si="35"/>
        <v>286.02</v>
      </c>
      <c r="I69" s="195">
        <f t="shared" si="35"/>
        <v>247.88399999999996</v>
      </c>
      <c r="J69" s="195">
        <f t="shared" si="35"/>
        <v>200.214</v>
      </c>
      <c r="K69" s="113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</row>
    <row r="70" spans="1:25" x14ac:dyDescent="0.25">
      <c r="A70" s="125" t="s">
        <v>27</v>
      </c>
      <c r="B70" s="126" t="s">
        <v>43</v>
      </c>
      <c r="C70" s="274">
        <v>63</v>
      </c>
      <c r="D70" s="195">
        <f t="shared" ref="D70:J70" si="36">D69*D21</f>
        <v>200.214</v>
      </c>
      <c r="E70" s="195">
        <f t="shared" si="36"/>
        <v>219.28200000000001</v>
      </c>
      <c r="F70" s="195">
        <f t="shared" si="36"/>
        <v>371.82599999999996</v>
      </c>
      <c r="G70" s="195">
        <f t="shared" si="36"/>
        <v>238.35</v>
      </c>
      <c r="H70" s="195">
        <f t="shared" si="36"/>
        <v>286.02</v>
      </c>
      <c r="I70" s="195">
        <f t="shared" si="36"/>
        <v>247.88399999999996</v>
      </c>
      <c r="J70" s="195">
        <f t="shared" si="36"/>
        <v>200.214</v>
      </c>
      <c r="K70" s="113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</row>
    <row r="71" spans="1:25" x14ac:dyDescent="0.25">
      <c r="A71" s="125" t="s">
        <v>29</v>
      </c>
      <c r="B71" s="126" t="s">
        <v>52</v>
      </c>
      <c r="C71" s="274">
        <v>64</v>
      </c>
      <c r="D71" s="147">
        <f t="shared" ref="D71:J71" si="37">D68*D21</f>
        <v>0.33368999999999999</v>
      </c>
      <c r="E71" s="147">
        <f t="shared" si="37"/>
        <v>0.36547000000000002</v>
      </c>
      <c r="F71" s="147">
        <f t="shared" si="37"/>
        <v>0.61970999999999998</v>
      </c>
      <c r="G71" s="147">
        <f t="shared" si="37"/>
        <v>0.39724999999999999</v>
      </c>
      <c r="H71" s="147">
        <f t="shared" si="37"/>
        <v>0.47670000000000001</v>
      </c>
      <c r="I71" s="147">
        <f t="shared" si="37"/>
        <v>0.41313999999999995</v>
      </c>
      <c r="J71" s="147">
        <f t="shared" si="37"/>
        <v>0.33368999999999999</v>
      </c>
      <c r="K71" s="113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</row>
    <row r="72" spans="1:25" x14ac:dyDescent="0.25">
      <c r="A72" s="115"/>
      <c r="B72" s="135"/>
      <c r="C72" s="274">
        <v>65</v>
      </c>
      <c r="D72" s="135"/>
      <c r="E72" s="135"/>
      <c r="F72" s="135"/>
      <c r="G72" s="135"/>
      <c r="H72" s="135"/>
      <c r="I72" s="135"/>
      <c r="J72" s="135"/>
      <c r="K72" s="113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</row>
    <row r="73" spans="1:25" x14ac:dyDescent="0.25">
      <c r="A73" s="193" t="s">
        <v>69</v>
      </c>
      <c r="B73" s="135"/>
      <c r="C73" s="274">
        <v>66</v>
      </c>
      <c r="D73" s="135"/>
      <c r="E73" s="135"/>
      <c r="F73" s="135"/>
      <c r="G73" s="135"/>
      <c r="H73" s="135"/>
      <c r="I73" s="135"/>
      <c r="J73" s="135"/>
      <c r="K73" s="113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</row>
    <row r="74" spans="1:25" x14ac:dyDescent="0.25">
      <c r="A74" s="125" t="s">
        <v>28</v>
      </c>
      <c r="B74" s="126" t="s">
        <v>52</v>
      </c>
      <c r="C74" s="274">
        <v>67</v>
      </c>
      <c r="D74" s="147">
        <f>D68+D58</f>
        <v>1.6894417184944273</v>
      </c>
      <c r="E74" s="147">
        <f t="shared" ref="E74:J74" si="38">E68+E58</f>
        <v>2.4888862759362356</v>
      </c>
      <c r="F74" s="147">
        <f t="shared" si="38"/>
        <v>3.2400110593149862</v>
      </c>
      <c r="G74" s="147">
        <f t="shared" si="38"/>
        <v>3.481116635673613</v>
      </c>
      <c r="H74" s="147">
        <f t="shared" si="38"/>
        <v>4.1710988778147291</v>
      </c>
      <c r="I74" s="147">
        <f t="shared" si="38"/>
        <v>4.2682582459489753</v>
      </c>
      <c r="J74" s="147">
        <f t="shared" si="38"/>
        <v>4.1633872466735573</v>
      </c>
      <c r="K74" s="113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</row>
    <row r="75" spans="1:25" x14ac:dyDescent="0.25">
      <c r="A75" s="129" t="s">
        <v>34</v>
      </c>
      <c r="B75" s="130" t="s">
        <v>43</v>
      </c>
      <c r="C75" s="274">
        <v>68</v>
      </c>
      <c r="D75" s="196">
        <f>D74*D59</f>
        <v>1013.6650310966563</v>
      </c>
      <c r="E75" s="196">
        <f t="shared" ref="E75:J75" si="39">E74*E59</f>
        <v>1493.3317655617413</v>
      </c>
      <c r="F75" s="196">
        <f t="shared" si="39"/>
        <v>1944.0066355889917</v>
      </c>
      <c r="G75" s="196">
        <f t="shared" si="39"/>
        <v>2088.6699814041676</v>
      </c>
      <c r="H75" s="196">
        <f t="shared" si="39"/>
        <v>2502.6593266888376</v>
      </c>
      <c r="I75" s="196">
        <f t="shared" si="39"/>
        <v>2560.9549475693852</v>
      </c>
      <c r="J75" s="196">
        <f t="shared" si="39"/>
        <v>2498.0323480041343</v>
      </c>
      <c r="K75" s="113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</row>
    <row r="76" spans="1:25" x14ac:dyDescent="0.25">
      <c r="A76" s="125" t="s">
        <v>44</v>
      </c>
      <c r="B76" s="126" t="s">
        <v>52</v>
      </c>
      <c r="C76" s="274">
        <v>69</v>
      </c>
      <c r="D76" s="147">
        <f>D74*D$21</f>
        <v>1.6894417184944273</v>
      </c>
      <c r="E76" s="147">
        <f t="shared" ref="E76:J76" si="40">E74*E$21</f>
        <v>2.4888862759362356</v>
      </c>
      <c r="F76" s="147">
        <f t="shared" si="40"/>
        <v>3.2400110593149862</v>
      </c>
      <c r="G76" s="147">
        <f t="shared" si="40"/>
        <v>3.481116635673613</v>
      </c>
      <c r="H76" s="147">
        <f t="shared" si="40"/>
        <v>4.1710988778147291</v>
      </c>
      <c r="I76" s="147">
        <f t="shared" si="40"/>
        <v>4.2682582459489753</v>
      </c>
      <c r="J76" s="147">
        <f t="shared" si="40"/>
        <v>4.1633872466735573</v>
      </c>
      <c r="K76" s="113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</row>
    <row r="77" spans="1:25" x14ac:dyDescent="0.25">
      <c r="A77" s="125" t="s">
        <v>55</v>
      </c>
      <c r="B77" s="130" t="s">
        <v>43</v>
      </c>
      <c r="C77" s="274">
        <v>70</v>
      </c>
      <c r="D77" s="195">
        <f>D75*D$21</f>
        <v>1013.6650310966563</v>
      </c>
      <c r="E77" s="195">
        <f t="shared" ref="E77:J77" si="41">E75*E$21</f>
        <v>1493.3317655617413</v>
      </c>
      <c r="F77" s="195">
        <f t="shared" si="41"/>
        <v>1944.0066355889917</v>
      </c>
      <c r="G77" s="195">
        <f t="shared" si="41"/>
        <v>2088.6699814041676</v>
      </c>
      <c r="H77" s="195">
        <f t="shared" si="41"/>
        <v>2502.6593266888376</v>
      </c>
      <c r="I77" s="195">
        <f t="shared" si="41"/>
        <v>2560.9549475693852</v>
      </c>
      <c r="J77" s="195">
        <f t="shared" si="41"/>
        <v>2498.0323480041343</v>
      </c>
      <c r="K77" s="113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</row>
    <row r="78" spans="1:25" s="124" customFormat="1" x14ac:dyDescent="0.25">
      <c r="A78" s="128"/>
      <c r="B78" s="132"/>
      <c r="C78" s="274"/>
      <c r="D78" s="150"/>
      <c r="E78" s="150"/>
      <c r="F78" s="150"/>
      <c r="G78" s="150"/>
      <c r="H78" s="150"/>
      <c r="I78" s="150"/>
      <c r="J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</row>
    <row r="79" spans="1:25" s="124" customFormat="1" x14ac:dyDescent="0.25">
      <c r="A79" s="128"/>
      <c r="B79" s="132"/>
      <c r="C79" s="274"/>
      <c r="D79" s="150"/>
      <c r="E79" s="150"/>
      <c r="F79" s="150"/>
      <c r="G79" s="150"/>
      <c r="H79" s="150"/>
      <c r="I79" s="150"/>
      <c r="J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</row>
    <row r="80" spans="1:25" s="124" customFormat="1" x14ac:dyDescent="0.25">
      <c r="A80" s="128"/>
      <c r="B80" s="132"/>
      <c r="C80" s="275"/>
      <c r="D80" s="132"/>
      <c r="E80" s="132"/>
      <c r="F80" s="132"/>
      <c r="G80" s="132"/>
      <c r="H80" s="132"/>
      <c r="I80" s="132"/>
      <c r="J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</row>
    <row r="81" spans="1:25" x14ac:dyDescent="0.25">
      <c r="A81" s="193" t="s">
        <v>201</v>
      </c>
      <c r="B81" s="135"/>
      <c r="C81" s="274">
        <v>1</v>
      </c>
      <c r="D81" s="151" t="str">
        <f t="shared" ref="D81:J81" si="42">D8</f>
        <v>Container 2000</v>
      </c>
      <c r="E81" s="151" t="str">
        <f t="shared" si="42"/>
        <v>Container 4000</v>
      </c>
      <c r="F81" s="151" t="str">
        <f t="shared" si="42"/>
        <v>Container 5000</v>
      </c>
      <c r="G81" s="151" t="str">
        <f t="shared" si="42"/>
        <v>Container 6000</v>
      </c>
      <c r="H81" s="151" t="str">
        <f t="shared" si="42"/>
        <v>Container 8000</v>
      </c>
      <c r="I81" s="151" t="str">
        <f t="shared" si="42"/>
        <v>Container 9000</v>
      </c>
      <c r="J81" s="151" t="str">
        <f t="shared" si="42"/>
        <v>Container 10000</v>
      </c>
      <c r="K81" s="113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</row>
    <row r="82" spans="1:25" ht="18.75" x14ac:dyDescent="0.35">
      <c r="A82" s="198" t="s">
        <v>266</v>
      </c>
      <c r="B82" s="126" t="s">
        <v>36</v>
      </c>
      <c r="C82" s="274">
        <v>2</v>
      </c>
      <c r="D82" s="152">
        <f>D89</f>
        <v>1.02141774</v>
      </c>
      <c r="E82" s="152">
        <f t="shared" ref="E82:J82" si="43">E89</f>
        <v>1.1186956199999998</v>
      </c>
      <c r="F82" s="152">
        <f t="shared" si="43"/>
        <v>1.8969186599999999</v>
      </c>
      <c r="G82" s="152">
        <f t="shared" si="43"/>
        <v>1.2159735</v>
      </c>
      <c r="H82" s="152">
        <f t="shared" si="43"/>
        <v>1.4591681999999999</v>
      </c>
      <c r="I82" s="152">
        <f t="shared" si="43"/>
        <v>1.2646124399999996</v>
      </c>
      <c r="J82" s="152">
        <f t="shared" si="43"/>
        <v>1.02141774</v>
      </c>
      <c r="K82" s="113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</row>
    <row r="83" spans="1:25" ht="18.75" x14ac:dyDescent="0.35">
      <c r="A83" s="198" t="s">
        <v>267</v>
      </c>
      <c r="B83" s="126" t="s">
        <v>36</v>
      </c>
      <c r="C83" s="274">
        <v>3</v>
      </c>
      <c r="D83" s="152">
        <f t="shared" ref="D83:J83" si="44">D90</f>
        <v>1.0084200000000001</v>
      </c>
      <c r="E83" s="152">
        <f t="shared" si="44"/>
        <v>1.10446</v>
      </c>
      <c r="F83" s="152">
        <f t="shared" si="44"/>
        <v>1.8727799999999999</v>
      </c>
      <c r="G83" s="152">
        <f t="shared" si="44"/>
        <v>1.2004999999999999</v>
      </c>
      <c r="H83" s="152">
        <f t="shared" si="44"/>
        <v>1.4406000000000001</v>
      </c>
      <c r="I83" s="152">
        <f t="shared" si="44"/>
        <v>1.2485199999999999</v>
      </c>
      <c r="J83" s="152">
        <f t="shared" si="44"/>
        <v>1.0084200000000001</v>
      </c>
      <c r="K83" s="113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</row>
    <row r="84" spans="1:25" x14ac:dyDescent="0.25">
      <c r="A84" s="198" t="s">
        <v>93</v>
      </c>
      <c r="B84" s="126" t="s">
        <v>174</v>
      </c>
      <c r="C84" s="274">
        <v>4</v>
      </c>
      <c r="D84" s="153">
        <f t="shared" ref="D84:J84" si="45">D91</f>
        <v>7.3728477259198837E-4</v>
      </c>
      <c r="E84" s="153">
        <f t="shared" si="45"/>
        <v>8.0750236998170151E-4</v>
      </c>
      <c r="F84" s="153">
        <f t="shared" si="45"/>
        <v>1.3692431490994071E-3</v>
      </c>
      <c r="G84" s="153">
        <f t="shared" si="45"/>
        <v>8.7771996737141475E-4</v>
      </c>
      <c r="H84" s="153">
        <f t="shared" si="45"/>
        <v>1.0532639608456977E-3</v>
      </c>
      <c r="I84" s="153">
        <f t="shared" si="45"/>
        <v>9.1282876606627115E-4</v>
      </c>
      <c r="J84" s="153">
        <f t="shared" si="45"/>
        <v>7.3728477259198837E-4</v>
      </c>
      <c r="K84" s="113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</row>
    <row r="85" spans="1:25" x14ac:dyDescent="0.25">
      <c r="A85" s="198" t="s">
        <v>92</v>
      </c>
      <c r="B85" s="126" t="s">
        <v>174</v>
      </c>
      <c r="C85" s="274">
        <v>5</v>
      </c>
      <c r="D85" s="154">
        <f t="shared" ref="D85:J85" si="46">D92</f>
        <v>1.910150340150734E-2</v>
      </c>
      <c r="E85" s="154">
        <f t="shared" si="46"/>
        <v>2.0920694201650894E-2</v>
      </c>
      <c r="F85" s="154">
        <f t="shared" si="46"/>
        <v>3.5474220602799339E-2</v>
      </c>
      <c r="G85" s="154">
        <f t="shared" si="46"/>
        <v>2.2739885001794451E-2</v>
      </c>
      <c r="H85" s="154">
        <f t="shared" si="46"/>
        <v>2.728786200215334E-2</v>
      </c>
      <c r="I85" s="154">
        <f t="shared" si="46"/>
        <v>2.3649480401866225E-2</v>
      </c>
      <c r="J85" s="154">
        <f t="shared" si="46"/>
        <v>1.910150340150734E-2</v>
      </c>
      <c r="K85" s="11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1:25" x14ac:dyDescent="0.25">
      <c r="A86" s="198" t="s">
        <v>169</v>
      </c>
      <c r="B86" s="126" t="s">
        <v>174</v>
      </c>
      <c r="C86" s="274">
        <v>6</v>
      </c>
      <c r="D86" s="153">
        <f t="shared" ref="D86:J86" si="47">D93</f>
        <v>4.1320355387023522E-4</v>
      </c>
      <c r="E86" s="153">
        <f t="shared" si="47"/>
        <v>4.5255627328644811E-4</v>
      </c>
      <c r="F86" s="153">
        <f t="shared" si="47"/>
        <v>7.673780286161511E-4</v>
      </c>
      <c r="G86" s="153">
        <f t="shared" si="47"/>
        <v>4.9190899270266095E-4</v>
      </c>
      <c r="H86" s="153">
        <f t="shared" si="47"/>
        <v>5.9029079124319319E-4</v>
      </c>
      <c r="I86" s="153">
        <f t="shared" si="47"/>
        <v>5.1158535241076729E-4</v>
      </c>
      <c r="J86" s="153">
        <f t="shared" si="47"/>
        <v>4.1320355387023522E-4</v>
      </c>
      <c r="K86" s="113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</row>
    <row r="87" spans="1:25" x14ac:dyDescent="0.25">
      <c r="A87" s="115"/>
      <c r="B87" s="135"/>
      <c r="C87" s="274"/>
      <c r="D87" s="135"/>
      <c r="E87" s="135"/>
      <c r="F87" s="135"/>
      <c r="G87" s="135"/>
      <c r="H87" s="135"/>
      <c r="I87" s="135"/>
      <c r="J87" s="135"/>
      <c r="K87" s="113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</row>
    <row r="88" spans="1:25" x14ac:dyDescent="0.25">
      <c r="A88" s="193" t="s">
        <v>274</v>
      </c>
      <c r="B88" s="135"/>
      <c r="C88" s="274"/>
      <c r="D88" s="155"/>
      <c r="E88" s="155"/>
      <c r="F88" s="155"/>
      <c r="G88" s="155"/>
      <c r="H88" s="155"/>
      <c r="I88" s="155"/>
      <c r="J88" s="155"/>
      <c r="K88" s="113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</row>
    <row r="89" spans="1:25" ht="18.75" x14ac:dyDescent="0.35">
      <c r="A89" s="198" t="s">
        <v>266</v>
      </c>
      <c r="B89" s="126" t="s">
        <v>36</v>
      </c>
      <c r="C89" s="274"/>
      <c r="D89" s="152">
        <f>((D124/D$67)*(D$68*10^6))/10^6</f>
        <v>1.02141774</v>
      </c>
      <c r="E89" s="152">
        <f t="shared" ref="E89:J89" si="48">((E124/E$67)*(E$68*10^6))/10^6</f>
        <v>1.1186956199999998</v>
      </c>
      <c r="F89" s="152">
        <f t="shared" si="48"/>
        <v>1.8969186599999999</v>
      </c>
      <c r="G89" s="152">
        <f t="shared" si="48"/>
        <v>1.2159735</v>
      </c>
      <c r="H89" s="152">
        <f t="shared" si="48"/>
        <v>1.4591681999999999</v>
      </c>
      <c r="I89" s="152">
        <f t="shared" si="48"/>
        <v>1.2646124399999996</v>
      </c>
      <c r="J89" s="152">
        <f t="shared" si="48"/>
        <v>1.02141774</v>
      </c>
      <c r="K89" s="113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</row>
    <row r="90" spans="1:25" ht="18.75" x14ac:dyDescent="0.35">
      <c r="A90" s="198" t="s">
        <v>267</v>
      </c>
      <c r="B90" s="126" t="s">
        <v>36</v>
      </c>
      <c r="C90" s="274"/>
      <c r="D90" s="152">
        <f t="shared" ref="D90:J90" si="49">((D125/D$67)*(D$68*10^6))/10^6</f>
        <v>1.0084200000000001</v>
      </c>
      <c r="E90" s="152">
        <f t="shared" si="49"/>
        <v>1.10446</v>
      </c>
      <c r="F90" s="152">
        <f t="shared" si="49"/>
        <v>1.8727799999999999</v>
      </c>
      <c r="G90" s="152">
        <f t="shared" si="49"/>
        <v>1.2004999999999999</v>
      </c>
      <c r="H90" s="152">
        <f t="shared" si="49"/>
        <v>1.4406000000000001</v>
      </c>
      <c r="I90" s="152">
        <f t="shared" si="49"/>
        <v>1.2485199999999999</v>
      </c>
      <c r="J90" s="152">
        <f t="shared" si="49"/>
        <v>1.0084200000000001</v>
      </c>
      <c r="K90" s="113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</row>
    <row r="91" spans="1:25" x14ac:dyDescent="0.25">
      <c r="A91" s="198" t="s">
        <v>93</v>
      </c>
      <c r="B91" s="126" t="s">
        <v>174</v>
      </c>
      <c r="C91" s="274"/>
      <c r="D91" s="153">
        <f>((D126/D$67)*(D$68*10^6))/(453.59*2000)</f>
        <v>7.3728477259198837E-4</v>
      </c>
      <c r="E91" s="153">
        <f t="shared" ref="E91:J91" si="50">((E126/E$67)*(E$68*10^6))/(453.59*2000)</f>
        <v>8.0750236998170151E-4</v>
      </c>
      <c r="F91" s="153">
        <f t="shared" si="50"/>
        <v>1.3692431490994071E-3</v>
      </c>
      <c r="G91" s="153">
        <f t="shared" si="50"/>
        <v>8.7771996737141475E-4</v>
      </c>
      <c r="H91" s="153">
        <f t="shared" si="50"/>
        <v>1.0532639608456977E-3</v>
      </c>
      <c r="I91" s="153">
        <f t="shared" si="50"/>
        <v>9.1282876606627115E-4</v>
      </c>
      <c r="J91" s="153">
        <f t="shared" si="50"/>
        <v>7.3728477259198837E-4</v>
      </c>
      <c r="K91" s="113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</row>
    <row r="92" spans="1:25" x14ac:dyDescent="0.25">
      <c r="A92" s="198" t="s">
        <v>92</v>
      </c>
      <c r="B92" s="126" t="s">
        <v>174</v>
      </c>
      <c r="C92" s="274"/>
      <c r="D92" s="154">
        <f>((D127/D$67)*(D$68*10^6))/(453.59*2000)</f>
        <v>1.910150340150734E-2</v>
      </c>
      <c r="E92" s="154">
        <f t="shared" ref="E92:J92" si="51">((E127/E$67)*(E$68*10^6))/(453.59*2000)</f>
        <v>2.0920694201650894E-2</v>
      </c>
      <c r="F92" s="154">
        <f t="shared" si="51"/>
        <v>3.5474220602799339E-2</v>
      </c>
      <c r="G92" s="154">
        <f t="shared" si="51"/>
        <v>2.2739885001794451E-2</v>
      </c>
      <c r="H92" s="154">
        <f t="shared" si="51"/>
        <v>2.728786200215334E-2</v>
      </c>
      <c r="I92" s="154">
        <f t="shared" si="51"/>
        <v>2.3649480401866225E-2</v>
      </c>
      <c r="J92" s="154">
        <f t="shared" si="51"/>
        <v>1.910150340150734E-2</v>
      </c>
      <c r="K92" s="11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1:25" x14ac:dyDescent="0.25">
      <c r="A93" s="198" t="s">
        <v>169</v>
      </c>
      <c r="B93" s="126" t="s">
        <v>174</v>
      </c>
      <c r="C93" s="274"/>
      <c r="D93" s="153">
        <f>((D128/D$67)*(D$68*10^6))/(453.59*2000)</f>
        <v>4.1320355387023522E-4</v>
      </c>
      <c r="E93" s="153">
        <f t="shared" ref="E93:J93" si="52">((E128/E$67)*(E$68*10^6))/(453.59*2000)</f>
        <v>4.5255627328644811E-4</v>
      </c>
      <c r="F93" s="153">
        <f t="shared" si="52"/>
        <v>7.673780286161511E-4</v>
      </c>
      <c r="G93" s="153">
        <f t="shared" si="52"/>
        <v>4.9190899270266095E-4</v>
      </c>
      <c r="H93" s="153">
        <f t="shared" si="52"/>
        <v>5.9029079124319319E-4</v>
      </c>
      <c r="I93" s="153">
        <f t="shared" si="52"/>
        <v>5.1158535241076729E-4</v>
      </c>
      <c r="J93" s="153">
        <f t="shared" si="52"/>
        <v>4.1320355387023522E-4</v>
      </c>
      <c r="K93" s="113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</row>
    <row r="94" spans="1:25" x14ac:dyDescent="0.25">
      <c r="A94" s="115"/>
      <c r="B94" s="135"/>
      <c r="D94" s="135"/>
      <c r="E94" s="135"/>
      <c r="F94" s="135"/>
      <c r="G94" s="135"/>
      <c r="H94" s="135"/>
      <c r="I94" s="135"/>
      <c r="J94" s="135"/>
      <c r="K94" s="113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</row>
    <row r="95" spans="1:25" x14ac:dyDescent="0.25">
      <c r="A95" s="193" t="s">
        <v>275</v>
      </c>
      <c r="B95" s="135"/>
      <c r="C95" s="274">
        <v>1</v>
      </c>
      <c r="D95" s="151" t="str">
        <f t="shared" ref="D95:J95" si="53">D81</f>
        <v>Container 2000</v>
      </c>
      <c r="E95" s="151" t="str">
        <f t="shared" si="53"/>
        <v>Container 4000</v>
      </c>
      <c r="F95" s="151" t="str">
        <f t="shared" si="53"/>
        <v>Container 5000</v>
      </c>
      <c r="G95" s="151" t="str">
        <f t="shared" si="53"/>
        <v>Container 6000</v>
      </c>
      <c r="H95" s="151" t="str">
        <f t="shared" si="53"/>
        <v>Container 8000</v>
      </c>
      <c r="I95" s="151" t="str">
        <f t="shared" si="53"/>
        <v>Container 9000</v>
      </c>
      <c r="J95" s="151" t="str">
        <f t="shared" si="53"/>
        <v>Container 10000</v>
      </c>
      <c r="K95" s="113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</row>
    <row r="96" spans="1:25" ht="18.75" x14ac:dyDescent="0.35">
      <c r="A96" s="198" t="s">
        <v>266</v>
      </c>
      <c r="B96" s="126" t="s">
        <v>36</v>
      </c>
      <c r="C96" s="274">
        <v>2</v>
      </c>
      <c r="D96" s="146">
        <f>D103+D110</f>
        <v>4.6888899020571122</v>
      </c>
      <c r="E96" s="146">
        <f t="shared" ref="E96:J96" si="54">E103+E110</f>
        <v>7.3344717096335117</v>
      </c>
      <c r="F96" s="146">
        <f t="shared" si="54"/>
        <v>9.0435417033652659</v>
      </c>
      <c r="G96" s="146">
        <f t="shared" si="54"/>
        <v>10.621803668959723</v>
      </c>
      <c r="H96" s="146">
        <f t="shared" si="54"/>
        <v>12.719185598618825</v>
      </c>
      <c r="I96" s="146">
        <f t="shared" si="54"/>
        <v>13.228754017252697</v>
      </c>
      <c r="J96" s="146">
        <f t="shared" si="54"/>
        <v>13.175820418002743</v>
      </c>
      <c r="K96" s="11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</row>
    <row r="97" spans="1:25" ht="18.75" x14ac:dyDescent="0.35">
      <c r="A97" s="198" t="s">
        <v>267</v>
      </c>
      <c r="B97" s="126" t="s">
        <v>36</v>
      </c>
      <c r="C97" s="274">
        <v>3</v>
      </c>
      <c r="D97" s="146">
        <f t="shared" ref="D97:J97" si="55">D104+D111</f>
        <v>4.6176849268183862</v>
      </c>
      <c r="E97" s="146">
        <f t="shared" si="55"/>
        <v>7.2232692944368146</v>
      </c>
      <c r="F97" s="146">
        <f t="shared" si="55"/>
        <v>8.9065639082087262</v>
      </c>
      <c r="G97" s="146">
        <f t="shared" si="55"/>
        <v>10.461331990924331</v>
      </c>
      <c r="H97" s="146">
        <f t="shared" si="55"/>
        <v>12.527131480187856</v>
      </c>
      <c r="I97" s="146">
        <f t="shared" si="55"/>
        <v>13.029838553508265</v>
      </c>
      <c r="J97" s="146">
        <f t="shared" si="55"/>
        <v>12.97704593308986</v>
      </c>
      <c r="K97" s="11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</row>
    <row r="98" spans="1:25" x14ac:dyDescent="0.25">
      <c r="A98" s="198" t="s">
        <v>93</v>
      </c>
      <c r="B98" s="126" t="s">
        <v>174</v>
      </c>
      <c r="C98" s="274">
        <v>4</v>
      </c>
      <c r="D98" s="154">
        <f t="shared" ref="D98:J98" si="56">D105+D112</f>
        <v>3.3602530825152491E-3</v>
      </c>
      <c r="E98" s="154">
        <f t="shared" si="56"/>
        <v>5.2565619129874711E-3</v>
      </c>
      <c r="F98" s="154">
        <f t="shared" si="56"/>
        <v>6.4817281312798507E-3</v>
      </c>
      <c r="G98" s="154">
        <f t="shared" si="56"/>
        <v>7.6137734283448881E-3</v>
      </c>
      <c r="H98" s="154">
        <f t="shared" si="56"/>
        <v>9.1174092617935607E-3</v>
      </c>
      <c r="I98" s="154">
        <f t="shared" si="56"/>
        <v>9.4844343234711734E-3</v>
      </c>
      <c r="J98" s="154">
        <f t="shared" si="56"/>
        <v>9.4451035954812163E-3</v>
      </c>
      <c r="K98" s="11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1:25" x14ac:dyDescent="0.25">
      <c r="A99" s="198" t="s">
        <v>92</v>
      </c>
      <c r="B99" s="126" t="s">
        <v>174</v>
      </c>
      <c r="C99" s="274">
        <v>5</v>
      </c>
      <c r="D99" s="152">
        <f t="shared" ref="D99:J99" si="57">D106+D113</f>
        <v>0.13916798724263582</v>
      </c>
      <c r="E99" s="152">
        <f t="shared" si="57"/>
        <v>0.21689526049208979</v>
      </c>
      <c r="F99" s="152">
        <f t="shared" si="57"/>
        <v>0.26682521005420029</v>
      </c>
      <c r="G99" s="152">
        <f t="shared" si="57"/>
        <v>0.31155619656278127</v>
      </c>
      <c r="H99" s="152">
        <f t="shared" si="57"/>
        <v>0.37261069703164978</v>
      </c>
      <c r="I99" s="152">
        <f t="shared" si="57"/>
        <v>0.38382220540208872</v>
      </c>
      <c r="J99" s="152">
        <f t="shared" si="57"/>
        <v>0.38520875861063159</v>
      </c>
      <c r="K99" s="113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</row>
    <row r="100" spans="1:25" x14ac:dyDescent="0.25">
      <c r="A100" s="198" t="s">
        <v>169</v>
      </c>
      <c r="B100" s="126" t="s">
        <v>174</v>
      </c>
      <c r="C100" s="274">
        <v>6</v>
      </c>
      <c r="D100" s="154">
        <f t="shared" ref="D100:J100" si="58">D107+D114</f>
        <v>2.2361206515391745E-3</v>
      </c>
      <c r="E100" s="154">
        <f t="shared" si="58"/>
        <v>3.4925558976403484E-3</v>
      </c>
      <c r="F100" s="154">
        <f t="shared" si="58"/>
        <v>4.3023622347766639E-3</v>
      </c>
      <c r="G100" s="154">
        <f t="shared" si="58"/>
        <v>5.0411100779922157E-3</v>
      </c>
      <c r="H100" s="154">
        <f t="shared" si="58"/>
        <v>6.0334607643955096E-3</v>
      </c>
      <c r="I100" s="154">
        <f t="shared" si="58"/>
        <v>6.2506867606490985E-3</v>
      </c>
      <c r="J100" s="154">
        <f t="shared" si="58"/>
        <v>6.2449348398443986E-3</v>
      </c>
      <c r="K100" s="11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1:25" x14ac:dyDescent="0.25">
      <c r="A101" s="115"/>
      <c r="B101" s="135"/>
      <c r="D101" s="135"/>
      <c r="E101" s="135"/>
      <c r="F101" s="135"/>
      <c r="G101" s="135"/>
      <c r="H101" s="135"/>
      <c r="I101" s="135"/>
      <c r="J101" s="135"/>
      <c r="K101" s="113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</row>
    <row r="102" spans="1:25" x14ac:dyDescent="0.25">
      <c r="A102" s="193" t="s">
        <v>276</v>
      </c>
      <c r="B102" s="135"/>
      <c r="D102" s="135"/>
      <c r="E102" s="135"/>
      <c r="F102" s="135"/>
      <c r="G102" s="135"/>
      <c r="H102" s="135"/>
      <c r="I102" s="135"/>
      <c r="J102" s="135"/>
      <c r="K102" s="113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</row>
    <row r="103" spans="1:25" ht="18.75" x14ac:dyDescent="0.35">
      <c r="A103" s="198" t="s">
        <v>266</v>
      </c>
      <c r="B103" s="126" t="s">
        <v>36</v>
      </c>
      <c r="D103" s="152">
        <f>((D117/D$44)*(D$49*10^6))/10^6</f>
        <v>5.1752793020571124</v>
      </c>
      <c r="E103" s="152">
        <f t="shared" ref="E103:J103" si="59">((E117/E$44)*(E$49*10^6))/10^6</f>
        <v>8.0154168696335084</v>
      </c>
      <c r="F103" s="152">
        <f t="shared" si="59"/>
        <v>9.8217647433652644</v>
      </c>
      <c r="G103" s="152">
        <f t="shared" si="59"/>
        <v>11.351387768959722</v>
      </c>
      <c r="H103" s="152">
        <f t="shared" si="59"/>
        <v>13.546047578618825</v>
      </c>
      <c r="I103" s="152">
        <f t="shared" si="59"/>
        <v>13.715143417252698</v>
      </c>
      <c r="J103" s="152">
        <f t="shared" si="59"/>
        <v>13.954043458002742</v>
      </c>
      <c r="K103" s="113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</row>
    <row r="104" spans="1:25" ht="18.75" x14ac:dyDescent="0.35">
      <c r="A104" s="198" t="s">
        <v>267</v>
      </c>
      <c r="B104" s="126" t="s">
        <v>36</v>
      </c>
      <c r="D104" s="152">
        <f>((D118/D$44)*(D$49*10^6))/10^6</f>
        <v>5.0978849268183861</v>
      </c>
      <c r="E104" s="152">
        <f t="shared" ref="E104:J104" si="60">((E118/E$44)*(E$49*10^6))/10^6</f>
        <v>7.8955492944368117</v>
      </c>
      <c r="F104" s="152">
        <f t="shared" si="60"/>
        <v>9.6748839082087237</v>
      </c>
      <c r="G104" s="152">
        <f t="shared" si="60"/>
        <v>11.181631990924329</v>
      </c>
      <c r="H104" s="152">
        <f t="shared" si="60"/>
        <v>13.343471480187857</v>
      </c>
      <c r="I104" s="152">
        <f t="shared" si="60"/>
        <v>13.510038553508265</v>
      </c>
      <c r="J104" s="152">
        <f t="shared" si="60"/>
        <v>13.745365933089857</v>
      </c>
      <c r="K104" s="113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</row>
    <row r="105" spans="1:25" x14ac:dyDescent="0.25">
      <c r="A105" s="198" t="s">
        <v>93</v>
      </c>
      <c r="B105" s="126" t="s">
        <v>174</v>
      </c>
      <c r="D105" s="154">
        <f>((D119/D$44)*(D$49*10^6))/(453.59*2000)</f>
        <v>3.7113410694638149E-3</v>
      </c>
      <c r="E105" s="154">
        <f t="shared" ref="E105:J105" si="61">((E119/E$44)*(E$49*10^6))/(453.59*2000)</f>
        <v>5.7480850947154612E-3</v>
      </c>
      <c r="F105" s="154">
        <f t="shared" si="61"/>
        <v>7.0434689103975549E-3</v>
      </c>
      <c r="G105" s="154">
        <f t="shared" si="61"/>
        <v>8.1404054087677365E-3</v>
      </c>
      <c r="H105" s="154">
        <f t="shared" si="61"/>
        <v>9.7142588396061224E-3</v>
      </c>
      <c r="I105" s="154">
        <f t="shared" si="61"/>
        <v>9.8355223104197396E-3</v>
      </c>
      <c r="J105" s="154">
        <f t="shared" si="61"/>
        <v>1.000684437459892E-2</v>
      </c>
      <c r="K105" s="11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</row>
    <row r="106" spans="1:25" x14ac:dyDescent="0.25">
      <c r="A106" s="198" t="s">
        <v>92</v>
      </c>
      <c r="B106" s="126" t="s">
        <v>174</v>
      </c>
      <c r="D106" s="154">
        <f>((D120/D$44)*(D$49*10^6))/(453.59*2000)</f>
        <v>0.1482639412433536</v>
      </c>
      <c r="E106" s="154">
        <f t="shared" ref="E106:J106" si="62">((E120/E$44)*(E$49*10^6))/(453.59*2000)</f>
        <v>0.22962959609309463</v>
      </c>
      <c r="F106" s="154">
        <f t="shared" si="62"/>
        <v>0.28137873645534872</v>
      </c>
      <c r="G106" s="154">
        <f t="shared" si="62"/>
        <v>0.32520012756385791</v>
      </c>
      <c r="H106" s="154">
        <f t="shared" si="62"/>
        <v>0.38807381883287001</v>
      </c>
      <c r="I106" s="154">
        <f t="shared" si="62"/>
        <v>0.3929181594028065</v>
      </c>
      <c r="J106" s="154">
        <f t="shared" si="62"/>
        <v>0.39976228501178002</v>
      </c>
      <c r="K106" s="11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</row>
    <row r="107" spans="1:25" x14ac:dyDescent="0.25">
      <c r="A107" s="198" t="s">
        <v>169</v>
      </c>
      <c r="B107" s="126" t="s">
        <v>174</v>
      </c>
      <c r="D107" s="154">
        <f>((D121/D$44)*(D$49*10^6))/(453.59*2000)</f>
        <v>2.4328842486202387E-3</v>
      </c>
      <c r="E107" s="154">
        <f t="shared" ref="E107:J107" si="63">((E121/E$44)*(E$49*10^6))/(453.59*2000)</f>
        <v>3.7680249335538371E-3</v>
      </c>
      <c r="F107" s="154">
        <f t="shared" si="63"/>
        <v>4.6171839901063662E-3</v>
      </c>
      <c r="G107" s="154">
        <f t="shared" si="63"/>
        <v>5.336255473613812E-3</v>
      </c>
      <c r="H107" s="154">
        <f t="shared" si="63"/>
        <v>6.3679588794333195E-3</v>
      </c>
      <c r="I107" s="154">
        <f t="shared" si="63"/>
        <v>6.4474503577301627E-3</v>
      </c>
      <c r="J107" s="154">
        <f t="shared" si="63"/>
        <v>6.5597565951741009E-3</v>
      </c>
      <c r="K107" s="11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</row>
    <row r="108" spans="1:25" x14ac:dyDescent="0.25">
      <c r="D108" s="135"/>
      <c r="E108" s="135"/>
      <c r="F108" s="135"/>
      <c r="G108" s="135"/>
      <c r="H108" s="135"/>
      <c r="I108" s="135"/>
      <c r="J108" s="135"/>
      <c r="K108" s="113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</row>
    <row r="109" spans="1:25" x14ac:dyDescent="0.25">
      <c r="A109" s="117" t="s">
        <v>277</v>
      </c>
      <c r="D109" s="135"/>
      <c r="E109" s="135"/>
      <c r="F109" s="135"/>
      <c r="G109" s="135"/>
      <c r="H109" s="135"/>
      <c r="I109" s="135"/>
      <c r="J109" s="135"/>
      <c r="K109" s="113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</row>
    <row r="110" spans="1:25" ht="18.75" x14ac:dyDescent="0.35">
      <c r="A110" s="133" t="s">
        <v>94</v>
      </c>
      <c r="B110" s="126" t="s">
        <v>36</v>
      </c>
      <c r="C110" s="274"/>
      <c r="D110" s="154">
        <f>((D124/D$67)*(D$56*10^6))/10^6</f>
        <v>-0.48638940000000008</v>
      </c>
      <c r="E110" s="154">
        <f t="shared" ref="E110:J110" si="64">((E124/E$67)*(E$56*10^6))/10^6</f>
        <v>-0.68094515999999694</v>
      </c>
      <c r="F110" s="154">
        <f t="shared" si="64"/>
        <v>-0.77822303999999809</v>
      </c>
      <c r="G110" s="154">
        <f t="shared" si="64"/>
        <v>-0.72958409999999885</v>
      </c>
      <c r="H110" s="154">
        <f t="shared" si="64"/>
        <v>-0.82686198</v>
      </c>
      <c r="I110" s="154">
        <f t="shared" si="64"/>
        <v>-0.48638940000000008</v>
      </c>
      <c r="J110" s="154">
        <f t="shared" si="64"/>
        <v>-0.77822303999999809</v>
      </c>
      <c r="K110" s="11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</row>
    <row r="111" spans="1:25" ht="18.75" x14ac:dyDescent="0.35">
      <c r="A111" s="133" t="s">
        <v>96</v>
      </c>
      <c r="B111" s="126" t="s">
        <v>36</v>
      </c>
      <c r="C111" s="274"/>
      <c r="D111" s="154">
        <f t="shared" ref="D111" si="65">((D125/D$67)*(D$56*10^6))/10^6</f>
        <v>-0.48020000000000007</v>
      </c>
      <c r="E111" s="154">
        <f t="shared" ref="E111:J111" si="66">((E125/E$67)*(E$56*10^6))/10^6</f>
        <v>-0.67227999999999688</v>
      </c>
      <c r="F111" s="154">
        <f t="shared" si="66"/>
        <v>-0.768319999999998</v>
      </c>
      <c r="G111" s="154">
        <f t="shared" si="66"/>
        <v>-0.72029999999999883</v>
      </c>
      <c r="H111" s="154">
        <f t="shared" si="66"/>
        <v>-0.81633999999999995</v>
      </c>
      <c r="I111" s="154">
        <f t="shared" si="66"/>
        <v>-0.48020000000000007</v>
      </c>
      <c r="J111" s="154">
        <f t="shared" si="66"/>
        <v>-0.768319999999998</v>
      </c>
      <c r="K111" s="11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</row>
    <row r="112" spans="1:25" x14ac:dyDescent="0.25">
      <c r="A112" s="133" t="s">
        <v>93</v>
      </c>
      <c r="B112" s="126" t="s">
        <v>174</v>
      </c>
      <c r="C112" s="274"/>
      <c r="D112" s="153">
        <f>((D126/D$67)*(D$56*10^6))/(453.59*2000)</f>
        <v>-3.5108798694856593E-4</v>
      </c>
      <c r="E112" s="153">
        <f t="shared" ref="E112:J112" si="67">((E126/E$67)*(E$56*10^6))/(453.59*2000)</f>
        <v>-4.9152318172798997E-4</v>
      </c>
      <c r="F112" s="153">
        <f t="shared" si="67"/>
        <v>-5.6174077911770397E-4</v>
      </c>
      <c r="G112" s="153">
        <f t="shared" si="67"/>
        <v>-5.26631980422848E-4</v>
      </c>
      <c r="H112" s="153">
        <f t="shared" si="67"/>
        <v>-5.96849577812562E-4</v>
      </c>
      <c r="I112" s="153">
        <f t="shared" si="67"/>
        <v>-3.5108798694856593E-4</v>
      </c>
      <c r="J112" s="153">
        <f t="shared" si="67"/>
        <v>-5.6174077911770397E-4</v>
      </c>
      <c r="K112" s="113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</row>
    <row r="113" spans="1:25" x14ac:dyDescent="0.25">
      <c r="A113" s="133" t="s">
        <v>92</v>
      </c>
      <c r="B113" s="126" t="s">
        <v>174</v>
      </c>
      <c r="C113" s="274"/>
      <c r="D113" s="153">
        <f>((D127/D$67)*(D$56*10^6))/(453.59*2000)</f>
        <v>-9.0959540007177816E-3</v>
      </c>
      <c r="E113" s="153">
        <f t="shared" ref="E113:J113" si="68">((E127/E$67)*(E$56*10^6))/(453.59*2000)</f>
        <v>-1.2734335601004836E-2</v>
      </c>
      <c r="F113" s="153">
        <f t="shared" si="68"/>
        <v>-1.4553526401148412E-2</v>
      </c>
      <c r="G113" s="153">
        <f t="shared" si="68"/>
        <v>-1.3643931001076649E-2</v>
      </c>
      <c r="H113" s="153">
        <f t="shared" si="68"/>
        <v>-1.5463121801220227E-2</v>
      </c>
      <c r="I113" s="153">
        <f t="shared" si="68"/>
        <v>-9.0959540007177816E-3</v>
      </c>
      <c r="J113" s="153">
        <f t="shared" si="68"/>
        <v>-1.4553526401148412E-2</v>
      </c>
      <c r="K113" s="113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</row>
    <row r="114" spans="1:25" x14ac:dyDescent="0.25">
      <c r="A114" s="133" t="s">
        <v>169</v>
      </c>
      <c r="B114" s="126" t="s">
        <v>174</v>
      </c>
      <c r="C114" s="274"/>
      <c r="D114" s="153">
        <f>((D128/D$67)*(D$56*10^6))/(453.59*2000)</f>
        <v>-1.9676359708106444E-4</v>
      </c>
      <c r="E114" s="153">
        <f t="shared" ref="E114:J114" si="69">((E128/E$67)*(E$56*10^6))/(453.59*2000)</f>
        <v>-2.754690359134889E-4</v>
      </c>
      <c r="F114" s="153">
        <f t="shared" si="69"/>
        <v>-3.1482175532970223E-4</v>
      </c>
      <c r="G114" s="153">
        <f t="shared" si="69"/>
        <v>-2.9514539562159611E-4</v>
      </c>
      <c r="H114" s="153">
        <f t="shared" si="69"/>
        <v>-3.3449811503780949E-4</v>
      </c>
      <c r="I114" s="153">
        <f t="shared" si="69"/>
        <v>-1.9676359708106444E-4</v>
      </c>
      <c r="J114" s="153">
        <f t="shared" si="69"/>
        <v>-3.1482175532970223E-4</v>
      </c>
      <c r="K114" s="113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</row>
    <row r="115" spans="1:25" x14ac:dyDescent="0.25">
      <c r="D115" s="135"/>
      <c r="E115" s="135"/>
      <c r="F115" s="135"/>
      <c r="G115" s="135"/>
      <c r="H115" s="135"/>
      <c r="I115" s="135"/>
      <c r="J115" s="135"/>
      <c r="K115" s="113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</row>
    <row r="116" spans="1:25" x14ac:dyDescent="0.25">
      <c r="A116" s="117" t="s">
        <v>278</v>
      </c>
      <c r="D116" s="135"/>
      <c r="E116" s="135"/>
      <c r="F116" s="135"/>
      <c r="G116" s="135"/>
      <c r="H116" s="135"/>
      <c r="I116" s="135"/>
      <c r="J116" s="135"/>
      <c r="K116" s="113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</row>
    <row r="117" spans="1:25" ht="18.75" x14ac:dyDescent="0.35">
      <c r="A117" s="133" t="s">
        <v>94</v>
      </c>
      <c r="B117" s="126" t="s">
        <v>31</v>
      </c>
      <c r="D117" s="143">
        <v>597.94200000000001</v>
      </c>
      <c r="E117" s="143">
        <v>597.94200000000001</v>
      </c>
      <c r="F117" s="143">
        <v>597.94200000000001</v>
      </c>
      <c r="G117" s="143">
        <v>597.94200000000001</v>
      </c>
      <c r="H117" s="143">
        <v>597.94200000000001</v>
      </c>
      <c r="I117" s="143">
        <v>597.94200000000001</v>
      </c>
      <c r="J117" s="143">
        <v>597.94200000000001</v>
      </c>
      <c r="K117" s="123" t="s">
        <v>225</v>
      </c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</row>
    <row r="118" spans="1:25" ht="18.75" x14ac:dyDescent="0.35">
      <c r="A118" s="133" t="s">
        <v>96</v>
      </c>
      <c r="B118" s="126" t="s">
        <v>31</v>
      </c>
      <c r="D118" s="143">
        <v>589</v>
      </c>
      <c r="E118" s="143">
        <v>589</v>
      </c>
      <c r="F118" s="143">
        <v>589</v>
      </c>
      <c r="G118" s="143">
        <v>589</v>
      </c>
      <c r="H118" s="143">
        <v>589</v>
      </c>
      <c r="I118" s="143">
        <v>589</v>
      </c>
      <c r="J118" s="143">
        <v>589</v>
      </c>
      <c r="K118" s="123" t="s">
        <v>225</v>
      </c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</row>
    <row r="119" spans="1:25" x14ac:dyDescent="0.25">
      <c r="A119" s="133" t="s">
        <v>93</v>
      </c>
      <c r="B119" s="126" t="s">
        <v>31</v>
      </c>
      <c r="D119" s="152">
        <v>0.38900000000000001</v>
      </c>
      <c r="E119" s="152">
        <v>0.38900000000000001</v>
      </c>
      <c r="F119" s="152">
        <v>0.38900000000000001</v>
      </c>
      <c r="G119" s="152">
        <v>0.38900000000000001</v>
      </c>
      <c r="H119" s="152">
        <v>0.38900000000000001</v>
      </c>
      <c r="I119" s="152">
        <v>0.38900000000000001</v>
      </c>
      <c r="J119" s="152">
        <v>0.38900000000000001</v>
      </c>
      <c r="K119" s="123" t="s">
        <v>225</v>
      </c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</row>
    <row r="120" spans="1:25" x14ac:dyDescent="0.25">
      <c r="A120" s="133" t="s">
        <v>92</v>
      </c>
      <c r="B120" s="126" t="s">
        <v>31</v>
      </c>
      <c r="D120" s="152">
        <v>15.540116648992576</v>
      </c>
      <c r="E120" s="152">
        <v>15.540116648992576</v>
      </c>
      <c r="F120" s="152">
        <v>15.540116648992576</v>
      </c>
      <c r="G120" s="152">
        <v>15.540116648992576</v>
      </c>
      <c r="H120" s="152">
        <v>15.540116648992576</v>
      </c>
      <c r="I120" s="152">
        <v>15.540116648992576</v>
      </c>
      <c r="J120" s="152">
        <v>15.540116648992576</v>
      </c>
      <c r="K120" s="123" t="s">
        <v>225</v>
      </c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</row>
    <row r="121" spans="1:25" x14ac:dyDescent="0.25">
      <c r="A121" s="133" t="s">
        <v>169</v>
      </c>
      <c r="B121" s="126" t="s">
        <v>31</v>
      </c>
      <c r="D121" s="152">
        <v>0.255</v>
      </c>
      <c r="E121" s="152">
        <v>0.255</v>
      </c>
      <c r="F121" s="152">
        <v>0.255</v>
      </c>
      <c r="G121" s="152">
        <v>0.255</v>
      </c>
      <c r="H121" s="152">
        <v>0.255</v>
      </c>
      <c r="I121" s="152">
        <v>0.255</v>
      </c>
      <c r="J121" s="152">
        <v>0.255</v>
      </c>
      <c r="K121" s="123" t="s">
        <v>225</v>
      </c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</row>
    <row r="122" spans="1:25" x14ac:dyDescent="0.25">
      <c r="D122" s="156"/>
      <c r="E122" s="135"/>
      <c r="F122" s="135"/>
      <c r="G122" s="135"/>
      <c r="H122" s="135"/>
      <c r="I122" s="135"/>
      <c r="J122" s="135"/>
      <c r="K122" s="113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</row>
    <row r="123" spans="1:25" x14ac:dyDescent="0.25">
      <c r="A123" s="117" t="s">
        <v>279</v>
      </c>
      <c r="D123" s="156"/>
      <c r="E123" s="135"/>
      <c r="F123" s="135"/>
      <c r="G123" s="135"/>
      <c r="H123" s="135"/>
      <c r="I123" s="135"/>
      <c r="J123" s="135"/>
      <c r="K123" s="113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</row>
    <row r="124" spans="1:25" ht="18.75" x14ac:dyDescent="0.35">
      <c r="A124" s="133" t="s">
        <v>94</v>
      </c>
      <c r="B124" s="126" t="s">
        <v>31</v>
      </c>
      <c r="D124" s="143">
        <v>694.84199999999998</v>
      </c>
      <c r="E124" s="143">
        <v>694.84199999999998</v>
      </c>
      <c r="F124" s="143">
        <v>694.84199999999998</v>
      </c>
      <c r="G124" s="143">
        <v>694.84199999999998</v>
      </c>
      <c r="H124" s="143">
        <v>694.84199999999998</v>
      </c>
      <c r="I124" s="143">
        <v>694.84199999999998</v>
      </c>
      <c r="J124" s="143">
        <v>694.84199999999998</v>
      </c>
      <c r="K124" s="123" t="s">
        <v>225</v>
      </c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</row>
    <row r="125" spans="1:25" ht="18.75" x14ac:dyDescent="0.35">
      <c r="A125" s="133" t="s">
        <v>96</v>
      </c>
      <c r="B125" s="126" t="s">
        <v>31</v>
      </c>
      <c r="D125" s="143">
        <v>686</v>
      </c>
      <c r="E125" s="143">
        <v>686</v>
      </c>
      <c r="F125" s="143">
        <v>686</v>
      </c>
      <c r="G125" s="143">
        <v>686</v>
      </c>
      <c r="H125" s="143">
        <v>686</v>
      </c>
      <c r="I125" s="143">
        <v>686</v>
      </c>
      <c r="J125" s="143">
        <v>686</v>
      </c>
      <c r="K125" s="123" t="s">
        <v>225</v>
      </c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</row>
    <row r="126" spans="1:25" x14ac:dyDescent="0.25">
      <c r="A126" s="133" t="s">
        <v>93</v>
      </c>
      <c r="B126" s="126" t="s">
        <v>31</v>
      </c>
      <c r="D126" s="152">
        <v>0.45500000000000002</v>
      </c>
      <c r="E126" s="152">
        <v>0.45500000000000002</v>
      </c>
      <c r="F126" s="152">
        <v>0.45500000000000002</v>
      </c>
      <c r="G126" s="152">
        <v>0.45500000000000002</v>
      </c>
      <c r="H126" s="152">
        <v>0.45500000000000002</v>
      </c>
      <c r="I126" s="152">
        <v>0.45500000000000002</v>
      </c>
      <c r="J126" s="152">
        <v>0.45500000000000002</v>
      </c>
      <c r="K126" s="123" t="s">
        <v>225</v>
      </c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</row>
    <row r="127" spans="1:25" x14ac:dyDescent="0.25">
      <c r="A127" s="133" t="s">
        <v>92</v>
      </c>
      <c r="B127" s="126" t="s">
        <v>31</v>
      </c>
      <c r="D127" s="152">
        <v>11.788096500530223</v>
      </c>
      <c r="E127" s="152">
        <v>11.788096500530223</v>
      </c>
      <c r="F127" s="152">
        <v>11.788096500530223</v>
      </c>
      <c r="G127" s="152">
        <v>11.788096500530223</v>
      </c>
      <c r="H127" s="152">
        <v>11.788096500530223</v>
      </c>
      <c r="I127" s="152">
        <v>11.788096500530223</v>
      </c>
      <c r="J127" s="152">
        <v>11.788096500530223</v>
      </c>
      <c r="K127" s="123" t="s">
        <v>225</v>
      </c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</row>
    <row r="128" spans="1:25" x14ac:dyDescent="0.25">
      <c r="A128" s="133" t="s">
        <v>169</v>
      </c>
      <c r="B128" s="126" t="s">
        <v>31</v>
      </c>
      <c r="D128" s="152">
        <v>0.255</v>
      </c>
      <c r="E128" s="152">
        <v>0.255</v>
      </c>
      <c r="F128" s="152">
        <v>0.255</v>
      </c>
      <c r="G128" s="152">
        <v>0.255</v>
      </c>
      <c r="H128" s="152">
        <v>0.255</v>
      </c>
      <c r="I128" s="152">
        <v>0.255</v>
      </c>
      <c r="J128" s="152">
        <v>0.255</v>
      </c>
      <c r="K128" s="123" t="s">
        <v>225</v>
      </c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</row>
    <row r="130" spans="1:26" s="115" customFormat="1" x14ac:dyDescent="0.25">
      <c r="B130" s="135"/>
      <c r="C130" s="273"/>
    </row>
    <row r="131" spans="1:26" s="115" customFormat="1" x14ac:dyDescent="0.25">
      <c r="B131" s="135"/>
      <c r="C131" s="273"/>
    </row>
    <row r="132" spans="1:26" s="115" customFormat="1" x14ac:dyDescent="0.25">
      <c r="B132" s="135"/>
      <c r="C132" s="273"/>
    </row>
    <row r="135" spans="1:26" x14ac:dyDescent="0.25">
      <c r="A135" s="117" t="s">
        <v>59</v>
      </c>
      <c r="B135" s="118" t="s">
        <v>62</v>
      </c>
      <c r="D135" s="112">
        <v>1000</v>
      </c>
      <c r="E135" s="112">
        <v>2000</v>
      </c>
      <c r="F135" s="112">
        <v>3000</v>
      </c>
      <c r="G135" s="112">
        <v>4000</v>
      </c>
      <c r="H135" s="112">
        <v>5000</v>
      </c>
      <c r="I135" s="112">
        <v>6000</v>
      </c>
      <c r="J135" s="112">
        <v>7000</v>
      </c>
      <c r="K135" s="112">
        <v>8000</v>
      </c>
      <c r="L135" s="112">
        <v>9000</v>
      </c>
      <c r="M135" s="112">
        <v>10000</v>
      </c>
      <c r="N135" s="112">
        <v>11000</v>
      </c>
      <c r="O135" s="112">
        <v>12000</v>
      </c>
      <c r="P135" s="112">
        <v>13000</v>
      </c>
      <c r="Q135" s="112">
        <v>14000</v>
      </c>
      <c r="R135" s="112">
        <v>15000</v>
      </c>
      <c r="S135" s="112">
        <v>16000</v>
      </c>
      <c r="T135" s="112">
        <v>17000</v>
      </c>
      <c r="U135" s="112">
        <v>18000</v>
      </c>
      <c r="V135" s="112">
        <v>19000</v>
      </c>
      <c r="W135" s="112">
        <v>20000</v>
      </c>
      <c r="X135" s="112">
        <v>21000</v>
      </c>
      <c r="Y135" s="112">
        <v>23000</v>
      </c>
    </row>
    <row r="136" spans="1:26" x14ac:dyDescent="0.25">
      <c r="A136" s="125" t="s">
        <v>63</v>
      </c>
      <c r="B136" s="126" t="s">
        <v>61</v>
      </c>
      <c r="C136" s="274">
        <v>1</v>
      </c>
      <c r="D136" s="143" t="s">
        <v>97</v>
      </c>
      <c r="E136" s="143" t="s">
        <v>98</v>
      </c>
      <c r="F136" s="143" t="s">
        <v>99</v>
      </c>
      <c r="G136" s="143" t="s">
        <v>100</v>
      </c>
      <c r="H136" s="143" t="s">
        <v>101</v>
      </c>
      <c r="I136" s="143" t="s">
        <v>102</v>
      </c>
      <c r="J136" s="143" t="s">
        <v>103</v>
      </c>
      <c r="K136" s="143" t="s">
        <v>104</v>
      </c>
      <c r="L136" s="143" t="s">
        <v>105</v>
      </c>
      <c r="M136" s="143" t="s">
        <v>106</v>
      </c>
      <c r="N136" s="143" t="s">
        <v>107</v>
      </c>
      <c r="O136" s="143" t="s">
        <v>108</v>
      </c>
      <c r="P136" s="143" t="s">
        <v>109</v>
      </c>
      <c r="Q136" s="143" t="s">
        <v>110</v>
      </c>
      <c r="R136" s="143" t="s">
        <v>111</v>
      </c>
      <c r="S136" s="143" t="s">
        <v>112</v>
      </c>
      <c r="T136" s="143" t="s">
        <v>113</v>
      </c>
      <c r="U136" s="143" t="s">
        <v>114</v>
      </c>
      <c r="V136" s="143" t="s">
        <v>115</v>
      </c>
      <c r="W136" s="143" t="s">
        <v>116</v>
      </c>
      <c r="X136" s="143" t="s">
        <v>117</v>
      </c>
      <c r="Y136" s="143" t="s">
        <v>119</v>
      </c>
    </row>
    <row r="137" spans="1:26" x14ac:dyDescent="0.25">
      <c r="A137" s="125" t="s">
        <v>0</v>
      </c>
      <c r="B137" s="126" t="s">
        <v>1</v>
      </c>
      <c r="C137" s="274">
        <v>2</v>
      </c>
      <c r="D137" s="143">
        <v>21285.666499999999</v>
      </c>
      <c r="E137" s="143">
        <v>22487.968444444447</v>
      </c>
      <c r="F137" s="143">
        <v>34234.060933333334</v>
      </c>
      <c r="G137" s="143">
        <v>43660.407326388886</v>
      </c>
      <c r="H137" s="143">
        <v>49653.194782608698</v>
      </c>
      <c r="I137" s="143">
        <v>61027.531567164173</v>
      </c>
      <c r="J137" s="143">
        <v>61209.705121951221</v>
      </c>
      <c r="K137" s="143">
        <v>63967.077049608371</v>
      </c>
      <c r="L137" s="143">
        <v>57807.929270073</v>
      </c>
      <c r="M137" s="143">
        <v>62299.542234042543</v>
      </c>
      <c r="N137" s="143">
        <v>53530.721367521372</v>
      </c>
      <c r="O137" s="143">
        <v>72239.25</v>
      </c>
      <c r="P137" s="143">
        <v>68439.069130434786</v>
      </c>
      <c r="Q137" s="143">
        <v>54634.655263157889</v>
      </c>
      <c r="R137" s="191">
        <v>50184</v>
      </c>
      <c r="S137" s="191">
        <v>64944</v>
      </c>
      <c r="T137" s="143">
        <v>80078.929999999993</v>
      </c>
      <c r="U137" s="191">
        <v>54709</v>
      </c>
      <c r="V137" s="143">
        <v>60849.31</v>
      </c>
      <c r="W137" s="191">
        <v>59310</v>
      </c>
      <c r="X137" s="191">
        <v>59714</v>
      </c>
      <c r="Y137" s="191">
        <v>67323</v>
      </c>
      <c r="Z137" s="123" t="s">
        <v>205</v>
      </c>
    </row>
    <row r="138" spans="1:26" x14ac:dyDescent="0.25">
      <c r="A138" s="125" t="s">
        <v>64</v>
      </c>
      <c r="B138" s="126" t="s">
        <v>2</v>
      </c>
      <c r="C138" s="274">
        <v>3</v>
      </c>
      <c r="D138" s="152">
        <v>21.241</v>
      </c>
      <c r="E138" s="152">
        <v>21.600444444444445</v>
      </c>
      <c r="F138" s="152">
        <v>22.466666666666665</v>
      </c>
      <c r="G138" s="152">
        <v>23.810486111111114</v>
      </c>
      <c r="H138" s="152">
        <v>24.604347826086954</v>
      </c>
      <c r="I138" s="152">
        <v>25.264179104477616</v>
      </c>
      <c r="J138" s="152">
        <v>24.721951219512199</v>
      </c>
      <c r="K138" s="152">
        <v>24.789112271540475</v>
      </c>
      <c r="L138" s="152">
        <v>23.605474452554745</v>
      </c>
      <c r="M138" s="152">
        <v>24.19595744680851</v>
      </c>
      <c r="N138" s="152">
        <v>23.581196581196583</v>
      </c>
      <c r="O138" s="152">
        <v>23.176923076923078</v>
      </c>
      <c r="P138" s="152">
        <v>24.193478260869568</v>
      </c>
      <c r="Q138" s="152">
        <v>22.623684210526317</v>
      </c>
      <c r="R138" s="192">
        <v>22.71</v>
      </c>
      <c r="S138" s="192">
        <v>23.37</v>
      </c>
      <c r="T138" s="152">
        <v>24.5</v>
      </c>
      <c r="U138" s="192">
        <v>18.8</v>
      </c>
      <c r="V138" s="152">
        <v>19</v>
      </c>
      <c r="W138" s="192">
        <v>20.56</v>
      </c>
      <c r="X138" s="192">
        <v>21.5</v>
      </c>
      <c r="Y138" s="192">
        <v>18.5</v>
      </c>
      <c r="Z138" s="123" t="s">
        <v>205</v>
      </c>
    </row>
    <row r="139" spans="1:26" x14ac:dyDescent="0.25">
      <c r="A139" s="128"/>
      <c r="B139" s="132" t="s">
        <v>220</v>
      </c>
      <c r="C139" s="274">
        <v>4</v>
      </c>
      <c r="D139" s="145">
        <v>1058</v>
      </c>
      <c r="E139" s="145">
        <v>2099</v>
      </c>
      <c r="F139" s="145">
        <v>2063</v>
      </c>
      <c r="G139" s="145">
        <v>2314</v>
      </c>
      <c r="H139" s="145">
        <v>3293</v>
      </c>
      <c r="I139" s="145">
        <v>2237</v>
      </c>
      <c r="J139" s="145">
        <v>2445</v>
      </c>
      <c r="K139" s="145">
        <v>2666</v>
      </c>
      <c r="L139" s="145">
        <v>2864</v>
      </c>
      <c r="M139" s="145">
        <v>2210</v>
      </c>
      <c r="N139" s="145">
        <v>2944</v>
      </c>
      <c r="O139" s="145">
        <v>3300</v>
      </c>
      <c r="P139" s="145">
        <v>2450</v>
      </c>
      <c r="Q139" s="145">
        <v>2076</v>
      </c>
      <c r="R139" s="145"/>
      <c r="S139" s="145"/>
      <c r="T139" s="145">
        <v>1994</v>
      </c>
      <c r="U139" s="145"/>
      <c r="V139" s="145">
        <v>2100</v>
      </c>
      <c r="W139" s="145"/>
      <c r="X139" s="145"/>
      <c r="Y139" s="145"/>
      <c r="Z139" s="123" t="s">
        <v>205</v>
      </c>
    </row>
    <row r="140" spans="1:26" x14ac:dyDescent="0.25">
      <c r="A140" s="193" t="s">
        <v>132</v>
      </c>
      <c r="B140" s="132" t="s">
        <v>221</v>
      </c>
      <c r="C140" s="274">
        <v>5</v>
      </c>
      <c r="D140" s="145">
        <v>2245</v>
      </c>
      <c r="E140" s="145">
        <v>2188</v>
      </c>
      <c r="F140" s="145">
        <v>2522</v>
      </c>
      <c r="G140" s="145">
        <v>2327</v>
      </c>
      <c r="H140" s="145">
        <v>4487</v>
      </c>
      <c r="I140" s="145">
        <v>2771</v>
      </c>
      <c r="J140" s="145">
        <v>2721</v>
      </c>
      <c r="K140" s="145">
        <v>3262</v>
      </c>
      <c r="L140" s="145">
        <v>2236</v>
      </c>
      <c r="M140" s="145">
        <v>1925</v>
      </c>
      <c r="N140" s="145">
        <v>2535</v>
      </c>
      <c r="O140" s="145">
        <v>2988</v>
      </c>
      <c r="P140" s="145">
        <v>3604</v>
      </c>
      <c r="Q140" s="145">
        <v>2820</v>
      </c>
      <c r="R140" s="145"/>
      <c r="S140" s="145"/>
      <c r="T140" s="145">
        <v>1994</v>
      </c>
      <c r="U140" s="145"/>
      <c r="V140" s="145">
        <v>2100</v>
      </c>
      <c r="W140" s="145"/>
      <c r="X140" s="145"/>
      <c r="Y140" s="145"/>
      <c r="Z140" s="123" t="s">
        <v>205</v>
      </c>
    </row>
    <row r="141" spans="1:26" x14ac:dyDescent="0.25">
      <c r="A141" s="125" t="s">
        <v>139</v>
      </c>
      <c r="B141" s="126"/>
      <c r="C141" s="274">
        <v>6</v>
      </c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</row>
    <row r="142" spans="1:26" x14ac:dyDescent="0.25">
      <c r="A142" s="125" t="s">
        <v>50</v>
      </c>
      <c r="B142" s="126" t="s">
        <v>1</v>
      </c>
      <c r="C142" s="274">
        <v>7</v>
      </c>
      <c r="D142" s="143">
        <f>ROUND((D139+D140)/2,-2)</f>
        <v>1700</v>
      </c>
      <c r="E142" s="143">
        <f t="shared" ref="E142:Q142" si="70">ROUND((E139+E140)/2,-2)</f>
        <v>2100</v>
      </c>
      <c r="F142" s="143">
        <f t="shared" si="70"/>
        <v>2300</v>
      </c>
      <c r="G142" s="143">
        <f t="shared" si="70"/>
        <v>2300</v>
      </c>
      <c r="H142" s="143">
        <f t="shared" si="70"/>
        <v>3900</v>
      </c>
      <c r="I142" s="143">
        <f t="shared" si="70"/>
        <v>2500</v>
      </c>
      <c r="J142" s="143">
        <f t="shared" si="70"/>
        <v>2600</v>
      </c>
      <c r="K142" s="143">
        <f t="shared" si="70"/>
        <v>3000</v>
      </c>
      <c r="L142" s="143">
        <f t="shared" si="70"/>
        <v>2600</v>
      </c>
      <c r="M142" s="143">
        <f t="shared" si="70"/>
        <v>2100</v>
      </c>
      <c r="N142" s="143">
        <f t="shared" si="70"/>
        <v>2700</v>
      </c>
      <c r="O142" s="143">
        <f t="shared" si="70"/>
        <v>3100</v>
      </c>
      <c r="P142" s="143">
        <f t="shared" si="70"/>
        <v>3000</v>
      </c>
      <c r="Q142" s="143">
        <f t="shared" si="70"/>
        <v>2400</v>
      </c>
      <c r="R142" s="191">
        <f>Q142</f>
        <v>2400</v>
      </c>
      <c r="S142" s="191">
        <f>R142</f>
        <v>2400</v>
      </c>
      <c r="T142" s="143">
        <f>ROUND((T139+T140)/2,-2)</f>
        <v>2000</v>
      </c>
      <c r="U142" s="191">
        <f>T142</f>
        <v>2000</v>
      </c>
      <c r="V142" s="143">
        <f>ROUND((V139+V140)/2,-2)</f>
        <v>2100</v>
      </c>
      <c r="W142" s="191">
        <f t="shared" ref="W142:W143" si="71">V142</f>
        <v>2100</v>
      </c>
      <c r="X142" s="191">
        <f t="shared" ref="X142:X143" si="72">W142</f>
        <v>2100</v>
      </c>
      <c r="Y142" s="191">
        <f t="shared" ref="Y142:Y143" si="73">X142</f>
        <v>2100</v>
      </c>
      <c r="Z142" s="123" t="s">
        <v>205</v>
      </c>
    </row>
    <row r="143" spans="1:26" x14ac:dyDescent="0.25">
      <c r="A143" s="125" t="s">
        <v>223</v>
      </c>
      <c r="B143" s="126" t="s">
        <v>1</v>
      </c>
      <c r="C143" s="274">
        <v>8</v>
      </c>
      <c r="D143" s="143">
        <f>ROUND((D145+D146)/2,-2)</f>
        <v>800</v>
      </c>
      <c r="E143" s="143">
        <f t="shared" ref="E143:P143" si="74">ROUND((E145+E146)/2,-2)</f>
        <v>1000</v>
      </c>
      <c r="F143" s="143">
        <f t="shared" si="74"/>
        <v>700</v>
      </c>
      <c r="G143" s="143">
        <f t="shared" si="74"/>
        <v>1400</v>
      </c>
      <c r="H143" s="143">
        <f t="shared" si="74"/>
        <v>1600</v>
      </c>
      <c r="I143" s="143">
        <f t="shared" si="74"/>
        <v>1500</v>
      </c>
      <c r="J143" s="143">
        <f t="shared" si="74"/>
        <v>1400</v>
      </c>
      <c r="K143" s="143">
        <f t="shared" si="74"/>
        <v>1700</v>
      </c>
      <c r="L143" s="143">
        <f t="shared" si="74"/>
        <v>1000</v>
      </c>
      <c r="M143" s="143">
        <f t="shared" si="74"/>
        <v>1600</v>
      </c>
      <c r="N143" s="143">
        <f t="shared" si="74"/>
        <v>1900</v>
      </c>
      <c r="O143" s="143">
        <f t="shared" si="74"/>
        <v>2300</v>
      </c>
      <c r="P143" s="143">
        <f t="shared" si="74"/>
        <v>1800</v>
      </c>
      <c r="Q143" s="143">
        <f>ROUND((Q145+Q146)/2,-2)</f>
        <v>1700</v>
      </c>
      <c r="R143" s="191">
        <f>Q143</f>
        <v>1700</v>
      </c>
      <c r="S143" s="191">
        <f>R143</f>
        <v>1700</v>
      </c>
      <c r="T143" s="143">
        <f>ROUND((T145+T146)/2,-2)</f>
        <v>1500</v>
      </c>
      <c r="U143" s="191">
        <f>T143</f>
        <v>1500</v>
      </c>
      <c r="V143" s="143">
        <f>ROUND((V145+V146)/2,-2)</f>
        <v>1900</v>
      </c>
      <c r="W143" s="191">
        <f t="shared" si="71"/>
        <v>1900</v>
      </c>
      <c r="X143" s="191">
        <f t="shared" si="72"/>
        <v>1900</v>
      </c>
      <c r="Y143" s="191">
        <f t="shared" si="73"/>
        <v>1900</v>
      </c>
      <c r="Z143" s="123" t="s">
        <v>205</v>
      </c>
    </row>
    <row r="144" spans="1:26" x14ac:dyDescent="0.25">
      <c r="A144" s="125"/>
      <c r="B144" s="126"/>
      <c r="C144" s="274">
        <v>9</v>
      </c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</row>
    <row r="145" spans="1:26" x14ac:dyDescent="0.25">
      <c r="A145" s="125" t="s">
        <v>222</v>
      </c>
      <c r="B145" s="126" t="s">
        <v>216</v>
      </c>
      <c r="C145" s="274">
        <v>10</v>
      </c>
      <c r="D145" s="143">
        <v>545</v>
      </c>
      <c r="E145" s="143">
        <v>968</v>
      </c>
      <c r="F145" s="143">
        <v>602</v>
      </c>
      <c r="G145" s="143">
        <v>1454</v>
      </c>
      <c r="H145" s="143">
        <v>1811</v>
      </c>
      <c r="I145" s="143">
        <v>1509</v>
      </c>
      <c r="J145" s="143">
        <v>1495</v>
      </c>
      <c r="K145" s="143">
        <v>1544</v>
      </c>
      <c r="L145" s="143">
        <v>514</v>
      </c>
      <c r="M145" s="143">
        <v>1757</v>
      </c>
      <c r="N145" s="143">
        <v>2213</v>
      </c>
      <c r="O145" s="143">
        <v>2460</v>
      </c>
      <c r="P145" s="143">
        <v>1664</v>
      </c>
      <c r="Q145" s="143">
        <v>1507</v>
      </c>
      <c r="R145" s="143"/>
      <c r="S145" s="143"/>
      <c r="T145" s="143">
        <v>1483</v>
      </c>
      <c r="U145" s="143"/>
      <c r="V145" s="143">
        <v>1900</v>
      </c>
      <c r="W145" s="143"/>
      <c r="X145" s="143"/>
      <c r="Y145" s="143"/>
      <c r="Z145" s="123" t="s">
        <v>205</v>
      </c>
    </row>
    <row r="146" spans="1:26" x14ac:dyDescent="0.25">
      <c r="A146" s="125" t="s">
        <v>222</v>
      </c>
      <c r="B146" s="126" t="s">
        <v>217</v>
      </c>
      <c r="C146" s="274">
        <v>11</v>
      </c>
      <c r="D146" s="143">
        <v>957</v>
      </c>
      <c r="E146" s="143">
        <v>985</v>
      </c>
      <c r="F146" s="143">
        <v>787</v>
      </c>
      <c r="G146" s="143">
        <v>1348</v>
      </c>
      <c r="H146" s="143">
        <v>1333</v>
      </c>
      <c r="I146" s="143">
        <v>1518</v>
      </c>
      <c r="J146" s="143">
        <v>1220</v>
      </c>
      <c r="K146" s="143">
        <v>1849</v>
      </c>
      <c r="L146" s="143">
        <v>1476</v>
      </c>
      <c r="M146" s="143">
        <v>1360</v>
      </c>
      <c r="N146" s="143">
        <v>1514</v>
      </c>
      <c r="O146" s="143">
        <v>2059</v>
      </c>
      <c r="P146" s="143">
        <v>2018</v>
      </c>
      <c r="Q146" s="143">
        <v>1924</v>
      </c>
      <c r="R146" s="143"/>
      <c r="S146" s="143"/>
      <c r="T146" s="143">
        <v>1483</v>
      </c>
      <c r="U146" s="143"/>
      <c r="V146" s="143">
        <v>1900</v>
      </c>
      <c r="W146" s="143"/>
      <c r="X146" s="143"/>
      <c r="Y146" s="143"/>
      <c r="Z146" s="123" t="s">
        <v>205</v>
      </c>
    </row>
    <row r="495" spans="4:27" x14ac:dyDescent="0.25">
      <c r="D495" s="233">
        <v>9075</v>
      </c>
      <c r="E495" s="233">
        <v>20251</v>
      </c>
      <c r="F495" s="233">
        <v>27515</v>
      </c>
      <c r="G495" s="233">
        <v>37479</v>
      </c>
      <c r="H495" s="233">
        <v>47854</v>
      </c>
      <c r="I495" s="233">
        <v>57345</v>
      </c>
      <c r="J495" s="233">
        <v>57061</v>
      </c>
      <c r="K495" s="233">
        <v>61280</v>
      </c>
      <c r="L495" s="233">
        <v>53646</v>
      </c>
      <c r="M495" s="233">
        <v>53605</v>
      </c>
      <c r="N495" s="233">
        <v>56930</v>
      </c>
      <c r="O495" s="233">
        <v>63426</v>
      </c>
      <c r="P495" s="233">
        <v>63019</v>
      </c>
      <c r="Q495" s="233">
        <v>54673</v>
      </c>
      <c r="R495" s="233">
        <v>50184</v>
      </c>
      <c r="S495" s="233">
        <v>64944</v>
      </c>
      <c r="T495" s="233">
        <v>69180</v>
      </c>
      <c r="U495" s="233">
        <v>54709</v>
      </c>
      <c r="V495" s="233">
        <v>61598</v>
      </c>
      <c r="W495" s="233">
        <v>59310</v>
      </c>
      <c r="X495" s="233">
        <v>59714</v>
      </c>
      <c r="Y495" s="233">
        <v>67323</v>
      </c>
      <c r="Z495" s="116" t="s">
        <v>121</v>
      </c>
      <c r="AA495" s="116"/>
    </row>
    <row r="496" spans="4:27" x14ac:dyDescent="0.25">
      <c r="D496" s="116">
        <v>17.05</v>
      </c>
      <c r="E496" s="116">
        <v>20.9</v>
      </c>
      <c r="F496" s="116">
        <v>21.91</v>
      </c>
      <c r="G496" s="116">
        <v>23.51</v>
      </c>
      <c r="H496" s="116">
        <v>24.35</v>
      </c>
      <c r="I496" s="116">
        <v>24.75</v>
      </c>
      <c r="J496" s="116">
        <v>23.97</v>
      </c>
      <c r="K496" s="116">
        <v>24.41</v>
      </c>
      <c r="L496" s="116">
        <v>23.49</v>
      </c>
      <c r="M496" s="116">
        <v>23.12</v>
      </c>
      <c r="N496" s="116">
        <v>23.51</v>
      </c>
      <c r="O496" s="116">
        <v>23.51</v>
      </c>
      <c r="P496" s="116">
        <v>23.99</v>
      </c>
      <c r="Q496" s="116">
        <v>22.23</v>
      </c>
      <c r="R496" s="116">
        <v>22.71</v>
      </c>
      <c r="S496" s="116">
        <v>23.37</v>
      </c>
      <c r="T496" s="116">
        <v>22.51</v>
      </c>
      <c r="U496" s="116">
        <v>18.8</v>
      </c>
      <c r="V496" s="116">
        <v>18.420000000000002</v>
      </c>
      <c r="W496" s="116">
        <v>20.56</v>
      </c>
      <c r="X496" s="116">
        <v>21.5</v>
      </c>
      <c r="Y496" s="116">
        <v>18.5</v>
      </c>
      <c r="Z496" s="116" t="s">
        <v>121</v>
      </c>
      <c r="AA496" s="116"/>
    </row>
  </sheetData>
  <sheetProtection algorithmName="SHA-512" hashValue="C3426wLZOxJnGchfKZRQyqAhOuVoYKgAbJH/UxN6wEHYqw1LPXAUhJiwSW8BbbopZpCDMt+NCLYSXtRw2VcR1Q==" saltValue="+dtIyu5H/HiZ5EvIamQxVw==" spinCount="100000" sheet="1" objects="1" scenarios="1"/>
  <phoneticPr fontId="4" type="noConversion"/>
  <pageMargins left="0.7" right="0.7" top="0.75" bottom="0.75" header="0.3" footer="0.3"/>
  <pageSetup orientation="portrait" r:id="rId1"/>
  <rowBreaks count="2" manualBreakCount="2">
    <brk id="37" max="3" man="1"/>
    <brk id="6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E6EA-356A-48C4-8051-49FADD2F5C21}">
  <sheetPr codeName="Sheet6"/>
  <dimension ref="A1:AA121"/>
  <sheetViews>
    <sheetView showGridLines="0" workbookViewId="0">
      <selection activeCell="A4" sqref="A4"/>
    </sheetView>
  </sheetViews>
  <sheetFormatPr defaultColWidth="9" defaultRowHeight="15" x14ac:dyDescent="0.25"/>
  <cols>
    <col min="1" max="1" width="37.85546875" style="139" customWidth="1"/>
    <col min="2" max="2" width="16.140625" style="234" bestFit="1" customWidth="1"/>
    <col min="3" max="3" width="11.85546875" style="139" bestFit="1" customWidth="1"/>
    <col min="4" max="4" width="12.140625" style="139" customWidth="1"/>
    <col min="5" max="16384" width="9" style="139"/>
  </cols>
  <sheetData>
    <row r="1" spans="1:10" ht="21" x14ac:dyDescent="0.35">
      <c r="A1" s="111" t="s">
        <v>60</v>
      </c>
    </row>
    <row r="2" spans="1:10" ht="15.75" x14ac:dyDescent="0.25">
      <c r="A2" s="114" t="s">
        <v>74</v>
      </c>
    </row>
    <row r="3" spans="1:10" ht="15.75" x14ac:dyDescent="0.25">
      <c r="A3" s="114" t="s">
        <v>73</v>
      </c>
    </row>
    <row r="4" spans="1:10" ht="15.75" x14ac:dyDescent="0.25">
      <c r="A4" s="114"/>
      <c r="C4" s="224" t="s">
        <v>236</v>
      </c>
    </row>
    <row r="5" spans="1:10" ht="15.75" x14ac:dyDescent="0.25">
      <c r="A5" s="114"/>
    </row>
    <row r="6" spans="1:10" x14ac:dyDescent="0.25">
      <c r="B6" s="235"/>
      <c r="C6" s="226" t="s">
        <v>245</v>
      </c>
      <c r="D6" s="228" t="s">
        <v>246</v>
      </c>
      <c r="E6" s="228" t="s">
        <v>247</v>
      </c>
      <c r="F6" s="228" t="s">
        <v>248</v>
      </c>
      <c r="G6" s="228" t="s">
        <v>249</v>
      </c>
      <c r="H6" s="228" t="s">
        <v>250</v>
      </c>
      <c r="I6" s="228" t="s">
        <v>251</v>
      </c>
    </row>
    <row r="7" spans="1:10" x14ac:dyDescent="0.25">
      <c r="A7" s="236" t="s">
        <v>75</v>
      </c>
      <c r="B7" s="118" t="s">
        <v>62</v>
      </c>
      <c r="C7" s="112"/>
      <c r="D7" s="229" t="s">
        <v>239</v>
      </c>
      <c r="E7" s="229" t="s">
        <v>240</v>
      </c>
      <c r="F7" s="229" t="s">
        <v>241</v>
      </c>
      <c r="G7" s="229" t="s">
        <v>242</v>
      </c>
      <c r="H7" s="229" t="s">
        <v>243</v>
      </c>
      <c r="I7" s="229" t="s">
        <v>244</v>
      </c>
    </row>
    <row r="8" spans="1:10" x14ac:dyDescent="0.25">
      <c r="A8" s="230" t="s">
        <v>63</v>
      </c>
      <c r="B8" s="231" t="s">
        <v>61</v>
      </c>
      <c r="C8" s="232" t="str">
        <f>'Scenario Summary'!E9</f>
        <v>Container 2000</v>
      </c>
      <c r="D8" s="170" t="str">
        <f>'Scenario Summary'!G9</f>
        <v>Container 4000</v>
      </c>
      <c r="E8" s="170" t="str">
        <f>'Scenario Summary'!I9</f>
        <v>Container 5000</v>
      </c>
      <c r="F8" s="170" t="str">
        <f>'Scenario Summary'!K9</f>
        <v>Container 6000</v>
      </c>
      <c r="G8" s="170" t="str">
        <f>'Scenario Summary'!M9</f>
        <v>Container 8000</v>
      </c>
      <c r="H8" s="170" t="str">
        <f>'Scenario Summary'!O9</f>
        <v>Container 9000</v>
      </c>
      <c r="I8" s="170" t="str">
        <f>'Scenario Summary'!Q9</f>
        <v>Container 10000</v>
      </c>
    </row>
    <row r="9" spans="1:10" x14ac:dyDescent="0.25">
      <c r="A9" s="230" t="s">
        <v>72</v>
      </c>
      <c r="B9" s="231"/>
      <c r="C9" s="230">
        <v>1</v>
      </c>
      <c r="D9" s="116">
        <v>1</v>
      </c>
      <c r="E9" s="116">
        <v>1</v>
      </c>
      <c r="F9" s="116">
        <v>1</v>
      </c>
      <c r="G9" s="116">
        <v>1</v>
      </c>
      <c r="H9" s="116">
        <v>1</v>
      </c>
      <c r="I9" s="116">
        <v>1</v>
      </c>
    </row>
    <row r="10" spans="1:10" x14ac:dyDescent="0.25">
      <c r="A10" s="125" t="s">
        <v>71</v>
      </c>
      <c r="B10" s="126" t="s">
        <v>1</v>
      </c>
      <c r="C10" s="121">
        <f>'Assist Tug Information'!E13</f>
        <v>3000</v>
      </c>
      <c r="D10" s="233">
        <f>'Assist Tug Information'!G13</f>
        <v>3000</v>
      </c>
      <c r="E10" s="233">
        <f>'Assist Tug Information'!I13</f>
        <v>3000</v>
      </c>
      <c r="F10" s="233">
        <f>'Assist Tug Information'!K13</f>
        <v>3000</v>
      </c>
      <c r="G10" s="233">
        <f>'Assist Tug Information'!M13</f>
        <v>3000</v>
      </c>
      <c r="H10" s="233">
        <f>'Assist Tug Information'!O13</f>
        <v>3000</v>
      </c>
      <c r="I10" s="233">
        <f>'Assist Tug Information'!Q13</f>
        <v>3000</v>
      </c>
      <c r="J10" s="123" t="s">
        <v>205</v>
      </c>
    </row>
    <row r="11" spans="1:10" x14ac:dyDescent="0.25">
      <c r="A11" s="125" t="s">
        <v>37</v>
      </c>
      <c r="B11" s="126" t="s">
        <v>38</v>
      </c>
      <c r="C11" s="121">
        <f>'Assist Tug Information'!E14</f>
        <v>2</v>
      </c>
      <c r="D11" s="233">
        <f>'Assist Tug Information'!G14</f>
        <v>2</v>
      </c>
      <c r="E11" s="233">
        <f>'Assist Tug Information'!I14</f>
        <v>2</v>
      </c>
      <c r="F11" s="233">
        <f>'Assist Tug Information'!K14</f>
        <v>2</v>
      </c>
      <c r="G11" s="233">
        <f>'Assist Tug Information'!M14</f>
        <v>2</v>
      </c>
      <c r="H11" s="233">
        <f>'Assist Tug Information'!O14</f>
        <v>2</v>
      </c>
      <c r="I11" s="233">
        <f>'Assist Tug Information'!Q14</f>
        <v>2</v>
      </c>
      <c r="J11" s="123" t="s">
        <v>205</v>
      </c>
    </row>
    <row r="12" spans="1:10" x14ac:dyDescent="0.25">
      <c r="A12" s="125" t="s">
        <v>40</v>
      </c>
      <c r="B12" s="126" t="s">
        <v>38</v>
      </c>
      <c r="C12" s="125">
        <v>0.31</v>
      </c>
      <c r="D12" s="116">
        <v>0.31</v>
      </c>
      <c r="E12" s="116">
        <v>0.31</v>
      </c>
      <c r="F12" s="116">
        <v>0.31</v>
      </c>
      <c r="G12" s="116">
        <v>0.31</v>
      </c>
      <c r="H12" s="116">
        <v>0.31</v>
      </c>
      <c r="I12" s="116">
        <v>0.31</v>
      </c>
      <c r="J12" s="123" t="s">
        <v>205</v>
      </c>
    </row>
    <row r="13" spans="1:10" x14ac:dyDescent="0.25">
      <c r="A13" s="125" t="s">
        <v>39</v>
      </c>
      <c r="B13" s="126" t="s">
        <v>1</v>
      </c>
      <c r="C13" s="125">
        <f>'Assist Tug Information'!E15</f>
        <v>137</v>
      </c>
      <c r="D13" s="116">
        <f>'Assist Tug Information'!G15</f>
        <v>137</v>
      </c>
      <c r="E13" s="233">
        <f>'Assist Tug Information'!I15</f>
        <v>137</v>
      </c>
      <c r="F13" s="233">
        <f>'Assist Tug Information'!K15</f>
        <v>137</v>
      </c>
      <c r="G13" s="233">
        <f>'Assist Tug Information'!M15</f>
        <v>137</v>
      </c>
      <c r="H13" s="233">
        <f>'Assist Tug Information'!O15</f>
        <v>137</v>
      </c>
      <c r="I13" s="233">
        <f>'Assist Tug Information'!Q15</f>
        <v>137</v>
      </c>
      <c r="J13" s="123" t="s">
        <v>205</v>
      </c>
    </row>
    <row r="14" spans="1:10" x14ac:dyDescent="0.25">
      <c r="A14" s="125" t="s">
        <v>271</v>
      </c>
      <c r="B14" s="126"/>
      <c r="C14" s="125">
        <f>'Assist Tug Information'!E16</f>
        <v>1</v>
      </c>
      <c r="D14" s="233">
        <f>'Assist Tug Information'!G16</f>
        <v>1</v>
      </c>
      <c r="E14" s="233">
        <f>'Assist Tug Information'!I16</f>
        <v>1</v>
      </c>
      <c r="F14" s="233">
        <f>'Assist Tug Information'!K16</f>
        <v>1</v>
      </c>
      <c r="G14" s="233">
        <f>'Assist Tug Information'!M16</f>
        <v>1</v>
      </c>
      <c r="H14" s="233">
        <f>'Assist Tug Information'!O16</f>
        <v>1</v>
      </c>
      <c r="I14" s="233">
        <f>'Assist Tug Information'!Q16</f>
        <v>1</v>
      </c>
      <c r="J14" s="123" t="s">
        <v>205</v>
      </c>
    </row>
    <row r="15" spans="1:10" x14ac:dyDescent="0.25">
      <c r="A15" s="125" t="s">
        <v>40</v>
      </c>
      <c r="B15" s="126"/>
      <c r="C15" s="125">
        <v>0.43</v>
      </c>
      <c r="D15" s="116">
        <v>0.43</v>
      </c>
      <c r="E15" s="116">
        <v>0.43</v>
      </c>
      <c r="F15" s="116">
        <v>0.43</v>
      </c>
      <c r="G15" s="116">
        <v>0.43</v>
      </c>
      <c r="H15" s="116">
        <v>0.43</v>
      </c>
      <c r="I15" s="116">
        <v>0.43</v>
      </c>
      <c r="J15" s="123" t="s">
        <v>205</v>
      </c>
    </row>
    <row r="16" spans="1:10" x14ac:dyDescent="0.25">
      <c r="A16" s="125" t="s">
        <v>25</v>
      </c>
      <c r="B16" s="125" t="s">
        <v>41</v>
      </c>
      <c r="C16" s="199">
        <f>'Scenario Summary'!$E21</f>
        <v>1000</v>
      </c>
      <c r="D16" s="237">
        <f>'Scenario Summary'!$E21</f>
        <v>1000</v>
      </c>
      <c r="E16" s="237">
        <f>'Scenario Summary'!$E21</f>
        <v>1000</v>
      </c>
      <c r="F16" s="237">
        <f>'Scenario Summary'!$E21</f>
        <v>1000</v>
      </c>
      <c r="G16" s="237">
        <f>'Scenario Summary'!$E21</f>
        <v>1000</v>
      </c>
      <c r="H16" s="237">
        <f>'Scenario Summary'!$E21</f>
        <v>1000</v>
      </c>
      <c r="I16" s="237">
        <f>'Scenario Summary'!$E21</f>
        <v>1000</v>
      </c>
    </row>
    <row r="17" spans="1:10" x14ac:dyDescent="0.25">
      <c r="A17" s="238"/>
      <c r="C17" s="239"/>
      <c r="D17" s="116"/>
      <c r="E17" s="116"/>
      <c r="F17" s="116"/>
      <c r="G17" s="116"/>
      <c r="H17" s="116"/>
      <c r="I17" s="116"/>
    </row>
    <row r="18" spans="1:10" x14ac:dyDescent="0.25">
      <c r="A18" s="117" t="s">
        <v>58</v>
      </c>
      <c r="C18" s="240"/>
      <c r="D18" s="116"/>
      <c r="E18" s="116"/>
      <c r="F18" s="116"/>
      <c r="G18" s="116"/>
      <c r="H18" s="116"/>
      <c r="I18" s="116"/>
    </row>
    <row r="19" spans="1:10" x14ac:dyDescent="0.25">
      <c r="A19" s="230" t="s">
        <v>10</v>
      </c>
      <c r="B19" s="231"/>
      <c r="C19" s="241">
        <v>1</v>
      </c>
      <c r="D19" s="233">
        <v>1</v>
      </c>
      <c r="E19" s="233">
        <v>1</v>
      </c>
      <c r="F19" s="233">
        <v>1</v>
      </c>
      <c r="G19" s="233">
        <v>1</v>
      </c>
      <c r="H19" s="233">
        <v>1</v>
      </c>
      <c r="I19" s="233">
        <v>1</v>
      </c>
    </row>
    <row r="20" spans="1:10" x14ac:dyDescent="0.25">
      <c r="A20" s="125" t="s">
        <v>3</v>
      </c>
      <c r="B20" s="126" t="s">
        <v>12</v>
      </c>
      <c r="C20" s="125">
        <f>'Ship Parameters'!D22</f>
        <v>30</v>
      </c>
      <c r="D20" s="116">
        <f>'Ship Parameters'!E22</f>
        <v>30</v>
      </c>
      <c r="E20" s="116">
        <f>'Ship Parameters'!F22</f>
        <v>30</v>
      </c>
      <c r="F20" s="116">
        <f>'Ship Parameters'!G22</f>
        <v>30</v>
      </c>
      <c r="G20" s="116">
        <f>'Ship Parameters'!H22</f>
        <v>30</v>
      </c>
      <c r="H20" s="116">
        <f>'Ship Parameters'!I22</f>
        <v>30</v>
      </c>
      <c r="I20" s="116">
        <f>'Ship Parameters'!J22</f>
        <v>30</v>
      </c>
    </row>
    <row r="21" spans="1:10" x14ac:dyDescent="0.25">
      <c r="A21" s="125" t="s">
        <v>4</v>
      </c>
      <c r="B21" s="126" t="s">
        <v>12</v>
      </c>
      <c r="C21" s="125">
        <f>'Ship Parameters'!D23</f>
        <v>15</v>
      </c>
      <c r="D21" s="116">
        <f>'Ship Parameters'!E23</f>
        <v>15</v>
      </c>
      <c r="E21" s="116">
        <f>'Ship Parameters'!F23</f>
        <v>15</v>
      </c>
      <c r="F21" s="116">
        <f>'Ship Parameters'!G23</f>
        <v>15</v>
      </c>
      <c r="G21" s="116">
        <f>'Ship Parameters'!H23</f>
        <v>15</v>
      </c>
      <c r="H21" s="116">
        <f>'Ship Parameters'!I23</f>
        <v>15</v>
      </c>
      <c r="I21" s="116">
        <f>'Ship Parameters'!J23</f>
        <v>15</v>
      </c>
    </row>
    <row r="22" spans="1:10" x14ac:dyDescent="0.25">
      <c r="A22" s="125" t="s">
        <v>14</v>
      </c>
      <c r="B22" s="126" t="s">
        <v>12</v>
      </c>
      <c r="C22" s="125">
        <f>'Ship Parameters'!D24</f>
        <v>0.5</v>
      </c>
      <c r="D22" s="116">
        <f>'Ship Parameters'!E24</f>
        <v>0.5</v>
      </c>
      <c r="E22" s="116">
        <f>'Ship Parameters'!F24</f>
        <v>0.5</v>
      </c>
      <c r="F22" s="116">
        <f>'Ship Parameters'!G24</f>
        <v>0.5</v>
      </c>
      <c r="G22" s="116">
        <f>'Ship Parameters'!H24</f>
        <v>0.5</v>
      </c>
      <c r="H22" s="116">
        <f>'Ship Parameters'!I24</f>
        <v>0.5</v>
      </c>
      <c r="I22" s="116">
        <f>'Ship Parameters'!J24</f>
        <v>0.5</v>
      </c>
    </row>
    <row r="23" spans="1:10" x14ac:dyDescent="0.25">
      <c r="A23" s="125" t="s">
        <v>6</v>
      </c>
      <c r="B23" s="126" t="s">
        <v>12</v>
      </c>
      <c r="C23" s="125">
        <f>'Ship Parameters'!D25</f>
        <v>0.25</v>
      </c>
      <c r="D23" s="116">
        <f>'Ship Parameters'!E25</f>
        <v>0.25</v>
      </c>
      <c r="E23" s="116">
        <f>'Ship Parameters'!F25</f>
        <v>0.25</v>
      </c>
      <c r="F23" s="116">
        <f>'Ship Parameters'!G25</f>
        <v>0.25</v>
      </c>
      <c r="G23" s="116">
        <f>'Ship Parameters'!H25</f>
        <v>0.25</v>
      </c>
      <c r="H23" s="116">
        <f>'Ship Parameters'!I25</f>
        <v>0.25</v>
      </c>
      <c r="I23" s="116">
        <f>'Ship Parameters'!J25</f>
        <v>0.25</v>
      </c>
    </row>
    <row r="24" spans="1:10" x14ac:dyDescent="0.25">
      <c r="A24" s="125" t="s">
        <v>153</v>
      </c>
      <c r="B24" s="126" t="s">
        <v>12</v>
      </c>
      <c r="C24" s="125">
        <f>'Ship Parameters'!D26</f>
        <v>44.25</v>
      </c>
      <c r="D24" s="116">
        <f>'Ship Parameters'!E26</f>
        <v>44.25</v>
      </c>
      <c r="E24" s="116">
        <f>'Ship Parameters'!F26</f>
        <v>44.25</v>
      </c>
      <c r="F24" s="116">
        <f>'Ship Parameters'!G26</f>
        <v>44.25</v>
      </c>
      <c r="G24" s="116">
        <f>'Ship Parameters'!H26</f>
        <v>44.25</v>
      </c>
      <c r="H24" s="116">
        <f>'Ship Parameters'!I26</f>
        <v>44.25</v>
      </c>
      <c r="I24" s="116">
        <f>'Ship Parameters'!J26</f>
        <v>44.25</v>
      </c>
    </row>
    <row r="25" spans="1:10" x14ac:dyDescent="0.25">
      <c r="A25" s="125"/>
      <c r="B25" s="126" t="s">
        <v>13</v>
      </c>
      <c r="C25" s="125">
        <f>'Ship Parameters'!D27</f>
        <v>0.7</v>
      </c>
      <c r="D25" s="116">
        <f>'Ship Parameters'!E27</f>
        <v>0.7</v>
      </c>
      <c r="E25" s="116">
        <f>'Ship Parameters'!F27</f>
        <v>0.7</v>
      </c>
      <c r="F25" s="116">
        <f>'Ship Parameters'!G27</f>
        <v>0.7</v>
      </c>
      <c r="G25" s="116">
        <f>'Ship Parameters'!H27</f>
        <v>0.7</v>
      </c>
      <c r="H25" s="116">
        <f>'Ship Parameters'!I27</f>
        <v>0.7</v>
      </c>
      <c r="I25" s="116">
        <f>'Ship Parameters'!J27</f>
        <v>0.7</v>
      </c>
    </row>
    <row r="26" spans="1:10" x14ac:dyDescent="0.25">
      <c r="A26" s="125" t="s">
        <v>11</v>
      </c>
      <c r="B26" s="126" t="s">
        <v>16</v>
      </c>
      <c r="C26" s="125">
        <f>'Ship Parameters'!D28</f>
        <v>0.7</v>
      </c>
      <c r="D26" s="116">
        <f>'Ship Parameters'!E28</f>
        <v>0.7</v>
      </c>
      <c r="E26" s="116">
        <f>'Ship Parameters'!F28</f>
        <v>0.7</v>
      </c>
      <c r="F26" s="116">
        <f>'Ship Parameters'!G28</f>
        <v>0.7</v>
      </c>
      <c r="G26" s="116">
        <f>'Ship Parameters'!H28</f>
        <v>0.7</v>
      </c>
      <c r="H26" s="116">
        <f>'Ship Parameters'!I28</f>
        <v>0.7</v>
      </c>
      <c r="I26" s="116">
        <f>'Ship Parameters'!J28</f>
        <v>0.7</v>
      </c>
    </row>
    <row r="27" spans="1:10" x14ac:dyDescent="0.25">
      <c r="D27" s="116"/>
      <c r="E27" s="116"/>
      <c r="F27" s="116"/>
      <c r="G27" s="116"/>
      <c r="H27" s="116"/>
      <c r="I27" s="116"/>
    </row>
    <row r="28" spans="1:10" x14ac:dyDescent="0.25">
      <c r="A28" s="236" t="s">
        <v>82</v>
      </c>
      <c r="D28" s="116"/>
      <c r="E28" s="116"/>
      <c r="F28" s="116"/>
      <c r="G28" s="116"/>
      <c r="H28" s="116"/>
      <c r="I28" s="116"/>
    </row>
    <row r="29" spans="1:10" x14ac:dyDescent="0.25">
      <c r="A29" s="120" t="s">
        <v>80</v>
      </c>
      <c r="B29" s="242" t="s">
        <v>42</v>
      </c>
      <c r="C29" s="121">
        <f>C10*C25*C11*C12*C9</f>
        <v>1302</v>
      </c>
      <c r="D29" s="233">
        <f t="shared" ref="D29:I29" si="0">D10*D25*D11*D12*D9</f>
        <v>1302</v>
      </c>
      <c r="E29" s="233">
        <f t="shared" si="0"/>
        <v>1302</v>
      </c>
      <c r="F29" s="233">
        <f t="shared" si="0"/>
        <v>1302</v>
      </c>
      <c r="G29" s="233">
        <f t="shared" si="0"/>
        <v>1302</v>
      </c>
      <c r="H29" s="233">
        <f t="shared" si="0"/>
        <v>1302</v>
      </c>
      <c r="I29" s="233">
        <f t="shared" si="0"/>
        <v>1302</v>
      </c>
    </row>
    <row r="30" spans="1:10" x14ac:dyDescent="0.25">
      <c r="A30" s="120" t="s">
        <v>81</v>
      </c>
      <c r="B30" s="242" t="s">
        <v>42</v>
      </c>
      <c r="C30" s="121">
        <f>C13*C14*C15*C9*C25</f>
        <v>41.236999999999995</v>
      </c>
      <c r="D30" s="233">
        <f t="shared" ref="D30:I30" si="1">D13*D14*D15*D9*D25</f>
        <v>41.236999999999995</v>
      </c>
      <c r="E30" s="233">
        <f t="shared" si="1"/>
        <v>41.236999999999995</v>
      </c>
      <c r="F30" s="233">
        <f t="shared" si="1"/>
        <v>41.236999999999995</v>
      </c>
      <c r="G30" s="233">
        <f t="shared" si="1"/>
        <v>41.236999999999995</v>
      </c>
      <c r="H30" s="233">
        <f t="shared" si="1"/>
        <v>41.236999999999995</v>
      </c>
      <c r="I30" s="233">
        <f t="shared" si="1"/>
        <v>41.236999999999995</v>
      </c>
    </row>
    <row r="31" spans="1:10" x14ac:dyDescent="0.25">
      <c r="A31" s="120" t="s">
        <v>49</v>
      </c>
      <c r="B31" s="242" t="s">
        <v>31</v>
      </c>
      <c r="C31" s="120">
        <v>213</v>
      </c>
      <c r="D31" s="116">
        <v>213</v>
      </c>
      <c r="E31" s="116">
        <v>213</v>
      </c>
      <c r="F31" s="116">
        <v>213</v>
      </c>
      <c r="G31" s="116">
        <v>213</v>
      </c>
      <c r="H31" s="116">
        <v>213</v>
      </c>
      <c r="I31" s="116">
        <v>213</v>
      </c>
      <c r="J31" s="123" t="s">
        <v>225</v>
      </c>
    </row>
    <row r="32" spans="1:10" x14ac:dyDescent="0.25">
      <c r="A32" s="120" t="s">
        <v>76</v>
      </c>
      <c r="B32" s="242" t="s">
        <v>36</v>
      </c>
      <c r="C32" s="140">
        <f>ROUND(C29*$C$31/1000000,2)</f>
        <v>0.28000000000000003</v>
      </c>
      <c r="D32" s="243">
        <f t="shared" ref="D32:I32" si="2">ROUND(D29*$C$31/1000000,2)</f>
        <v>0.28000000000000003</v>
      </c>
      <c r="E32" s="243">
        <f t="shared" si="2"/>
        <v>0.28000000000000003</v>
      </c>
      <c r="F32" s="243">
        <f t="shared" si="2"/>
        <v>0.28000000000000003</v>
      </c>
      <c r="G32" s="243">
        <f t="shared" si="2"/>
        <v>0.28000000000000003</v>
      </c>
      <c r="H32" s="243">
        <f t="shared" si="2"/>
        <v>0.28000000000000003</v>
      </c>
      <c r="I32" s="243">
        <f t="shared" si="2"/>
        <v>0.28000000000000003</v>
      </c>
    </row>
    <row r="33" spans="1:9" x14ac:dyDescent="0.25">
      <c r="A33" s="120" t="s">
        <v>77</v>
      </c>
      <c r="B33" s="242" t="s">
        <v>36</v>
      </c>
      <c r="C33" s="140">
        <f>ROUND(C30*$C$31/1000000,2)</f>
        <v>0.01</v>
      </c>
      <c r="D33" s="243">
        <f t="shared" ref="D33:I33" si="3">ROUND(D30*$C$31/1000000,2)</f>
        <v>0.01</v>
      </c>
      <c r="E33" s="243">
        <f t="shared" si="3"/>
        <v>0.01</v>
      </c>
      <c r="F33" s="243">
        <f t="shared" si="3"/>
        <v>0.01</v>
      </c>
      <c r="G33" s="243">
        <f t="shared" si="3"/>
        <v>0.01</v>
      </c>
      <c r="H33" s="243">
        <f t="shared" si="3"/>
        <v>0.01</v>
      </c>
      <c r="I33" s="243">
        <f t="shared" si="3"/>
        <v>0.01</v>
      </c>
    </row>
    <row r="34" spans="1:9" x14ac:dyDescent="0.25">
      <c r="D34" s="116"/>
      <c r="E34" s="116"/>
      <c r="F34" s="116"/>
      <c r="G34" s="116"/>
      <c r="H34" s="116"/>
      <c r="I34" s="116"/>
    </row>
    <row r="35" spans="1:9" x14ac:dyDescent="0.25">
      <c r="A35" s="244" t="s">
        <v>254</v>
      </c>
      <c r="D35" s="116"/>
      <c r="E35" s="116"/>
      <c r="F35" s="116"/>
      <c r="G35" s="116"/>
      <c r="H35" s="116"/>
      <c r="I35" s="116"/>
    </row>
    <row r="36" spans="1:9" x14ac:dyDescent="0.25">
      <c r="A36" s="125" t="s">
        <v>28</v>
      </c>
      <c r="B36" s="126" t="s">
        <v>36</v>
      </c>
      <c r="C36" s="141">
        <f>C32+C33</f>
        <v>0.29000000000000004</v>
      </c>
      <c r="D36" s="245">
        <f t="shared" ref="D36:I36" si="4">D32+D33</f>
        <v>0.29000000000000004</v>
      </c>
      <c r="E36" s="245">
        <f t="shared" si="4"/>
        <v>0.29000000000000004</v>
      </c>
      <c r="F36" s="245">
        <f t="shared" si="4"/>
        <v>0.29000000000000004</v>
      </c>
      <c r="G36" s="245">
        <f t="shared" si="4"/>
        <v>0.29000000000000004</v>
      </c>
      <c r="H36" s="245">
        <f t="shared" si="4"/>
        <v>0.29000000000000004</v>
      </c>
      <c r="I36" s="245">
        <f t="shared" si="4"/>
        <v>0.29000000000000004</v>
      </c>
    </row>
    <row r="37" spans="1:9" x14ac:dyDescent="0.25">
      <c r="A37" s="129" t="s">
        <v>47</v>
      </c>
      <c r="B37" s="130" t="s">
        <v>43</v>
      </c>
      <c r="C37" s="131">
        <f>C36*C16</f>
        <v>290.00000000000006</v>
      </c>
      <c r="D37" s="246">
        <f t="shared" ref="D37:I37" si="5">D36*D16</f>
        <v>290.00000000000006</v>
      </c>
      <c r="E37" s="246">
        <f t="shared" si="5"/>
        <v>290.00000000000006</v>
      </c>
      <c r="F37" s="246">
        <f t="shared" si="5"/>
        <v>290.00000000000006</v>
      </c>
      <c r="G37" s="246">
        <f t="shared" si="5"/>
        <v>290.00000000000006</v>
      </c>
      <c r="H37" s="246">
        <f t="shared" si="5"/>
        <v>290.00000000000006</v>
      </c>
      <c r="I37" s="246">
        <f t="shared" si="5"/>
        <v>290.00000000000006</v>
      </c>
    </row>
    <row r="38" spans="1:9" x14ac:dyDescent="0.25">
      <c r="A38" s="230" t="s">
        <v>35</v>
      </c>
      <c r="B38" s="231" t="s">
        <v>46</v>
      </c>
      <c r="C38" s="247">
        <f>C36*$C$19</f>
        <v>0.29000000000000004</v>
      </c>
      <c r="D38" s="248">
        <f t="shared" ref="D38:I38" si="6">D36*$C$19</f>
        <v>0.29000000000000004</v>
      </c>
      <c r="E38" s="248">
        <f t="shared" si="6"/>
        <v>0.29000000000000004</v>
      </c>
      <c r="F38" s="248">
        <f t="shared" si="6"/>
        <v>0.29000000000000004</v>
      </c>
      <c r="G38" s="248">
        <f t="shared" si="6"/>
        <v>0.29000000000000004</v>
      </c>
      <c r="H38" s="248">
        <f t="shared" si="6"/>
        <v>0.29000000000000004</v>
      </c>
      <c r="I38" s="248">
        <f t="shared" si="6"/>
        <v>0.29000000000000004</v>
      </c>
    </row>
    <row r="39" spans="1:9" x14ac:dyDescent="0.25">
      <c r="A39" s="230" t="s">
        <v>48</v>
      </c>
      <c r="B39" s="231" t="s">
        <v>45</v>
      </c>
      <c r="C39" s="249">
        <f>C37*$C$19</f>
        <v>290.00000000000006</v>
      </c>
      <c r="D39" s="237">
        <f t="shared" ref="D39:I39" si="7">D37*$C$19</f>
        <v>290.00000000000006</v>
      </c>
      <c r="E39" s="237">
        <f t="shared" si="7"/>
        <v>290.00000000000006</v>
      </c>
      <c r="F39" s="237">
        <f t="shared" si="7"/>
        <v>290.00000000000006</v>
      </c>
      <c r="G39" s="237">
        <f t="shared" si="7"/>
        <v>290.00000000000006</v>
      </c>
      <c r="H39" s="237">
        <f t="shared" si="7"/>
        <v>290.00000000000006</v>
      </c>
      <c r="I39" s="237">
        <f t="shared" si="7"/>
        <v>290.00000000000006</v>
      </c>
    </row>
    <row r="40" spans="1:9" x14ac:dyDescent="0.25">
      <c r="D40" s="116"/>
      <c r="E40" s="116"/>
      <c r="F40" s="116"/>
      <c r="G40" s="116"/>
      <c r="H40" s="116"/>
      <c r="I40" s="116"/>
    </row>
    <row r="41" spans="1:9" x14ac:dyDescent="0.25">
      <c r="A41" s="244" t="s">
        <v>253</v>
      </c>
      <c r="B41" s="139"/>
      <c r="D41" s="116"/>
      <c r="E41" s="116"/>
      <c r="F41" s="116"/>
      <c r="G41" s="116"/>
      <c r="H41" s="116"/>
      <c r="I41" s="116"/>
    </row>
    <row r="42" spans="1:9" ht="18.75" x14ac:dyDescent="0.35">
      <c r="A42" s="133" t="s">
        <v>252</v>
      </c>
      <c r="B42" s="126" t="s">
        <v>36</v>
      </c>
      <c r="C42" s="138">
        <f t="shared" ref="C42:I42" si="8">($D49*C$13*C$14*C$15*C$25/10^6)+($D58*C$10*C$11*C$12*C$25/10^6)</f>
        <v>0.87579052400000001</v>
      </c>
      <c r="D42" s="250">
        <f t="shared" si="8"/>
        <v>0.87579052400000001</v>
      </c>
      <c r="E42" s="250">
        <f t="shared" si="8"/>
        <v>0.87579052400000001</v>
      </c>
      <c r="F42" s="250">
        <f t="shared" si="8"/>
        <v>0.87579052400000001</v>
      </c>
      <c r="G42" s="250">
        <f t="shared" si="8"/>
        <v>0.87579052400000001</v>
      </c>
      <c r="H42" s="250">
        <f t="shared" si="8"/>
        <v>0.87579052400000001</v>
      </c>
      <c r="I42" s="250">
        <f t="shared" si="8"/>
        <v>0.87579052400000001</v>
      </c>
    </row>
    <row r="43" spans="1:9" ht="18.75" x14ac:dyDescent="0.35">
      <c r="A43" s="133" t="s">
        <v>255</v>
      </c>
      <c r="B43" s="126" t="s">
        <v>36</v>
      </c>
      <c r="C43" s="138">
        <f t="shared" ref="C43:I43" si="9">($D52*C$13*C$14*C$15*C$25/10^6)+($D61*C$10*C$11*C$12*C$25/10^6)</f>
        <v>0.87579052400000001</v>
      </c>
      <c r="D43" s="250">
        <f t="shared" si="9"/>
        <v>0.87579052400000001</v>
      </c>
      <c r="E43" s="250">
        <f t="shared" si="9"/>
        <v>0.87579052400000001</v>
      </c>
      <c r="F43" s="250">
        <f t="shared" si="9"/>
        <v>0.87579052400000001</v>
      </c>
      <c r="G43" s="250">
        <f t="shared" si="9"/>
        <v>0.87579052400000001</v>
      </c>
      <c r="H43" s="250">
        <f t="shared" si="9"/>
        <v>0.87579052400000001</v>
      </c>
      <c r="I43" s="250">
        <f t="shared" si="9"/>
        <v>0.87579052400000001</v>
      </c>
    </row>
    <row r="44" spans="1:9" x14ac:dyDescent="0.25">
      <c r="A44" s="133" t="s">
        <v>232</v>
      </c>
      <c r="B44" s="126" t="s">
        <v>174</v>
      </c>
      <c r="C44" s="138">
        <f t="shared" ref="C44:I44" si="10">($D54*C$13*C$14*C$15*C$25/907180)+($D63*C$10*C$11*C$12*C$25/907180)</f>
        <v>1.0068576908662009E-5</v>
      </c>
      <c r="D44" s="250">
        <f t="shared" si="10"/>
        <v>1.0068576908662009E-5</v>
      </c>
      <c r="E44" s="250">
        <f t="shared" si="10"/>
        <v>1.0068576908662009E-5</v>
      </c>
      <c r="F44" s="250">
        <f t="shared" si="10"/>
        <v>1.0068576908662009E-5</v>
      </c>
      <c r="G44" s="250">
        <f t="shared" si="10"/>
        <v>1.0068576908662009E-5</v>
      </c>
      <c r="H44" s="250">
        <f t="shared" si="10"/>
        <v>1.0068576908662009E-5</v>
      </c>
      <c r="I44" s="250">
        <f t="shared" si="10"/>
        <v>1.0068576908662009E-5</v>
      </c>
    </row>
    <row r="45" spans="1:9" x14ac:dyDescent="0.25">
      <c r="A45" s="133" t="s">
        <v>233</v>
      </c>
      <c r="B45" s="126" t="s">
        <v>174</v>
      </c>
      <c r="C45" s="138">
        <f t="shared" ref="C45:I45" si="11">($D53*C$13*C$14*C$15*C$25/907180)+($D62*C$10*C$11*C$12*C$25/907180)</f>
        <v>1.2088022721551498E-2</v>
      </c>
      <c r="D45" s="250">
        <f t="shared" si="11"/>
        <v>1.2088022721551498E-2</v>
      </c>
      <c r="E45" s="250">
        <f t="shared" si="11"/>
        <v>1.2088022721551498E-2</v>
      </c>
      <c r="F45" s="250">
        <f t="shared" si="11"/>
        <v>1.2088022721551498E-2</v>
      </c>
      <c r="G45" s="250">
        <f t="shared" si="11"/>
        <v>1.2088022721551498E-2</v>
      </c>
      <c r="H45" s="250">
        <f t="shared" si="11"/>
        <v>1.2088022721551498E-2</v>
      </c>
      <c r="I45" s="250">
        <f t="shared" si="11"/>
        <v>1.2088022721551498E-2</v>
      </c>
    </row>
    <row r="46" spans="1:9" x14ac:dyDescent="0.25">
      <c r="A46" s="133" t="s">
        <v>234</v>
      </c>
      <c r="B46" s="126" t="s">
        <v>174</v>
      </c>
      <c r="C46" s="138">
        <f t="shared" ref="C46:I46" si="12">($D55*C$13*C$14*C$15*C$25/907180)+($D64*C$10*C$11*C$12*C$25/907180)</f>
        <v>4.0865015475049512E-4</v>
      </c>
      <c r="D46" s="250">
        <f t="shared" si="12"/>
        <v>4.0865015475049512E-4</v>
      </c>
      <c r="E46" s="250">
        <f t="shared" si="12"/>
        <v>4.0865015475049512E-4</v>
      </c>
      <c r="F46" s="250">
        <f t="shared" si="12"/>
        <v>4.0865015475049512E-4</v>
      </c>
      <c r="G46" s="250">
        <f t="shared" si="12"/>
        <v>4.0865015475049512E-4</v>
      </c>
      <c r="H46" s="250">
        <f t="shared" si="12"/>
        <v>4.0865015475049512E-4</v>
      </c>
      <c r="I46" s="250">
        <f t="shared" si="12"/>
        <v>4.0865015475049512E-4</v>
      </c>
    </row>
    <row r="47" spans="1:9" x14ac:dyDescent="0.25">
      <c r="A47" s="251"/>
      <c r="B47" s="112"/>
      <c r="C47" s="113"/>
    </row>
    <row r="48" spans="1:9" x14ac:dyDescent="0.25">
      <c r="A48" s="117" t="s">
        <v>280</v>
      </c>
      <c r="B48" s="112"/>
      <c r="C48" s="224"/>
      <c r="D48" s="134" t="s">
        <v>228</v>
      </c>
      <c r="E48" s="139" t="s">
        <v>183</v>
      </c>
    </row>
    <row r="49" spans="1:10" x14ac:dyDescent="0.25">
      <c r="A49" s="133" t="s">
        <v>179</v>
      </c>
      <c r="B49" s="126" t="s">
        <v>229</v>
      </c>
      <c r="C49" s="224"/>
      <c r="D49" s="136">
        <f>(D50*$B$117)+(D51*$B$118)+D52</f>
        <v>652</v>
      </c>
      <c r="E49" s="252">
        <v>138</v>
      </c>
      <c r="J49" s="123" t="s">
        <v>205</v>
      </c>
    </row>
    <row r="50" spans="1:10" x14ac:dyDescent="0.25">
      <c r="A50" s="133" t="s">
        <v>180</v>
      </c>
      <c r="B50" s="126" t="s">
        <v>229</v>
      </c>
      <c r="C50" s="224"/>
      <c r="D50" s="137">
        <v>2.9368071428571407E-2</v>
      </c>
      <c r="E50" s="252">
        <v>138</v>
      </c>
      <c r="J50" s="123" t="s">
        <v>205</v>
      </c>
    </row>
    <row r="51" spans="1:10" x14ac:dyDescent="0.25">
      <c r="A51" s="133" t="s">
        <v>181</v>
      </c>
      <c r="B51" s="126" t="s">
        <v>229</v>
      </c>
      <c r="C51" s="224"/>
      <c r="D51" s="137">
        <v>1.6611428571428576E-2</v>
      </c>
      <c r="E51" s="252">
        <v>138</v>
      </c>
      <c r="J51" s="123" t="s">
        <v>205</v>
      </c>
    </row>
    <row r="52" spans="1:10" x14ac:dyDescent="0.25">
      <c r="A52" s="133" t="s">
        <v>182</v>
      </c>
      <c r="B52" s="126" t="s">
        <v>229</v>
      </c>
      <c r="C52" s="224"/>
      <c r="D52" s="136">
        <v>652</v>
      </c>
      <c r="E52" s="252">
        <v>138</v>
      </c>
      <c r="J52" s="123" t="s">
        <v>205</v>
      </c>
    </row>
    <row r="53" spans="1:10" x14ac:dyDescent="0.25">
      <c r="A53" s="133" t="s">
        <v>92</v>
      </c>
      <c r="B53" s="126" t="s">
        <v>229</v>
      </c>
      <c r="C53" s="224"/>
      <c r="D53" s="127">
        <v>6.3752242695578589</v>
      </c>
      <c r="E53" s="252">
        <v>138</v>
      </c>
      <c r="J53" s="123" t="s">
        <v>205</v>
      </c>
    </row>
    <row r="54" spans="1:10" x14ac:dyDescent="0.25">
      <c r="A54" s="133" t="s">
        <v>93</v>
      </c>
      <c r="B54" s="126" t="s">
        <v>229</v>
      </c>
      <c r="C54" s="224"/>
      <c r="D54" s="127">
        <v>6.8000000000000005E-3</v>
      </c>
      <c r="E54" s="252">
        <v>138</v>
      </c>
      <c r="J54" s="123" t="s">
        <v>205</v>
      </c>
    </row>
    <row r="55" spans="1:10" x14ac:dyDescent="0.25">
      <c r="A55" s="133" t="s">
        <v>169</v>
      </c>
      <c r="B55" s="126" t="s">
        <v>229</v>
      </c>
      <c r="C55" s="224"/>
      <c r="D55" s="136">
        <v>0.19517667331328575</v>
      </c>
      <c r="E55" s="252">
        <v>138</v>
      </c>
      <c r="J55" s="123" t="s">
        <v>205</v>
      </c>
    </row>
    <row r="56" spans="1:10" x14ac:dyDescent="0.25">
      <c r="E56" s="252"/>
    </row>
    <row r="57" spans="1:10" x14ac:dyDescent="0.25">
      <c r="A57" s="117" t="s">
        <v>281</v>
      </c>
      <c r="B57" s="112"/>
      <c r="C57" s="224"/>
      <c r="D57" s="134"/>
      <c r="E57" s="134" t="s">
        <v>183</v>
      </c>
    </row>
    <row r="58" spans="1:10" x14ac:dyDescent="0.25">
      <c r="A58" s="133" t="s">
        <v>179</v>
      </c>
      <c r="B58" s="126" t="s">
        <v>229</v>
      </c>
      <c r="C58" s="224"/>
      <c r="D58" s="136">
        <f>(D59*$B$117)+(D60*$B$118)+D61</f>
        <v>652</v>
      </c>
      <c r="E58" s="253">
        <v>1495</v>
      </c>
      <c r="J58" s="123" t="s">
        <v>205</v>
      </c>
    </row>
    <row r="59" spans="1:10" x14ac:dyDescent="0.25">
      <c r="A59" s="133" t="s">
        <v>180</v>
      </c>
      <c r="B59" s="126" t="s">
        <v>229</v>
      </c>
      <c r="C59" s="224"/>
      <c r="D59" s="137">
        <v>2.9346666666666649E-2</v>
      </c>
      <c r="E59" s="253">
        <v>1495</v>
      </c>
      <c r="J59" s="123" t="s">
        <v>205</v>
      </c>
    </row>
    <row r="60" spans="1:10" x14ac:dyDescent="0.25">
      <c r="A60" s="133" t="s">
        <v>181</v>
      </c>
      <c r="B60" s="126" t="s">
        <v>229</v>
      </c>
      <c r="C60" s="224"/>
      <c r="D60" s="137">
        <v>1.3333333333333329E-2</v>
      </c>
      <c r="E60" s="253">
        <v>1495</v>
      </c>
      <c r="J60" s="123" t="s">
        <v>205</v>
      </c>
    </row>
    <row r="61" spans="1:10" x14ac:dyDescent="0.25">
      <c r="A61" s="133" t="s">
        <v>182</v>
      </c>
      <c r="B61" s="126" t="s">
        <v>229</v>
      </c>
      <c r="C61" s="224"/>
      <c r="D61" s="121">
        <v>652</v>
      </c>
      <c r="E61" s="253">
        <v>1495</v>
      </c>
      <c r="J61" s="123" t="s">
        <v>205</v>
      </c>
    </row>
    <row r="62" spans="1:10" x14ac:dyDescent="0.25">
      <c r="A62" s="133" t="s">
        <v>92</v>
      </c>
      <c r="B62" s="126" t="s">
        <v>229</v>
      </c>
      <c r="C62" s="224"/>
      <c r="D62" s="127">
        <v>8.2205202222222216</v>
      </c>
      <c r="E62" s="253">
        <v>1495</v>
      </c>
      <c r="J62" s="123" t="s">
        <v>205</v>
      </c>
    </row>
    <row r="63" spans="1:10" x14ac:dyDescent="0.25">
      <c r="A63" s="133" t="s">
        <v>93</v>
      </c>
      <c r="B63" s="126" t="s">
        <v>229</v>
      </c>
      <c r="C63" s="224"/>
      <c r="D63" s="127">
        <v>6.8000000000000005E-3</v>
      </c>
      <c r="E63" s="253">
        <v>1495</v>
      </c>
      <c r="J63" s="123" t="s">
        <v>205</v>
      </c>
    </row>
    <row r="64" spans="1:10" x14ac:dyDescent="0.25">
      <c r="A64" s="133" t="s">
        <v>169</v>
      </c>
      <c r="B64" s="126" t="s">
        <v>229</v>
      </c>
      <c r="C64" s="224"/>
      <c r="D64" s="136">
        <v>0.2785489607597037</v>
      </c>
      <c r="E64" s="253">
        <v>1495</v>
      </c>
      <c r="J64" s="123" t="s">
        <v>205</v>
      </c>
    </row>
    <row r="65" spans="1:27" x14ac:dyDescent="0.25">
      <c r="A65" s="117" t="s">
        <v>282</v>
      </c>
    </row>
    <row r="66" spans="1:27" x14ac:dyDescent="0.25">
      <c r="A66" s="125" t="s">
        <v>182</v>
      </c>
      <c r="B66" s="126">
        <v>1</v>
      </c>
      <c r="J66" s="123" t="s">
        <v>225</v>
      </c>
    </row>
    <row r="67" spans="1:27" x14ac:dyDescent="0.25">
      <c r="A67" s="125" t="s">
        <v>180</v>
      </c>
      <c r="B67" s="126">
        <v>298</v>
      </c>
      <c r="J67" s="123" t="s">
        <v>225</v>
      </c>
    </row>
    <row r="68" spans="1:27" x14ac:dyDescent="0.25">
      <c r="A68" s="125" t="s">
        <v>181</v>
      </c>
      <c r="B68" s="126">
        <v>25</v>
      </c>
      <c r="J68" s="123" t="s">
        <v>225</v>
      </c>
    </row>
    <row r="70" spans="1:27" s="113" customFormat="1" x14ac:dyDescent="0.25"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</row>
    <row r="71" spans="1:27" s="113" customFormat="1" x14ac:dyDescent="0.25"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139"/>
      <c r="AA71" s="139"/>
    </row>
    <row r="72" spans="1:27" s="113" customFormat="1" x14ac:dyDescent="0.25">
      <c r="F72" s="254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139"/>
      <c r="AA72" s="139"/>
    </row>
    <row r="73" spans="1:27" s="113" customFormat="1" x14ac:dyDescent="0.25">
      <c r="F73" s="254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139"/>
      <c r="AA73" s="139"/>
    </row>
    <row r="74" spans="1:27" s="113" customFormat="1" x14ac:dyDescent="0.25"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139"/>
      <c r="AA74" s="139"/>
    </row>
    <row r="75" spans="1:27" s="113" customFormat="1" x14ac:dyDescent="0.25">
      <c r="F75" s="254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139"/>
      <c r="AA75" s="139"/>
    </row>
    <row r="76" spans="1:27" s="113" customFormat="1" x14ac:dyDescent="0.25">
      <c r="F76" s="254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139"/>
      <c r="AA76" s="139"/>
    </row>
    <row r="77" spans="1:27" s="113" customFormat="1" x14ac:dyDescent="0.25"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139"/>
      <c r="AA77" s="139"/>
    </row>
    <row r="79" spans="1:27" x14ac:dyDescent="0.25">
      <c r="A79" s="116"/>
      <c r="B79" s="229"/>
      <c r="C79" s="116"/>
      <c r="D79" s="116"/>
      <c r="E79" s="116"/>
    </row>
    <row r="80" spans="1:27" x14ac:dyDescent="0.25">
      <c r="A80" s="257" t="s">
        <v>230</v>
      </c>
      <c r="B80" s="229"/>
      <c r="C80" s="228"/>
      <c r="D80" s="233"/>
      <c r="E80" s="116" t="s">
        <v>183</v>
      </c>
    </row>
    <row r="81" spans="1:27" x14ac:dyDescent="0.25">
      <c r="A81" s="258" t="s">
        <v>179</v>
      </c>
      <c r="B81" s="229" t="s">
        <v>229</v>
      </c>
      <c r="C81" s="228"/>
      <c r="D81" s="259">
        <f>(D82*$B$117)+(D83*$B$118)+D84</f>
        <v>690</v>
      </c>
      <c r="E81" s="116">
        <v>100</v>
      </c>
    </row>
    <row r="82" spans="1:27" x14ac:dyDescent="0.25">
      <c r="A82" s="258" t="s">
        <v>180</v>
      </c>
      <c r="B82" s="229" t="s">
        <v>229</v>
      </c>
      <c r="C82" s="228"/>
      <c r="D82" s="260">
        <v>3.0999999999999989E-2</v>
      </c>
      <c r="E82" s="116">
        <v>100</v>
      </c>
    </row>
    <row r="83" spans="1:27" x14ac:dyDescent="0.25">
      <c r="A83" s="258" t="s">
        <v>181</v>
      </c>
      <c r="B83" s="229" t="s">
        <v>229</v>
      </c>
      <c r="C83" s="228"/>
      <c r="D83" s="260">
        <v>0.01</v>
      </c>
      <c r="E83" s="116">
        <v>100</v>
      </c>
    </row>
    <row r="84" spans="1:27" x14ac:dyDescent="0.25">
      <c r="A84" s="258" t="s">
        <v>182</v>
      </c>
      <c r="B84" s="229" t="s">
        <v>229</v>
      </c>
      <c r="C84" s="228"/>
      <c r="D84" s="259">
        <v>690</v>
      </c>
      <c r="E84" s="116">
        <v>100</v>
      </c>
    </row>
    <row r="85" spans="1:27" x14ac:dyDescent="0.25">
      <c r="A85" s="258" t="s">
        <v>92</v>
      </c>
      <c r="B85" s="229" t="s">
        <v>229</v>
      </c>
      <c r="C85" s="228"/>
      <c r="D85" s="243">
        <v>8.6757653061224485</v>
      </c>
      <c r="E85" s="116">
        <v>100</v>
      </c>
    </row>
    <row r="86" spans="1:27" x14ac:dyDescent="0.25">
      <c r="A86" s="258" t="s">
        <v>93</v>
      </c>
      <c r="B86" s="229" t="s">
        <v>229</v>
      </c>
      <c r="C86" s="228"/>
      <c r="D86" s="243">
        <v>5.9999999999999993E-3</v>
      </c>
      <c r="E86" s="116">
        <v>100</v>
      </c>
    </row>
    <row r="87" spans="1:27" x14ac:dyDescent="0.25">
      <c r="A87" s="258" t="s">
        <v>169</v>
      </c>
      <c r="B87" s="229" t="s">
        <v>229</v>
      </c>
      <c r="C87" s="228"/>
      <c r="D87" s="259">
        <v>0.27752551020408162</v>
      </c>
      <c r="E87" s="116">
        <v>100</v>
      </c>
    </row>
    <row r="88" spans="1:27" x14ac:dyDescent="0.25">
      <c r="A88" s="116"/>
      <c r="B88" s="229"/>
      <c r="C88" s="116"/>
      <c r="D88" s="116"/>
      <c r="E88" s="116"/>
    </row>
    <row r="89" spans="1:27" s="113" customFormat="1" x14ac:dyDescent="0.25">
      <c r="A89" s="257" t="s">
        <v>231</v>
      </c>
      <c r="B89" s="229"/>
      <c r="C89" s="228"/>
      <c r="D89" s="233"/>
      <c r="E89" s="233" t="s">
        <v>183</v>
      </c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</row>
    <row r="90" spans="1:27" s="113" customFormat="1" x14ac:dyDescent="0.25">
      <c r="A90" s="258" t="s">
        <v>179</v>
      </c>
      <c r="B90" s="229" t="s">
        <v>229</v>
      </c>
      <c r="C90" s="228"/>
      <c r="D90" s="259">
        <v>759.97755834405507</v>
      </c>
      <c r="E90" s="261">
        <v>1590</v>
      </c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139"/>
      <c r="AA90" s="139"/>
    </row>
    <row r="91" spans="1:27" s="113" customFormat="1" x14ac:dyDescent="0.25">
      <c r="A91" s="258" t="s">
        <v>180</v>
      </c>
      <c r="B91" s="229" t="s">
        <v>229</v>
      </c>
      <c r="C91" s="228"/>
      <c r="D91" s="260">
        <v>3.1E-2</v>
      </c>
      <c r="E91" s="261">
        <v>1590</v>
      </c>
      <c r="F91" s="254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139"/>
      <c r="AA91" s="139"/>
    </row>
    <row r="92" spans="1:27" s="113" customFormat="1" x14ac:dyDescent="0.25">
      <c r="A92" s="258" t="s">
        <v>181</v>
      </c>
      <c r="B92" s="229" t="s">
        <v>229</v>
      </c>
      <c r="C92" s="228"/>
      <c r="D92" s="260">
        <v>0.01</v>
      </c>
      <c r="E92" s="261">
        <v>1590</v>
      </c>
      <c r="F92" s="254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139"/>
      <c r="AA92" s="139"/>
    </row>
    <row r="93" spans="1:27" s="113" customFormat="1" x14ac:dyDescent="0.25">
      <c r="A93" s="258" t="s">
        <v>182</v>
      </c>
      <c r="B93" s="229" t="s">
        <v>229</v>
      </c>
      <c r="C93" s="228"/>
      <c r="D93" s="233">
        <v>690</v>
      </c>
      <c r="E93" s="261">
        <v>1590</v>
      </c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139"/>
      <c r="AA93" s="139"/>
    </row>
    <row r="94" spans="1:27" s="113" customFormat="1" x14ac:dyDescent="0.25">
      <c r="A94" s="258" t="s">
        <v>92</v>
      </c>
      <c r="B94" s="229" t="s">
        <v>229</v>
      </c>
      <c r="C94" s="228"/>
      <c r="D94" s="243">
        <v>9.6300000000000008</v>
      </c>
      <c r="E94" s="261">
        <v>1590</v>
      </c>
      <c r="F94" s="254"/>
      <c r="G94" s="256"/>
      <c r="H94" s="256"/>
      <c r="I94" s="256"/>
      <c r="J94" s="256"/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139"/>
      <c r="AA94" s="139"/>
    </row>
    <row r="95" spans="1:27" s="113" customFormat="1" x14ac:dyDescent="0.25">
      <c r="A95" s="258" t="s">
        <v>93</v>
      </c>
      <c r="B95" s="229" t="s">
        <v>229</v>
      </c>
      <c r="C95" s="228"/>
      <c r="D95" s="262">
        <v>6.0000000000000001E-3</v>
      </c>
      <c r="E95" s="261">
        <v>1590</v>
      </c>
      <c r="F95" s="254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139"/>
      <c r="AA95" s="139"/>
    </row>
    <row r="96" spans="1:27" s="113" customFormat="1" x14ac:dyDescent="0.25">
      <c r="A96" s="258" t="s">
        <v>169</v>
      </c>
      <c r="B96" s="229" t="s">
        <v>229</v>
      </c>
      <c r="C96" s="228"/>
      <c r="D96" s="259">
        <v>0.38</v>
      </c>
      <c r="E96" s="261">
        <v>1590</v>
      </c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139"/>
      <c r="AA96" s="139"/>
    </row>
    <row r="97" spans="1:7" x14ac:dyDescent="0.25">
      <c r="A97" s="116"/>
      <c r="B97" s="116"/>
      <c r="C97" s="116"/>
      <c r="D97" s="116"/>
      <c r="E97" s="116"/>
    </row>
    <row r="98" spans="1:7" x14ac:dyDescent="0.25">
      <c r="B98" s="139"/>
    </row>
    <row r="99" spans="1:7" x14ac:dyDescent="0.25">
      <c r="B99" s="139"/>
    </row>
    <row r="100" spans="1:7" x14ac:dyDescent="0.25">
      <c r="B100" s="139"/>
    </row>
    <row r="101" spans="1:7" x14ac:dyDescent="0.25">
      <c r="B101" s="139"/>
    </row>
    <row r="102" spans="1:7" x14ac:dyDescent="0.25">
      <c r="B102" s="139"/>
    </row>
    <row r="108" spans="1:7" s="263" customFormat="1" x14ac:dyDescent="0.25">
      <c r="C108" s="264"/>
      <c r="D108" s="264"/>
      <c r="E108" s="264"/>
      <c r="F108" s="264"/>
      <c r="G108" s="264"/>
    </row>
    <row r="109" spans="1:7" s="263" customFormat="1" x14ac:dyDescent="0.25">
      <c r="C109" s="264"/>
      <c r="D109" s="264"/>
      <c r="E109" s="264"/>
      <c r="F109" s="264"/>
      <c r="G109" s="264"/>
    </row>
    <row r="110" spans="1:7" s="263" customFormat="1" x14ac:dyDescent="0.25">
      <c r="C110" s="264"/>
      <c r="D110" s="264"/>
      <c r="E110" s="264"/>
      <c r="F110" s="264"/>
      <c r="G110" s="264"/>
    </row>
    <row r="111" spans="1:7" s="263" customFormat="1" x14ac:dyDescent="0.25">
      <c r="C111" s="264"/>
      <c r="D111" s="264"/>
      <c r="E111" s="264"/>
      <c r="F111" s="264"/>
      <c r="G111" s="264"/>
    </row>
    <row r="112" spans="1:7" s="263" customFormat="1" x14ac:dyDescent="0.25">
      <c r="A112" s="264"/>
      <c r="B112" s="265"/>
      <c r="C112" s="264"/>
      <c r="D112" s="264"/>
      <c r="E112" s="264"/>
      <c r="F112" s="264"/>
      <c r="G112" s="264"/>
    </row>
    <row r="113" spans="1:7" x14ac:dyDescent="0.25">
      <c r="A113" s="264"/>
      <c r="B113" s="265"/>
      <c r="C113" s="264"/>
      <c r="D113" s="264"/>
      <c r="E113" s="264"/>
      <c r="F113" s="264"/>
      <c r="G113" s="264"/>
    </row>
    <row r="114" spans="1:7" x14ac:dyDescent="0.25">
      <c r="A114" s="264"/>
      <c r="B114" s="265"/>
      <c r="C114" s="264"/>
      <c r="D114" s="264"/>
      <c r="E114" s="264"/>
      <c r="F114" s="264"/>
      <c r="G114" s="264"/>
    </row>
    <row r="115" spans="1:7" x14ac:dyDescent="0.25">
      <c r="A115" s="264"/>
      <c r="B115" s="265"/>
      <c r="C115" s="264"/>
      <c r="D115" s="264"/>
      <c r="E115" s="264"/>
      <c r="F115" s="264"/>
      <c r="G115" s="264"/>
    </row>
    <row r="116" spans="1:7" x14ac:dyDescent="0.25">
      <c r="A116" s="264"/>
      <c r="B116" s="265"/>
      <c r="C116" s="264"/>
      <c r="D116" s="264"/>
      <c r="E116" s="264"/>
      <c r="F116" s="264"/>
      <c r="G116" s="264"/>
    </row>
    <row r="117" spans="1:7" x14ac:dyDescent="0.25">
      <c r="A117" s="264"/>
      <c r="B117" s="265"/>
      <c r="C117" s="264"/>
      <c r="D117" s="264"/>
      <c r="E117" s="264"/>
      <c r="F117" s="264"/>
      <c r="G117" s="264"/>
    </row>
    <row r="118" spans="1:7" x14ac:dyDescent="0.25">
      <c r="A118" s="264"/>
      <c r="B118" s="265"/>
      <c r="C118" s="264"/>
      <c r="D118" s="264"/>
      <c r="E118" s="264"/>
      <c r="F118" s="264"/>
      <c r="G118" s="264"/>
    </row>
    <row r="119" spans="1:7" x14ac:dyDescent="0.25">
      <c r="A119" s="264"/>
      <c r="B119" s="265"/>
      <c r="C119" s="264"/>
      <c r="D119" s="264"/>
      <c r="E119" s="264"/>
      <c r="F119" s="264"/>
      <c r="G119" s="264"/>
    </row>
    <row r="120" spans="1:7" x14ac:dyDescent="0.25">
      <c r="A120" s="264"/>
      <c r="B120" s="265"/>
      <c r="C120" s="264"/>
      <c r="D120" s="264"/>
      <c r="E120" s="264"/>
      <c r="F120" s="264"/>
      <c r="G120" s="264"/>
    </row>
    <row r="121" spans="1:7" x14ac:dyDescent="0.25">
      <c r="A121" s="264"/>
      <c r="B121" s="265"/>
      <c r="C121" s="264"/>
      <c r="D121" s="264"/>
      <c r="E121" s="264"/>
      <c r="F121" s="264"/>
      <c r="G121" s="264"/>
    </row>
  </sheetData>
  <sheetProtection algorithmName="SHA-512" hashValue="NB1UBFJ2kVjn/3m+SSGJ+017WUP0/iRXxr1yFz+Fwo1PGFdwnvnBNhTplTaCgMXONglE8C9Ebh7Az71rCzsy8A==" saltValue="CCqcowXk/zXNcL5bnR2NNw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Cover &amp; Instructions</vt:lpstr>
      <vt:lpstr>Scenario Summary</vt:lpstr>
      <vt:lpstr>Ship Information</vt:lpstr>
      <vt:lpstr>Assist Tug Information</vt:lpstr>
      <vt:lpstr>Ship Parameters</vt:lpstr>
      <vt:lpstr>Assist Tug Parameters</vt:lpstr>
      <vt:lpstr>'Assist Tug Information'!Print_Area</vt:lpstr>
      <vt:lpstr>'Assist Tug Parameters'!Print_Area</vt:lpstr>
      <vt:lpstr>'Cover &amp; Instructions'!Print_Area</vt:lpstr>
      <vt:lpstr>'Scenario Summary'!Print_Area</vt:lpstr>
      <vt:lpstr>'Ship Information'!Print_Area</vt:lpstr>
      <vt:lpstr>'Ship Parameters'!Print_Area</vt:lpstr>
      <vt:lpstr>'Assist Tug Information'!Print_Titles</vt:lpstr>
      <vt:lpstr>'Assist Tug Parameters'!Print_Titles</vt:lpstr>
      <vt:lpstr>'Scenario Summary'!Print_Titles</vt:lpstr>
      <vt:lpstr>'Ship Information'!Print_Titles</vt:lpstr>
      <vt:lpstr>'Ship Parameters'!Print_Titles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Anderson</dc:creator>
  <cp:lastModifiedBy>BitterRoot</cp:lastModifiedBy>
  <cp:lastPrinted>2021-06-22T17:25:18Z</cp:lastPrinted>
  <dcterms:created xsi:type="dcterms:W3CDTF">2020-11-10T19:33:41Z</dcterms:created>
  <dcterms:modified xsi:type="dcterms:W3CDTF">2021-07-26T17:03:47Z</dcterms:modified>
</cp:coreProperties>
</file>