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museumsaotearoa.sharepoint.com/sites/RESResearch/Shared Documents/General/02 MA Stats-Surveys/Visitor Research/"/>
    </mc:Choice>
  </mc:AlternateContent>
  <xr:revisionPtr revIDLastSave="1778" documentId="8_{0D3F04C6-393B-4C75-85B8-2DF237387F64}" xr6:coauthVersionLast="47" xr6:coauthVersionMax="47" xr10:uidLastSave="{D0FA0159-ACDF-4E50-8602-4AC000E44998}"/>
  <bookViews>
    <workbookView xWindow="-120" yWindow="-16320" windowWidth="29040" windowHeight="15840" xr2:uid="{A63BF054-D0FD-4401-95DF-E76D67361809}"/>
  </bookViews>
  <sheets>
    <sheet name="Sheet1" sheetId="1" r:id="rId1"/>
    <sheet name="Sheet2" sheetId="2" r:id="rId2"/>
  </sheets>
  <definedNames>
    <definedName name="_xlnm._FilterDatabase" localSheetId="1" hidden="1">Sheet2!$B$3:$B$61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K64" i="1"/>
  <c r="K63" i="1"/>
  <c r="K62" i="1"/>
  <c r="K60" i="1"/>
  <c r="K59" i="1"/>
  <c r="K5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C35" i="1"/>
  <c r="C34" i="1"/>
  <c r="C33" i="1"/>
  <c r="C32" i="1"/>
  <c r="C31" i="1"/>
  <c r="C30" i="1"/>
  <c r="C29" i="1"/>
  <c r="C28" i="1"/>
  <c r="K92" i="1" l="1"/>
  <c r="K91" i="1"/>
  <c r="K90" i="1"/>
  <c r="K20" i="1"/>
  <c r="K19" i="1"/>
  <c r="K44" i="1"/>
  <c r="K43" i="1"/>
  <c r="K42" i="1"/>
  <c r="K40" i="1"/>
  <c r="K39" i="1"/>
  <c r="K38" i="1"/>
  <c r="K54" i="1"/>
  <c r="K53" i="1"/>
  <c r="K52" i="1"/>
  <c r="K51" i="1"/>
  <c r="K50" i="1"/>
  <c r="K49" i="1"/>
  <c r="K48" i="1"/>
  <c r="K47" i="1"/>
  <c r="K116" i="1"/>
  <c r="K115" i="1"/>
  <c r="K109" i="1"/>
  <c r="K114" i="1"/>
  <c r="K113" i="1"/>
  <c r="K112" i="1"/>
  <c r="K111" i="1"/>
  <c r="K108" i="1"/>
  <c r="I35" i="1"/>
  <c r="I34" i="1"/>
  <c r="I33" i="1"/>
  <c r="I31" i="1"/>
  <c r="I30" i="1"/>
  <c r="I28" i="1"/>
  <c r="H35" i="1"/>
  <c r="H34" i="1"/>
  <c r="H32" i="1"/>
  <c r="H31" i="1"/>
  <c r="H30" i="1"/>
  <c r="H29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O111" i="1" l="1"/>
  <c r="O109" i="1"/>
  <c r="O116" i="1"/>
  <c r="O115" i="1"/>
  <c r="O114" i="1"/>
  <c r="O113" i="1"/>
  <c r="O112" i="1"/>
  <c r="O108" i="1"/>
  <c r="O34" i="1"/>
  <c r="O33" i="1"/>
  <c r="O30" i="1"/>
  <c r="O32" i="1"/>
  <c r="O31" i="1"/>
  <c r="O28" i="1"/>
  <c r="L116" i="1"/>
  <c r="L115" i="1"/>
  <c r="L114" i="1"/>
  <c r="L109" i="1"/>
  <c r="L113" i="1"/>
  <c r="L112" i="1"/>
  <c r="L110" i="1"/>
  <c r="L108" i="1"/>
  <c r="L43" i="1"/>
  <c r="L44" i="1"/>
  <c r="L42" i="1"/>
  <c r="L41" i="1"/>
  <c r="L40" i="1"/>
  <c r="L39" i="1"/>
  <c r="L38" i="1"/>
  <c r="J35" i="1"/>
  <c r="J33" i="1"/>
  <c r="J34" i="1" l="1"/>
  <c r="J31" i="1"/>
  <c r="J30" i="1"/>
  <c r="J28" i="1"/>
  <c r="H33" i="1"/>
  <c r="H28" i="1"/>
  <c r="G35" i="1"/>
  <c r="G34" i="1"/>
  <c r="G33" i="1"/>
  <c r="G32" i="1"/>
  <c r="G31" i="1"/>
  <c r="G30" i="1"/>
  <c r="G28" i="1"/>
  <c r="F35" i="1"/>
  <c r="F34" i="1"/>
  <c r="F33" i="1"/>
  <c r="F32" i="1"/>
  <c r="F31" i="1"/>
  <c r="F30" i="1"/>
  <c r="F28" i="1"/>
  <c r="E35" i="1"/>
  <c r="E33" i="1"/>
  <c r="E32" i="1"/>
  <c r="E28" i="1"/>
  <c r="E30" i="1"/>
  <c r="E34" i="1"/>
  <c r="E31" i="1"/>
  <c r="B35" i="1"/>
  <c r="B34" i="1"/>
  <c r="B33" i="1"/>
  <c r="B32" i="1"/>
  <c r="B31" i="1"/>
  <c r="B30" i="1"/>
  <c r="B29" i="1"/>
  <c r="B28" i="1"/>
</calcChain>
</file>

<file path=xl/sharedStrings.xml><?xml version="1.0" encoding="utf-8"?>
<sst xmlns="http://schemas.openxmlformats.org/spreadsheetml/2006/main" count="284" uniqueCount="125">
  <si>
    <t>AGE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</si>
  <si>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</si>
  <si>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</si>
  <si>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</si>
  <si>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</si>
  <si>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</si>
  <si>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</si>
  <si>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</si>
  <si>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</si>
  <si>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</si>
  <si>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</si>
  <si>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</si>
  <si>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</si>
  <si>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</si>
  <si>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</si>
  <si>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</si>
  <si>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</si>
  <si>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</si>
  <si>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</si>
  <si>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</si>
  <si>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</si>
  <si>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</si>
  <si>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</si>
  <si>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</si>
  <si>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</si>
  <si>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</si>
  <si>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</si>
  <si>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</si>
  <si>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</si>
  <si>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</si>
  <si>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Gender</t>
  </si>
  <si>
    <t>Female</t>
  </si>
  <si>
    <t>Male</t>
  </si>
  <si>
    <t>Non-binary</t>
  </si>
  <si>
    <t>Prefer not to say</t>
  </si>
  <si>
    <t>Where from</t>
  </si>
  <si>
    <t>NZ</t>
  </si>
  <si>
    <t>Australia</t>
  </si>
  <si>
    <t>Pacific</t>
  </si>
  <si>
    <t>UK</t>
  </si>
  <si>
    <t>USA</t>
  </si>
  <si>
    <t>Canada</t>
  </si>
  <si>
    <t>Europe</t>
  </si>
  <si>
    <t>Other</t>
  </si>
  <si>
    <t>Education</t>
  </si>
  <si>
    <t>&gt;3 yrs high school</t>
  </si>
  <si>
    <t>3-5 yrs high school</t>
  </si>
  <si>
    <t>Trade cert</t>
  </si>
  <si>
    <t>Partial Tertiary</t>
  </si>
  <si>
    <t>Tertiary</t>
  </si>
  <si>
    <t>Post grad</t>
  </si>
  <si>
    <t>Time spent</t>
  </si>
  <si>
    <t>15-20 mins</t>
  </si>
  <si>
    <t>21-40 mins</t>
  </si>
  <si>
    <t>41-60 mins</t>
  </si>
  <si>
    <t>1-2 hours</t>
  </si>
  <si>
    <t>2-3 hours</t>
  </si>
  <si>
    <t>Satisfaction</t>
  </si>
  <si>
    <t>Visit with?</t>
  </si>
  <si>
    <t>Alone</t>
  </si>
  <si>
    <t>Partner</t>
  </si>
  <si>
    <t>Family</t>
  </si>
  <si>
    <t>Friends</t>
  </si>
  <si>
    <t>Education group</t>
  </si>
  <si>
    <t>Tour</t>
  </si>
  <si>
    <t>Ethnicity</t>
  </si>
  <si>
    <t>NZ European/Pakeha</t>
  </si>
  <si>
    <t>Maori</t>
  </si>
  <si>
    <t>Pacific Islander</t>
  </si>
  <si>
    <t>Asian</t>
  </si>
  <si>
    <t>Indian</t>
  </si>
  <si>
    <t>Reason</t>
  </si>
  <si>
    <t>Exhibition</t>
  </si>
  <si>
    <t>General Interest</t>
  </si>
  <si>
    <t>In the area</t>
  </si>
  <si>
    <t>Local history</t>
  </si>
  <si>
    <t>Holiday</t>
  </si>
  <si>
    <t>Word of mouth</t>
  </si>
  <si>
    <t>Curious</t>
  </si>
  <si>
    <t>Bringing children</t>
  </si>
  <si>
    <t>Showing guests</t>
  </si>
  <si>
    <t>Family time</t>
  </si>
  <si>
    <t>Nearby</t>
  </si>
  <si>
    <t>Event</t>
  </si>
  <si>
    <t>Know to visit</t>
  </si>
  <si>
    <t>Saw sign</t>
  </si>
  <si>
    <t>guide book</t>
  </si>
  <si>
    <t>Free publication</t>
  </si>
  <si>
    <t>Museum publicity</t>
  </si>
  <si>
    <t>Tourism professional</t>
  </si>
  <si>
    <t>Benefit</t>
  </si>
  <si>
    <t>Learning</t>
  </si>
  <si>
    <t>New interest</t>
  </si>
  <si>
    <t>Different perspective</t>
  </si>
  <si>
    <t>Reflection</t>
  </si>
  <si>
    <t>Spend</t>
  </si>
  <si>
    <t>$0-$10</t>
  </si>
  <si>
    <t>$11-$20</t>
  </si>
  <si>
    <t>$21-$30</t>
  </si>
  <si>
    <t>$31+</t>
  </si>
  <si>
    <t>New question</t>
  </si>
  <si>
    <t>4+</t>
  </si>
  <si>
    <t xml:space="preserve">Other </t>
  </si>
  <si>
    <t>Friends &amp; Family</t>
  </si>
  <si>
    <t>Overseas</t>
  </si>
  <si>
    <t>3-4 hours</t>
  </si>
  <si>
    <t>5 Neutral</t>
  </si>
  <si>
    <t>9 Extremely Satisfied</t>
  </si>
  <si>
    <t>Return visit</t>
  </si>
  <si>
    <t>Understanding</t>
  </si>
  <si>
    <t>Relaxation</t>
  </si>
  <si>
    <t>Identity</t>
  </si>
  <si>
    <t>People</t>
  </si>
  <si>
    <t>Issues</t>
  </si>
  <si>
    <t>Values</t>
  </si>
  <si>
    <t>Asia</t>
  </si>
  <si>
    <t>Search engine/website</t>
  </si>
  <si>
    <t>1 Extremely Disatisfied</t>
  </si>
  <si>
    <t>&lt;15 mins</t>
  </si>
  <si>
    <t>Not recorded</t>
  </si>
  <si>
    <t>Local knowledge</t>
  </si>
  <si>
    <t>Free/Good value*</t>
  </si>
  <si>
    <t>Filling time</t>
  </si>
  <si>
    <t>*Free entry is only a consideration for 1% of attendees.</t>
  </si>
  <si>
    <t xml:space="preserve">                           Museums Aotearoa NVS Longitudinal Study 2010-2024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</si>
</sst>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49" fontId="0" fillId="0" borderId="0" xfId="0" applyNumberFormat="1"/>
    <xf numFmtId="49" fontId="0" fillId="0" borderId="0" xfId="1" applyNumberFormat="1" applyFont="1"/>
    <xf numFmtId="0" fontId="0" fillId="0" borderId="0" xfId="0" applyAlignment="1">
      <alignment horizontal="left"/>
    </xf>
    <xf numFmtId="9" fontId="0" fillId="0" borderId="0" xfId="1" applyFont="1"/>
    <xf numFmtId="9" fontId="0" fillId="0" borderId="0" xfId="0" applyNumberFormat="1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 applyFill="1"/>
    <xf numFmtId="164" fontId="0" fillId="3" borderId="0" xfId="1" applyNumberFormat="1" applyFont="1" applyFill="1"/>
    <xf numFmtId="9" fontId="0" fillId="0" borderId="0" xfId="1" applyFont="1" applyFill="1"/>
    <xf numFmtId="0" fontId="3" fillId="0" borderId="0" xfId="0" applyFont="1" applyAlignment="1">
      <alignment horizontal="left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Main reason for your visit today?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26246719160105"/>
          <c:y val="0.18560185185185185"/>
          <c:w val="0.72311942257217843"/>
          <c:h val="0.61535469524642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Sheet1!$B$90:$B$105</c:f>
              <c:numCache>
                <c:formatCode>0%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0.15</c:v>
                </c:pt>
                <c:pt idx="3">
                  <c:v>7.0000000000000007E-2</c:v>
                </c:pt>
                <c:pt idx="4">
                  <c:v>0.09</c:v>
                </c:pt>
                <c:pt idx="5">
                  <c:v>0.03</c:v>
                </c:pt>
                <c:pt idx="6">
                  <c:v>0.01</c:v>
                </c:pt>
                <c:pt idx="7">
                  <c:v>0.04</c:v>
                </c:pt>
                <c:pt idx="8">
                  <c:v>0.03</c:v>
                </c:pt>
                <c:pt idx="9">
                  <c:v>0.01</c:v>
                </c:pt>
                <c:pt idx="10">
                  <c:v>0.03</c:v>
                </c:pt>
                <c:pt idx="11">
                  <c:v>0.01</c:v>
                </c:pt>
                <c:pt idx="12">
                  <c:v>0.02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7-4B48-9ADA-218ACFBD6E4C}"/>
            </c:ext>
          </c:extLst>
        </c:ser>
        <c:ser>
          <c:idx val="1"/>
          <c:order val="1"/>
          <c:tx>
            <c:strRef>
              <c:f>Sheet1!$C$89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Sheet1!$C$90:$C$105</c:f>
              <c:numCache>
                <c:formatCode>0%</c:formatCode>
                <c:ptCount val="16"/>
                <c:pt idx="0">
                  <c:v>0.17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0.06</c:v>
                </c:pt>
                <c:pt idx="4">
                  <c:v>0.11</c:v>
                </c:pt>
                <c:pt idx="5">
                  <c:v>0.03</c:v>
                </c:pt>
                <c:pt idx="6">
                  <c:v>0.01</c:v>
                </c:pt>
                <c:pt idx="7">
                  <c:v>0.04</c:v>
                </c:pt>
                <c:pt idx="8">
                  <c:v>0.03</c:v>
                </c:pt>
                <c:pt idx="9">
                  <c:v>0.01</c:v>
                </c:pt>
                <c:pt idx="10">
                  <c:v>0.04</c:v>
                </c:pt>
                <c:pt idx="11">
                  <c:v>0.02</c:v>
                </c:pt>
                <c:pt idx="12">
                  <c:v>0.02</c:v>
                </c:pt>
                <c:pt idx="13">
                  <c:v>0</c:v>
                </c:pt>
                <c:pt idx="14">
                  <c:v>0.01</c:v>
                </c:pt>
                <c:pt idx="1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7-4B48-9ADA-218ACFBD6E4C}"/>
            </c:ext>
          </c:extLst>
        </c:ser>
        <c:ser>
          <c:idx val="2"/>
          <c:order val="2"/>
          <c:tx>
            <c:strRef>
              <c:f>Sheet1!$D$89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Sheet1!$D$90:$D$105</c:f>
              <c:numCache>
                <c:formatCode>0%</c:formatCode>
                <c:ptCount val="16"/>
                <c:pt idx="0">
                  <c:v>0.41</c:v>
                </c:pt>
                <c:pt idx="4">
                  <c:v>0.36</c:v>
                </c:pt>
                <c:pt idx="11">
                  <c:v>0.12</c:v>
                </c:pt>
                <c:pt idx="14">
                  <c:v>0.03</c:v>
                </c:pt>
                <c:pt idx="1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7-4B48-9ADA-218ACFBD6E4C}"/>
            </c:ext>
          </c:extLst>
        </c:ser>
        <c:ser>
          <c:idx val="3"/>
          <c:order val="3"/>
          <c:tx>
            <c:strRef>
              <c:f>Sheet1!$E$89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Sheet1!$E$90:$E$105</c:f>
              <c:numCache>
                <c:formatCode>0%</c:formatCode>
                <c:ptCount val="16"/>
                <c:pt idx="0">
                  <c:v>0.21</c:v>
                </c:pt>
                <c:pt idx="1">
                  <c:v>0.19</c:v>
                </c:pt>
                <c:pt idx="2">
                  <c:v>0.12</c:v>
                </c:pt>
                <c:pt idx="5">
                  <c:v>0.04</c:v>
                </c:pt>
                <c:pt idx="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7-4B48-9ADA-218ACFBD6E4C}"/>
            </c:ext>
          </c:extLst>
        </c:ser>
        <c:ser>
          <c:idx val="4"/>
          <c:order val="4"/>
          <c:tx>
            <c:strRef>
              <c:f>Sheet1!$F$89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Sheet1!$F$90:$F$105</c:f>
              <c:numCache>
                <c:formatCode>0%</c:formatCode>
                <c:ptCount val="16"/>
                <c:pt idx="0">
                  <c:v>0.2</c:v>
                </c:pt>
                <c:pt idx="1">
                  <c:v>0.27</c:v>
                </c:pt>
                <c:pt idx="2">
                  <c:v>0.13</c:v>
                </c:pt>
                <c:pt idx="3">
                  <c:v>0.09</c:v>
                </c:pt>
                <c:pt idx="4">
                  <c:v>0.08</c:v>
                </c:pt>
                <c:pt idx="5">
                  <c:v>0.04</c:v>
                </c:pt>
                <c:pt idx="6">
                  <c:v>0.01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0.01</c:v>
                </c:pt>
                <c:pt idx="14">
                  <c:v>0.02</c:v>
                </c:pt>
                <c:pt idx="1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77-4B48-9ADA-218ACFBD6E4C}"/>
            </c:ext>
          </c:extLst>
        </c:ser>
        <c:ser>
          <c:idx val="5"/>
          <c:order val="5"/>
          <c:tx>
            <c:strRef>
              <c:f>Sheet1!$G$89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Sheet1!$G$90:$G$105</c:f>
              <c:numCache>
                <c:formatCode>0%</c:formatCode>
                <c:ptCount val="16"/>
                <c:pt idx="0">
                  <c:v>0.19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0.08</c:v>
                </c:pt>
                <c:pt idx="4">
                  <c:v>0.06</c:v>
                </c:pt>
                <c:pt idx="5">
                  <c:v>0.04</c:v>
                </c:pt>
                <c:pt idx="6">
                  <c:v>0.01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  <c:pt idx="12">
                  <c:v>0.03</c:v>
                </c:pt>
                <c:pt idx="13">
                  <c:v>0.02</c:v>
                </c:pt>
                <c:pt idx="1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77-4B48-9ADA-218ACFBD6E4C}"/>
            </c:ext>
          </c:extLst>
        </c:ser>
        <c:ser>
          <c:idx val="6"/>
          <c:order val="6"/>
          <c:tx>
            <c:strRef>
              <c:f>Sheet1!$H$89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Sheet1!$H$90:$H$105</c:f>
              <c:numCache>
                <c:formatCode>0%</c:formatCode>
                <c:ptCount val="16"/>
                <c:pt idx="0">
                  <c:v>0.25</c:v>
                </c:pt>
                <c:pt idx="1">
                  <c:v>0.23</c:v>
                </c:pt>
                <c:pt idx="2">
                  <c:v>0.11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0.01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0.02</c:v>
                </c:pt>
                <c:pt idx="13">
                  <c:v>0.01</c:v>
                </c:pt>
                <c:pt idx="14">
                  <c:v>0.06</c:v>
                </c:pt>
                <c:pt idx="1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77-4B48-9ADA-218ACFBD6E4C}"/>
            </c:ext>
          </c:extLst>
        </c:ser>
        <c:ser>
          <c:idx val="7"/>
          <c:order val="7"/>
          <c:tx>
            <c:strRef>
              <c:f>Sheet1!$I$89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Sheet1!$I$90:$I$105</c:f>
              <c:numCache>
                <c:formatCode>0%</c:formatCode>
                <c:ptCount val="16"/>
                <c:pt idx="0">
                  <c:v>0.18</c:v>
                </c:pt>
                <c:pt idx="1">
                  <c:v>0.21</c:v>
                </c:pt>
                <c:pt idx="2">
                  <c:v>0.13</c:v>
                </c:pt>
                <c:pt idx="3">
                  <c:v>0.09</c:v>
                </c:pt>
                <c:pt idx="4">
                  <c:v>0.1</c:v>
                </c:pt>
                <c:pt idx="5">
                  <c:v>7.0000000000000007E-2</c:v>
                </c:pt>
                <c:pt idx="6">
                  <c:v>0.01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77-4B48-9ADA-218ACFBD6E4C}"/>
            </c:ext>
          </c:extLst>
        </c:ser>
        <c:ser>
          <c:idx val="8"/>
          <c:order val="8"/>
          <c:tx>
            <c:strRef>
              <c:f>Sheet1!$J$89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Sheet1!$J$90:$J$105</c:f>
              <c:numCache>
                <c:formatCode>0%</c:formatCode>
                <c:ptCount val="16"/>
                <c:pt idx="0">
                  <c:v>0.18</c:v>
                </c:pt>
                <c:pt idx="1">
                  <c:v>0.24</c:v>
                </c:pt>
                <c:pt idx="2">
                  <c:v>0.11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0.01</c:v>
                </c:pt>
                <c:pt idx="7">
                  <c:v>0.03</c:v>
                </c:pt>
                <c:pt idx="8">
                  <c:v>0.04</c:v>
                </c:pt>
                <c:pt idx="9">
                  <c:v>0.02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77-4B48-9ADA-218ACFBD6E4C}"/>
            </c:ext>
          </c:extLst>
        </c:ser>
        <c:ser>
          <c:idx val="9"/>
          <c:order val="9"/>
          <c:tx>
            <c:strRef>
              <c:f>Sheet1!$K$89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Sheet1!$K$90:$K$105</c:f>
              <c:numCache>
                <c:formatCode>0%</c:formatCode>
                <c:ptCount val="16"/>
                <c:pt idx="0">
                  <c:v>0.17305801376597837</c:v>
                </c:pt>
                <c:pt idx="1">
                  <c:v>0.22271386430678466</c:v>
                </c:pt>
                <c:pt idx="2">
                  <c:v>0.12881022615535889</c:v>
                </c:pt>
                <c:pt idx="3">
                  <c:v>9.2920353982300891E-2</c:v>
                </c:pt>
                <c:pt idx="4">
                  <c:v>9.0462143559488686E-2</c:v>
                </c:pt>
                <c:pt idx="5">
                  <c:v>4.5231071779744343E-2</c:v>
                </c:pt>
                <c:pt idx="6">
                  <c:v>1.0324483775811209E-2</c:v>
                </c:pt>
                <c:pt idx="7">
                  <c:v>3.0973451327433628E-2</c:v>
                </c:pt>
                <c:pt idx="8">
                  <c:v>2.3107177974434612E-2</c:v>
                </c:pt>
                <c:pt idx="9">
                  <c:v>1.720747295968535E-2</c:v>
                </c:pt>
                <c:pt idx="10">
                  <c:v>1.5240904621435595E-2</c:v>
                </c:pt>
                <c:pt idx="11">
                  <c:v>2.1140609636184856E-2</c:v>
                </c:pt>
                <c:pt idx="12">
                  <c:v>1.4749262536873156E-2</c:v>
                </c:pt>
                <c:pt idx="13">
                  <c:v>3.4414945919370699E-3</c:v>
                </c:pt>
                <c:pt idx="14">
                  <c:v>2.6057030481809244E-2</c:v>
                </c:pt>
                <c:pt idx="15">
                  <c:v>6.5388397246804328E-2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77-4B48-9ADA-218ACFBD6E4C}"/>
            </c:ext>
          </c:extLst>
        </c:ser>
        <c:ser>
          <c:idx val="10"/>
          <c:order val="10"/>
          <c:tx>
            <c:strRef>
              <c:f>Sheet1!$L$89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Sheet1!$A$90:$A$105</c:f>
              <c:strCache>
                <c:ptCount val="16"/>
                <c:pt idx="0">
                  <c:v>Exhibition</c:v>
                </c:pt>
                <c:pt idx="1">
                  <c:v>General Interest</c:v>
                </c:pt>
                <c:pt idx="2">
                  <c:v>In the area</c:v>
                </c:pt>
                <c:pt idx="3">
                  <c:v>Local history</c:v>
                </c:pt>
                <c:pt idx="4">
                  <c:v>Holiday</c:v>
                </c:pt>
                <c:pt idx="5">
                  <c:v>Word of mouth</c:v>
                </c:pt>
                <c:pt idx="6">
                  <c:v>Free/Good value*</c:v>
                </c:pt>
                <c:pt idx="7">
                  <c:v>Return visit</c:v>
                </c:pt>
                <c:pt idx="8">
                  <c:v>Curious</c:v>
                </c:pt>
                <c:pt idx="9">
                  <c:v>Filling time</c:v>
                </c:pt>
                <c:pt idx="10">
                  <c:v>Bringing children</c:v>
                </c:pt>
                <c:pt idx="11">
                  <c:v>Showing guests</c:v>
                </c:pt>
                <c:pt idx="12">
                  <c:v>Family time</c:v>
                </c:pt>
                <c:pt idx="13">
                  <c:v>Nearby</c:v>
                </c:pt>
                <c:pt idx="14">
                  <c:v>Event</c:v>
                </c:pt>
                <c:pt idx="15">
                  <c:v>Other</c:v>
                </c:pt>
              </c:strCache>
            </c:strRef>
          </c:cat>
          <c:val>
            <c:numRef>
              <c:f>Sheet1!$L$90:$L$105</c:f>
              <c:numCache>
                <c:formatCode>0%</c:formatCode>
                <c:ptCount val="16"/>
                <c:pt idx="0">
                  <c:v>0.14000000000000001</c:v>
                </c:pt>
                <c:pt idx="1">
                  <c:v>0.21</c:v>
                </c:pt>
                <c:pt idx="2">
                  <c:v>0.09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0.04</c:v>
                </c:pt>
                <c:pt idx="6">
                  <c:v>0.01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77-4B48-9ADA-218ACFBD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040896"/>
        <c:axId val="365041376"/>
      </c:barChart>
      <c:catAx>
        <c:axId val="36504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41376"/>
        <c:crosses val="autoZero"/>
        <c:auto val="1"/>
        <c:lblAlgn val="ctr"/>
        <c:lblOffset val="100"/>
        <c:noMultiLvlLbl val="0"/>
      </c:catAx>
      <c:valAx>
        <c:axId val="36504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</xdr:colOff>
      <xdr:row>86</xdr:row>
      <xdr:rowOff>0</xdr:rowOff>
    </xdr:from>
    <xdr:to>
      <xdr:col>20</xdr:col>
      <xdr:colOff>309562</xdr:colOff>
      <xdr:row>102</xdr:row>
      <xdr:rowOff>80962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4B66A44-1727-6FF3-C51B-8402DCA27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441960</xdr:colOff>
      <xdr:row>0</xdr:row>
      <xdr:rowOff>45721</xdr:rowOff>
    </xdr:from>
    <xdr:to>
      <xdr:col>15</xdr:col>
      <xdr:colOff>586740</xdr:colOff>
      <xdr:row>0</xdr:row>
      <xdr:rowOff>587286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466AB1-6642-36E0-40D4-CE31C2003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45721"/>
          <a:ext cx="1981200" cy="53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2200-9C4E-4D3D-9C15-54220CF85212}">
  <dimension ref="A1:Q136"/>
  <sheetViews>
    <sheetView tabSelected="1" topLeftCell="A106" workbookViewId="0">
      <selection activeCell="E139" sqref="E139"/>
    </sheetView>
  </sheetViews>
  <sheetFormatPr defaultRowHeight="14.4" x14ac:dyDescent="0.3"/>
  <cols>
    <col min="1" max="1" width="18.33203125" customWidth="1"/>
    <col min="2" max="2" width="8.88671875" style="1" bestFit="1" customWidth="1"/>
    <col min="3" max="3" width="9.109375" bestFit="1" customWidth="1"/>
    <col min="16" max="16" width="9.88671875" bestFit="1" customWidth="1"/>
    <col min="17" max="17" width="13.44140625" bestFit="1" customWidth="1"/>
    <col min="18" max="30" width="16.88671875" bestFit="1" customWidth="1"/>
    <col min="31" max="31" width="11.33203125" bestFit="1" customWidth="1"/>
    <col min="32" max="33" width="5.88671875" bestFit="1" customWidth="1"/>
    <col min="34" max="34" width="10.6640625" bestFit="1" customWidth="1"/>
    <col min="35" max="35" width="9.5546875" bestFit="1" customWidth="1"/>
    <col min="36" max="36" width="4.88671875" bestFit="1" customWidth="1"/>
    <col min="37" max="37" width="9.5546875" bestFit="1" customWidth="1"/>
    <col min="38" max="38" width="4.88671875" bestFit="1" customWidth="1"/>
    <col min="39" max="39" width="9.5546875" bestFit="1" customWidth="1"/>
    <col min="40" max="40" width="4.88671875" bestFit="1" customWidth="1"/>
    <col min="41" max="41" width="9.5546875" bestFit="1" customWidth="1"/>
    <col min="42" max="42" width="5.88671875" bestFit="1" customWidth="1"/>
    <col min="43" max="43" width="9.5546875" bestFit="1" customWidth="1"/>
    <col min="44" max="44" width="5.88671875" bestFit="1" customWidth="1"/>
    <col min="45" max="45" width="10.44140625" bestFit="1" customWidth="1"/>
    <col min="46" max="46" width="5.88671875" bestFit="1" customWidth="1"/>
    <col min="47" max="47" width="10.44140625" bestFit="1" customWidth="1"/>
    <col min="48" max="48" width="10.6640625" bestFit="1" customWidth="1"/>
  </cols>
  <sheetData>
    <row r="1" spans="1:16" ht="53.4" customHeight="1" x14ac:dyDescent="0.3">
      <c r="A1" s="13" t="s">
        <v>124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2" customFormat="1" x14ac:dyDescent="0.3">
      <c r="A2" s="2" t="s">
        <v>0</v>
      </c>
      <c r="B2" s="3" t="s">
        <v>15</v>
      </c>
      <c r="C2" s="2" t="s">
        <v>16</v>
      </c>
      <c r="D2" s="3" t="s">
        <v>17</v>
      </c>
      <c r="E2" s="2" t="s">
        <v>18</v>
      </c>
      <c r="F2" s="3" t="s">
        <v>19</v>
      </c>
      <c r="G2" s="2" t="s">
        <v>20</v>
      </c>
      <c r="H2" s="3" t="s">
        <v>21</v>
      </c>
      <c r="I2" s="2" t="s">
        <v>22</v>
      </c>
      <c r="J2" s="3" t="s">
        <v>23</v>
      </c>
      <c r="K2" s="2" t="s">
        <v>24</v>
      </c>
      <c r="L2" s="3" t="s">
        <v>25</v>
      </c>
      <c r="M2" s="2" t="s">
        <v>26</v>
      </c>
      <c r="N2" s="3" t="s">
        <v>27</v>
      </c>
      <c r="O2" s="2" t="s">
        <v>28</v>
      </c>
      <c r="P2" s="3" t="s">
        <v>29</v>
      </c>
    </row>
    <row r="3" spans="1:16" x14ac:dyDescent="0.3">
      <c r="A3" t="s">
        <v>1</v>
      </c>
      <c r="B3" s="1">
        <v>4.2000000000000003E-2</v>
      </c>
      <c r="C3" s="1">
        <v>4.3999999999999997E-2</v>
      </c>
      <c r="D3" s="1">
        <v>0.05</v>
      </c>
      <c r="E3" s="1">
        <v>0.05</v>
      </c>
      <c r="F3" s="10">
        <v>0.05</v>
      </c>
      <c r="G3" s="11">
        <v>0.08</v>
      </c>
      <c r="H3" s="1">
        <f>174/4532</f>
        <v>3.8393645189761696E-2</v>
      </c>
      <c r="I3" s="1">
        <v>0.05</v>
      </c>
      <c r="J3" s="1">
        <v>0.04</v>
      </c>
      <c r="K3" s="1">
        <v>0.05</v>
      </c>
      <c r="L3" s="1">
        <v>0.03</v>
      </c>
      <c r="M3" s="1"/>
      <c r="N3" s="1"/>
      <c r="O3" s="1">
        <v>0.03</v>
      </c>
      <c r="P3" s="1"/>
    </row>
    <row r="4" spans="1:16" x14ac:dyDescent="0.3">
      <c r="A4" t="s">
        <v>2</v>
      </c>
      <c r="B4" s="1">
        <v>6.4000000000000001E-2</v>
      </c>
      <c r="C4" s="1">
        <v>6.6000000000000003E-2</v>
      </c>
      <c r="D4" s="1">
        <v>0.06</v>
      </c>
      <c r="E4" s="1">
        <v>0.05</v>
      </c>
      <c r="F4" s="10">
        <v>7.0000000000000007E-2</v>
      </c>
      <c r="G4" s="11">
        <v>0.09</v>
      </c>
      <c r="H4" s="1">
        <f>278/3532</f>
        <v>7.8708946772366936E-2</v>
      </c>
      <c r="I4" s="1">
        <v>0.14000000000000001</v>
      </c>
      <c r="J4" s="1">
        <v>0.16</v>
      </c>
      <c r="K4" s="1">
        <v>0.08</v>
      </c>
      <c r="L4" s="1">
        <v>7.0000000000000007E-2</v>
      </c>
      <c r="M4" s="1"/>
      <c r="N4" s="1"/>
      <c r="O4" s="1">
        <v>0.05</v>
      </c>
      <c r="P4" s="1"/>
    </row>
    <row r="5" spans="1:16" x14ac:dyDescent="0.3">
      <c r="A5" t="s">
        <v>3</v>
      </c>
      <c r="B5" s="1">
        <v>8.7999999999999995E-2</v>
      </c>
      <c r="C5" s="1">
        <v>8.4000000000000005E-2</v>
      </c>
      <c r="D5" s="1">
        <v>0.1</v>
      </c>
      <c r="E5" s="1">
        <v>7.0000000000000007E-2</v>
      </c>
      <c r="F5" s="10">
        <v>0.08</v>
      </c>
      <c r="G5" s="11">
        <v>0.09</v>
      </c>
      <c r="H5" s="1">
        <f>319/3532</f>
        <v>9.0317100792751986E-2</v>
      </c>
      <c r="I5" s="1"/>
      <c r="J5" s="1"/>
      <c r="K5" s="1">
        <v>0.08</v>
      </c>
      <c r="L5" s="1">
        <v>7.0000000000000007E-2</v>
      </c>
      <c r="M5" s="1"/>
      <c r="N5" s="1"/>
      <c r="O5" s="1">
        <v>0.05</v>
      </c>
      <c r="P5" s="1"/>
    </row>
    <row r="6" spans="1:16" x14ac:dyDescent="0.3">
      <c r="A6" t="s">
        <v>4</v>
      </c>
      <c r="B6" s="1">
        <v>7.2999999999999995E-2</v>
      </c>
      <c r="C6" s="1">
        <v>8.2000000000000003E-2</v>
      </c>
      <c r="D6" s="1">
        <v>7.0000000000000007E-2</v>
      </c>
      <c r="E6" s="1">
        <v>7.0000000000000007E-2</v>
      </c>
      <c r="F6" s="10">
        <v>7.0000000000000007E-2</v>
      </c>
      <c r="G6" s="11">
        <v>0.09</v>
      </c>
      <c r="H6" s="1">
        <f>224/3532</f>
        <v>6.3420158550396372E-2</v>
      </c>
      <c r="I6" s="1">
        <v>0.1</v>
      </c>
      <c r="J6" s="1">
        <v>0.11</v>
      </c>
      <c r="K6" s="1">
        <v>0.06</v>
      </c>
      <c r="L6" s="1">
        <v>0.06</v>
      </c>
      <c r="M6" s="1"/>
      <c r="N6" s="1"/>
      <c r="O6" s="1">
        <v>0.05</v>
      </c>
      <c r="P6" s="1"/>
    </row>
    <row r="7" spans="1:16" x14ac:dyDescent="0.3">
      <c r="A7" t="s">
        <v>5</v>
      </c>
      <c r="B7" s="1">
        <v>7.1999999999999995E-2</v>
      </c>
      <c r="C7" s="1">
        <v>6.8000000000000005E-2</v>
      </c>
      <c r="D7" s="1">
        <v>7.0000000000000007E-2</v>
      </c>
      <c r="E7" s="1">
        <v>0.06</v>
      </c>
      <c r="F7" s="10">
        <v>0.05</v>
      </c>
      <c r="G7" s="11">
        <v>0.05</v>
      </c>
      <c r="H7" s="1">
        <f>160/3532</f>
        <v>4.5300113250283124E-2</v>
      </c>
      <c r="I7" s="1"/>
      <c r="J7" s="1"/>
      <c r="K7" s="1">
        <v>0.04</v>
      </c>
      <c r="L7" s="1">
        <v>0.06</v>
      </c>
      <c r="M7" s="1"/>
      <c r="N7" s="1"/>
      <c r="O7" s="1">
        <v>7.0000000000000007E-2</v>
      </c>
      <c r="P7" s="1"/>
    </row>
    <row r="8" spans="1:16" x14ac:dyDescent="0.3">
      <c r="A8" t="s">
        <v>6</v>
      </c>
      <c r="B8" s="1">
        <v>6.4000000000000001E-2</v>
      </c>
      <c r="C8" s="1">
        <v>5.7000000000000002E-2</v>
      </c>
      <c r="D8" s="1">
        <v>0.05</v>
      </c>
      <c r="E8" s="1">
        <v>7.0000000000000007E-2</v>
      </c>
      <c r="F8" s="10">
        <v>0.05</v>
      </c>
      <c r="G8" s="11">
        <v>0.05</v>
      </c>
      <c r="H8" s="1">
        <f>157/3532</f>
        <v>4.4450736126840314E-2</v>
      </c>
      <c r="I8" s="1">
        <v>0.1</v>
      </c>
      <c r="J8" s="1">
        <v>0.09</v>
      </c>
      <c r="K8" s="1">
        <v>0.05</v>
      </c>
      <c r="L8" s="1">
        <v>0.05</v>
      </c>
      <c r="M8" s="1"/>
      <c r="N8" s="1"/>
      <c r="O8" s="1">
        <v>7.0000000000000007E-2</v>
      </c>
      <c r="P8" s="1"/>
    </row>
    <row r="9" spans="1:16" x14ac:dyDescent="0.3">
      <c r="A9" t="s">
        <v>7</v>
      </c>
      <c r="B9" s="1">
        <v>0.05</v>
      </c>
      <c r="C9" s="1">
        <v>0.05</v>
      </c>
      <c r="D9" s="1">
        <v>0.05</v>
      </c>
      <c r="E9" s="1">
        <v>0.05</v>
      </c>
      <c r="F9" s="10">
        <v>0.05</v>
      </c>
      <c r="G9" s="11">
        <v>0.05</v>
      </c>
      <c r="H9" s="1">
        <f>178/3532</f>
        <v>5.0396375990939976E-2</v>
      </c>
      <c r="I9" s="1"/>
      <c r="J9" s="1"/>
      <c r="K9" s="1">
        <v>0.06</v>
      </c>
      <c r="L9" s="1">
        <v>0.06</v>
      </c>
      <c r="M9" s="1"/>
      <c r="N9" s="1"/>
      <c r="O9" s="1">
        <v>7.0000000000000007E-2</v>
      </c>
      <c r="P9" s="1"/>
    </row>
    <row r="10" spans="1:16" x14ac:dyDescent="0.3">
      <c r="A10" t="s">
        <v>8</v>
      </c>
      <c r="B10" s="1">
        <v>7.0999999999999994E-2</v>
      </c>
      <c r="C10" s="1">
        <v>7.9000000000000001E-2</v>
      </c>
      <c r="D10" s="1">
        <v>0.03</v>
      </c>
      <c r="E10" s="1">
        <v>7.0000000000000007E-2</v>
      </c>
      <c r="F10" s="10">
        <v>0.05</v>
      </c>
      <c r="G10" s="11">
        <v>0.06</v>
      </c>
      <c r="H10" s="1">
        <f>232/3532</f>
        <v>6.5685164212910527E-2</v>
      </c>
      <c r="I10" s="1">
        <v>0.16</v>
      </c>
      <c r="J10" s="1">
        <v>0.16</v>
      </c>
      <c r="K10" s="1">
        <v>7.0000000000000007E-2</v>
      </c>
      <c r="L10" s="1">
        <v>0.08</v>
      </c>
      <c r="M10" s="1"/>
      <c r="N10" s="1"/>
      <c r="O10" s="1">
        <v>0.08</v>
      </c>
      <c r="P10" s="1"/>
    </row>
    <row r="11" spans="1:16" x14ac:dyDescent="0.3">
      <c r="A11" t="s">
        <v>9</v>
      </c>
      <c r="B11" s="1">
        <v>6.4000000000000001E-2</v>
      </c>
      <c r="C11" s="1">
        <v>6.9000000000000006E-2</v>
      </c>
      <c r="D11" s="1">
        <v>0.08</v>
      </c>
      <c r="E11" s="1">
        <v>0.09</v>
      </c>
      <c r="F11" s="10">
        <v>0.09</v>
      </c>
      <c r="G11" s="11">
        <v>0.09</v>
      </c>
      <c r="H11" s="1">
        <f>277/3532</f>
        <v>7.8425821064552662E-2</v>
      </c>
      <c r="I11" s="1"/>
      <c r="J11" s="1"/>
      <c r="K11" s="1">
        <v>0.08</v>
      </c>
      <c r="L11" s="1">
        <v>0.09</v>
      </c>
      <c r="M11" s="1"/>
      <c r="N11" s="1"/>
      <c r="O11" s="1">
        <v>0.1</v>
      </c>
      <c r="P11" s="1"/>
    </row>
    <row r="12" spans="1:16" x14ac:dyDescent="0.3">
      <c r="A12" t="s">
        <v>10</v>
      </c>
      <c r="B12" s="1">
        <v>9.7000000000000003E-2</v>
      </c>
      <c r="C12" s="1">
        <v>0.113</v>
      </c>
      <c r="D12" s="1">
        <v>7.0000000000000007E-2</v>
      </c>
      <c r="E12" s="1">
        <v>0.1</v>
      </c>
      <c r="F12" s="10">
        <v>0.13</v>
      </c>
      <c r="G12" s="11">
        <v>0.1</v>
      </c>
      <c r="H12" s="1">
        <f>442/3532</f>
        <v>0.12514156285390712</v>
      </c>
      <c r="I12" s="1">
        <v>0.28000000000000003</v>
      </c>
      <c r="J12" s="1">
        <v>0.28000000000000003</v>
      </c>
      <c r="K12" s="1">
        <v>0.13</v>
      </c>
      <c r="L12" s="1">
        <v>0.12</v>
      </c>
      <c r="M12" s="1"/>
      <c r="N12" s="1"/>
      <c r="O12" s="1">
        <v>0.15</v>
      </c>
      <c r="P12" s="1"/>
    </row>
    <row r="13" spans="1:16" x14ac:dyDescent="0.3">
      <c r="A13" t="s">
        <v>11</v>
      </c>
      <c r="B13" s="1">
        <v>0.11700000000000001</v>
      </c>
      <c r="C13" s="1">
        <v>0.114</v>
      </c>
      <c r="D13" s="1">
        <v>0.14000000000000001</v>
      </c>
      <c r="E13" s="1">
        <v>0.12</v>
      </c>
      <c r="F13" s="10">
        <v>0.14000000000000001</v>
      </c>
      <c r="G13" s="11">
        <v>0.11</v>
      </c>
      <c r="H13" s="1">
        <f>499/3532</f>
        <v>0.1412797281993205</v>
      </c>
      <c r="I13" s="1"/>
      <c r="J13" s="1"/>
      <c r="K13" s="1">
        <v>0.15</v>
      </c>
      <c r="L13" s="1">
        <v>0.14000000000000001</v>
      </c>
      <c r="M13" s="1"/>
      <c r="N13" s="1"/>
      <c r="O13" s="1">
        <v>0.14000000000000001</v>
      </c>
      <c r="P13" s="1"/>
    </row>
    <row r="14" spans="1:16" x14ac:dyDescent="0.3">
      <c r="A14" t="s">
        <v>12</v>
      </c>
      <c r="B14" s="1">
        <v>0.113</v>
      </c>
      <c r="C14" s="1">
        <v>0.09</v>
      </c>
      <c r="D14" s="1">
        <v>0.12</v>
      </c>
      <c r="E14" s="1">
        <v>0.12</v>
      </c>
      <c r="F14" s="10">
        <v>0.1</v>
      </c>
      <c r="G14" s="11">
        <v>0.11</v>
      </c>
      <c r="H14" s="1">
        <f>350/3532</f>
        <v>9.9093997734994332E-2</v>
      </c>
      <c r="I14" s="1">
        <v>0.15</v>
      </c>
      <c r="J14" s="1">
        <v>0.13</v>
      </c>
      <c r="K14" s="1">
        <v>0.09</v>
      </c>
      <c r="L14" s="1">
        <v>0.09</v>
      </c>
      <c r="M14" s="1"/>
      <c r="N14" s="1"/>
      <c r="O14" s="1">
        <v>0.08</v>
      </c>
      <c r="P14" s="1"/>
    </row>
    <row r="15" spans="1:16" x14ac:dyDescent="0.3">
      <c r="A15" t="s">
        <v>13</v>
      </c>
      <c r="B15" s="1">
        <v>4.7E-2</v>
      </c>
      <c r="C15" s="1">
        <v>5.3999999999999999E-2</v>
      </c>
      <c r="D15" s="1">
        <v>0.08</v>
      </c>
      <c r="E15" s="1">
        <v>0.06</v>
      </c>
      <c r="F15" s="10">
        <v>0.05</v>
      </c>
      <c r="G15" s="11">
        <v>0.03</v>
      </c>
      <c r="H15" s="1">
        <f>164/3532</f>
        <v>4.6432616081540201E-2</v>
      </c>
      <c r="I15" s="1"/>
      <c r="J15" s="1"/>
      <c r="K15" s="1">
        <v>0.04</v>
      </c>
      <c r="L15" s="1">
        <v>0.03</v>
      </c>
      <c r="M15" s="1"/>
      <c r="N15" s="1"/>
      <c r="O15" s="1">
        <v>0.03</v>
      </c>
      <c r="P15" s="1"/>
    </row>
    <row r="16" spans="1:16" x14ac:dyDescent="0.3">
      <c r="A16" t="s">
        <v>14</v>
      </c>
      <c r="B16" s="1">
        <v>3.4000000000000002E-2</v>
      </c>
      <c r="C16" s="1">
        <v>2.3E-2</v>
      </c>
      <c r="D16" s="1">
        <v>0.02</v>
      </c>
      <c r="E16" s="1">
        <v>0.02</v>
      </c>
      <c r="F16" s="10">
        <v>0.02</v>
      </c>
      <c r="G16" s="11">
        <v>0.02</v>
      </c>
      <c r="H16" s="1">
        <f>78/3532</f>
        <v>2.2083805209513023E-2</v>
      </c>
      <c r="I16" s="1">
        <v>0.02</v>
      </c>
      <c r="J16" s="1">
        <v>0.02</v>
      </c>
      <c r="K16" s="1">
        <v>0.02</v>
      </c>
      <c r="L16" s="1">
        <v>0.02</v>
      </c>
      <c r="M16" s="1"/>
      <c r="N16" s="1"/>
      <c r="O16" s="1">
        <v>0.02</v>
      </c>
      <c r="P16" s="1"/>
    </row>
    <row r="18" spans="1:16" x14ac:dyDescent="0.3">
      <c r="A18" t="s">
        <v>30</v>
      </c>
      <c r="B18" s="3" t="s">
        <v>15</v>
      </c>
      <c r="C18" s="2" t="s">
        <v>16</v>
      </c>
      <c r="D18" s="3" t="s">
        <v>17</v>
      </c>
      <c r="E18" s="2" t="s">
        <v>18</v>
      </c>
      <c r="F18" s="3" t="s">
        <v>19</v>
      </c>
      <c r="G18" s="2" t="s">
        <v>20</v>
      </c>
      <c r="H18" s="3" t="s">
        <v>21</v>
      </c>
      <c r="I18" s="2" t="s">
        <v>22</v>
      </c>
      <c r="J18" s="3" t="s">
        <v>23</v>
      </c>
      <c r="K18" s="2" t="s">
        <v>24</v>
      </c>
      <c r="L18" s="3" t="s">
        <v>25</v>
      </c>
      <c r="M18" s="2" t="s">
        <v>26</v>
      </c>
      <c r="N18" s="3" t="s">
        <v>27</v>
      </c>
      <c r="O18" s="2" t="s">
        <v>28</v>
      </c>
      <c r="P18" s="3" t="s">
        <v>29</v>
      </c>
    </row>
    <row r="19" spans="1:16" x14ac:dyDescent="0.3">
      <c r="A19" t="s">
        <v>32</v>
      </c>
      <c r="B19" s="1">
        <v>0.39</v>
      </c>
      <c r="C19" s="1">
        <v>0.36</v>
      </c>
      <c r="D19" s="1">
        <v>0.34</v>
      </c>
      <c r="E19" s="1">
        <v>0.37</v>
      </c>
      <c r="F19" s="1">
        <v>0.4</v>
      </c>
      <c r="G19" s="1">
        <v>0.4</v>
      </c>
      <c r="H19" s="1">
        <v>0.4</v>
      </c>
      <c r="I19" s="1">
        <v>0.42</v>
      </c>
      <c r="J19" s="1">
        <v>0.42</v>
      </c>
      <c r="K19" s="1">
        <f>SUM(801/1888)</f>
        <v>0.42425847457627119</v>
      </c>
      <c r="L19" s="1">
        <v>0.39</v>
      </c>
      <c r="M19" s="1"/>
      <c r="N19" s="1"/>
      <c r="O19" s="1">
        <v>0.46</v>
      </c>
      <c r="P19" s="1"/>
    </row>
    <row r="20" spans="1:16" x14ac:dyDescent="0.3">
      <c r="A20" t="s">
        <v>31</v>
      </c>
      <c r="B20" s="1">
        <v>0.59</v>
      </c>
      <c r="C20" s="1">
        <v>0.61</v>
      </c>
      <c r="D20" s="1">
        <v>0.65</v>
      </c>
      <c r="E20" s="1">
        <v>0.63</v>
      </c>
      <c r="F20" s="1">
        <v>0.59</v>
      </c>
      <c r="G20" s="1">
        <v>0.59</v>
      </c>
      <c r="H20" s="1">
        <v>0.59</v>
      </c>
      <c r="I20" s="1">
        <v>0.57999999999999996</v>
      </c>
      <c r="J20" s="1">
        <v>0.57999999999999996</v>
      </c>
      <c r="K20" s="1">
        <f>SUM(1087/1888)</f>
        <v>0.57574152542372881</v>
      </c>
      <c r="L20" s="1">
        <v>0.53</v>
      </c>
      <c r="M20" s="1"/>
      <c r="N20" s="1"/>
      <c r="O20" s="1">
        <v>0.54</v>
      </c>
      <c r="P20" s="1"/>
    </row>
    <row r="21" spans="1:16" x14ac:dyDescent="0.3">
      <c r="A21" t="s">
        <v>33</v>
      </c>
      <c r="B21" s="1">
        <v>0.01</v>
      </c>
      <c r="C21" s="1">
        <v>5.0000000000000001E-3</v>
      </c>
      <c r="D21" s="1">
        <v>0</v>
      </c>
      <c r="E21" s="1">
        <v>0</v>
      </c>
      <c r="F21" s="1"/>
      <c r="G21" s="1"/>
      <c r="H21" s="1"/>
      <c r="I21" s="1"/>
      <c r="J21" s="1"/>
      <c r="K21" s="1"/>
      <c r="L21" s="1">
        <v>0.08</v>
      </c>
      <c r="M21" s="1"/>
      <c r="N21" s="1"/>
      <c r="O21" s="1"/>
      <c r="P21" s="1"/>
    </row>
    <row r="22" spans="1:16" x14ac:dyDescent="0.3">
      <c r="A22" t="s">
        <v>34</v>
      </c>
      <c r="B22" s="1">
        <v>0.01</v>
      </c>
      <c r="C22" s="1">
        <v>1.4999999999999999E-2</v>
      </c>
      <c r="D22" s="1">
        <v>0.01</v>
      </c>
      <c r="E22" s="1">
        <v>0</v>
      </c>
      <c r="F22" s="1">
        <v>0.01</v>
      </c>
      <c r="G22" s="1">
        <v>0.01</v>
      </c>
      <c r="H22" s="1">
        <v>0.01</v>
      </c>
      <c r="I22" s="1">
        <v>2.8E-3</v>
      </c>
      <c r="J22" s="1"/>
      <c r="K22" s="1"/>
      <c r="L22" s="1"/>
      <c r="M22" s="1"/>
      <c r="N22" s="1"/>
      <c r="O22" s="1"/>
      <c r="P22" s="1"/>
    </row>
    <row r="24" spans="1:16" x14ac:dyDescent="0.3">
      <c r="A24" t="s">
        <v>35</v>
      </c>
      <c r="B24" s="3" t="s">
        <v>15</v>
      </c>
      <c r="C24" s="2" t="s">
        <v>16</v>
      </c>
      <c r="D24" s="3" t="s">
        <v>17</v>
      </c>
      <c r="E24" s="2" t="s">
        <v>18</v>
      </c>
      <c r="F24" s="3" t="s">
        <v>19</v>
      </c>
      <c r="G24" s="2" t="s">
        <v>20</v>
      </c>
      <c r="H24" s="3" t="s">
        <v>21</v>
      </c>
      <c r="I24" s="2" t="s">
        <v>22</v>
      </c>
      <c r="J24" s="3" t="s">
        <v>23</v>
      </c>
      <c r="K24" s="2" t="s">
        <v>24</v>
      </c>
      <c r="L24" s="3" t="s">
        <v>25</v>
      </c>
      <c r="M24" s="2" t="s">
        <v>26</v>
      </c>
      <c r="N24" s="3" t="s">
        <v>27</v>
      </c>
      <c r="O24" s="2" t="s">
        <v>28</v>
      </c>
      <c r="P24" s="3" t="s">
        <v>29</v>
      </c>
    </row>
    <row r="25" spans="1:16" x14ac:dyDescent="0.3">
      <c r="A25" t="s">
        <v>36</v>
      </c>
      <c r="B25" s="1">
        <v>0.66</v>
      </c>
      <c r="C25" s="1">
        <v>0.66</v>
      </c>
      <c r="D25" s="1">
        <v>0.95</v>
      </c>
      <c r="E25" s="1">
        <v>0.97</v>
      </c>
      <c r="F25" s="1">
        <v>0.54</v>
      </c>
      <c r="G25" s="1">
        <v>0.57999999999999996</v>
      </c>
      <c r="H25" s="1">
        <v>0.55000000000000004</v>
      </c>
      <c r="I25" s="1">
        <v>0.49</v>
      </c>
      <c r="J25" s="1">
        <v>0.53</v>
      </c>
      <c r="K25" s="1">
        <v>0.63</v>
      </c>
      <c r="L25" s="1">
        <v>0.56000000000000005</v>
      </c>
      <c r="M25" s="1"/>
      <c r="N25" s="1"/>
      <c r="O25" s="1">
        <v>0.56000000000000005</v>
      </c>
      <c r="P25" s="1"/>
    </row>
    <row r="26" spans="1:16" x14ac:dyDescent="0.3">
      <c r="A26" t="s">
        <v>104</v>
      </c>
      <c r="B26" s="1">
        <v>0.33</v>
      </c>
      <c r="C26" s="1">
        <v>0.34</v>
      </c>
      <c r="D26" s="1">
        <v>0.05</v>
      </c>
      <c r="E26" s="1">
        <v>0.03</v>
      </c>
      <c r="F26" s="1">
        <v>0.46</v>
      </c>
      <c r="G26" s="1">
        <v>0.42</v>
      </c>
      <c r="H26" s="1">
        <v>0.45</v>
      </c>
      <c r="I26" s="1">
        <v>0.51</v>
      </c>
      <c r="J26" s="1">
        <v>0.47</v>
      </c>
      <c r="K26" s="1">
        <v>0.37</v>
      </c>
      <c r="L26" s="1">
        <v>0.39</v>
      </c>
      <c r="M26" s="1"/>
      <c r="N26" s="1"/>
      <c r="O26" s="1">
        <v>0.44</v>
      </c>
      <c r="P26" s="1"/>
    </row>
    <row r="27" spans="1:16" x14ac:dyDescent="0.3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3">
      <c r="A28" t="s">
        <v>37</v>
      </c>
      <c r="B28" s="1">
        <f>SUM(34/100*24)/100</f>
        <v>8.1600000000000006E-2</v>
      </c>
      <c r="C28" s="1">
        <f>SUM(34/100*24.5)/100</f>
        <v>8.3299999999999999E-2</v>
      </c>
      <c r="D28" s="10" t="s">
        <v>119</v>
      </c>
      <c r="E28" s="1">
        <f>SUM(3/100*11)/100</f>
        <v>3.2999999999999995E-3</v>
      </c>
      <c r="F28" s="1">
        <f>SUM(46/100*27)/100</f>
        <v>0.1242</v>
      </c>
      <c r="G28" s="1">
        <f>SUM(42/100*23)/100</f>
        <v>9.6600000000000005E-2</v>
      </c>
      <c r="H28" s="1">
        <f>SUM(45/100*18)/100</f>
        <v>8.1000000000000003E-2</v>
      </c>
      <c r="I28" s="1">
        <f>SUM(51/100*24)/100</f>
        <v>0.12240000000000001</v>
      </c>
      <c r="J28" s="1">
        <f>SUM(47/100*22)/100</f>
        <v>0.10339999999999999</v>
      </c>
      <c r="K28" s="1"/>
      <c r="L28" s="1"/>
      <c r="M28" s="1"/>
      <c r="N28" s="1"/>
      <c r="O28" s="1">
        <f>SUM(44/100*29)/100</f>
        <v>0.12759999999999999</v>
      </c>
      <c r="P28" s="1"/>
    </row>
    <row r="29" spans="1:16" x14ac:dyDescent="0.3">
      <c r="A29" t="s">
        <v>38</v>
      </c>
      <c r="B29" s="1">
        <f>SUM(34/100*2)/100</f>
        <v>6.8000000000000005E-3</v>
      </c>
      <c r="C29" s="1">
        <f>SUM(34/100*1)/100</f>
        <v>3.4000000000000002E-3</v>
      </c>
      <c r="D29" s="10"/>
      <c r="E29" s="10"/>
      <c r="F29" s="1"/>
      <c r="G29" s="1">
        <v>0</v>
      </c>
      <c r="H29" s="1">
        <f>SUM(45/100*0.5)/100</f>
        <v>2.2500000000000003E-3</v>
      </c>
      <c r="I29" s="1">
        <v>0</v>
      </c>
      <c r="J29" s="1"/>
      <c r="K29" s="1"/>
      <c r="L29" s="1"/>
      <c r="M29" s="1"/>
      <c r="N29" s="1"/>
      <c r="O29" s="1"/>
      <c r="P29" s="1"/>
    </row>
    <row r="30" spans="1:16" x14ac:dyDescent="0.3">
      <c r="A30" t="s">
        <v>39</v>
      </c>
      <c r="B30" s="1">
        <f>SUM(34/100*19)/100</f>
        <v>6.4600000000000005E-2</v>
      </c>
      <c r="C30" s="1">
        <f>SUM(34/100*23)/100</f>
        <v>7.8200000000000006E-2</v>
      </c>
      <c r="D30" s="10"/>
      <c r="E30" s="1">
        <f>SUM(3/100*25)/100</f>
        <v>7.4999999999999997E-3</v>
      </c>
      <c r="F30" s="1">
        <f>SUM(46/100*29)/100</f>
        <v>0.13339999999999999</v>
      </c>
      <c r="G30" s="1">
        <f>SUM(42/100*20)/100</f>
        <v>8.4000000000000005E-2</v>
      </c>
      <c r="H30" s="1">
        <f>SUM(45/100*27.7)/100</f>
        <v>0.12465</v>
      </c>
      <c r="I30" s="1">
        <f>SUM(51/100*25)/100</f>
        <v>0.1275</v>
      </c>
      <c r="J30" s="1">
        <f>SUM(47/100*30)/100</f>
        <v>0.14099999999999999</v>
      </c>
      <c r="K30" s="1"/>
      <c r="L30" s="1"/>
      <c r="M30" s="1"/>
      <c r="N30" s="1"/>
      <c r="O30" s="1">
        <f>SUM(44/100*38.9)/100</f>
        <v>0.17116000000000001</v>
      </c>
      <c r="P30" s="1"/>
    </row>
    <row r="31" spans="1:16" x14ac:dyDescent="0.3">
      <c r="A31" t="s">
        <v>40</v>
      </c>
      <c r="B31" s="1">
        <f>SUM(34/100*13)/100</f>
        <v>4.4199999999999996E-2</v>
      </c>
      <c r="C31" s="1">
        <f>SUM(34/100*13)/100</f>
        <v>4.4199999999999996E-2</v>
      </c>
      <c r="D31" s="10"/>
      <c r="E31" s="1">
        <f t="shared" ref="E31" si="0">SUM(3/100*29)/100</f>
        <v>8.6999999999999994E-3</v>
      </c>
      <c r="F31" s="1">
        <f>SUM(46/100*16)/100</f>
        <v>7.3599999999999999E-2</v>
      </c>
      <c r="G31" s="1">
        <f>SUM(42/100*15)/100</f>
        <v>6.3E-2</v>
      </c>
      <c r="H31" s="1">
        <f>SUM(45/100*14.8)/100</f>
        <v>6.6600000000000006E-2</v>
      </c>
      <c r="I31" s="1">
        <f>SUM(51/100*24)/100</f>
        <v>0.12240000000000001</v>
      </c>
      <c r="J31" s="1">
        <f>SUM(47/100*19)/100</f>
        <v>8.929999999999999E-2</v>
      </c>
      <c r="K31" s="1"/>
      <c r="L31" s="1"/>
      <c r="M31" s="1"/>
      <c r="N31" s="1"/>
      <c r="O31" s="1">
        <f>SUM(44/100*7.3)/100</f>
        <v>3.2119999999999996E-2</v>
      </c>
      <c r="P31" s="1"/>
    </row>
    <row r="32" spans="1:16" x14ac:dyDescent="0.3">
      <c r="A32" t="s">
        <v>41</v>
      </c>
      <c r="B32" s="1">
        <f>SUM(34/100*6)/100</f>
        <v>2.0400000000000001E-2</v>
      </c>
      <c r="C32" s="1">
        <f>SUM(34/100*4.4)/100</f>
        <v>1.4960000000000003E-2</v>
      </c>
      <c r="D32" s="10"/>
      <c r="E32" s="1">
        <f>SUM(3/100*3)/100</f>
        <v>8.9999999999999998E-4</v>
      </c>
      <c r="F32" s="1">
        <f>SUM(46/100*5)/100</f>
        <v>2.3000000000000003E-2</v>
      </c>
      <c r="G32" s="1">
        <f>SUM(42/100*5)/100</f>
        <v>2.1000000000000001E-2</v>
      </c>
      <c r="H32" s="1">
        <f>SUM(45/100*6.2)/100</f>
        <v>2.7900000000000001E-2</v>
      </c>
      <c r="I32" s="1">
        <v>0</v>
      </c>
      <c r="K32" s="1"/>
      <c r="L32" s="1"/>
      <c r="M32" s="1"/>
      <c r="N32" s="1"/>
      <c r="O32" s="1">
        <f>SUM(44/100*4.6)/100</f>
        <v>2.0240000000000001E-2</v>
      </c>
      <c r="P32" s="1"/>
    </row>
    <row r="33" spans="1:16" x14ac:dyDescent="0.3">
      <c r="A33" t="s">
        <v>115</v>
      </c>
      <c r="B33" s="1">
        <f>SUM(34/100*2)/100</f>
        <v>6.8000000000000005E-3</v>
      </c>
      <c r="C33" s="1">
        <f>SUM(34/100*2.7)/100</f>
        <v>9.1800000000000007E-3</v>
      </c>
      <c r="D33" s="10"/>
      <c r="E33" s="1">
        <f>SUM(3/100*6)/100</f>
        <v>1.8E-3</v>
      </c>
      <c r="F33" s="1">
        <f>SUM(46/100*3)/100</f>
        <v>1.3800000000000002E-2</v>
      </c>
      <c r="G33" s="1">
        <f>SUM(42/100*6)/100</f>
        <v>2.52E-2</v>
      </c>
      <c r="H33" s="1">
        <f>SUM(45/100*5)/100</f>
        <v>2.2499999999999999E-2</v>
      </c>
      <c r="I33" s="1">
        <f>SUM(51/100*4)/100</f>
        <v>2.0400000000000001E-2</v>
      </c>
      <c r="J33" s="1">
        <f>SUM(47/100*4)/100</f>
        <v>1.8799999999999997E-2</v>
      </c>
      <c r="K33" s="1"/>
      <c r="L33" s="1"/>
      <c r="M33" s="1"/>
      <c r="N33" s="1"/>
      <c r="O33" s="1">
        <f>SUM(44/100*2)/100</f>
        <v>8.8000000000000005E-3</v>
      </c>
      <c r="P33" s="1"/>
    </row>
    <row r="34" spans="1:16" x14ac:dyDescent="0.3">
      <c r="A34" t="s">
        <v>42</v>
      </c>
      <c r="B34" s="1">
        <f>SUM(34/100*20)/100</f>
        <v>6.8000000000000005E-2</v>
      </c>
      <c r="C34" s="1">
        <f>SUM(34/100*18.76)/100</f>
        <v>6.3784000000000007E-2</v>
      </c>
      <c r="D34" s="10"/>
      <c r="E34" s="1">
        <f>SUM(3/100*25)/100</f>
        <v>7.4999999999999997E-3</v>
      </c>
      <c r="F34" s="1">
        <f>SUM(46/100*18)/100</f>
        <v>8.2800000000000012E-2</v>
      </c>
      <c r="G34" s="1">
        <f>SUM(42/100*28)/100</f>
        <v>0.1176</v>
      </c>
      <c r="H34" s="1">
        <f>SUM(45/100*25.7)/100</f>
        <v>0.11564999999999999</v>
      </c>
      <c r="I34" s="1">
        <f>SUM(51/100*21)/100</f>
        <v>0.10710000000000001</v>
      </c>
      <c r="J34" s="1">
        <f>SUM(47/100*22)/100</f>
        <v>0.10339999999999999</v>
      </c>
      <c r="K34" s="1"/>
      <c r="L34" s="1"/>
      <c r="M34" s="1"/>
      <c r="N34" s="1"/>
      <c r="O34" s="1">
        <f>SUM(44/100*11.7)/100</f>
        <v>5.1479999999999998E-2</v>
      </c>
      <c r="P34" s="1"/>
    </row>
    <row r="35" spans="1:16" x14ac:dyDescent="0.3">
      <c r="A35" t="s">
        <v>43</v>
      </c>
      <c r="B35" s="1">
        <f>SUM(34/100*13)/100</f>
        <v>4.4199999999999996E-2</v>
      </c>
      <c r="C35" s="1">
        <f>SUM(34/100*9.4)/100</f>
        <v>3.1960000000000002E-2</v>
      </c>
      <c r="D35" s="10"/>
      <c r="E35" s="1">
        <f>SUM(3/100*2)/100</f>
        <v>5.9999999999999995E-4</v>
      </c>
      <c r="F35" s="1">
        <f>SUM(46/100*1)/100</f>
        <v>4.5999999999999999E-3</v>
      </c>
      <c r="G35" s="1">
        <f>SUM(42/100*3)/100</f>
        <v>1.26E-2</v>
      </c>
      <c r="H35" s="1">
        <f>SUM(45/100*2.1)/100</f>
        <v>9.4500000000000001E-3</v>
      </c>
      <c r="I35" s="1">
        <f>SUM(51/100*2)/100</f>
        <v>1.0200000000000001E-2</v>
      </c>
      <c r="J35" s="1">
        <f>SUM(47/100*2)/100</f>
        <v>9.3999999999999986E-3</v>
      </c>
      <c r="K35" s="1"/>
      <c r="L35" s="1"/>
      <c r="M35" s="1"/>
      <c r="N35" s="1"/>
      <c r="O35" s="1">
        <v>0.03</v>
      </c>
      <c r="P35" s="1"/>
    </row>
    <row r="37" spans="1:16" x14ac:dyDescent="0.3">
      <c r="A37" t="s">
        <v>65</v>
      </c>
      <c r="B37" s="3" t="s">
        <v>15</v>
      </c>
      <c r="C37" s="2" t="s">
        <v>16</v>
      </c>
      <c r="D37" s="3" t="s">
        <v>17</v>
      </c>
      <c r="E37" s="2" t="s">
        <v>18</v>
      </c>
      <c r="F37" s="3" t="s">
        <v>19</v>
      </c>
      <c r="G37" s="2" t="s">
        <v>20</v>
      </c>
      <c r="H37" s="3" t="s">
        <v>21</v>
      </c>
      <c r="I37" s="2" t="s">
        <v>22</v>
      </c>
      <c r="J37" s="3" t="s">
        <v>23</v>
      </c>
      <c r="K37" s="2" t="s">
        <v>24</v>
      </c>
      <c r="L37" s="3" t="s">
        <v>25</v>
      </c>
      <c r="M37" s="2" t="s">
        <v>26</v>
      </c>
      <c r="N37" s="3" t="s">
        <v>27</v>
      </c>
      <c r="O37" s="2" t="s">
        <v>28</v>
      </c>
      <c r="P37" s="3" t="s">
        <v>29</v>
      </c>
    </row>
    <row r="38" spans="1:16" x14ac:dyDescent="0.3">
      <c r="A38" t="s">
        <v>66</v>
      </c>
      <c r="B38" s="5">
        <v>0.8</v>
      </c>
      <c r="C38" s="7">
        <v>0.57999999999999996</v>
      </c>
      <c r="D38" s="6">
        <v>0.71</v>
      </c>
      <c r="E38" s="6">
        <v>0.8</v>
      </c>
      <c r="F38" s="6">
        <v>0.88</v>
      </c>
      <c r="G38" s="6">
        <v>0.77</v>
      </c>
      <c r="H38" s="6">
        <v>0.76</v>
      </c>
      <c r="I38" s="6">
        <v>0.79</v>
      </c>
      <c r="J38" s="6">
        <v>0.76</v>
      </c>
      <c r="K38" s="6">
        <f>SUM(990/1287)</f>
        <v>0.76923076923076927</v>
      </c>
      <c r="L38" s="6">
        <f>1637/2155</f>
        <v>0.75962877030162412</v>
      </c>
      <c r="M38" s="6"/>
      <c r="N38" s="6"/>
      <c r="O38" s="6">
        <v>0.79</v>
      </c>
      <c r="P38" s="6"/>
    </row>
    <row r="39" spans="1:16" x14ac:dyDescent="0.3">
      <c r="A39" t="s">
        <v>67</v>
      </c>
      <c r="B39" s="5">
        <v>0.08</v>
      </c>
      <c r="C39" s="7">
        <v>0.115</v>
      </c>
      <c r="D39" s="6">
        <v>0.11</v>
      </c>
      <c r="E39" s="6">
        <v>0.11</v>
      </c>
      <c r="F39" s="6">
        <v>0.08</v>
      </c>
      <c r="G39" s="6">
        <v>0.11</v>
      </c>
      <c r="H39" s="6">
        <v>7.0000000000000007E-2</v>
      </c>
      <c r="I39" s="6">
        <v>0.09</v>
      </c>
      <c r="J39" s="6">
        <v>7.0000000000000007E-2</v>
      </c>
      <c r="K39" s="6">
        <f>SUM(88/1287)</f>
        <v>6.8376068376068383E-2</v>
      </c>
      <c r="L39" s="6">
        <f>156/2155</f>
        <v>7.2389791183294666E-2</v>
      </c>
      <c r="M39" s="6"/>
      <c r="N39" s="6"/>
      <c r="O39" s="6">
        <v>0.09</v>
      </c>
      <c r="P39" s="6"/>
    </row>
    <row r="40" spans="1:16" x14ac:dyDescent="0.3">
      <c r="A40" t="s">
        <v>68</v>
      </c>
      <c r="B40" s="5">
        <v>0.03</v>
      </c>
      <c r="C40" s="7">
        <v>2.1999999999999999E-2</v>
      </c>
      <c r="D40" s="6">
        <v>0.01</v>
      </c>
      <c r="E40" s="6">
        <v>0.02</v>
      </c>
      <c r="F40" s="6">
        <v>0.03</v>
      </c>
      <c r="G40" s="6">
        <v>0.02</v>
      </c>
      <c r="H40" s="6">
        <v>0.03</v>
      </c>
      <c r="I40" s="6">
        <v>0.01</v>
      </c>
      <c r="J40" s="6">
        <v>0.02</v>
      </c>
      <c r="K40" s="6">
        <f>SUM(22/1287)</f>
        <v>1.7094017094017096E-2</v>
      </c>
      <c r="L40" s="6">
        <f>37/2155</f>
        <v>1.7169373549883991E-2</v>
      </c>
      <c r="M40" s="6"/>
      <c r="N40" s="6"/>
      <c r="O40" s="6">
        <v>1.4999999999999999E-2</v>
      </c>
      <c r="P40" s="6"/>
    </row>
    <row r="41" spans="1:16" x14ac:dyDescent="0.3">
      <c r="A41" t="s">
        <v>69</v>
      </c>
      <c r="B41" s="5">
        <v>0.06</v>
      </c>
      <c r="C41" s="7">
        <v>2.4E-2</v>
      </c>
      <c r="D41" s="6">
        <v>0.02</v>
      </c>
      <c r="E41" s="6">
        <v>0.03</v>
      </c>
      <c r="F41" s="6">
        <v>0.03</v>
      </c>
      <c r="G41" s="6">
        <v>0.02</v>
      </c>
      <c r="H41" s="6">
        <v>0.02</v>
      </c>
      <c r="I41" s="6">
        <v>0.04</v>
      </c>
      <c r="J41" s="6">
        <v>0.03</v>
      </c>
      <c r="K41" s="6">
        <v>0</v>
      </c>
      <c r="L41" s="6">
        <f>58/2155</f>
        <v>2.6914153132250582E-2</v>
      </c>
      <c r="M41" s="6"/>
      <c r="N41" s="6"/>
      <c r="O41" s="6">
        <v>0.01</v>
      </c>
      <c r="P41" s="6"/>
    </row>
    <row r="42" spans="1:16" x14ac:dyDescent="0.3">
      <c r="A42" t="s">
        <v>70</v>
      </c>
      <c r="B42" s="5">
        <v>0.02</v>
      </c>
      <c r="C42" s="7">
        <v>1.7999999999999999E-2</v>
      </c>
      <c r="D42" s="6">
        <v>0.02</v>
      </c>
      <c r="E42" s="6">
        <v>0.02</v>
      </c>
      <c r="F42" s="6">
        <v>0.01</v>
      </c>
      <c r="G42" s="6">
        <v>0.01</v>
      </c>
      <c r="H42" s="6">
        <v>0.01</v>
      </c>
      <c r="I42" s="6">
        <v>0.01</v>
      </c>
      <c r="J42" s="6">
        <v>0.01</v>
      </c>
      <c r="K42" s="6">
        <f>SUM(3/1287)</f>
        <v>2.331002331002331E-3</v>
      </c>
      <c r="L42" s="6">
        <f>21/2155</f>
        <v>9.7447795823665893E-3</v>
      </c>
      <c r="M42" s="6"/>
      <c r="N42" s="6"/>
      <c r="O42" s="6">
        <v>2E-3</v>
      </c>
      <c r="P42" s="6"/>
    </row>
    <row r="43" spans="1:16" x14ac:dyDescent="0.3">
      <c r="A43" t="s">
        <v>43</v>
      </c>
      <c r="B43" s="5">
        <v>0.05</v>
      </c>
      <c r="C43" s="7">
        <v>0.2</v>
      </c>
      <c r="D43" s="6">
        <v>7.0000000000000007E-2</v>
      </c>
      <c r="E43" s="6">
        <v>0.02</v>
      </c>
      <c r="F43" s="6">
        <v>0.09</v>
      </c>
      <c r="G43" s="6">
        <v>0.08</v>
      </c>
      <c r="H43" s="6">
        <v>0.09</v>
      </c>
      <c r="I43" s="6">
        <v>0.03</v>
      </c>
      <c r="J43" s="6">
        <v>0.11</v>
      </c>
      <c r="K43" s="6">
        <f>SUM(122/1287)</f>
        <v>9.4794094794094799E-2</v>
      </c>
      <c r="L43" s="6">
        <f>216/2155</f>
        <v>0.10023201856148492</v>
      </c>
      <c r="M43" s="6"/>
      <c r="N43" s="6"/>
      <c r="O43" s="6">
        <v>0.09</v>
      </c>
      <c r="P43" s="6"/>
    </row>
    <row r="44" spans="1:16" x14ac:dyDescent="0.3">
      <c r="A44" t="s">
        <v>34</v>
      </c>
      <c r="B44" s="5">
        <v>0.03</v>
      </c>
      <c r="C44" s="7">
        <v>0.04</v>
      </c>
      <c r="D44" s="6">
        <v>0.03</v>
      </c>
      <c r="E44" s="6"/>
      <c r="F44" s="6"/>
      <c r="G44" s="6"/>
      <c r="H44" s="6"/>
      <c r="I44" s="6"/>
      <c r="J44" s="6"/>
      <c r="K44" s="6">
        <f>SUM(20/1287)</f>
        <v>1.554001554001554E-2</v>
      </c>
      <c r="L44" s="6">
        <f>30/2155</f>
        <v>1.3921113689095127E-2</v>
      </c>
      <c r="M44" s="6"/>
      <c r="N44" s="6"/>
      <c r="O44" s="6"/>
      <c r="P44" s="6"/>
    </row>
    <row r="46" spans="1:16" x14ac:dyDescent="0.3">
      <c r="A46" t="s">
        <v>44</v>
      </c>
      <c r="B46" s="3" t="s">
        <v>15</v>
      </c>
      <c r="C46" s="2" t="s">
        <v>16</v>
      </c>
      <c r="D46" s="3" t="s">
        <v>17</v>
      </c>
      <c r="E46" s="2" t="s">
        <v>18</v>
      </c>
      <c r="F46" s="3" t="s">
        <v>19</v>
      </c>
      <c r="G46" s="2" t="s">
        <v>20</v>
      </c>
      <c r="H46" s="3" t="s">
        <v>21</v>
      </c>
      <c r="I46" s="2" t="s">
        <v>22</v>
      </c>
      <c r="J46" s="3" t="s">
        <v>23</v>
      </c>
      <c r="K46" s="2" t="s">
        <v>24</v>
      </c>
      <c r="L46" s="3" t="s">
        <v>25</v>
      </c>
      <c r="M46" s="2" t="s">
        <v>26</v>
      </c>
      <c r="N46" s="3" t="s">
        <v>27</v>
      </c>
      <c r="O46" s="2" t="s">
        <v>28</v>
      </c>
      <c r="P46" s="3" t="s">
        <v>29</v>
      </c>
    </row>
    <row r="47" spans="1:16" x14ac:dyDescent="0.3">
      <c r="A47" t="s">
        <v>45</v>
      </c>
      <c r="B47" s="5">
        <v>0.05</v>
      </c>
      <c r="C47" s="6">
        <v>0.05</v>
      </c>
      <c r="D47" s="6">
        <v>0.03</v>
      </c>
      <c r="E47" s="6">
        <v>0.04</v>
      </c>
      <c r="F47" s="6">
        <v>0.03</v>
      </c>
      <c r="G47" s="6">
        <v>0.06</v>
      </c>
      <c r="H47" s="6">
        <v>0.05</v>
      </c>
      <c r="I47" s="6">
        <v>0.04</v>
      </c>
      <c r="J47" s="6">
        <v>4.9302788844621512E-2</v>
      </c>
      <c r="K47" s="6">
        <f>SUM(85/1989)</f>
        <v>4.2735042735042736E-2</v>
      </c>
      <c r="L47" s="6">
        <v>0.03</v>
      </c>
      <c r="M47" s="6"/>
      <c r="N47" s="6"/>
      <c r="O47" s="6">
        <v>4.9000000000000002E-2</v>
      </c>
      <c r="P47" s="6"/>
    </row>
    <row r="48" spans="1:16" x14ac:dyDescent="0.3">
      <c r="A48" t="s">
        <v>46</v>
      </c>
      <c r="B48" s="5">
        <v>0.09</v>
      </c>
      <c r="C48" s="6">
        <v>0.09</v>
      </c>
      <c r="D48" s="6">
        <v>0.08</v>
      </c>
      <c r="E48" s="6">
        <v>0.13</v>
      </c>
      <c r="F48" s="6">
        <v>0.11</v>
      </c>
      <c r="G48" s="6">
        <v>0.12</v>
      </c>
      <c r="H48" s="6">
        <v>0.11</v>
      </c>
      <c r="I48" s="6">
        <v>0.14000000000000001</v>
      </c>
      <c r="J48" s="6">
        <v>0.15388446215139442</v>
      </c>
      <c r="K48" s="6">
        <f>SUM(272/1989)</f>
        <v>0.13675213675213677</v>
      </c>
      <c r="L48" s="6">
        <v>0.14000000000000001</v>
      </c>
      <c r="M48" s="6"/>
      <c r="N48" s="6"/>
      <c r="O48" s="6">
        <v>0.158</v>
      </c>
      <c r="P48" s="6"/>
    </row>
    <row r="49" spans="1:16" x14ac:dyDescent="0.3">
      <c r="A49" t="s">
        <v>47</v>
      </c>
      <c r="B49" s="5">
        <v>0.05</v>
      </c>
      <c r="C49" s="6">
        <v>0.05</v>
      </c>
      <c r="D49" s="6">
        <v>0.05</v>
      </c>
      <c r="E49" s="6">
        <v>7.0000000000000007E-2</v>
      </c>
      <c r="F49" s="6">
        <v>7.0000000000000007E-2</v>
      </c>
      <c r="G49" s="6">
        <v>0.06</v>
      </c>
      <c r="H49" s="6">
        <v>0.06</v>
      </c>
      <c r="I49" s="6">
        <v>7.0000000000000007E-2</v>
      </c>
      <c r="J49" s="6">
        <v>5.9262948207171318E-2</v>
      </c>
      <c r="K49" s="6">
        <f>SUM(103/1989)</f>
        <v>5.1784816490698847E-2</v>
      </c>
      <c r="L49" s="6">
        <v>0.06</v>
      </c>
      <c r="M49" s="6"/>
      <c r="N49" s="6"/>
      <c r="O49" s="6">
        <v>7.5999999999999998E-2</v>
      </c>
      <c r="P49" s="6"/>
    </row>
    <row r="50" spans="1:16" x14ac:dyDescent="0.3">
      <c r="A50" t="s">
        <v>48</v>
      </c>
      <c r="B50" s="5">
        <v>7.0000000000000007E-2</v>
      </c>
      <c r="C50" s="6">
        <v>0.06</v>
      </c>
      <c r="D50" s="6">
        <v>0.08</v>
      </c>
      <c r="E50" s="6">
        <v>0.06</v>
      </c>
      <c r="F50" s="6">
        <v>0.06</v>
      </c>
      <c r="G50" s="6">
        <v>7.0000000000000007E-2</v>
      </c>
      <c r="H50" s="6">
        <v>7.0000000000000007E-2</v>
      </c>
      <c r="I50" s="6">
        <v>7.0000000000000007E-2</v>
      </c>
      <c r="J50" s="6">
        <v>8.9641434262948211E-2</v>
      </c>
      <c r="K50" s="6">
        <f>SUM(150/1989)</f>
        <v>7.5414781297134234E-2</v>
      </c>
      <c r="L50" s="6">
        <v>0.08</v>
      </c>
      <c r="M50" s="6"/>
      <c r="N50" s="6"/>
      <c r="O50" s="6">
        <v>0.08</v>
      </c>
      <c r="P50" s="6"/>
    </row>
    <row r="51" spans="1:16" x14ac:dyDescent="0.3">
      <c r="A51" t="s">
        <v>49</v>
      </c>
      <c r="B51" s="5">
        <v>0.36</v>
      </c>
      <c r="C51" s="6">
        <v>0.35</v>
      </c>
      <c r="D51" s="6">
        <v>0.4</v>
      </c>
      <c r="E51" s="6">
        <v>0.35</v>
      </c>
      <c r="F51" s="6">
        <v>0.37</v>
      </c>
      <c r="G51" s="6">
        <v>0.36</v>
      </c>
      <c r="H51" s="6">
        <v>0.38</v>
      </c>
      <c r="I51" s="6">
        <v>0.37</v>
      </c>
      <c r="J51" s="6">
        <v>0.32619521912350596</v>
      </c>
      <c r="K51" s="6">
        <f>SUM(721/1989)</f>
        <v>0.36249371543489189</v>
      </c>
      <c r="L51" s="6">
        <v>0.36</v>
      </c>
      <c r="M51" s="6"/>
      <c r="N51" s="6"/>
      <c r="O51" s="6">
        <v>0.32900000000000001</v>
      </c>
      <c r="P51" s="6"/>
    </row>
    <row r="52" spans="1:16" x14ac:dyDescent="0.3">
      <c r="A52" t="s">
        <v>50</v>
      </c>
      <c r="B52" s="5">
        <v>0.31</v>
      </c>
      <c r="C52" s="6">
        <v>0.31</v>
      </c>
      <c r="D52" s="6">
        <v>0.3</v>
      </c>
      <c r="E52" s="6">
        <v>0.26</v>
      </c>
      <c r="F52" s="6">
        <v>0.28000000000000003</v>
      </c>
      <c r="G52" s="6">
        <v>0.28000000000000003</v>
      </c>
      <c r="H52" s="6">
        <v>0.27</v>
      </c>
      <c r="I52" s="6">
        <v>0.25</v>
      </c>
      <c r="J52" s="6">
        <v>0.21464143426294821</v>
      </c>
      <c r="K52" s="6">
        <f>SUM(472/1989)</f>
        <v>0.23730517848164906</v>
      </c>
      <c r="L52" s="6">
        <v>0.24</v>
      </c>
      <c r="M52" s="6"/>
      <c r="N52" s="6"/>
      <c r="O52" s="6">
        <v>0.26100000000000001</v>
      </c>
      <c r="P52" s="6"/>
    </row>
    <row r="53" spans="1:16" x14ac:dyDescent="0.3">
      <c r="A53" t="s">
        <v>34</v>
      </c>
      <c r="B53" s="5">
        <v>0.05</v>
      </c>
      <c r="C53" s="6">
        <v>0.05</v>
      </c>
      <c r="D53" s="6">
        <v>0.04</v>
      </c>
      <c r="E53" s="6">
        <v>0.05</v>
      </c>
      <c r="F53" s="6">
        <v>0.05</v>
      </c>
      <c r="G53" s="6">
        <v>0.03</v>
      </c>
      <c r="H53" s="6">
        <v>0.03</v>
      </c>
      <c r="I53" s="6">
        <v>0.03</v>
      </c>
      <c r="J53" s="6">
        <v>0.04</v>
      </c>
      <c r="K53" s="6">
        <f>SUM(63/1989)</f>
        <v>3.1674208144796379E-2</v>
      </c>
      <c r="L53" s="6">
        <v>0.02</v>
      </c>
      <c r="M53" s="6"/>
      <c r="N53" s="6"/>
      <c r="O53" s="6">
        <v>3.3000000000000002E-2</v>
      </c>
      <c r="P53" s="6"/>
    </row>
    <row r="54" spans="1:16" x14ac:dyDescent="0.3">
      <c r="A54" t="s">
        <v>43</v>
      </c>
      <c r="B54" s="5">
        <v>0.03</v>
      </c>
      <c r="C54" s="6">
        <v>0.02</v>
      </c>
      <c r="D54" s="6">
        <v>0.03</v>
      </c>
      <c r="E54" s="6">
        <v>0.03</v>
      </c>
      <c r="F54" s="6">
        <v>0.05</v>
      </c>
      <c r="G54" s="6">
        <v>0.03</v>
      </c>
      <c r="H54" s="6">
        <v>0.02</v>
      </c>
      <c r="I54" s="6">
        <v>0.03</v>
      </c>
      <c r="J54" s="6">
        <v>0.02</v>
      </c>
      <c r="K54" s="6">
        <f>SUM(123/1989)</f>
        <v>6.1840120663650078E-2</v>
      </c>
      <c r="L54" s="6">
        <v>0.03</v>
      </c>
      <c r="M54" s="6"/>
      <c r="N54" s="6"/>
      <c r="O54" s="6">
        <v>1.4999999999999999E-2</v>
      </c>
      <c r="P54" s="6"/>
    </row>
    <row r="56" spans="1:16" x14ac:dyDescent="0.3">
      <c r="A56" t="s">
        <v>51</v>
      </c>
      <c r="B56" s="3" t="s">
        <v>15</v>
      </c>
      <c r="C56" s="2" t="s">
        <v>16</v>
      </c>
      <c r="D56" s="3" t="s">
        <v>17</v>
      </c>
      <c r="E56" s="2" t="s">
        <v>18</v>
      </c>
      <c r="F56" s="3" t="s">
        <v>19</v>
      </c>
      <c r="G56" s="2" t="s">
        <v>20</v>
      </c>
      <c r="H56" s="3" t="s">
        <v>21</v>
      </c>
      <c r="I56" s="2" t="s">
        <v>22</v>
      </c>
      <c r="J56" s="3" t="s">
        <v>23</v>
      </c>
      <c r="K56" s="2" t="s">
        <v>24</v>
      </c>
      <c r="L56" s="3" t="s">
        <v>25</v>
      </c>
      <c r="M56" s="2" t="s">
        <v>26</v>
      </c>
      <c r="N56" s="3" t="s">
        <v>27</v>
      </c>
      <c r="O56" s="2" t="s">
        <v>28</v>
      </c>
      <c r="P56" s="3" t="s">
        <v>29</v>
      </c>
    </row>
    <row r="57" spans="1:16" x14ac:dyDescent="0.3">
      <c r="A57" t="s">
        <v>118</v>
      </c>
      <c r="B57" s="3"/>
      <c r="C57" s="2"/>
      <c r="D57" s="6">
        <v>0.12</v>
      </c>
      <c r="E57" s="5">
        <v>0.14000000000000001</v>
      </c>
      <c r="F57" s="5">
        <v>0.11</v>
      </c>
      <c r="G57" s="5">
        <v>0.14000000000000001</v>
      </c>
      <c r="H57" s="5">
        <v>0.13</v>
      </c>
      <c r="I57" s="5">
        <v>0.13</v>
      </c>
      <c r="J57" s="5"/>
      <c r="K57" s="5">
        <f>SUM(253/2042)</f>
        <v>0.12389813907933399</v>
      </c>
      <c r="M57" s="5"/>
      <c r="N57" s="5"/>
      <c r="P57" s="5"/>
    </row>
    <row r="58" spans="1:16" x14ac:dyDescent="0.3">
      <c r="A58" t="s">
        <v>52</v>
      </c>
      <c r="B58" s="5">
        <v>0.19</v>
      </c>
      <c r="C58" s="6">
        <v>0.13</v>
      </c>
      <c r="D58" s="6">
        <v>0.32</v>
      </c>
      <c r="E58" s="5">
        <v>0.25</v>
      </c>
      <c r="F58" s="5">
        <v>0.22</v>
      </c>
      <c r="G58" s="5">
        <v>0.25</v>
      </c>
      <c r="H58" s="5">
        <v>0.26</v>
      </c>
      <c r="I58" s="5">
        <v>0.21</v>
      </c>
      <c r="J58" s="5">
        <v>0.13</v>
      </c>
      <c r="K58" s="5"/>
      <c r="L58" s="5">
        <v>0.14000000000000001</v>
      </c>
      <c r="M58" s="5"/>
      <c r="N58" s="5"/>
      <c r="O58" s="5">
        <v>0.2</v>
      </c>
      <c r="P58" s="5"/>
    </row>
    <row r="59" spans="1:16" x14ac:dyDescent="0.3">
      <c r="A59" t="s">
        <v>53</v>
      </c>
      <c r="B59" s="5">
        <v>0.24</v>
      </c>
      <c r="C59" s="6">
        <v>0.22</v>
      </c>
      <c r="D59" s="6">
        <v>0.28000000000000003</v>
      </c>
      <c r="E59" s="5">
        <v>0.25</v>
      </c>
      <c r="F59" s="5">
        <v>0.27</v>
      </c>
      <c r="G59" s="5">
        <v>0.24</v>
      </c>
      <c r="H59" s="5">
        <v>0.25</v>
      </c>
      <c r="I59" s="5">
        <v>0.23</v>
      </c>
      <c r="J59" s="5">
        <v>0.25</v>
      </c>
      <c r="K59" s="5">
        <f>SUM(553/2042)</f>
        <v>0.27081292850146915</v>
      </c>
      <c r="L59" s="5">
        <v>0.27</v>
      </c>
      <c r="M59" s="5"/>
      <c r="N59" s="5"/>
      <c r="O59" s="5">
        <v>0.25</v>
      </c>
      <c r="P59" s="5"/>
    </row>
    <row r="60" spans="1:16" x14ac:dyDescent="0.3">
      <c r="A60" t="s">
        <v>54</v>
      </c>
      <c r="B60" s="5">
        <v>0.23</v>
      </c>
      <c r="C60" s="6">
        <v>0.24</v>
      </c>
      <c r="D60" s="6">
        <v>0.15</v>
      </c>
      <c r="E60" s="5">
        <v>0.17</v>
      </c>
      <c r="F60" s="5">
        <v>0.18</v>
      </c>
      <c r="G60" s="5">
        <v>0.17</v>
      </c>
      <c r="H60" s="5">
        <v>0.15</v>
      </c>
      <c r="I60" s="5">
        <v>0.17</v>
      </c>
      <c r="J60" s="5">
        <v>0.25</v>
      </c>
      <c r="K60" s="5">
        <f>SUM(556/2042)</f>
        <v>0.27228207639569052</v>
      </c>
      <c r="L60" s="5">
        <v>0.22</v>
      </c>
      <c r="M60" s="5"/>
      <c r="N60" s="5"/>
      <c r="O60" s="5">
        <v>0.31</v>
      </c>
      <c r="P60" s="5"/>
    </row>
    <row r="61" spans="1:16" x14ac:dyDescent="0.3">
      <c r="A61" t="s">
        <v>55</v>
      </c>
      <c r="B61" s="5">
        <v>0.24</v>
      </c>
      <c r="C61" s="6">
        <v>0.17</v>
      </c>
      <c r="D61" s="6">
        <v>0.05</v>
      </c>
      <c r="E61" s="5">
        <v>0.14000000000000001</v>
      </c>
      <c r="F61" s="5">
        <v>0.16</v>
      </c>
      <c r="G61" s="5">
        <v>0.14000000000000001</v>
      </c>
      <c r="H61" s="5">
        <v>0.14000000000000001</v>
      </c>
      <c r="I61" s="5">
        <v>0.18</v>
      </c>
      <c r="J61" s="5">
        <v>0.27</v>
      </c>
      <c r="K61" s="5">
        <f>SUM(349+180)/2042</f>
        <v>0.25905974534769832</v>
      </c>
      <c r="L61" s="5">
        <v>0.26</v>
      </c>
      <c r="M61" s="5"/>
      <c r="N61" s="5"/>
      <c r="O61" s="5">
        <v>0.19</v>
      </c>
      <c r="P61" s="5"/>
    </row>
    <row r="62" spans="1:16" x14ac:dyDescent="0.3">
      <c r="A62" t="s">
        <v>56</v>
      </c>
      <c r="B62" s="5">
        <v>7.0000000000000007E-2</v>
      </c>
      <c r="C62" s="6">
        <v>0.09</v>
      </c>
      <c r="D62" s="6">
        <v>0.03</v>
      </c>
      <c r="E62" s="5">
        <v>0.02</v>
      </c>
      <c r="F62" s="5">
        <v>0.03</v>
      </c>
      <c r="G62" s="5">
        <v>0.02</v>
      </c>
      <c r="H62" s="5">
        <v>0.03</v>
      </c>
      <c r="I62" s="5">
        <v>0.03</v>
      </c>
      <c r="J62" s="5">
        <v>0.06</v>
      </c>
      <c r="K62" s="5">
        <f>SUM(102/2042)</f>
        <v>4.9951028403525957E-2</v>
      </c>
      <c r="L62" s="5">
        <v>0.06</v>
      </c>
      <c r="M62" s="5"/>
      <c r="N62" s="5"/>
      <c r="O62" s="5">
        <v>0.03</v>
      </c>
      <c r="P62" s="5"/>
    </row>
    <row r="63" spans="1:16" x14ac:dyDescent="0.3">
      <c r="A63" t="s">
        <v>105</v>
      </c>
      <c r="B63" s="5">
        <v>0.03</v>
      </c>
      <c r="C63" s="6">
        <v>0.04</v>
      </c>
      <c r="D63" s="6">
        <v>0</v>
      </c>
      <c r="E63" s="5">
        <v>0.01</v>
      </c>
      <c r="F63" s="5">
        <v>0.02</v>
      </c>
      <c r="G63" s="5">
        <v>0.01</v>
      </c>
      <c r="H63" s="5">
        <v>0.01</v>
      </c>
      <c r="I63" s="5">
        <v>0.02</v>
      </c>
      <c r="J63" s="5">
        <v>0.03</v>
      </c>
      <c r="K63" s="5">
        <f>SUM(35/2042)</f>
        <v>1.7140058765915768E-2</v>
      </c>
      <c r="L63" s="5">
        <v>0.02</v>
      </c>
      <c r="M63" s="5"/>
      <c r="N63" s="5"/>
      <c r="O63" s="5">
        <v>0.02</v>
      </c>
      <c r="P63" s="5"/>
    </row>
    <row r="64" spans="1:16" x14ac:dyDescent="0.3">
      <c r="A64" t="s">
        <v>101</v>
      </c>
      <c r="B64" s="5"/>
      <c r="C64" s="6">
        <v>0.02</v>
      </c>
      <c r="D64" s="6">
        <v>0.02</v>
      </c>
      <c r="E64" s="5">
        <v>0.01</v>
      </c>
      <c r="F64" s="5">
        <v>0.01</v>
      </c>
      <c r="G64" s="5">
        <v>0.05</v>
      </c>
      <c r="H64" s="5">
        <v>0.03</v>
      </c>
      <c r="I64" s="5">
        <v>0.03</v>
      </c>
      <c r="J64" s="5">
        <v>0.01</v>
      </c>
      <c r="K64" s="5">
        <f>SUM(14/2042)</f>
        <v>6.8560235063663075E-3</v>
      </c>
      <c r="L64" s="5">
        <v>0.01</v>
      </c>
      <c r="M64" s="5"/>
      <c r="N64" s="5"/>
      <c r="O64" s="5">
        <v>0</v>
      </c>
      <c r="P64" s="5"/>
    </row>
    <row r="65" spans="1:16" x14ac:dyDescent="0.3">
      <c r="C65" s="6"/>
      <c r="F65" s="5"/>
    </row>
    <row r="66" spans="1:16" x14ac:dyDescent="0.3">
      <c r="A66" t="s">
        <v>57</v>
      </c>
      <c r="B66" s="3" t="s">
        <v>15</v>
      </c>
      <c r="C66" s="2" t="s">
        <v>16</v>
      </c>
      <c r="D66" s="3" t="s">
        <v>17</v>
      </c>
      <c r="E66" s="2" t="s">
        <v>18</v>
      </c>
      <c r="F66" s="3" t="s">
        <v>19</v>
      </c>
      <c r="G66" s="2" t="s">
        <v>20</v>
      </c>
      <c r="H66" s="3" t="s">
        <v>21</v>
      </c>
      <c r="I66" s="2" t="s">
        <v>22</v>
      </c>
      <c r="J66" s="3" t="s">
        <v>23</v>
      </c>
      <c r="K66" s="2" t="s">
        <v>24</v>
      </c>
      <c r="L66" s="3" t="s">
        <v>25</v>
      </c>
      <c r="M66" s="2" t="s">
        <v>26</v>
      </c>
      <c r="N66" s="3" t="s">
        <v>27</v>
      </c>
      <c r="O66" s="2" t="s">
        <v>28</v>
      </c>
      <c r="P66" s="3" t="s">
        <v>29</v>
      </c>
    </row>
    <row r="67" spans="1:16" x14ac:dyDescent="0.3">
      <c r="A67" s="4" t="s">
        <v>117</v>
      </c>
      <c r="B67" s="5">
        <v>0.01</v>
      </c>
      <c r="C67" s="6">
        <v>0.01</v>
      </c>
      <c r="D67" s="6">
        <v>0</v>
      </c>
      <c r="E67" s="6">
        <v>0</v>
      </c>
      <c r="F67" s="6">
        <v>0</v>
      </c>
      <c r="G67" s="6">
        <v>0</v>
      </c>
      <c r="H67" s="6">
        <v>3.0000000000000001E-3</v>
      </c>
      <c r="I67" s="6">
        <v>0</v>
      </c>
      <c r="J67" s="6">
        <v>0</v>
      </c>
      <c r="K67" s="6"/>
      <c r="L67" s="6">
        <v>0.03</v>
      </c>
      <c r="M67" s="6"/>
      <c r="N67" s="6"/>
      <c r="O67" s="6"/>
      <c r="P67" s="6"/>
    </row>
    <row r="68" spans="1:16" x14ac:dyDescent="0.3">
      <c r="A68" s="4">
        <v>2</v>
      </c>
      <c r="B68" s="5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1E-3</v>
      </c>
      <c r="I68" s="6">
        <v>0</v>
      </c>
      <c r="J68" s="6">
        <v>0</v>
      </c>
      <c r="K68" s="6"/>
      <c r="L68" s="6">
        <v>0</v>
      </c>
      <c r="M68" s="6"/>
      <c r="N68" s="6"/>
      <c r="O68" s="6"/>
      <c r="P68" s="6"/>
    </row>
    <row r="69" spans="1:16" x14ac:dyDescent="0.3">
      <c r="A69" s="4">
        <v>3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3.0000000000000001E-3</v>
      </c>
      <c r="I69" s="6">
        <v>0</v>
      </c>
      <c r="J69" s="6">
        <v>0</v>
      </c>
      <c r="K69" s="6"/>
      <c r="L69" s="6">
        <v>0.01</v>
      </c>
      <c r="M69" s="6"/>
      <c r="N69" s="6"/>
      <c r="O69" s="6">
        <v>0.01</v>
      </c>
      <c r="P69" s="6"/>
    </row>
    <row r="70" spans="1:16" x14ac:dyDescent="0.3">
      <c r="A70" s="4">
        <v>4</v>
      </c>
      <c r="B70" s="5">
        <v>0.02</v>
      </c>
      <c r="C70" s="6">
        <v>0.01</v>
      </c>
      <c r="D70" s="6">
        <v>0</v>
      </c>
      <c r="E70" s="6">
        <v>0</v>
      </c>
      <c r="F70" s="6">
        <v>0</v>
      </c>
      <c r="G70" s="6">
        <v>0</v>
      </c>
      <c r="H70" s="6">
        <v>4.0000000000000001E-3</v>
      </c>
      <c r="I70" s="6">
        <v>0</v>
      </c>
      <c r="J70" s="6">
        <v>0.02</v>
      </c>
      <c r="K70" s="6"/>
      <c r="L70" s="6">
        <v>0.01</v>
      </c>
      <c r="M70" s="6"/>
      <c r="N70" s="6"/>
      <c r="O70" s="6">
        <v>0.01</v>
      </c>
      <c r="P70" s="6"/>
    </row>
    <row r="71" spans="1:16" x14ac:dyDescent="0.3">
      <c r="A71" s="4" t="s">
        <v>106</v>
      </c>
      <c r="B71" s="5">
        <v>0.03</v>
      </c>
      <c r="C71" s="6">
        <v>0.02</v>
      </c>
      <c r="D71" s="6">
        <v>0.03</v>
      </c>
      <c r="E71" s="6">
        <v>0.03</v>
      </c>
      <c r="F71" s="6">
        <v>0.02</v>
      </c>
      <c r="G71" s="6">
        <v>0.04</v>
      </c>
      <c r="H71" s="6">
        <v>3.3000000000000002E-2</v>
      </c>
      <c r="I71" s="6">
        <v>0.02</v>
      </c>
      <c r="J71" s="6">
        <v>0.03</v>
      </c>
      <c r="K71" s="6"/>
      <c r="L71" s="6">
        <v>0.03</v>
      </c>
      <c r="M71" s="6"/>
      <c r="N71" s="6"/>
      <c r="O71" s="6">
        <v>0.02</v>
      </c>
      <c r="P71" s="6"/>
    </row>
    <row r="72" spans="1:16" x14ac:dyDescent="0.3">
      <c r="A72" s="4">
        <v>6</v>
      </c>
      <c r="B72" s="5">
        <v>0.1</v>
      </c>
      <c r="C72" s="6">
        <v>0.03</v>
      </c>
      <c r="D72" s="6">
        <v>0.05</v>
      </c>
      <c r="E72" s="6">
        <v>0.05</v>
      </c>
      <c r="F72" s="6">
        <v>0.04</v>
      </c>
      <c r="G72" s="6">
        <v>0.05</v>
      </c>
      <c r="H72" s="6">
        <v>5.3999999999999999E-2</v>
      </c>
      <c r="I72" s="6">
        <v>0.04</v>
      </c>
      <c r="J72" s="6">
        <v>0.06</v>
      </c>
      <c r="K72" s="6"/>
      <c r="L72" s="6">
        <v>0.06</v>
      </c>
      <c r="M72" s="6"/>
      <c r="N72" s="6"/>
      <c r="O72" s="6">
        <v>0.05</v>
      </c>
      <c r="P72" s="6"/>
    </row>
    <row r="73" spans="1:16" x14ac:dyDescent="0.3">
      <c r="A73" s="4">
        <v>7</v>
      </c>
      <c r="B73" s="5">
        <v>0.21</v>
      </c>
      <c r="C73" s="6">
        <v>0.17</v>
      </c>
      <c r="D73" s="6">
        <v>0.19</v>
      </c>
      <c r="E73" s="6">
        <v>0.19</v>
      </c>
      <c r="F73" s="6">
        <v>0.17</v>
      </c>
      <c r="G73" s="6">
        <v>0.22</v>
      </c>
      <c r="H73" s="6">
        <v>0.21099999999999999</v>
      </c>
      <c r="I73" s="6">
        <v>0.22</v>
      </c>
      <c r="J73" s="6">
        <v>0.24</v>
      </c>
      <c r="K73" s="6"/>
      <c r="L73" s="6">
        <v>0.23</v>
      </c>
      <c r="M73" s="6"/>
      <c r="N73" s="6"/>
      <c r="O73" s="6">
        <v>0.25</v>
      </c>
      <c r="P73" s="6"/>
    </row>
    <row r="74" spans="1:16" x14ac:dyDescent="0.3">
      <c r="A74" s="4">
        <v>8</v>
      </c>
      <c r="B74" s="5">
        <v>0.21</v>
      </c>
      <c r="C74" s="6">
        <v>0.28999999999999998</v>
      </c>
      <c r="D74" s="6">
        <v>0.28999999999999998</v>
      </c>
      <c r="E74" s="6">
        <v>0.27</v>
      </c>
      <c r="F74" s="6">
        <v>0.3</v>
      </c>
      <c r="G74" s="6">
        <v>0.28999999999999998</v>
      </c>
      <c r="H74" s="6">
        <v>0.28999999999999998</v>
      </c>
      <c r="I74" s="6">
        <v>0.28999999999999998</v>
      </c>
      <c r="J74" s="6">
        <v>0.28999999999999998</v>
      </c>
      <c r="K74" s="6"/>
      <c r="L74" s="6">
        <v>0.28000000000000003</v>
      </c>
      <c r="M74" s="6"/>
      <c r="N74" s="6"/>
      <c r="O74" s="6">
        <v>0.27</v>
      </c>
      <c r="P74" s="6"/>
    </row>
    <row r="75" spans="1:16" x14ac:dyDescent="0.3">
      <c r="A75" s="4" t="s">
        <v>107</v>
      </c>
      <c r="B75" s="5">
        <v>0.41</v>
      </c>
      <c r="C75" s="6">
        <v>0.47</v>
      </c>
      <c r="D75" s="6">
        <v>0.44</v>
      </c>
      <c r="E75" s="6">
        <v>0.46</v>
      </c>
      <c r="F75" s="6">
        <v>0.46</v>
      </c>
      <c r="G75" s="6">
        <v>0.38</v>
      </c>
      <c r="H75" s="6">
        <v>0.4</v>
      </c>
      <c r="I75" s="6">
        <v>0.42</v>
      </c>
      <c r="J75" s="6">
        <v>0.36</v>
      </c>
      <c r="K75" s="6"/>
      <c r="L75" s="6">
        <v>0.35</v>
      </c>
      <c r="M75" s="6"/>
      <c r="N75" s="6"/>
      <c r="O75" s="6">
        <v>0.39</v>
      </c>
      <c r="P75" s="6"/>
    </row>
    <row r="77" spans="1:16" x14ac:dyDescent="0.3">
      <c r="A77" t="s">
        <v>58</v>
      </c>
      <c r="B77" s="3" t="s">
        <v>15</v>
      </c>
      <c r="C77" s="2" t="s">
        <v>16</v>
      </c>
      <c r="D77" s="3" t="s">
        <v>17</v>
      </c>
      <c r="E77" s="2" t="s">
        <v>18</v>
      </c>
      <c r="F77" s="3" t="s">
        <v>19</v>
      </c>
      <c r="G77" s="2" t="s">
        <v>20</v>
      </c>
      <c r="H77" s="3" t="s">
        <v>21</v>
      </c>
      <c r="I77" s="2" t="s">
        <v>22</v>
      </c>
      <c r="J77" s="3" t="s">
        <v>23</v>
      </c>
      <c r="K77" s="2" t="s">
        <v>24</v>
      </c>
      <c r="L77" s="3" t="s">
        <v>25</v>
      </c>
      <c r="M77" s="2" t="s">
        <v>26</v>
      </c>
      <c r="N77" s="3" t="s">
        <v>27</v>
      </c>
      <c r="O77" s="2" t="s">
        <v>28</v>
      </c>
      <c r="P77" s="3" t="s">
        <v>29</v>
      </c>
    </row>
    <row r="78" spans="1:16" x14ac:dyDescent="0.3">
      <c r="A78" t="s">
        <v>59</v>
      </c>
      <c r="B78" s="5">
        <v>0.24</v>
      </c>
      <c r="C78" s="6">
        <v>0.19</v>
      </c>
      <c r="D78" s="6">
        <v>0.21</v>
      </c>
      <c r="E78" s="6">
        <v>0.19</v>
      </c>
      <c r="F78" s="6">
        <v>0.2</v>
      </c>
      <c r="G78" s="6">
        <v>0.22</v>
      </c>
      <c r="H78" s="6">
        <v>0.18</v>
      </c>
      <c r="I78" s="6">
        <v>0.17</v>
      </c>
      <c r="J78" s="6">
        <v>0.21</v>
      </c>
      <c r="K78" s="6"/>
      <c r="L78" s="6">
        <v>0.23</v>
      </c>
      <c r="M78" s="6"/>
      <c r="N78" s="6"/>
      <c r="O78" s="6">
        <v>0.2</v>
      </c>
      <c r="P78" s="6"/>
    </row>
    <row r="79" spans="1:16" x14ac:dyDescent="0.3">
      <c r="A79" t="s">
        <v>60</v>
      </c>
      <c r="B79" s="5">
        <v>0.37</v>
      </c>
      <c r="C79" s="6">
        <v>0.33</v>
      </c>
      <c r="D79" s="6">
        <v>0.34</v>
      </c>
      <c r="E79" s="6">
        <v>0.36</v>
      </c>
      <c r="F79" s="6">
        <v>0.37</v>
      </c>
      <c r="G79" s="6">
        <v>0.33</v>
      </c>
      <c r="H79" s="6">
        <v>0.37</v>
      </c>
      <c r="I79" s="6">
        <v>0.4</v>
      </c>
      <c r="J79" s="6">
        <v>0.37</v>
      </c>
      <c r="K79" s="6"/>
      <c r="L79" s="6">
        <v>0.33</v>
      </c>
      <c r="M79" s="6"/>
      <c r="N79" s="6"/>
      <c r="O79" s="6">
        <v>0.37</v>
      </c>
      <c r="P79" s="6"/>
    </row>
    <row r="80" spans="1:16" x14ac:dyDescent="0.3">
      <c r="A80" t="s">
        <v>61</v>
      </c>
      <c r="B80" s="5">
        <v>0.22</v>
      </c>
      <c r="C80" s="6">
        <v>0.21</v>
      </c>
      <c r="D80" s="6">
        <v>0.19</v>
      </c>
      <c r="E80" s="6">
        <v>0.19</v>
      </c>
      <c r="F80" s="6">
        <v>0.19</v>
      </c>
      <c r="G80" s="6">
        <v>0.2</v>
      </c>
      <c r="H80" s="6">
        <v>0.18</v>
      </c>
      <c r="I80" s="6">
        <v>0.18</v>
      </c>
      <c r="J80" s="6">
        <v>0.17</v>
      </c>
      <c r="K80" s="6"/>
      <c r="L80" s="6">
        <v>0.18</v>
      </c>
      <c r="M80" s="6"/>
      <c r="N80" s="6"/>
      <c r="O80" s="6">
        <v>0.19</v>
      </c>
      <c r="P80" s="6"/>
    </row>
    <row r="81" spans="1:16" x14ac:dyDescent="0.3">
      <c r="A81" t="s">
        <v>62</v>
      </c>
      <c r="B81" s="5">
        <v>0.14000000000000001</v>
      </c>
      <c r="C81" s="6">
        <v>0.15</v>
      </c>
      <c r="D81" s="6">
        <v>0.18</v>
      </c>
      <c r="E81" s="6">
        <v>0.16</v>
      </c>
      <c r="F81" s="6">
        <v>0.16</v>
      </c>
      <c r="G81" s="6">
        <v>0.16</v>
      </c>
      <c r="H81" s="6">
        <v>0.16</v>
      </c>
      <c r="I81" s="6">
        <v>0.16</v>
      </c>
      <c r="J81" s="6">
        <v>0.16</v>
      </c>
      <c r="K81" s="6"/>
      <c r="L81" s="6">
        <v>0.15</v>
      </c>
      <c r="M81" s="6"/>
      <c r="N81" s="6"/>
      <c r="O81" s="6">
        <v>0.14000000000000001</v>
      </c>
      <c r="P81" s="6"/>
    </row>
    <row r="82" spans="1:16" x14ac:dyDescent="0.3">
      <c r="A82" t="s">
        <v>103</v>
      </c>
      <c r="B82" s="5"/>
      <c r="C82" s="6">
        <v>0.05</v>
      </c>
      <c r="D82" s="6">
        <v>0.03</v>
      </c>
      <c r="E82" s="6">
        <v>0.04</v>
      </c>
      <c r="F82" s="6">
        <v>0.04</v>
      </c>
      <c r="G82" s="6">
        <v>0.04</v>
      </c>
      <c r="H82" s="6">
        <v>0.06</v>
      </c>
      <c r="I82" s="6">
        <v>0.05</v>
      </c>
      <c r="J82" s="6">
        <v>0.05</v>
      </c>
      <c r="K82" s="6"/>
      <c r="L82" s="6">
        <v>0.04</v>
      </c>
      <c r="M82" s="6"/>
      <c r="N82" s="6"/>
      <c r="O82" s="6">
        <v>0.06</v>
      </c>
      <c r="P82" s="6"/>
    </row>
    <row r="83" spans="1:16" x14ac:dyDescent="0.3">
      <c r="A83" t="s">
        <v>63</v>
      </c>
      <c r="B83" s="5">
        <v>0.01</v>
      </c>
      <c r="C83" s="6">
        <v>0.05</v>
      </c>
      <c r="D83" s="6">
        <v>0.03</v>
      </c>
      <c r="E83" s="6">
        <v>0.03</v>
      </c>
      <c r="F83" s="6">
        <v>0.02</v>
      </c>
      <c r="G83" s="6">
        <v>0.03</v>
      </c>
      <c r="H83" s="6">
        <v>0.02</v>
      </c>
      <c r="I83" s="6">
        <v>0.02</v>
      </c>
      <c r="J83" s="6">
        <v>0.02</v>
      </c>
      <c r="K83" s="6"/>
      <c r="L83" s="6">
        <v>0.02</v>
      </c>
      <c r="M83" s="6"/>
      <c r="N83" s="6"/>
      <c r="O83" s="6">
        <v>0.01</v>
      </c>
      <c r="P83" s="6"/>
    </row>
    <row r="84" spans="1:16" x14ac:dyDescent="0.3">
      <c r="A84" t="s">
        <v>64</v>
      </c>
      <c r="B84" s="5">
        <v>0.01</v>
      </c>
      <c r="C84" s="6">
        <v>0.02</v>
      </c>
      <c r="D84" s="6">
        <v>0</v>
      </c>
      <c r="E84" s="6">
        <v>0.02</v>
      </c>
      <c r="F84" s="6">
        <v>0.02</v>
      </c>
      <c r="G84" s="6">
        <v>0.01</v>
      </c>
      <c r="H84" s="6">
        <v>0.01</v>
      </c>
      <c r="I84" s="6">
        <v>0.02</v>
      </c>
      <c r="J84" s="6">
        <v>0.02</v>
      </c>
      <c r="K84" s="6"/>
      <c r="L84" s="6">
        <v>0.02</v>
      </c>
      <c r="M84" s="6"/>
      <c r="N84" s="6"/>
      <c r="O84" s="6">
        <v>0.01</v>
      </c>
      <c r="P84" s="6"/>
    </row>
    <row r="85" spans="1:16" x14ac:dyDescent="0.3">
      <c r="A85" t="s">
        <v>102</v>
      </c>
      <c r="B85" s="5">
        <v>7.0000000000000007E-2</v>
      </c>
      <c r="C85" s="6">
        <v>0.02</v>
      </c>
      <c r="D85" s="6">
        <v>0.01</v>
      </c>
      <c r="E85" s="6">
        <v>0.01</v>
      </c>
      <c r="F85" s="6">
        <v>0.01</v>
      </c>
      <c r="G85" s="6">
        <v>0.01</v>
      </c>
      <c r="H85" s="6">
        <v>0.01</v>
      </c>
      <c r="I85" s="6">
        <v>0.01</v>
      </c>
      <c r="J85" s="6">
        <v>0</v>
      </c>
      <c r="K85" s="6"/>
      <c r="L85" s="6">
        <v>0.01</v>
      </c>
      <c r="M85" s="6"/>
      <c r="N85" s="6"/>
      <c r="O85" s="6">
        <v>0.01</v>
      </c>
      <c r="P85" s="6"/>
    </row>
    <row r="86" spans="1:16" x14ac:dyDescent="0.3"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3"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x14ac:dyDescent="0.3">
      <c r="H88" s="6"/>
    </row>
    <row r="89" spans="1:16" x14ac:dyDescent="0.3">
      <c r="A89" t="s">
        <v>71</v>
      </c>
      <c r="B89" s="3" t="s">
        <v>15</v>
      </c>
      <c r="C89" s="2" t="s">
        <v>16</v>
      </c>
      <c r="D89" s="3" t="s">
        <v>17</v>
      </c>
      <c r="E89" s="2" t="s">
        <v>18</v>
      </c>
      <c r="F89" s="3" t="s">
        <v>19</v>
      </c>
      <c r="G89" s="2" t="s">
        <v>20</v>
      </c>
      <c r="H89" s="3" t="s">
        <v>21</v>
      </c>
      <c r="I89" s="2" t="s">
        <v>22</v>
      </c>
      <c r="J89" s="3" t="s">
        <v>23</v>
      </c>
      <c r="K89" s="2" t="s">
        <v>24</v>
      </c>
      <c r="L89" s="3" t="s">
        <v>25</v>
      </c>
      <c r="M89" s="2" t="s">
        <v>26</v>
      </c>
      <c r="N89" s="3" t="s">
        <v>27</v>
      </c>
      <c r="O89" s="2" t="s">
        <v>28</v>
      </c>
      <c r="P89" s="3" t="s">
        <v>29</v>
      </c>
    </row>
    <row r="90" spans="1:16" x14ac:dyDescent="0.3">
      <c r="A90" t="s">
        <v>72</v>
      </c>
      <c r="B90" s="5">
        <v>0.16</v>
      </c>
      <c r="C90" s="6">
        <v>0.17</v>
      </c>
      <c r="D90" s="6">
        <v>0.41</v>
      </c>
      <c r="E90" s="6">
        <v>0.21</v>
      </c>
      <c r="F90" s="6">
        <v>0.2</v>
      </c>
      <c r="G90" s="6">
        <v>0.19</v>
      </c>
      <c r="H90" s="6">
        <v>0.25</v>
      </c>
      <c r="I90" s="6">
        <v>0.18</v>
      </c>
      <c r="J90" s="6">
        <v>0.18</v>
      </c>
      <c r="K90" s="6">
        <f>SUM(352/2034)</f>
        <v>0.17305801376597837</v>
      </c>
      <c r="L90" s="6">
        <v>0.14000000000000001</v>
      </c>
      <c r="M90" s="6"/>
      <c r="N90" s="6"/>
      <c r="O90" s="6">
        <v>0.05</v>
      </c>
      <c r="P90" s="6"/>
    </row>
    <row r="91" spans="1:16" x14ac:dyDescent="0.3">
      <c r="A91" t="s">
        <v>73</v>
      </c>
      <c r="B91" s="5">
        <v>0.22</v>
      </c>
      <c r="C91" s="6">
        <v>0.24</v>
      </c>
      <c r="D91" s="6"/>
      <c r="E91" s="6">
        <v>0.19</v>
      </c>
      <c r="F91" s="6">
        <v>0.27</v>
      </c>
      <c r="G91" s="6">
        <v>0.24</v>
      </c>
      <c r="H91" s="6">
        <v>0.23</v>
      </c>
      <c r="I91" s="6">
        <v>0.21</v>
      </c>
      <c r="J91" s="6">
        <v>0.24</v>
      </c>
      <c r="K91" s="6">
        <f>SUM(453/2034)</f>
        <v>0.22271386430678466</v>
      </c>
      <c r="L91" s="6">
        <v>0.21</v>
      </c>
      <c r="M91" s="6"/>
      <c r="N91" s="6"/>
      <c r="O91" s="6">
        <v>0.17599999999999999</v>
      </c>
      <c r="P91" s="6"/>
    </row>
    <row r="92" spans="1:16" x14ac:dyDescent="0.3">
      <c r="A92" t="s">
        <v>74</v>
      </c>
      <c r="B92" s="5">
        <v>0.15</v>
      </c>
      <c r="C92" s="6">
        <v>0.14000000000000001</v>
      </c>
      <c r="D92" s="6"/>
      <c r="E92" s="6">
        <v>0.12</v>
      </c>
      <c r="F92" s="6">
        <v>0.13</v>
      </c>
      <c r="G92" s="6">
        <v>0.14000000000000001</v>
      </c>
      <c r="H92" s="6">
        <v>0.11</v>
      </c>
      <c r="I92" s="6">
        <v>0.13</v>
      </c>
      <c r="J92" s="6">
        <v>0.11</v>
      </c>
      <c r="K92" s="6">
        <f>SUM(262/2034)</f>
        <v>0.12881022615535889</v>
      </c>
      <c r="L92" s="6">
        <v>0.09</v>
      </c>
      <c r="M92" s="6"/>
      <c r="N92" s="6"/>
      <c r="O92" s="6">
        <v>0.105</v>
      </c>
      <c r="P92" s="6"/>
    </row>
    <row r="93" spans="1:16" x14ac:dyDescent="0.3">
      <c r="A93" t="s">
        <v>75</v>
      </c>
      <c r="B93" s="5">
        <v>7.0000000000000007E-2</v>
      </c>
      <c r="C93" s="6">
        <v>0.06</v>
      </c>
      <c r="D93" s="6"/>
      <c r="E93" s="6"/>
      <c r="F93" s="6">
        <v>0.09</v>
      </c>
      <c r="G93" s="6">
        <v>0.08</v>
      </c>
      <c r="H93" s="6">
        <v>7.0000000000000007E-2</v>
      </c>
      <c r="I93" s="6">
        <v>0.09</v>
      </c>
      <c r="J93" s="6">
        <v>0.08</v>
      </c>
      <c r="K93" s="6">
        <f>SUM(189/2034)</f>
        <v>9.2920353982300891E-2</v>
      </c>
      <c r="L93" s="6">
        <v>0.05</v>
      </c>
      <c r="M93" s="6"/>
      <c r="N93" s="6"/>
      <c r="O93" s="6">
        <v>0.12</v>
      </c>
      <c r="P93" s="6"/>
    </row>
    <row r="94" spans="1:16" x14ac:dyDescent="0.3">
      <c r="A94" t="s">
        <v>76</v>
      </c>
      <c r="B94" s="5">
        <v>0.09</v>
      </c>
      <c r="C94" s="6">
        <v>0.11</v>
      </c>
      <c r="D94" s="6">
        <v>0.36</v>
      </c>
      <c r="E94" s="6"/>
      <c r="F94" s="6">
        <v>0.08</v>
      </c>
      <c r="G94" s="6">
        <v>0.06</v>
      </c>
      <c r="H94" s="6">
        <v>0.06</v>
      </c>
      <c r="I94" s="6">
        <v>0.1</v>
      </c>
      <c r="J94" s="6">
        <v>7.0000000000000007E-2</v>
      </c>
      <c r="K94" s="6">
        <f>SUM(184/2034)</f>
        <v>9.0462143559488686E-2</v>
      </c>
      <c r="L94" s="6">
        <v>7.0000000000000007E-2</v>
      </c>
      <c r="M94" s="6"/>
      <c r="N94" s="6"/>
      <c r="O94" s="6">
        <v>0.09</v>
      </c>
      <c r="P94" s="6"/>
    </row>
    <row r="95" spans="1:16" x14ac:dyDescent="0.3">
      <c r="A95" t="s">
        <v>77</v>
      </c>
      <c r="B95" s="5">
        <v>0.03</v>
      </c>
      <c r="C95" s="6">
        <v>0.03</v>
      </c>
      <c r="D95" s="6"/>
      <c r="E95" s="6">
        <v>0.04</v>
      </c>
      <c r="F95" s="6">
        <v>0.04</v>
      </c>
      <c r="G95" s="6">
        <v>0.04</v>
      </c>
      <c r="H95" s="6">
        <v>7.0000000000000007E-2</v>
      </c>
      <c r="I95" s="6">
        <v>7.0000000000000007E-2</v>
      </c>
      <c r="J95" s="6">
        <v>0.05</v>
      </c>
      <c r="K95" s="6">
        <f>SUM(92/2034)</f>
        <v>4.5231071779744343E-2</v>
      </c>
      <c r="L95" s="6">
        <v>0.04</v>
      </c>
      <c r="M95" s="6"/>
      <c r="N95" s="6"/>
      <c r="O95" s="6">
        <v>7.0000000000000007E-2</v>
      </c>
      <c r="P95" s="6"/>
    </row>
    <row r="96" spans="1:16" x14ac:dyDescent="0.3">
      <c r="A96" t="s">
        <v>121</v>
      </c>
      <c r="B96" s="12">
        <v>0.01</v>
      </c>
      <c r="C96" s="6">
        <v>0.01</v>
      </c>
      <c r="D96" s="6"/>
      <c r="E96" s="6"/>
      <c r="F96" s="6">
        <v>0.01</v>
      </c>
      <c r="G96" s="6">
        <v>0.01</v>
      </c>
      <c r="H96" s="6">
        <v>0.01</v>
      </c>
      <c r="I96" s="6">
        <v>0.01</v>
      </c>
      <c r="J96" s="6">
        <v>0.01</v>
      </c>
      <c r="K96" s="6">
        <f>SUM(21/2034)</f>
        <v>1.0324483775811209E-2</v>
      </c>
      <c r="L96" s="6">
        <v>0.01</v>
      </c>
      <c r="M96" s="6"/>
      <c r="N96" s="6"/>
      <c r="O96" s="6">
        <v>0.02</v>
      </c>
    </row>
    <row r="97" spans="1:17" x14ac:dyDescent="0.3">
      <c r="A97" t="s">
        <v>108</v>
      </c>
      <c r="B97" s="5">
        <v>0.04</v>
      </c>
      <c r="C97" s="6">
        <v>0.04</v>
      </c>
      <c r="D97" s="6"/>
      <c r="E97" s="6">
        <v>0.05</v>
      </c>
      <c r="F97" s="6">
        <v>0.03</v>
      </c>
      <c r="G97" s="6">
        <v>0.03</v>
      </c>
      <c r="H97" s="6">
        <v>0.03</v>
      </c>
      <c r="I97" s="6">
        <v>0.04</v>
      </c>
      <c r="J97" s="6">
        <v>0.03</v>
      </c>
      <c r="K97" s="6">
        <f>SUM(63/2034)</f>
        <v>3.0973451327433628E-2</v>
      </c>
      <c r="L97" s="6">
        <v>0.03</v>
      </c>
      <c r="M97" s="6"/>
      <c r="N97" s="6"/>
      <c r="O97" s="6">
        <v>7.0000000000000001E-3</v>
      </c>
      <c r="P97" s="6"/>
    </row>
    <row r="98" spans="1:17" x14ac:dyDescent="0.3">
      <c r="A98" t="s">
        <v>78</v>
      </c>
      <c r="B98" s="5">
        <v>0.03</v>
      </c>
      <c r="C98" s="6">
        <v>0.03</v>
      </c>
      <c r="D98" s="6"/>
      <c r="E98" s="6"/>
      <c r="F98" s="6">
        <v>0.03</v>
      </c>
      <c r="G98" s="6">
        <v>0.03</v>
      </c>
      <c r="H98" s="6">
        <v>0.03</v>
      </c>
      <c r="I98" s="6">
        <v>0.04</v>
      </c>
      <c r="J98" s="6">
        <v>0.04</v>
      </c>
      <c r="K98" s="6">
        <f>SUM(47/2034)</f>
        <v>2.3107177974434612E-2</v>
      </c>
      <c r="L98" s="6">
        <v>0.03</v>
      </c>
      <c r="M98" s="6"/>
      <c r="N98" s="6"/>
      <c r="O98" s="6">
        <v>0.04</v>
      </c>
      <c r="P98" s="6"/>
    </row>
    <row r="99" spans="1:17" x14ac:dyDescent="0.3">
      <c r="A99" t="s">
        <v>122</v>
      </c>
      <c r="B99" s="5">
        <v>0.01</v>
      </c>
      <c r="C99" s="6">
        <v>0.01</v>
      </c>
      <c r="D99" s="6"/>
      <c r="E99" s="6"/>
      <c r="F99" s="6">
        <v>0.02</v>
      </c>
      <c r="G99" s="6">
        <v>0.02</v>
      </c>
      <c r="H99" s="6">
        <v>0.02</v>
      </c>
      <c r="I99" s="6">
        <v>0.02</v>
      </c>
      <c r="J99" s="6">
        <v>0.02</v>
      </c>
      <c r="K99" s="6">
        <f>SUM(35/2034)</f>
        <v>1.720747295968535E-2</v>
      </c>
      <c r="L99" s="6">
        <v>0.02</v>
      </c>
      <c r="M99" s="6"/>
      <c r="N99" s="6"/>
      <c r="O99" s="6">
        <v>0.03</v>
      </c>
      <c r="P99" s="6"/>
    </row>
    <row r="100" spans="1:17" x14ac:dyDescent="0.3">
      <c r="A100" t="s">
        <v>79</v>
      </c>
      <c r="B100" s="5">
        <v>0.03</v>
      </c>
      <c r="C100" s="6">
        <v>0.04</v>
      </c>
      <c r="D100" s="6"/>
      <c r="E100" s="6"/>
      <c r="F100" s="6">
        <v>0.02</v>
      </c>
      <c r="G100" s="6">
        <v>0.02</v>
      </c>
      <c r="H100" s="6">
        <v>0.01</v>
      </c>
      <c r="I100" s="6">
        <v>0.02</v>
      </c>
      <c r="J100" s="6"/>
      <c r="K100" s="6">
        <f>SUM(31/2034)</f>
        <v>1.5240904621435595E-2</v>
      </c>
      <c r="L100" s="6">
        <v>0.02</v>
      </c>
      <c r="M100" s="6"/>
      <c r="N100" s="6"/>
      <c r="O100" s="6">
        <v>2.1999999999999999E-2</v>
      </c>
      <c r="P100" s="6"/>
    </row>
    <row r="101" spans="1:17" x14ac:dyDescent="0.3">
      <c r="A101" t="s">
        <v>80</v>
      </c>
      <c r="B101" s="5">
        <v>0.01</v>
      </c>
      <c r="C101" s="6">
        <v>0.02</v>
      </c>
      <c r="D101" s="6">
        <v>0.12</v>
      </c>
      <c r="E101" s="6"/>
      <c r="F101" s="6">
        <v>0.02</v>
      </c>
      <c r="G101" s="6">
        <v>0.01</v>
      </c>
      <c r="H101" s="6">
        <v>0.02</v>
      </c>
      <c r="I101" s="6">
        <v>0.02</v>
      </c>
      <c r="J101" s="6">
        <v>0.02</v>
      </c>
      <c r="K101" s="6">
        <f>SUM(43/2034)</f>
        <v>2.1140609636184856E-2</v>
      </c>
      <c r="L101" s="6">
        <v>0.02</v>
      </c>
      <c r="M101" s="6"/>
      <c r="N101" s="6"/>
      <c r="O101" s="6">
        <v>7.0000000000000001E-3</v>
      </c>
      <c r="P101" s="6"/>
    </row>
    <row r="102" spans="1:17" x14ac:dyDescent="0.3">
      <c r="A102" t="s">
        <v>81</v>
      </c>
      <c r="B102" s="5">
        <v>0.02</v>
      </c>
      <c r="C102" s="6">
        <v>0.02</v>
      </c>
      <c r="D102" s="6"/>
      <c r="E102" s="6"/>
      <c r="F102" s="6">
        <v>0.02</v>
      </c>
      <c r="G102" s="6">
        <v>0.03</v>
      </c>
      <c r="H102" s="6">
        <v>0.02</v>
      </c>
      <c r="I102" s="6">
        <v>0.02</v>
      </c>
      <c r="J102" s="6">
        <v>0.01</v>
      </c>
      <c r="K102" s="6">
        <f>SUM(30/2034)</f>
        <v>1.4749262536873156E-2</v>
      </c>
      <c r="L102" s="6">
        <v>0.02</v>
      </c>
      <c r="M102" s="6"/>
      <c r="N102" s="6"/>
      <c r="O102" s="6">
        <v>2.4E-2</v>
      </c>
      <c r="P102" s="6"/>
    </row>
    <row r="103" spans="1:17" x14ac:dyDescent="0.3">
      <c r="A103" t="s">
        <v>82</v>
      </c>
      <c r="B103" s="5">
        <v>0.01</v>
      </c>
      <c r="C103" s="6">
        <v>0</v>
      </c>
      <c r="D103" s="6"/>
      <c r="E103" s="6"/>
      <c r="F103" s="6">
        <v>0.01</v>
      </c>
      <c r="G103" s="6">
        <v>0.02</v>
      </c>
      <c r="H103" s="6">
        <v>0.01</v>
      </c>
      <c r="I103" s="6">
        <v>0.01</v>
      </c>
      <c r="J103" s="6">
        <v>0.01</v>
      </c>
      <c r="K103" s="6">
        <f>SUM(7/2034)</f>
        <v>3.4414945919370699E-3</v>
      </c>
      <c r="L103" s="6">
        <v>0.02</v>
      </c>
      <c r="M103" s="6"/>
      <c r="N103" s="6"/>
      <c r="O103" s="6">
        <v>0.03</v>
      </c>
      <c r="P103" s="6"/>
    </row>
    <row r="104" spans="1:17" x14ac:dyDescent="0.3">
      <c r="A104" t="s">
        <v>83</v>
      </c>
      <c r="B104" s="5">
        <v>5.0000000000000001E-3</v>
      </c>
      <c r="C104" s="6">
        <v>0.01</v>
      </c>
      <c r="D104" s="6">
        <v>0.03</v>
      </c>
      <c r="E104" s="6"/>
      <c r="F104" s="6">
        <v>0.02</v>
      </c>
      <c r="G104" s="6"/>
      <c r="H104" s="6">
        <v>0.06</v>
      </c>
      <c r="I104" s="6">
        <v>0.01</v>
      </c>
      <c r="J104" s="6"/>
      <c r="K104" s="6">
        <f>SUM(53/2034)</f>
        <v>2.6057030481809244E-2</v>
      </c>
      <c r="L104" s="6">
        <v>0.02</v>
      </c>
      <c r="M104" s="6"/>
      <c r="N104" s="6"/>
      <c r="O104" s="6">
        <v>7.0000000000000001E-3</v>
      </c>
      <c r="P104" s="6"/>
      <c r="Q104" s="6" t="s">
        <v>123</v>
      </c>
    </row>
    <row r="105" spans="1:17" x14ac:dyDescent="0.3">
      <c r="A105" t="s">
        <v>43</v>
      </c>
      <c r="B105" s="5">
        <v>7.0000000000000007E-2</v>
      </c>
      <c r="C105" s="6">
        <v>0.04</v>
      </c>
      <c r="D105" s="6">
        <v>0.08</v>
      </c>
      <c r="E105" s="6"/>
      <c r="F105" s="6">
        <v>0.05</v>
      </c>
      <c r="G105" s="6">
        <v>0.05</v>
      </c>
      <c r="H105" s="6">
        <v>0.01</v>
      </c>
      <c r="I105" s="6">
        <v>0.01</v>
      </c>
      <c r="J105" s="6">
        <v>0.08</v>
      </c>
      <c r="K105" s="6">
        <f>SUM(133/2034)</f>
        <v>6.5388397246804328E-2</v>
      </c>
      <c r="L105" s="6">
        <v>0.08</v>
      </c>
      <c r="M105" s="6"/>
      <c r="N105" s="6"/>
      <c r="O105" s="6">
        <v>0.02</v>
      </c>
      <c r="P105" s="6"/>
    </row>
    <row r="107" spans="1:17" x14ac:dyDescent="0.3">
      <c r="A107" t="s">
        <v>84</v>
      </c>
      <c r="B107" s="3" t="s">
        <v>15</v>
      </c>
      <c r="C107" s="2" t="s">
        <v>16</v>
      </c>
      <c r="D107" s="3" t="s">
        <v>17</v>
      </c>
      <c r="E107" s="2" t="s">
        <v>18</v>
      </c>
      <c r="F107" s="3" t="s">
        <v>19</v>
      </c>
      <c r="G107" s="2" t="s">
        <v>20</v>
      </c>
      <c r="H107" s="3" t="s">
        <v>21</v>
      </c>
      <c r="I107" s="2" t="s">
        <v>22</v>
      </c>
      <c r="J107" s="3" t="s">
        <v>23</v>
      </c>
      <c r="K107" s="2" t="s">
        <v>24</v>
      </c>
      <c r="L107" s="3" t="s">
        <v>25</v>
      </c>
      <c r="M107" s="2" t="s">
        <v>26</v>
      </c>
      <c r="N107" s="3" t="s">
        <v>27</v>
      </c>
      <c r="O107" s="2" t="s">
        <v>28</v>
      </c>
      <c r="P107" s="3" t="s">
        <v>29</v>
      </c>
    </row>
    <row r="108" spans="1:17" x14ac:dyDescent="0.3">
      <c r="A108" t="s">
        <v>120</v>
      </c>
      <c r="B108" s="12">
        <v>0.5</v>
      </c>
      <c r="C108" s="6">
        <v>0.48</v>
      </c>
      <c r="D108" s="6">
        <v>0.57999999999999996</v>
      </c>
      <c r="E108" s="6">
        <v>0.47</v>
      </c>
      <c r="F108" s="6">
        <v>0.35</v>
      </c>
      <c r="G108" s="6">
        <v>0.4</v>
      </c>
      <c r="H108" s="6">
        <v>0.39</v>
      </c>
      <c r="I108" s="6">
        <v>0.34</v>
      </c>
      <c r="J108" s="6">
        <v>0.28000000000000003</v>
      </c>
      <c r="K108" s="6">
        <f>SUM(830/2803)</f>
        <v>0.29611130931145202</v>
      </c>
      <c r="L108" s="6">
        <f>1384/4794</f>
        <v>0.28869420108468918</v>
      </c>
      <c r="M108" s="6"/>
      <c r="N108" s="6"/>
      <c r="O108" s="6">
        <f>SUM(584/2191)</f>
        <v>0.2665449566408033</v>
      </c>
    </row>
    <row r="109" spans="1:17" x14ac:dyDescent="0.3">
      <c r="A109" t="s">
        <v>116</v>
      </c>
      <c r="B109" s="12">
        <v>0.16</v>
      </c>
      <c r="C109" s="6">
        <v>0.15</v>
      </c>
      <c r="D109" s="6">
        <v>0.08</v>
      </c>
      <c r="E109" s="6">
        <v>0.05</v>
      </c>
      <c r="F109" s="6">
        <v>0.05</v>
      </c>
      <c r="G109" s="6">
        <v>0.08</v>
      </c>
      <c r="H109" s="6">
        <v>0.04</v>
      </c>
      <c r="I109" s="6">
        <v>0.06</v>
      </c>
      <c r="J109" s="6">
        <v>0.03</v>
      </c>
      <c r="K109" s="6">
        <f>SUM(96/2803)</f>
        <v>3.4249018908312522E-2</v>
      </c>
      <c r="L109" s="6">
        <f>153/4794</f>
        <v>3.1914893617021274E-2</v>
      </c>
      <c r="M109" s="6"/>
      <c r="N109" s="6"/>
      <c r="O109" s="6">
        <f>SUM(27/2191)</f>
        <v>1.2323140118667275E-2</v>
      </c>
    </row>
    <row r="110" spans="1:17" x14ac:dyDescent="0.3">
      <c r="A110" t="s">
        <v>85</v>
      </c>
      <c r="B110" s="12">
        <v>0.22</v>
      </c>
      <c r="C110" s="6">
        <v>0.22</v>
      </c>
      <c r="D110" s="6">
        <v>0.21</v>
      </c>
      <c r="E110" s="6">
        <v>0.27</v>
      </c>
      <c r="F110" s="6">
        <v>0.26</v>
      </c>
      <c r="G110" s="6">
        <v>0.3</v>
      </c>
      <c r="H110" s="6">
        <v>0.25</v>
      </c>
      <c r="I110" s="6">
        <v>0.24</v>
      </c>
      <c r="J110" s="6">
        <v>0.21</v>
      </c>
      <c r="K110" s="6">
        <v>0.24</v>
      </c>
      <c r="L110" s="6">
        <f>819/4794</f>
        <v>0.17083854818523153</v>
      </c>
      <c r="M110" s="6"/>
      <c r="N110" s="6"/>
      <c r="O110" s="6">
        <v>0.21232876712328766</v>
      </c>
    </row>
    <row r="111" spans="1:17" x14ac:dyDescent="0.3">
      <c r="A111" t="s">
        <v>77</v>
      </c>
      <c r="B111" s="12">
        <v>0.17</v>
      </c>
      <c r="C111" s="6">
        <v>0.21</v>
      </c>
      <c r="D111" s="6">
        <v>0.14000000000000001</v>
      </c>
      <c r="E111" s="6">
        <v>0.17</v>
      </c>
      <c r="F111" s="6">
        <v>0.17</v>
      </c>
      <c r="G111" s="6">
        <v>0.16</v>
      </c>
      <c r="H111" s="6">
        <v>0.17</v>
      </c>
      <c r="I111" s="6">
        <v>0.17</v>
      </c>
      <c r="J111" s="6">
        <v>0.11</v>
      </c>
      <c r="K111" s="6">
        <f>SUM(354/2803)</f>
        <v>0.12629325722440243</v>
      </c>
      <c r="L111" s="6">
        <v>0.14000000000000001</v>
      </c>
      <c r="M111" s="6"/>
      <c r="N111" s="6"/>
      <c r="O111" s="6">
        <f>SUM(349/2191)</f>
        <v>0.15928799634869922</v>
      </c>
    </row>
    <row r="112" spans="1:17" x14ac:dyDescent="0.3">
      <c r="A112" t="s">
        <v>86</v>
      </c>
      <c r="B112" s="12">
        <v>0.06</v>
      </c>
      <c r="C112" s="6">
        <v>7.0000000000000007E-2</v>
      </c>
      <c r="D112" s="6">
        <v>0.02</v>
      </c>
      <c r="E112" s="6">
        <v>0.03</v>
      </c>
      <c r="F112" s="6">
        <v>0.13</v>
      </c>
      <c r="G112" s="6">
        <v>0.11</v>
      </c>
      <c r="H112" s="6">
        <v>0.13</v>
      </c>
      <c r="I112" s="6">
        <v>0.15</v>
      </c>
      <c r="J112" s="6">
        <v>0.11</v>
      </c>
      <c r="K112" s="6">
        <f>SUM(273/2803)</f>
        <v>9.7395647520513731E-2</v>
      </c>
      <c r="L112" s="6">
        <f>453/4794</f>
        <v>9.4493116395494361E-2</v>
      </c>
      <c r="M112" s="6"/>
      <c r="N112" s="6"/>
      <c r="O112" s="6">
        <f>SUM(170/2191)</f>
        <v>7.7590141487905065E-2</v>
      </c>
    </row>
    <row r="113" spans="1:16" x14ac:dyDescent="0.3">
      <c r="A113" t="s">
        <v>87</v>
      </c>
      <c r="B113" s="12">
        <v>0.01</v>
      </c>
      <c r="C113" s="6">
        <v>0.03</v>
      </c>
      <c r="D113" s="6">
        <v>0.02</v>
      </c>
      <c r="E113" s="6">
        <v>0.04</v>
      </c>
      <c r="F113" s="6">
        <v>0.06</v>
      </c>
      <c r="G113" s="6">
        <v>0.05</v>
      </c>
      <c r="H113" s="6">
        <v>0.06</v>
      </c>
      <c r="I113" s="6">
        <v>0.08</v>
      </c>
      <c r="J113" s="6">
        <v>0.05</v>
      </c>
      <c r="K113" s="6">
        <f>SUM(132/2803)</f>
        <v>4.7092400998929716E-2</v>
      </c>
      <c r="L113" s="6">
        <f>243/4794</f>
        <v>5.0688360450563207E-2</v>
      </c>
      <c r="M113" s="6"/>
      <c r="N113" s="6"/>
      <c r="O113" s="6">
        <f>SUM(131/2191)</f>
        <v>5.9790050205385671E-2</v>
      </c>
    </row>
    <row r="114" spans="1:16" x14ac:dyDescent="0.3">
      <c r="A114" t="s">
        <v>88</v>
      </c>
      <c r="B114" s="12">
        <v>0.06</v>
      </c>
      <c r="C114" s="6">
        <v>0.06</v>
      </c>
      <c r="D114" s="6">
        <v>0.06</v>
      </c>
      <c r="E114" s="6">
        <v>0.05</v>
      </c>
      <c r="F114" s="6">
        <v>0.06</v>
      </c>
      <c r="G114" s="6">
        <v>0.06</v>
      </c>
      <c r="H114" s="6">
        <v>0.06</v>
      </c>
      <c r="I114" s="6">
        <v>0.06</v>
      </c>
      <c r="J114" s="6">
        <v>0.08</v>
      </c>
      <c r="K114" s="6">
        <f>SUM(184/2803)</f>
        <v>6.5643952907599001E-2</v>
      </c>
      <c r="L114" s="6">
        <f>310/4794</f>
        <v>6.4664163537755531E-2</v>
      </c>
      <c r="M114" s="6"/>
      <c r="N114" s="6"/>
      <c r="O114" s="6">
        <f>SUM(102/2191)</f>
        <v>4.6554084892743042E-2</v>
      </c>
    </row>
    <row r="115" spans="1:16" x14ac:dyDescent="0.3">
      <c r="A115" t="s">
        <v>89</v>
      </c>
      <c r="B115" s="12">
        <v>0.02</v>
      </c>
      <c r="C115" s="6">
        <v>0.03</v>
      </c>
      <c r="D115" s="6">
        <v>0.01</v>
      </c>
      <c r="E115" s="6">
        <v>0.04</v>
      </c>
      <c r="F115" s="6">
        <v>0.05</v>
      </c>
      <c r="G115" s="6">
        <v>0.04</v>
      </c>
      <c r="H115" s="6">
        <v>0.03</v>
      </c>
      <c r="I115" s="6">
        <v>0.02</v>
      </c>
      <c r="J115" s="6">
        <v>0.04</v>
      </c>
      <c r="K115" s="6">
        <f>SUM(77/2803)</f>
        <v>2.7470567249375667E-2</v>
      </c>
      <c r="L115" s="6">
        <f>218/4794</f>
        <v>4.5473508552357114E-2</v>
      </c>
      <c r="M115" s="6"/>
      <c r="N115" s="6"/>
      <c r="O115" s="6">
        <f>SUM(88/2191)</f>
        <v>4.0164308534915566E-2</v>
      </c>
    </row>
    <row r="116" spans="1:16" x14ac:dyDescent="0.3">
      <c r="A116" t="s">
        <v>43</v>
      </c>
      <c r="B116" s="12">
        <v>0.06</v>
      </c>
      <c r="C116" s="6">
        <v>0.06</v>
      </c>
      <c r="D116" s="6">
        <v>0.1</v>
      </c>
      <c r="E116" s="6">
        <v>0.04</v>
      </c>
      <c r="F116" s="6">
        <v>0.12</v>
      </c>
      <c r="G116" s="6">
        <v>0.08</v>
      </c>
      <c r="H116" s="6">
        <v>0.09</v>
      </c>
      <c r="I116" s="6">
        <v>0.13</v>
      </c>
      <c r="J116" s="6">
        <v>0.03</v>
      </c>
      <c r="K116" s="6">
        <f>SUM(117/2803)</f>
        <v>4.174099179450589E-2</v>
      </c>
      <c r="L116" s="6">
        <f>272/4794</f>
        <v>5.6737588652482268E-2</v>
      </c>
      <c r="M116" s="6"/>
      <c r="N116" s="6"/>
      <c r="O116" s="6">
        <f>SUM(185/2191)</f>
        <v>8.4436330442720225E-2</v>
      </c>
    </row>
    <row r="118" spans="1:16" x14ac:dyDescent="0.3">
      <c r="A118" t="s">
        <v>90</v>
      </c>
      <c r="B118" s="3" t="s">
        <v>15</v>
      </c>
      <c r="C118" s="2" t="s">
        <v>16</v>
      </c>
      <c r="D118" s="3" t="s">
        <v>17</v>
      </c>
      <c r="E118" s="2" t="s">
        <v>18</v>
      </c>
      <c r="F118" s="3" t="s">
        <v>19</v>
      </c>
      <c r="G118" s="2" t="s">
        <v>20</v>
      </c>
      <c r="H118" s="3" t="s">
        <v>21</v>
      </c>
      <c r="I118" s="2" t="s">
        <v>22</v>
      </c>
      <c r="J118" s="3" t="s">
        <v>23</v>
      </c>
      <c r="K118" s="2" t="s">
        <v>24</v>
      </c>
      <c r="L118" s="3" t="s">
        <v>25</v>
      </c>
      <c r="M118" s="2" t="s">
        <v>26</v>
      </c>
      <c r="N118" s="3" t="s">
        <v>27</v>
      </c>
      <c r="O118" s="2" t="s">
        <v>28</v>
      </c>
      <c r="P118" s="3" t="s">
        <v>29</v>
      </c>
    </row>
    <row r="119" spans="1:16" x14ac:dyDescent="0.3">
      <c r="A119" t="s">
        <v>91</v>
      </c>
      <c r="B119" s="5">
        <v>0.59</v>
      </c>
      <c r="C119" s="6">
        <v>0.65</v>
      </c>
      <c r="D119" s="6">
        <v>0.61</v>
      </c>
      <c r="E119" s="6">
        <v>0.59</v>
      </c>
      <c r="F119" s="6">
        <v>0.67</v>
      </c>
      <c r="G119">
        <v>63</v>
      </c>
      <c r="H119" s="6">
        <v>0.65</v>
      </c>
      <c r="I119" s="6"/>
      <c r="J119" s="6"/>
      <c r="K119" s="6"/>
      <c r="L119" s="6"/>
      <c r="M119" s="6"/>
      <c r="N119" s="6"/>
      <c r="O119" s="6"/>
      <c r="P119" s="6"/>
    </row>
    <row r="120" spans="1:16" x14ac:dyDescent="0.3">
      <c r="A120" t="s">
        <v>109</v>
      </c>
      <c r="B120" s="5">
        <v>0.33</v>
      </c>
      <c r="C120" s="6">
        <v>0.4</v>
      </c>
      <c r="D120" s="6">
        <v>0.44</v>
      </c>
      <c r="E120" s="6">
        <v>0.39</v>
      </c>
      <c r="F120" s="6">
        <v>0.48</v>
      </c>
      <c r="G120" s="6">
        <v>0.48</v>
      </c>
      <c r="H120" s="6">
        <v>0.46</v>
      </c>
      <c r="I120" s="6"/>
      <c r="J120" s="6"/>
      <c r="K120" s="6"/>
      <c r="L120" s="6"/>
      <c r="M120" s="6"/>
      <c r="N120" s="6"/>
      <c r="O120" s="6"/>
      <c r="P120" s="6"/>
    </row>
    <row r="121" spans="1:16" x14ac:dyDescent="0.3">
      <c r="A121" t="s">
        <v>92</v>
      </c>
      <c r="B121" s="5">
        <v>0.24</v>
      </c>
      <c r="C121" s="6">
        <v>0.3</v>
      </c>
      <c r="D121" s="6">
        <v>0.34</v>
      </c>
      <c r="E121" s="6">
        <v>0.27</v>
      </c>
      <c r="F121" s="6">
        <v>0.31</v>
      </c>
      <c r="G121" s="6">
        <v>0.26</v>
      </c>
      <c r="H121" s="6">
        <v>0.32</v>
      </c>
      <c r="I121" s="6"/>
      <c r="J121" s="6"/>
      <c r="K121" s="6"/>
      <c r="L121" s="6"/>
      <c r="M121" s="6"/>
      <c r="N121" s="6"/>
      <c r="O121" s="6"/>
      <c r="P121" s="6"/>
    </row>
    <row r="122" spans="1:16" x14ac:dyDescent="0.3">
      <c r="A122" t="s">
        <v>93</v>
      </c>
      <c r="B122" s="5">
        <v>0.27</v>
      </c>
      <c r="C122" s="6">
        <v>0.33</v>
      </c>
      <c r="D122" s="6">
        <v>0.41</v>
      </c>
      <c r="E122" s="6">
        <v>0.35</v>
      </c>
      <c r="F122" s="6">
        <v>0.36</v>
      </c>
      <c r="G122" s="6">
        <v>0.39</v>
      </c>
      <c r="H122" s="6">
        <v>0.38</v>
      </c>
      <c r="I122" s="6"/>
      <c r="J122" s="6"/>
      <c r="K122" s="6"/>
      <c r="L122" s="6"/>
      <c r="M122" s="6"/>
      <c r="N122" s="6"/>
      <c r="O122" s="6"/>
      <c r="P122" s="6"/>
    </row>
    <row r="123" spans="1:16" x14ac:dyDescent="0.3">
      <c r="A123" t="s">
        <v>114</v>
      </c>
      <c r="B123" s="5">
        <v>0.1</v>
      </c>
      <c r="C123" s="6">
        <v>0.13</v>
      </c>
      <c r="D123" s="6">
        <v>0.16</v>
      </c>
      <c r="E123" s="6">
        <v>0.16</v>
      </c>
      <c r="F123" s="6">
        <v>0.27</v>
      </c>
      <c r="G123" s="6">
        <v>0.38</v>
      </c>
      <c r="H123" s="6">
        <v>0.15</v>
      </c>
      <c r="I123" s="6"/>
      <c r="J123" s="6"/>
      <c r="K123" s="6"/>
      <c r="L123" s="6"/>
      <c r="M123" s="6"/>
      <c r="N123" s="6"/>
      <c r="O123" s="6"/>
      <c r="P123" s="6"/>
    </row>
    <row r="124" spans="1:16" x14ac:dyDescent="0.3">
      <c r="A124" t="s">
        <v>113</v>
      </c>
      <c r="B124" s="5">
        <v>0.11</v>
      </c>
      <c r="C124" s="6">
        <v>0.17</v>
      </c>
      <c r="D124" s="6">
        <v>0.2</v>
      </c>
      <c r="E124" s="6">
        <v>0.15</v>
      </c>
      <c r="F124" s="6">
        <v>0.15</v>
      </c>
      <c r="G124" s="6">
        <v>0.34</v>
      </c>
      <c r="H124" s="6">
        <v>0.16</v>
      </c>
      <c r="I124" s="6"/>
      <c r="J124" s="6"/>
      <c r="K124" s="6"/>
      <c r="L124" s="6"/>
      <c r="M124" s="6"/>
      <c r="N124" s="6"/>
      <c r="O124" s="6"/>
      <c r="P124" s="6"/>
    </row>
    <row r="125" spans="1:16" x14ac:dyDescent="0.3">
      <c r="A125" t="s">
        <v>111</v>
      </c>
      <c r="B125" s="5">
        <v>0.19</v>
      </c>
      <c r="C125" s="6">
        <v>0.18</v>
      </c>
      <c r="D125" s="6">
        <v>0.28999999999999998</v>
      </c>
      <c r="E125" s="6">
        <v>0.33</v>
      </c>
      <c r="F125" s="6">
        <v>0.15</v>
      </c>
      <c r="G125" s="6">
        <v>0.19</v>
      </c>
      <c r="H125" s="6">
        <v>0.26</v>
      </c>
      <c r="I125" s="6"/>
      <c r="J125" s="6"/>
      <c r="K125" s="6"/>
      <c r="L125" s="6"/>
      <c r="M125" s="6"/>
      <c r="N125" s="6"/>
      <c r="O125" s="6"/>
      <c r="P125" s="6"/>
    </row>
    <row r="126" spans="1:16" x14ac:dyDescent="0.3">
      <c r="A126" t="s">
        <v>112</v>
      </c>
      <c r="B126" s="5">
        <v>0.15</v>
      </c>
      <c r="C126" s="6">
        <v>0.15</v>
      </c>
      <c r="D126" s="6">
        <v>0.19</v>
      </c>
      <c r="E126" s="6">
        <v>0.17</v>
      </c>
      <c r="F126" s="6">
        <v>0.19</v>
      </c>
      <c r="G126" s="6">
        <v>0.44</v>
      </c>
      <c r="H126" s="6">
        <v>0.18</v>
      </c>
      <c r="I126" s="6"/>
      <c r="J126" s="6"/>
      <c r="K126" s="6"/>
      <c r="L126" s="6"/>
      <c r="M126" s="6"/>
      <c r="N126" s="6"/>
      <c r="O126" s="6"/>
      <c r="P126" s="6"/>
    </row>
    <row r="127" spans="1:16" x14ac:dyDescent="0.3">
      <c r="A127" t="s">
        <v>94</v>
      </c>
      <c r="B127" s="5">
        <v>0.3</v>
      </c>
      <c r="C127" s="6">
        <v>0.35</v>
      </c>
      <c r="D127" s="6">
        <v>0.47</v>
      </c>
      <c r="E127" s="6">
        <v>0.42</v>
      </c>
      <c r="F127" s="6">
        <v>0.41</v>
      </c>
      <c r="G127" s="6">
        <v>0.32</v>
      </c>
      <c r="H127" s="6">
        <v>0.42</v>
      </c>
      <c r="I127" s="6"/>
      <c r="J127" s="6"/>
      <c r="K127" s="6"/>
      <c r="L127" s="6"/>
      <c r="M127" s="6"/>
      <c r="N127" s="6"/>
      <c r="O127" s="6"/>
      <c r="P127" s="6"/>
    </row>
    <row r="128" spans="1:16" x14ac:dyDescent="0.3">
      <c r="A128" t="s">
        <v>110</v>
      </c>
      <c r="B128" s="5">
        <v>0.28000000000000003</v>
      </c>
      <c r="C128" s="6">
        <v>0.32</v>
      </c>
      <c r="D128" s="6">
        <v>0.38</v>
      </c>
      <c r="E128" s="6">
        <v>0.37</v>
      </c>
      <c r="F128" s="6">
        <v>0.33</v>
      </c>
      <c r="G128" s="6">
        <v>0.15</v>
      </c>
      <c r="H128" s="6">
        <v>0.35</v>
      </c>
      <c r="I128" s="6"/>
      <c r="J128" s="6"/>
      <c r="K128" s="6"/>
      <c r="L128" s="6"/>
      <c r="M128" s="6"/>
      <c r="N128" s="6"/>
      <c r="O128" s="6"/>
      <c r="P128" s="6"/>
    </row>
    <row r="129" spans="1:16" x14ac:dyDescent="0.3">
      <c r="A129" t="s">
        <v>43</v>
      </c>
      <c r="B129" s="5"/>
      <c r="C129" s="6"/>
      <c r="D129" s="6">
        <v>0.31</v>
      </c>
      <c r="E129" s="6"/>
      <c r="F129" s="6">
        <v>0.32</v>
      </c>
      <c r="G129" s="6">
        <v>0.16</v>
      </c>
      <c r="H129" s="6">
        <v>0.33</v>
      </c>
      <c r="I129" s="6"/>
      <c r="J129" s="6"/>
      <c r="K129" s="6"/>
      <c r="L129" s="6"/>
      <c r="M129" s="6"/>
      <c r="N129" s="6"/>
      <c r="O129" s="6"/>
      <c r="P129" s="6"/>
    </row>
    <row r="131" spans="1:16" x14ac:dyDescent="0.3">
      <c r="A131" t="s">
        <v>95</v>
      </c>
      <c r="B131" s="3" t="s">
        <v>15</v>
      </c>
      <c r="C131" t="s">
        <v>100</v>
      </c>
    </row>
    <row r="132" spans="1:16" x14ac:dyDescent="0.3">
      <c r="A132" t="s">
        <v>96</v>
      </c>
      <c r="B132" s="5">
        <v>0.61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x14ac:dyDescent="0.3">
      <c r="A133" t="s">
        <v>97</v>
      </c>
      <c r="B133" s="5">
        <v>0.13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x14ac:dyDescent="0.3">
      <c r="A134" t="s">
        <v>98</v>
      </c>
      <c r="B134" s="5">
        <v>0.1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x14ac:dyDescent="0.3">
      <c r="A135" t="s">
        <v>99</v>
      </c>
      <c r="B135" s="5">
        <v>0.15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x14ac:dyDescent="0.3"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</sheetData>
  <mergeCells count="1">
    <mergeCell ref="A1:P1"/>
  </mergeCells>
  <phoneticPr fontId="2" type="noConversion"/>
  <conditionalFormatting sqref="B78:L8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{98662EE4-0616-4F2B-B0F6-0523BF1AFA15}</x14:id>
        </ext>
      </extLst>
    </cfRule>
  </conditionalFormatting>
  <conditionalFormatting sqref="B90:L10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{1510F96C-05E3-4547-9EEC-0EA340CB0C0D}</x14:id>
        </ext>
      </extLst>
    </cfRule>
  </conditionalFormatting>
  <conditionalFormatting sqref="B19:O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{9B4498F1-3179-41F6-82BC-99BE200EBC14}</x14:id>
        </ext>
      </extLst>
    </cfRule>
  </conditionalFormatting>
  <conditionalFormatting sqref="B25:O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{5C961E44-08FC-4BF5-ACE9-CAE664DF45FE}</x14:id>
        </ext>
      </extLst>
    </cfRule>
  </conditionalFormatting>
  <conditionalFormatting sqref="B28:O3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{D1C1F72D-A5D8-4104-BAD5-26E76FD4D0BE}</x14:id>
        </ext>
      </extLst>
    </cfRule>
  </conditionalFormatting>
  <conditionalFormatting sqref="B38:O4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{E22225BC-C0E1-4D22-AD44-493DFFCC7DCF}</x14:id>
        </ext>
      </extLst>
    </cfRule>
  </conditionalFormatting>
  <conditionalFormatting sqref="B47:O5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{34184E73-D136-4E73-BB81-71B12B0E837A}</x14:id>
        </ext>
      </extLst>
    </cfRule>
  </conditionalFormatting>
  <conditionalFormatting sqref="B57:O6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{5F62AB3A-36A5-4189-B5EF-06988CC66F45}</x14:id>
        </ext>
      </extLst>
    </cfRule>
  </conditionalFormatting>
  <conditionalFormatting sqref="B67:O7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{B289F569-67A2-4B29-9B2A-2E3F5DCE4A2A}</x14:id>
        </ext>
      </extLst>
    </cfRule>
  </conditionalFormatting>
  <conditionalFormatting sqref="B90:O10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{D5D53810-D947-44B1-A91C-B0E724658FEC}</x14:id>
        </ext>
      </extLst>
    </cfRule>
  </conditionalFormatting>
  <conditionalFormatting sqref="B108:O1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{6859C24E-7E70-40DC-A313-64C94EC522EA}</x14:id>
        </ext>
      </extLst>
    </cfRule>
  </conditionalFormatting>
  <conditionalFormatting sqref="B3:P1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{9B4EAD8D-FF0A-4E34-B7C3-0C35D57F8827}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662EE4-0616-4F2B-B0F6-0523BF1AFA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B78:L85</xm:sqref>
        </x14:conditionalFormatting>
        <x14:conditionalFormatting xmlns:xm="http://schemas.microsoft.com/office/excel/2006/main">
          <x14:cfRule type="dataBar" id="{1510F96C-05E3-4547-9EEC-0EA340CB0C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B90:L105</xm:sqref>
        </x14:conditionalFormatting>
        <x14:conditionalFormatting xmlns:xm="http://schemas.microsoft.com/office/excel/2006/main">
          <x14:cfRule type="dataBar" id="{9B4498F1-3179-41F6-82BC-99BE200EBC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B19:O22</xm:sqref>
        </x14:conditionalFormatting>
        <x14:conditionalFormatting xmlns:xm="http://schemas.microsoft.com/office/excel/2006/main">
          <x14:cfRule type="dataBar" id="{5C961E44-08FC-4BF5-ACE9-CAE664DF45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B25:O26</xm:sqref>
        </x14:conditionalFormatting>
        <x14:conditionalFormatting xmlns:xm="http://schemas.microsoft.com/office/excel/2006/main">
          <x14:cfRule type="dataBar" id="{D1C1F72D-A5D8-4104-BAD5-26E76FD4D0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B28:O35</xm:sqref>
        </x14:conditionalFormatting>
        <x14:conditionalFormatting xmlns:xm="http://schemas.microsoft.com/office/excel/2006/main">
          <x14:cfRule type="dataBar" id="{E22225BC-C0E1-4D22-AD44-493DFFCC7D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B38:O45</xm:sqref>
        </x14:conditionalFormatting>
        <x14:conditionalFormatting xmlns:xm="http://schemas.microsoft.com/office/excel/2006/main">
          <x14:cfRule type="dataBar" id="{34184E73-D136-4E73-BB81-71B12B0E83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B47:O54</xm:sqref>
        </x14:conditionalFormatting>
        <x14:conditionalFormatting xmlns:xm="http://schemas.microsoft.com/office/excel/2006/main">
          <x14:cfRule type="dataBar" id="{5F62AB3A-36A5-4189-B5EF-06988CC66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B57:O64</xm:sqref>
        </x14:conditionalFormatting>
        <x14:conditionalFormatting xmlns:xm="http://schemas.microsoft.com/office/excel/2006/main">
          <x14:cfRule type="dataBar" id="{B289F569-67A2-4B29-9B2A-2E3F5DCE4A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B67:O75</xm:sqref>
        </x14:conditionalFormatting>
        <x14:conditionalFormatting xmlns:xm="http://schemas.microsoft.com/office/excel/2006/main">
          <x14:cfRule type="dataBar" id="{D5D53810-D947-44B1-A91C-B0E724658F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B90:O105</xm:sqref>
        </x14:conditionalFormatting>
        <x14:conditionalFormatting xmlns:xm="http://schemas.microsoft.com/office/excel/2006/main">
          <x14:cfRule type="dataBar" id="{6859C24E-7E70-40DC-A313-64C94EC522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B108:O116</xm:sqref>
        </x14:conditionalFormatting>
        <x14:conditionalFormatting xmlns:xm="http://schemas.microsoft.com/office/excel/2006/main">
          <x14:cfRule type="dataBar" id="{9B4EAD8D-FF0A-4E34-B7C3-0C35D57F88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B3:P16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C66A-57B2-4804-8A07-A3B3C9F9AA85}">
  <dimension ref="A1"/>
  <sheetViews>
    <sheetView workbookViewId="0">
      <selection activeCell="I18" sqref="I18"/>
    </sheetView>
  </sheetViews>
  <sheetFormatPr defaultRowHeight="14.4" x14ac:dyDescent="0.3"/>
  <cols>
    <col min="1" max="1" width="16.33203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F211AC5D9DA46B78F7A43EE345AA2" ma:contentTypeVersion="16" ma:contentTypeDescription="Create a new document." ma:contentTypeScope="" ma:versionID="9b3492339eb5a0b9b0f0ca2d3582b42c">
  <xsd:schema xmlns:xsd="http://www.w3.org/2001/XMLSchema" xmlns:xs="http://www.w3.org/2001/XMLSchema" xmlns:p="http://schemas.microsoft.com/office/2006/metadata/properties" xmlns:ns2="37fd466a-2379-4288-912f-ed53524e016a" xmlns:ns3="ac4fcade-9132-4d03-bf8d-7f1bb1983151" targetNamespace="http://schemas.microsoft.com/office/2006/metadata/properties" ma:root="true" ma:fieldsID="2acf8760984dbc2bc0040020ea4cd3e6" ns2:_="" ns3:_="">
    <xsd:import namespace="37fd466a-2379-4288-912f-ed53524e016a"/>
    <xsd:import namespace="ac4fcade-9132-4d03-bf8d-7f1bb19831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d466a-2379-4288-912f-ed53524e0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162ef2-5d5e-417f-b405-05cd251d1c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fcade-9132-4d03-bf8d-7f1bb198315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b5c9f8-0450-456f-a2c0-45e97d1dbd20}" ma:internalName="TaxCatchAll" ma:showField="CatchAllData" ma:web="ac4fcade-9132-4d03-bf8d-7f1bb19831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fd466a-2379-4288-912f-ed53524e016a">
      <Terms xmlns="http://schemas.microsoft.com/office/infopath/2007/PartnerControls"/>
    </lcf76f155ced4ddcb4097134ff3c332f>
    <TaxCatchAll xmlns="ac4fcade-9132-4d03-bf8d-7f1bb1983151" xsi:nil="true"/>
  </documentManagement>
</p:properties>
</file>

<file path=customXml/itemProps1.xml><?xml version="1.0" encoding="utf-8"?>
<ds:datastoreItem xmlns:ds="http://schemas.openxmlformats.org/officeDocument/2006/customXml" ds:itemID="{6908DE47-56DB-4DEA-AE2D-9005FCCAF1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5142B-11F4-46B0-8E7A-FB27E6F3F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fd466a-2379-4288-912f-ed53524e016a"/>
    <ds:schemaRef ds:uri="ac4fcade-9132-4d03-bf8d-7f1bb19831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49E344-EC81-419D-9AE1-6EED343424BA}">
  <ds:schemaRefs>
    <ds:schemaRef ds:uri="http://schemas.microsoft.com/office/2006/metadata/properties"/>
    <ds:schemaRef ds:uri="http://schemas.microsoft.com/office/infopath/2007/PartnerControls"/>
    <ds:schemaRef ds:uri="37fd466a-2379-4288-912f-ed53524e016a"/>
    <ds:schemaRef ds:uri="ac4fcade-9132-4d03-bf8d-7f1bb19831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Pohlen</dc:creator>
  <cp:lastModifiedBy>Fiona Pohlen</cp:lastModifiedBy>
  <dcterms:created xsi:type="dcterms:W3CDTF">2024-06-06T03:36:28Z</dcterms:created>
  <dcterms:modified xsi:type="dcterms:W3CDTF">2024-11-12T20:27:59Z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0x010100EDDF211AC5D9DA46B78F7A43EE345AA2</vt:lpwstr>
  </property>
  <property fmtid="{D5CDD505-2E9C-101B-9397-08002B2CF9AE}" pid="3" name="MediaServiceImageTags">
    <vt:lpwstr/>
  </property>
</Properties>
</file>