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 activeTab="1"/>
  </bookViews>
  <sheets>
    <sheet name="Line details" sheetId="1" r:id="rId1"/>
    <sheet name="Sheet1" sheetId="4" r:id="rId2"/>
    <sheet name="Line check" sheetId="2" r:id="rId3"/>
    <sheet name="Line mods" sheetId="3" r:id="rId4"/>
  </sheets>
  <definedNames>
    <definedName name="_xlnm.Print_Area" localSheetId="0">'Line details'!$A$1:$D$144</definedName>
  </definedNames>
  <calcPr calcId="114210" concurrentCalc="0"/>
</workbook>
</file>

<file path=xl/calcChain.xml><?xml version="1.0" encoding="utf-8"?>
<calcChain xmlns="http://schemas.openxmlformats.org/spreadsheetml/2006/main">
  <c r="D72" i="1"/>
  <c r="D73"/>
  <c r="D74"/>
  <c r="D75"/>
  <c r="D76"/>
  <c r="D77"/>
  <c r="D78"/>
  <c r="D79"/>
  <c r="D80"/>
  <c r="D81"/>
  <c r="D82"/>
  <c r="D83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10"/>
  <c r="D111"/>
  <c r="D112"/>
  <c r="D113"/>
  <c r="D114"/>
  <c r="D115"/>
  <c r="D116"/>
  <c r="D117"/>
  <c r="D118"/>
  <c r="D119"/>
  <c r="D120"/>
  <c r="D125"/>
  <c r="D126"/>
  <c r="D127"/>
  <c r="D128"/>
  <c r="D129"/>
  <c r="D130"/>
  <c r="D131"/>
  <c r="D143"/>
  <c r="D139"/>
  <c r="D135"/>
  <c r="D124"/>
  <c r="D109"/>
  <c r="D87"/>
  <c r="D71"/>
  <c r="D50"/>
  <c r="D46"/>
  <c r="D42"/>
  <c r="D38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L30"/>
  <c r="J30"/>
  <c r="I30"/>
  <c r="H30"/>
  <c r="L29"/>
  <c r="J29"/>
  <c r="I29"/>
  <c r="H29"/>
  <c r="L28"/>
  <c r="K28"/>
  <c r="J28"/>
  <c r="I28"/>
  <c r="H28"/>
  <c r="L27"/>
  <c r="K27"/>
  <c r="J27"/>
  <c r="I27"/>
  <c r="H27"/>
  <c r="L26"/>
  <c r="K26"/>
  <c r="J26"/>
  <c r="I26"/>
  <c r="H26"/>
  <c r="L25"/>
  <c r="K25"/>
  <c r="J25"/>
  <c r="I25"/>
  <c r="H25"/>
  <c r="L12"/>
  <c r="L11"/>
  <c r="L10"/>
  <c r="L9"/>
  <c r="L8"/>
  <c r="L7"/>
  <c r="H7"/>
  <c r="I7"/>
  <c r="J7"/>
  <c r="K7"/>
  <c r="H8"/>
  <c r="I8"/>
  <c r="J8"/>
  <c r="K8"/>
  <c r="H9"/>
  <c r="I9"/>
  <c r="J9"/>
  <c r="K9"/>
  <c r="H10"/>
  <c r="I10"/>
  <c r="J10"/>
  <c r="K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I20"/>
  <c r="J20"/>
  <c r="K20"/>
  <c r="H42"/>
  <c r="B33" i="2"/>
  <c r="I42" i="1"/>
  <c r="E33" i="2"/>
  <c r="J42" i="1"/>
  <c r="H33" i="2"/>
  <c r="K42" i="1"/>
  <c r="K33" i="2"/>
  <c r="L42" i="1"/>
  <c r="N33" i="2"/>
  <c r="H43" i="1"/>
  <c r="B34" i="2"/>
  <c r="I43" i="1"/>
  <c r="E34" i="2"/>
  <c r="J43" i="1"/>
  <c r="H34" i="2"/>
  <c r="K43" i="1"/>
  <c r="K34" i="2"/>
  <c r="L43" i="1"/>
  <c r="N34" i="2"/>
  <c r="H44" i="1"/>
  <c r="B35" i="2"/>
  <c r="I44" i="1"/>
  <c r="E35" i="2"/>
  <c r="J44" i="1"/>
  <c r="H35" i="2"/>
  <c r="K44" i="1"/>
  <c r="K35" i="2"/>
  <c r="L44" i="1"/>
  <c r="N35" i="2"/>
  <c r="H45" i="1"/>
  <c r="B36" i="2"/>
  <c r="I45" i="1"/>
  <c r="E36" i="2"/>
  <c r="J45" i="1"/>
  <c r="H36" i="2"/>
  <c r="K45" i="1"/>
  <c r="K36" i="2"/>
  <c r="L45" i="1"/>
  <c r="N36" i="2"/>
  <c r="H46" i="1"/>
  <c r="B37" i="2"/>
  <c r="I46" i="1"/>
  <c r="E37" i="2"/>
  <c r="J46" i="1"/>
  <c r="H37" i="2"/>
  <c r="L46" i="1"/>
  <c r="N37" i="2"/>
  <c r="H47" i="1"/>
  <c r="B38" i="2"/>
  <c r="I47" i="1"/>
  <c r="E38" i="2"/>
  <c r="J47" i="1"/>
  <c r="H38" i="2"/>
  <c r="L47" i="1"/>
  <c r="N38" i="2"/>
  <c r="H48" i="1"/>
  <c r="B39" i="2"/>
  <c r="I48" i="1"/>
  <c r="E39" i="2"/>
  <c r="J48" i="1"/>
  <c r="H39" i="2"/>
  <c r="L48" i="1"/>
  <c r="H49"/>
  <c r="B40" i="2"/>
  <c r="J49" i="1"/>
  <c r="H40" i="2"/>
  <c r="I50" i="1"/>
  <c r="E41" i="2"/>
  <c r="H51" i="1"/>
  <c r="B42" i="2"/>
  <c r="J51" i="1"/>
  <c r="H42" i="2"/>
  <c r="I52" i="1"/>
  <c r="E43" i="2"/>
  <c r="H53" i="1"/>
  <c r="B44" i="2"/>
  <c r="J53" i="1"/>
  <c r="H44" i="2"/>
  <c r="I54" i="1"/>
  <c r="E45" i="2"/>
  <c r="H55" i="1"/>
  <c r="B46" i="2"/>
  <c r="I55" i="1"/>
  <c r="E46" i="2"/>
  <c r="J55" i="1"/>
  <c r="H46" i="2"/>
  <c r="K55" i="1"/>
  <c r="K46" i="2"/>
  <c r="J54" i="1"/>
  <c r="H45" i="2"/>
  <c r="H54" i="1"/>
  <c r="B45" i="2"/>
  <c r="I53" i="1"/>
  <c r="E44" i="2"/>
  <c r="J52" i="1"/>
  <c r="H43" i="2"/>
  <c r="H52" i="1"/>
  <c r="B43" i="2"/>
  <c r="I51" i="1"/>
  <c r="E42" i="2"/>
  <c r="J50" i="1"/>
  <c r="H41" i="2"/>
  <c r="H50" i="1"/>
  <c r="B41" i="2"/>
  <c r="I49" i="1"/>
  <c r="E40" i="2"/>
  <c r="B5" i="4"/>
  <c r="C5"/>
  <c r="B7"/>
  <c r="C7"/>
  <c r="B3"/>
  <c r="C3"/>
  <c r="B1"/>
  <c r="C1"/>
  <c r="F15"/>
  <c r="G15"/>
  <c r="F16"/>
  <c r="G16"/>
  <c r="F2"/>
  <c r="G2"/>
  <c r="F3"/>
  <c r="G3"/>
  <c r="F4"/>
  <c r="G4"/>
  <c r="F5"/>
  <c r="G5"/>
  <c r="F6"/>
  <c r="G6"/>
  <c r="F7"/>
  <c r="G7"/>
  <c r="F8"/>
  <c r="G8"/>
  <c r="F10"/>
  <c r="G10"/>
  <c r="F11"/>
  <c r="G11"/>
  <c r="F12"/>
  <c r="G12"/>
  <c r="F13"/>
  <c r="G13"/>
  <c r="F14"/>
  <c r="G14"/>
  <c r="F1"/>
  <c r="G1"/>
  <c r="J15"/>
  <c r="K15"/>
  <c r="J16"/>
  <c r="K16"/>
  <c r="J2"/>
  <c r="K2"/>
  <c r="J3"/>
  <c r="K3"/>
  <c r="J4"/>
  <c r="K4"/>
  <c r="J5"/>
  <c r="K5"/>
  <c r="J6"/>
  <c r="K6"/>
  <c r="J7"/>
  <c r="K7"/>
  <c r="J8"/>
  <c r="K8"/>
  <c r="J9"/>
  <c r="K9"/>
  <c r="J10"/>
  <c r="K10"/>
  <c r="J11"/>
  <c r="K11"/>
  <c r="J13"/>
  <c r="K13"/>
  <c r="J14"/>
  <c r="K14"/>
  <c r="J1"/>
  <c r="K1"/>
  <c r="N15"/>
  <c r="O15"/>
  <c r="N16"/>
  <c r="O16"/>
  <c r="N2"/>
  <c r="O2"/>
  <c r="N3"/>
  <c r="O3"/>
  <c r="N4"/>
  <c r="O4"/>
  <c r="N5"/>
  <c r="O5"/>
  <c r="N6"/>
  <c r="O6"/>
  <c r="N7"/>
  <c r="O7"/>
  <c r="N9"/>
  <c r="O9"/>
  <c r="N10"/>
  <c r="O10"/>
  <c r="N11"/>
  <c r="O11"/>
  <c r="N12"/>
  <c r="O12"/>
  <c r="N13"/>
  <c r="O13"/>
  <c r="N14"/>
  <c r="O14"/>
  <c r="N1"/>
  <c r="O1"/>
  <c r="R12"/>
  <c r="S12"/>
  <c r="R13"/>
  <c r="S13"/>
  <c r="R14"/>
  <c r="S14"/>
  <c r="R15"/>
  <c r="S15"/>
  <c r="R16"/>
  <c r="S16"/>
  <c r="R11"/>
  <c r="S11"/>
  <c r="R5"/>
  <c r="S5"/>
  <c r="R7"/>
  <c r="S7"/>
  <c r="R9"/>
  <c r="S9"/>
  <c r="R3"/>
  <c r="S3"/>
  <c r="A7"/>
  <c r="A5"/>
  <c r="A3"/>
  <c r="E11"/>
  <c r="E12"/>
  <c r="E13"/>
  <c r="E14"/>
  <c r="E15"/>
  <c r="E16"/>
  <c r="A1"/>
  <c r="E10"/>
  <c r="I14"/>
  <c r="I15"/>
  <c r="I16"/>
  <c r="E1"/>
  <c r="E2"/>
  <c r="E3"/>
  <c r="E4"/>
  <c r="E5"/>
  <c r="E6"/>
  <c r="E7"/>
  <c r="E8"/>
  <c r="I13"/>
  <c r="M10"/>
  <c r="M11"/>
  <c r="M12"/>
  <c r="M13"/>
  <c r="M14"/>
  <c r="M15"/>
  <c r="M16"/>
  <c r="I1"/>
  <c r="I2"/>
  <c r="I3"/>
  <c r="I4"/>
  <c r="I5"/>
  <c r="I6"/>
  <c r="I7"/>
  <c r="I8"/>
  <c r="I9"/>
  <c r="I10"/>
  <c r="I11"/>
  <c r="M9"/>
  <c r="Q12"/>
  <c r="Q13"/>
  <c r="Q14"/>
  <c r="Q15"/>
  <c r="Q16"/>
  <c r="M1"/>
  <c r="M2"/>
  <c r="M3"/>
  <c r="M4"/>
  <c r="M5"/>
  <c r="M6"/>
  <c r="M7"/>
  <c r="Q11"/>
  <c r="Q9"/>
  <c r="Q7"/>
  <c r="Q5"/>
  <c r="D19" i="1"/>
  <c r="Q1" i="4"/>
  <c r="Q3"/>
  <c r="S1"/>
  <c r="E22" i="2"/>
  <c r="D22"/>
  <c r="C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L14"/>
  <c r="D14"/>
  <c r="C14"/>
  <c r="B14"/>
  <c r="L13"/>
  <c r="D13"/>
  <c r="C13"/>
  <c r="B13"/>
  <c r="L12"/>
  <c r="E12"/>
  <c r="D12"/>
  <c r="C12"/>
  <c r="B12"/>
  <c r="L11"/>
  <c r="E11"/>
  <c r="D11"/>
  <c r="C11"/>
  <c r="B11"/>
  <c r="L10"/>
  <c r="E10"/>
  <c r="D10"/>
  <c r="C10"/>
  <c r="B10"/>
  <c r="L9"/>
  <c r="E9"/>
  <c r="D9"/>
  <c r="C9"/>
  <c r="B9"/>
</calcChain>
</file>

<file path=xl/sharedStrings.xml><?xml version="1.0" encoding="utf-8"?>
<sst xmlns="http://schemas.openxmlformats.org/spreadsheetml/2006/main" count="436" uniqueCount="147">
  <si>
    <t>Prototype</t>
  </si>
  <si>
    <t xml:space="preserve">Rapi Dos 6.5m mk1 </t>
  </si>
  <si>
    <t>Export name</t>
  </si>
  <si>
    <t>RapiDos65mmk1</t>
  </si>
  <si>
    <t>Name</t>
  </si>
  <si>
    <t>No.</t>
  </si>
  <si>
    <t>Sewn</t>
  </si>
  <si>
    <t>KR1</t>
  </si>
  <si>
    <t>BR4</t>
  </si>
  <si>
    <t>B12</t>
  </si>
  <si>
    <t>B11</t>
  </si>
  <si>
    <t>B10</t>
  </si>
  <si>
    <t>B6</t>
  </si>
  <si>
    <t>B8</t>
  </si>
  <si>
    <t>B5</t>
  </si>
  <si>
    <t>B3</t>
  </si>
  <si>
    <t>B4</t>
  </si>
  <si>
    <t>B2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</si>
  <si>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</si>
  <si>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</si>
  <si>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</si>
  <si>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</si>
  <si>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</si>
  <si>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</si>
  <si>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</si>
  <si>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</si>
  <si>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</si>
  <si>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</si>
  <si>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C5</t>
  </si>
  <si>
    <t>C3</t>
  </si>
  <si>
    <t>C4</t>
  </si>
  <si>
    <t>C2</t>
  </si>
  <si>
    <t>C1</t>
  </si>
  <si>
    <t>D4</t>
  </si>
  <si>
    <t>D3</t>
  </si>
  <si>
    <t>D2</t>
  </si>
  <si>
    <t>C14</t>
  </si>
  <si>
    <t>C13</t>
  </si>
  <si>
    <t>D14</t>
  </si>
  <si>
    <t>A12</t>
  </si>
  <si>
    <t>A11</t>
  </si>
  <si>
    <t>A10</t>
  </si>
  <si>
    <t>A6</t>
  </si>
  <si>
    <t>A8</t>
  </si>
  <si>
    <t>A5</t>
  </si>
  <si>
    <t>A3</t>
  </si>
  <si>
    <t>A4</t>
  </si>
  <si>
    <t>A2</t>
  </si>
  <si>
    <t>A1</t>
  </si>
  <si>
    <t>A13</t>
  </si>
  <si>
    <t>K5</t>
  </si>
  <si>
    <t>K6</t>
  </si>
  <si>
    <t>K4</t>
  </si>
  <si>
    <t>K3</t>
  </si>
  <si>
    <t>K2</t>
  </si>
  <si>
    <t>K1</t>
  </si>
  <si>
    <t>KM1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</si>
  <si>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</si>
  <si>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</si>
  <si>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</si>
  <si>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</si>
  <si>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</si>
  <si>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</si>
  <si>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</si>
  <si>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</si>
  <si>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</si>
  <si>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</si>
  <si>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</si>
  <si>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</si>
  <si>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</si>
  <si>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</si>
  <si>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</si>
  <si>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</si>
  <si>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</si>
  <si>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</si>
  <si>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</si>
  <si>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</si>
  <si>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</si>
  <si>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</si>
  <si>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</si>
  <si>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</si>
  <si>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</si>
  <si>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</si>
  <si>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</si>
  <si>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</si>
  <si>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</si>
  <si>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</si>
  <si>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</si>
  <si>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</si>
  <si>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</si>
  <si>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</si>
  <si>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</si>
  <si>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</si>
  <si>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</si>
  <si>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</si>
  <si>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</si>
  <si>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</si>
  <si>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</si>
  <si>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</si>
  <si>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</si>
  <si>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</si>
  <si>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</si>
  <si>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</si>
  <si>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</si>
  <si>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</si>
  <si>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</si>
  <si>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</si>
  <si>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</si>
  <si>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</si>
  <si>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</si>
  <si>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</si>
  <si>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</si>
  <si>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Mark at 1500</t>
  </si>
  <si>
    <t>LIN-10-200-41</t>
  </si>
  <si>
    <t>CUT</t>
  </si>
  <si>
    <t>LIN-DSL-70-BLUE</t>
  </si>
  <si>
    <t>LIN-DSL-70-GREN</t>
  </si>
  <si>
    <t>LIN-DSL-70-RED</t>
  </si>
  <si>
    <t>LIN-DSL-70-YELLO</t>
  </si>
  <si>
    <t>LIN-DSL-140-BLUE</t>
  </si>
  <si>
    <t>LIN-DSL-140-GREE</t>
  </si>
  <si>
    <t>LIN-DSL-140-RED</t>
  </si>
  <si>
    <t>LIN-6843-160-05</t>
  </si>
  <si>
    <t>LIN-6843-160-6</t>
  </si>
  <si>
    <t>LIN-6843-200-05</t>
  </si>
  <si>
    <t>LIN-6843-240-18</t>
  </si>
  <si>
    <t>CR1-3</t>
  </si>
  <si>
    <t>BR1-3</t>
  </si>
  <si>
    <t>AR1-3</t>
  </si>
  <si>
    <t>B7,B9</t>
  </si>
  <si>
    <t>CM5,CM6,D1</t>
  </si>
  <si>
    <t>A7,A9</t>
  </si>
  <si>
    <t>KM2,KM3</t>
  </si>
  <si>
    <t>BM1-6</t>
  </si>
  <si>
    <t>CM1-4</t>
  </si>
  <si>
    <t>AM1-6</t>
  </si>
  <si>
    <t>Rapidos 6.5m</t>
  </si>
  <si>
    <t>Cut</t>
  </si>
  <si>
    <t>1733
1500</t>
  </si>
  <si>
    <t>Rapidos 6.5m production lines</t>
  </si>
  <si>
    <t>Serial Number</t>
  </si>
  <si>
    <t>Checked by:</t>
  </si>
  <si>
    <t>Colour:</t>
  </si>
  <si>
    <t>Date of manufacture:</t>
  </si>
  <si>
    <t>LEFT</t>
  </si>
  <si>
    <t>RIGHT</t>
  </si>
  <si>
    <t>RAPIDOS-6.5M</t>
  </si>
</sst>
</file>

<file path=xl/styles.xml><?xml version="1.0" encoding="utf-8"?>
<styleSheet xmlns="http://schemas.openxmlformats.org/spreadsheetml/2006/main">
  <fonts count="27">
    <font>
      <sz val="11"/>
      <name val="Calibri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name val="Calibri"/>
      <family val="2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sz val="11"/>
      <color indexed="36"/>
      <name val="Calibri"/>
      <family val="2"/>
    </font>
    <font>
      <b/>
      <sz val="10"/>
      <color indexed="36"/>
      <name val="Arial"/>
      <family val="2"/>
    </font>
    <font>
      <sz val="12"/>
      <color indexed="10"/>
      <name val="VNI-Times"/>
    </font>
    <font>
      <sz val="12"/>
      <name val="Calibri"/>
    </font>
    <font>
      <b/>
      <i/>
      <u/>
      <sz val="14"/>
      <color indexed="8"/>
      <name val="VNI-Times"/>
    </font>
    <font>
      <b/>
      <sz val="14"/>
      <name val="Calibri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3" fillId="0" borderId="0">
      <alignment horizontal="center"/>
    </xf>
    <xf numFmtId="0" fontId="23" fillId="0" borderId="0">
      <alignment horizontal="left"/>
    </xf>
    <xf numFmtId="0" fontId="24" fillId="0" borderId="0">
      <alignment horizontal="left"/>
    </xf>
    <xf numFmtId="0" fontId="23" fillId="0" borderId="0">
      <alignment horizontal="center"/>
    </xf>
    <xf numFmtId="0" fontId="23" fillId="0" borderId="0">
      <alignment horizontal="right"/>
    </xf>
    <xf numFmtId="0" fontId="23" fillId="0" borderId="0">
      <alignment horizontal="left"/>
    </xf>
    <xf numFmtId="0" fontId="23" fillId="0" borderId="0">
      <alignment horizontal="left"/>
    </xf>
    <xf numFmtId="0" fontId="25" fillId="0" borderId="0">
      <alignment horizontal="left"/>
    </xf>
    <xf numFmtId="0" fontId="26" fillId="0" borderId="0">
      <alignment horizontal="left"/>
    </xf>
  </cellStyleXfs>
  <cellXfs count="54">
    <xf numFmtId="0" fontId="0" fillId="0" borderId="0" xfId="0"/>
    <xf numFmtId="0" fontId="1" fillId="0" borderId="0" xfId="9" applyNumberFormat="1" applyFont="1" applyFill="1">
      <alignment horizontal="left"/>
    </xf>
    <xf numFmtId="0" fontId="2" fillId="0" borderId="0" xfId="7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5" applyNumberFormat="1" applyFont="1" applyFill="1">
      <alignment horizontal="right"/>
    </xf>
    <xf numFmtId="0" fontId="4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distributed" textRotation="180"/>
    </xf>
    <xf numFmtId="0" fontId="9" fillId="0" borderId="0" xfId="0" applyFont="1" applyAlignment="1">
      <alignment vertical="center" textRotation="180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9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7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 applyProtection="1">
      <alignment horizontal="left" vertical="top"/>
    </xf>
    <xf numFmtId="0" fontId="2" fillId="0" borderId="1" xfId="2" applyNumberFormat="1" applyFont="1" applyFill="1" applyBorder="1" applyAlignment="1">
      <alignment horizontal="left"/>
    </xf>
    <xf numFmtId="0" fontId="2" fillId="0" borderId="1" xfId="5" applyNumberFormat="1" applyFont="1" applyFill="1" applyBorder="1" applyAlignment="1">
      <alignment horizontal="left"/>
    </xf>
    <xf numFmtId="0" fontId="6" fillId="0" borderId="1" xfId="6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6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2" xfId="0" applyFont="1" applyBorder="1" applyAlignment="1"/>
    <xf numFmtId="0" fontId="15" fillId="0" borderId="3" xfId="0" applyFont="1" applyBorder="1" applyAlignment="1"/>
    <xf numFmtId="0" fontId="15" fillId="0" borderId="4" xfId="0" applyFont="1" applyBorder="1" applyAlignment="1"/>
    <xf numFmtId="0" fontId="15" fillId="0" borderId="0" xfId="0" applyFont="1" applyAlignment="1">
      <alignment horizontal="right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0" xfId="0" applyFont="1" applyBorder="1"/>
    <xf numFmtId="0" fontId="15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2" applyNumberFormat="1" applyFont="1" applyFill="1" applyBorder="1">
      <alignment horizontal="left"/>
    </xf>
    <xf numFmtId="0" fontId="18" fillId="0" borderId="1" xfId="5" applyNumberFormat="1" applyFont="1" applyFill="1" applyBorder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/>
    <xf numFmtId="0" fontId="16" fillId="0" borderId="0" xfId="0" applyFont="1" applyAlignment="1">
      <alignment horizontal="center" vertical="distributed" textRotation="180" wrapText="1"/>
    </xf>
    <xf numFmtId="0" fontId="20" fillId="0" borderId="0" xfId="0" applyFont="1"/>
    <xf numFmtId="1" fontId="21" fillId="0" borderId="0" xfId="0" applyNumberFormat="1" applyFont="1" applyAlignment="1">
      <alignment horizontal="center" vertical="distributed" textRotation="180"/>
    </xf>
    <xf numFmtId="0" fontId="22" fillId="0" borderId="0" xfId="0" applyFont="1"/>
    <xf numFmtId="14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10">
    <cellStyle name="Center" xfId="1"/>
    <cellStyle name="Header" xfId="2"/>
    <cellStyle name="Header1" xfId="3"/>
    <cellStyle name="HeaderCenter" xfId="4"/>
    <cellStyle name="HeaderRight" xfId="5"/>
    <cellStyle name="Material" xfId="6"/>
    <cellStyle name="Normal" xfId="0" builtinId="0"/>
    <cellStyle name="Proto" xfId="7"/>
    <cellStyle name="Remark" xfId="8"/>
    <cellStyle name="Title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0</xdr:rowOff>
    </xdr:from>
    <xdr:to>
      <xdr:col>3</xdr:col>
      <xdr:colOff>571500</xdr:colOff>
      <xdr:row>15</xdr:row>
      <xdr:rowOff>19050</xdr:rowOff>
    </xdr:to>
    <xdr:pic>
      <xdr:nvPicPr>
        <xdr:cNvPr id="1025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828675"/>
          <a:ext cx="555307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161925</xdr:rowOff>
    </xdr:from>
    <xdr:to>
      <xdr:col>3</xdr:col>
      <xdr:colOff>600075</xdr:colOff>
      <xdr:row>34</xdr:row>
      <xdr:rowOff>38100</xdr:rowOff>
    </xdr:to>
    <xdr:grpSp>
      <xdr:nvGrpSpPr>
        <xdr:cNvPr id="1026" name="Group 5"/>
        <xdr:cNvGrpSpPr>
          <a:grpSpLocks/>
        </xdr:cNvGrpSpPr>
      </xdr:nvGrpSpPr>
      <xdr:grpSpPr bwMode="auto">
        <a:xfrm>
          <a:off x="0" y="4686300"/>
          <a:ext cx="5629275" cy="1971675"/>
          <a:chOff x="0" y="6544234"/>
          <a:chExt cx="5311588" cy="2510119"/>
        </a:xfrm>
      </xdr:grpSpPr>
      <xdr:pic>
        <xdr:nvPicPr>
          <xdr:cNvPr id="1028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18648" y="8666315"/>
            <a:ext cx="1653692" cy="351659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514350</xdr:colOff>
      <xdr:row>67</xdr:row>
      <xdr:rowOff>171450</xdr:rowOff>
    </xdr:to>
    <xdr:pic>
      <xdr:nvPicPr>
        <xdr:cNvPr id="1027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953750"/>
          <a:ext cx="55435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4"/>
  <sheetViews>
    <sheetView zoomScale="70" zoomScaleNormal="70" workbookViewId="0">
      <selection sqref="A1:D144"/>
    </sheetView>
  </sheetViews>
  <sheetFormatPr defaultRowHeight="15"/>
  <cols>
    <col min="1" max="1" width="56" style="21" customWidth="1"/>
    <col min="2" max="3" width="9.7109375" style="21" customWidth="1"/>
    <col min="4" max="4" width="9.140625" style="21"/>
  </cols>
  <sheetData>
    <row r="1" spans="1:12" ht="20.25">
      <c r="A1" s="11" t="s">
        <v>139</v>
      </c>
      <c r="B1" s="12"/>
      <c r="C1" s="49">
        <v>43330</v>
      </c>
      <c r="D1" s="50"/>
    </row>
    <row r="2" spans="1:12">
      <c r="A2" s="13" t="s">
        <v>0</v>
      </c>
      <c r="B2" s="13"/>
      <c r="C2" s="12"/>
      <c r="D2" s="12"/>
    </row>
    <row r="3" spans="1:12">
      <c r="A3" s="13" t="s">
        <v>2</v>
      </c>
      <c r="B3" s="13"/>
      <c r="C3" s="12"/>
      <c r="D3" s="12"/>
    </row>
    <row r="4" spans="1:12">
      <c r="A4" s="12"/>
      <c r="B4" s="12"/>
      <c r="C4" s="12"/>
      <c r="D4" s="12"/>
    </row>
    <row r="5" spans="1:12">
      <c r="A5" s="12"/>
      <c r="B5" s="12"/>
      <c r="C5" s="12"/>
      <c r="D5" s="12"/>
      <c r="H5" s="4" t="s">
        <v>59</v>
      </c>
      <c r="I5" s="4" t="s">
        <v>60</v>
      </c>
      <c r="J5" s="4" t="s">
        <v>61</v>
      </c>
      <c r="K5" s="4" t="s">
        <v>62</v>
      </c>
      <c r="L5" s="4" t="s">
        <v>69</v>
      </c>
    </row>
    <row r="6" spans="1:12">
      <c r="A6" s="12"/>
      <c r="B6" s="12"/>
      <c r="C6" s="12"/>
      <c r="D6" s="12"/>
    </row>
    <row r="7" spans="1:12">
      <c r="A7" s="12"/>
      <c r="B7" s="12"/>
      <c r="C7" s="12"/>
      <c r="D7" s="12"/>
      <c r="G7" s="3" t="s">
        <v>70</v>
      </c>
      <c r="H7">
        <f>1600+600+441</f>
        <v>2641</v>
      </c>
      <c r="I7">
        <f>1585+600+447</f>
        <v>2632</v>
      </c>
      <c r="J7">
        <f>1600+600+530</f>
        <v>2730</v>
      </c>
      <c r="K7">
        <f>1600+600+600</f>
        <v>2800</v>
      </c>
      <c r="L7" s="10">
        <f>1500+937+734</f>
        <v>3171</v>
      </c>
    </row>
    <row r="8" spans="1:12">
      <c r="A8" s="12"/>
      <c r="B8" s="12"/>
      <c r="C8" s="12"/>
      <c r="D8" s="12"/>
      <c r="G8" s="3" t="s">
        <v>71</v>
      </c>
      <c r="H8">
        <f>1600+600+393</f>
        <v>2593</v>
      </c>
      <c r="I8">
        <f>1585+600+400</f>
        <v>2585</v>
      </c>
      <c r="J8">
        <f>1600+600+482</f>
        <v>2682</v>
      </c>
      <c r="K8">
        <f>1600+600+556</f>
        <v>2756</v>
      </c>
      <c r="L8" s="10">
        <f>1500+937+550</f>
        <v>2987</v>
      </c>
    </row>
    <row r="9" spans="1:12">
      <c r="A9" s="12"/>
      <c r="B9" s="12"/>
      <c r="C9" s="12"/>
      <c r="D9" s="12"/>
      <c r="G9" s="3" t="s">
        <v>72</v>
      </c>
      <c r="H9">
        <f>1600+600+373</f>
        <v>2573</v>
      </c>
      <c r="I9">
        <f>1585+600+381</f>
        <v>2566</v>
      </c>
      <c r="J9">
        <f>1600+600+463</f>
        <v>2663</v>
      </c>
      <c r="K9">
        <f>1600+600+534</f>
        <v>2734</v>
      </c>
      <c r="L9" s="10">
        <f>1500+865+519</f>
        <v>2884</v>
      </c>
    </row>
    <row r="10" spans="1:12">
      <c r="A10" s="12"/>
      <c r="B10" s="12"/>
      <c r="C10" s="12"/>
      <c r="D10" s="12"/>
      <c r="G10" s="3" t="s">
        <v>73</v>
      </c>
      <c r="H10">
        <f>1600+600+381</f>
        <v>2581</v>
      </c>
      <c r="I10">
        <f>1585+600+390</f>
        <v>2575</v>
      </c>
      <c r="J10">
        <f>1600+600+464</f>
        <v>2664</v>
      </c>
      <c r="K10">
        <f>1600+600+531</f>
        <v>2731</v>
      </c>
      <c r="L10" s="10">
        <f>1500+865+447</f>
        <v>2812</v>
      </c>
    </row>
    <row r="11" spans="1:12">
      <c r="A11" s="12"/>
      <c r="B11" s="12"/>
      <c r="C11" s="12"/>
      <c r="D11" s="12"/>
      <c r="G11" s="3" t="s">
        <v>74</v>
      </c>
      <c r="H11">
        <f>1600+600+367</f>
        <v>2567</v>
      </c>
      <c r="I11">
        <f>1585+600+376</f>
        <v>2561</v>
      </c>
      <c r="J11">
        <f>1600+600+451</f>
        <v>2651</v>
      </c>
      <c r="L11" s="10">
        <f>1500+865+406</f>
        <v>2771</v>
      </c>
    </row>
    <row r="12" spans="1:12">
      <c r="A12" s="12"/>
      <c r="B12" s="12"/>
      <c r="C12" s="12"/>
      <c r="D12" s="12"/>
      <c r="G12" s="3" t="s">
        <v>75</v>
      </c>
      <c r="H12">
        <f>1600+600+338</f>
        <v>2538</v>
      </c>
      <c r="I12">
        <f>1585+600+349</f>
        <v>2534</v>
      </c>
      <c r="J12">
        <f>1600+600+417</f>
        <v>2617</v>
      </c>
      <c r="L12" s="10">
        <f>1500+865+415</f>
        <v>2780</v>
      </c>
    </row>
    <row r="13" spans="1:12">
      <c r="A13" s="12"/>
      <c r="B13" s="12"/>
      <c r="C13" s="12"/>
      <c r="D13" s="12"/>
      <c r="G13" s="3" t="s">
        <v>76</v>
      </c>
      <c r="H13">
        <f>1600+600+334</f>
        <v>2534</v>
      </c>
      <c r="I13">
        <f>1585+600+346</f>
        <v>2531</v>
      </c>
      <c r="J13">
        <f>1600+600+410</f>
        <v>2610</v>
      </c>
    </row>
    <row r="14" spans="1:12">
      <c r="A14" s="12"/>
      <c r="B14" s="12"/>
      <c r="C14" s="12"/>
      <c r="D14" s="12"/>
      <c r="G14" s="3" t="s">
        <v>77</v>
      </c>
      <c r="H14">
        <f>1600+600+356</f>
        <v>2556</v>
      </c>
      <c r="I14">
        <f>1585+600+369</f>
        <v>2554</v>
      </c>
      <c r="J14">
        <f>1600+600+424</f>
        <v>2624</v>
      </c>
    </row>
    <row r="15" spans="1:12">
      <c r="A15" s="12"/>
      <c r="B15" s="12"/>
      <c r="C15" s="12"/>
      <c r="D15" s="12"/>
      <c r="G15" s="3" t="s">
        <v>78</v>
      </c>
      <c r="H15">
        <f>1600+600+334</f>
        <v>2534</v>
      </c>
      <c r="I15">
        <f>1585+600+346</f>
        <v>2531</v>
      </c>
      <c r="J15">
        <f>1600+600+401</f>
        <v>2601</v>
      </c>
    </row>
    <row r="16" spans="1:12">
      <c r="A16" s="12"/>
      <c r="B16" s="12"/>
      <c r="C16" s="12"/>
      <c r="D16" s="12"/>
      <c r="G16" s="3" t="s">
        <v>79</v>
      </c>
      <c r="H16">
        <f>1600+600+312</f>
        <v>2512</v>
      </c>
      <c r="I16">
        <f>1585+600+322</f>
        <v>2507</v>
      </c>
      <c r="J16">
        <f>1600+600+371</f>
        <v>2571</v>
      </c>
    </row>
    <row r="17" spans="1:19" ht="15.75">
      <c r="A17" s="14" t="s">
        <v>113</v>
      </c>
      <c r="B17" s="12"/>
      <c r="C17" s="12"/>
      <c r="D17" s="12"/>
      <c r="G17" s="3" t="s">
        <v>80</v>
      </c>
      <c r="H17">
        <f>1600+600+294</f>
        <v>2494</v>
      </c>
      <c r="I17">
        <f>1585+600+303</f>
        <v>2488</v>
      </c>
      <c r="J17">
        <f>1600+600+345</f>
        <v>2545</v>
      </c>
    </row>
    <row r="18" spans="1:19">
      <c r="A18" s="15" t="s">
        <v>4</v>
      </c>
      <c r="B18" s="16" t="s">
        <v>5</v>
      </c>
      <c r="C18" s="16" t="s">
        <v>6</v>
      </c>
      <c r="D18" s="5" t="s">
        <v>114</v>
      </c>
      <c r="G18" s="3" t="s">
        <v>81</v>
      </c>
      <c r="H18">
        <f>1600+600+289</f>
        <v>2489</v>
      </c>
      <c r="I18">
        <f>1585+600+296</f>
        <v>2481</v>
      </c>
      <c r="J18">
        <f>1600+600+331</f>
        <v>2531</v>
      </c>
    </row>
    <row r="19" spans="1:19">
      <c r="A19" s="12" t="s">
        <v>7</v>
      </c>
      <c r="B19" s="12">
        <v>2</v>
      </c>
      <c r="C19" s="12">
        <v>1733</v>
      </c>
      <c r="D19" s="5">
        <f>C19-90</f>
        <v>1643</v>
      </c>
      <c r="G19" s="3" t="s">
        <v>82</v>
      </c>
      <c r="H19">
        <f>1600+820</f>
        <v>2420</v>
      </c>
      <c r="I19">
        <f>1600+821</f>
        <v>2421</v>
      </c>
      <c r="J19">
        <f>1600+889</f>
        <v>2489</v>
      </c>
    </row>
    <row r="20" spans="1:19">
      <c r="A20" s="12" t="s">
        <v>112</v>
      </c>
      <c r="B20" s="12"/>
      <c r="C20" s="12"/>
      <c r="D20" s="12"/>
      <c r="G20" s="3" t="s">
        <v>83</v>
      </c>
      <c r="I20">
        <f>1600+770</f>
        <v>2370</v>
      </c>
      <c r="J20">
        <f>1600+771</f>
        <v>2371</v>
      </c>
      <c r="K20">
        <f>1600+839</f>
        <v>2439</v>
      </c>
    </row>
    <row r="21" spans="1:19">
      <c r="A21" s="12"/>
      <c r="B21" s="12"/>
      <c r="C21" s="12"/>
      <c r="D21" s="12"/>
    </row>
    <row r="22" spans="1:19" ht="20.25">
      <c r="A22" s="11" t="s">
        <v>139</v>
      </c>
      <c r="B22" s="12"/>
      <c r="C22" s="49">
        <v>43330</v>
      </c>
      <c r="D22" s="50"/>
    </row>
    <row r="23" spans="1:19">
      <c r="A23" s="13" t="s">
        <v>0</v>
      </c>
      <c r="B23" s="13"/>
      <c r="C23" s="12"/>
      <c r="D23" s="12"/>
      <c r="H23" s="4" t="s">
        <v>59</v>
      </c>
      <c r="I23" s="4" t="s">
        <v>60</v>
      </c>
      <c r="J23" s="4" t="s">
        <v>61</v>
      </c>
      <c r="K23" s="4" t="s">
        <v>62</v>
      </c>
      <c r="L23" s="4" t="s">
        <v>69</v>
      </c>
      <c r="O23" s="4"/>
      <c r="P23" s="4"/>
      <c r="Q23" s="4"/>
      <c r="R23" s="4"/>
      <c r="S23" s="4"/>
    </row>
    <row r="24" spans="1:19">
      <c r="A24" s="13" t="s">
        <v>2</v>
      </c>
      <c r="B24" s="13"/>
      <c r="C24" s="12"/>
      <c r="D24" s="12"/>
    </row>
    <row r="25" spans="1:19">
      <c r="A25" s="12"/>
      <c r="B25" s="12"/>
      <c r="C25" s="12"/>
      <c r="D25" s="12"/>
      <c r="G25" s="3" t="s">
        <v>70</v>
      </c>
      <c r="H25">
        <f>5-7-11</f>
        <v>-13</v>
      </c>
      <c r="I25">
        <f>5-7-11</f>
        <v>-13</v>
      </c>
      <c r="J25">
        <f>5-7-10</f>
        <v>-12</v>
      </c>
      <c r="K25">
        <f>5-9-10</f>
        <v>-14</v>
      </c>
      <c r="L25">
        <f>-5-9</f>
        <v>-14</v>
      </c>
      <c r="N25" s="3"/>
    </row>
    <row r="26" spans="1:19">
      <c r="A26" s="12"/>
      <c r="B26" s="12"/>
      <c r="C26" s="12"/>
      <c r="D26" s="12"/>
      <c r="G26" s="3" t="s">
        <v>71</v>
      </c>
      <c r="H26">
        <f>5-8-11</f>
        <v>-14</v>
      </c>
      <c r="I26">
        <f>5-8-11</f>
        <v>-14</v>
      </c>
      <c r="J26">
        <f>5-8-10</f>
        <v>-13</v>
      </c>
      <c r="K26">
        <f>5-10-10</f>
        <v>-15</v>
      </c>
      <c r="L26">
        <f>-6-9</f>
        <v>-15</v>
      </c>
      <c r="N26" s="3"/>
    </row>
    <row r="27" spans="1:19">
      <c r="A27" s="12"/>
      <c r="B27" s="12"/>
      <c r="C27" s="12"/>
      <c r="D27" s="12"/>
      <c r="G27" s="3" t="s">
        <v>72</v>
      </c>
      <c r="H27">
        <f>5-7-12</f>
        <v>-14</v>
      </c>
      <c r="I27">
        <f>5-7-12</f>
        <v>-14</v>
      </c>
      <c r="J27">
        <f>5-7-11</f>
        <v>-13</v>
      </c>
      <c r="K27">
        <f>5-9-11</f>
        <v>-15</v>
      </c>
      <c r="L27">
        <f>-5-10</f>
        <v>-15</v>
      </c>
      <c r="N27" s="3"/>
    </row>
    <row r="28" spans="1:19">
      <c r="A28" s="12"/>
      <c r="B28" s="12"/>
      <c r="C28" s="12"/>
      <c r="D28" s="12"/>
      <c r="G28" s="3" t="s">
        <v>73</v>
      </c>
      <c r="H28">
        <f>5-8-12</f>
        <v>-15</v>
      </c>
      <c r="I28">
        <f>5-8-12</f>
        <v>-15</v>
      </c>
      <c r="J28">
        <f>5-8-11</f>
        <v>-14</v>
      </c>
      <c r="K28">
        <f>5-10-11</f>
        <v>-16</v>
      </c>
      <c r="L28">
        <f>-6-10</f>
        <v>-16</v>
      </c>
      <c r="N28" s="3"/>
    </row>
    <row r="29" spans="1:19">
      <c r="A29" s="12"/>
      <c r="B29" s="12"/>
      <c r="C29" s="12"/>
      <c r="D29" s="12"/>
      <c r="G29" s="3" t="s">
        <v>74</v>
      </c>
      <c r="H29">
        <f>5-7-11</f>
        <v>-13</v>
      </c>
      <c r="I29">
        <f>5-7-11</f>
        <v>-13</v>
      </c>
      <c r="J29">
        <f>5-7-10</f>
        <v>-12</v>
      </c>
      <c r="L29">
        <f>-5-11</f>
        <v>-16</v>
      </c>
      <c r="N29" s="3"/>
    </row>
    <row r="30" spans="1:19">
      <c r="A30" s="12"/>
      <c r="B30" s="12"/>
      <c r="C30" s="12"/>
      <c r="D30" s="12"/>
      <c r="G30" s="3" t="s">
        <v>75</v>
      </c>
      <c r="H30">
        <f>5-8-11</f>
        <v>-14</v>
      </c>
      <c r="I30">
        <f>5-8-11</f>
        <v>-14</v>
      </c>
      <c r="J30">
        <f>5-8-10</f>
        <v>-13</v>
      </c>
      <c r="L30">
        <f>-6-11</f>
        <v>-17</v>
      </c>
      <c r="N30" s="3"/>
    </row>
    <row r="31" spans="1:19">
      <c r="A31" s="12"/>
      <c r="B31" s="12"/>
      <c r="C31" s="12"/>
      <c r="D31" s="12"/>
      <c r="G31" s="3" t="s">
        <v>76</v>
      </c>
      <c r="H31">
        <f>5-7-12</f>
        <v>-14</v>
      </c>
      <c r="I31">
        <f>5-7-12</f>
        <v>-14</v>
      </c>
      <c r="J31">
        <f>5-7-11</f>
        <v>-13</v>
      </c>
      <c r="N31" s="3"/>
    </row>
    <row r="32" spans="1:19">
      <c r="A32" s="12"/>
      <c r="B32" s="12"/>
      <c r="C32" s="12"/>
      <c r="D32" s="12"/>
      <c r="G32" s="3" t="s">
        <v>77</v>
      </c>
      <c r="H32">
        <f>5-8-12</f>
        <v>-15</v>
      </c>
      <c r="I32">
        <f>5-8-12</f>
        <v>-15</v>
      </c>
      <c r="J32">
        <f>5-8-11</f>
        <v>-14</v>
      </c>
      <c r="N32" s="3"/>
    </row>
    <row r="33" spans="1:14">
      <c r="A33" s="12"/>
      <c r="B33" s="12"/>
      <c r="C33" s="12"/>
      <c r="D33" s="12"/>
      <c r="G33" s="3" t="s">
        <v>78</v>
      </c>
      <c r="H33">
        <f>5-7-11</f>
        <v>-13</v>
      </c>
      <c r="I33">
        <f>5-7-11</f>
        <v>-13</v>
      </c>
      <c r="J33">
        <f>5-5-8</f>
        <v>-8</v>
      </c>
      <c r="N33" s="3"/>
    </row>
    <row r="34" spans="1:14">
      <c r="A34" s="12"/>
      <c r="B34" s="12"/>
      <c r="C34" s="12"/>
      <c r="D34" s="12"/>
      <c r="G34" s="3" t="s">
        <v>79</v>
      </c>
      <c r="H34">
        <f>5-8-11</f>
        <v>-14</v>
      </c>
      <c r="I34">
        <f>5-8-11</f>
        <v>-14</v>
      </c>
      <c r="J34">
        <f>5-6-8</f>
        <v>-9</v>
      </c>
      <c r="N34" s="3"/>
    </row>
    <row r="35" spans="1:14">
      <c r="A35" s="12"/>
      <c r="B35" s="12"/>
      <c r="C35" s="12"/>
      <c r="D35" s="12"/>
      <c r="G35" s="3" t="s">
        <v>80</v>
      </c>
      <c r="H35">
        <f>5-7-12</f>
        <v>-14</v>
      </c>
      <c r="I35">
        <f>5-7-12</f>
        <v>-14</v>
      </c>
      <c r="J35">
        <f>5-5-9</f>
        <v>-9</v>
      </c>
      <c r="N35" s="3"/>
    </row>
    <row r="36" spans="1:14" ht="15.75">
      <c r="A36" s="17" t="s">
        <v>122</v>
      </c>
      <c r="B36" s="12"/>
      <c r="C36" s="12"/>
      <c r="D36" s="12"/>
      <c r="G36" s="3" t="s">
        <v>81</v>
      </c>
      <c r="H36">
        <f>5-8-12</f>
        <v>-15</v>
      </c>
      <c r="I36">
        <f>5-8-12</f>
        <v>-15</v>
      </c>
      <c r="J36">
        <f>5-6-9</f>
        <v>-10</v>
      </c>
      <c r="N36" s="3"/>
    </row>
    <row r="37" spans="1:14" ht="17.25">
      <c r="A37" s="15" t="s">
        <v>4</v>
      </c>
      <c r="B37" s="16" t="s">
        <v>5</v>
      </c>
      <c r="C37" s="16" t="s">
        <v>6</v>
      </c>
      <c r="D37" s="43" t="s">
        <v>137</v>
      </c>
      <c r="G37" s="3" t="s">
        <v>82</v>
      </c>
      <c r="H37">
        <f>5-8</f>
        <v>-3</v>
      </c>
      <c r="I37">
        <f>5-10</f>
        <v>-5</v>
      </c>
      <c r="J37">
        <f>5-12</f>
        <v>-7</v>
      </c>
      <c r="N37" s="3"/>
    </row>
    <row r="38" spans="1:14" ht="17.25">
      <c r="A38" s="12" t="s">
        <v>8</v>
      </c>
      <c r="B38" s="12">
        <v>2</v>
      </c>
      <c r="C38" s="12">
        <v>1600</v>
      </c>
      <c r="D38" s="44">
        <f>C38+95</f>
        <v>1695</v>
      </c>
      <c r="G38" s="3" t="s">
        <v>83</v>
      </c>
      <c r="H38">
        <f>5-9</f>
        <v>-4</v>
      </c>
      <c r="I38">
        <f>5-11</f>
        <v>-6</v>
      </c>
      <c r="J38">
        <f>5-13</f>
        <v>-8</v>
      </c>
      <c r="N38" s="3"/>
    </row>
    <row r="39" spans="1:14">
      <c r="A39" s="12"/>
      <c r="B39" s="12"/>
      <c r="C39" s="12"/>
      <c r="D39" s="12"/>
    </row>
    <row r="40" spans="1:14" ht="15.75">
      <c r="A40" s="17" t="s">
        <v>123</v>
      </c>
      <c r="B40" s="12"/>
      <c r="C40" s="12"/>
      <c r="D40" s="12"/>
      <c r="G40" s="40"/>
      <c r="H40" s="42" t="s">
        <v>59</v>
      </c>
      <c r="I40" s="42" t="s">
        <v>60</v>
      </c>
      <c r="J40" s="42" t="s">
        <v>61</v>
      </c>
      <c r="K40" s="42" t="s">
        <v>62</v>
      </c>
      <c r="L40" s="42" t="s">
        <v>69</v>
      </c>
    </row>
    <row r="41" spans="1:14" ht="17.25">
      <c r="A41" s="15" t="s">
        <v>4</v>
      </c>
      <c r="B41" s="16" t="s">
        <v>5</v>
      </c>
      <c r="C41" s="16" t="s">
        <v>6</v>
      </c>
      <c r="D41" s="43" t="s">
        <v>137</v>
      </c>
      <c r="G41" s="40"/>
      <c r="H41" s="40"/>
      <c r="I41" s="40"/>
      <c r="J41" s="40"/>
      <c r="K41" s="40"/>
      <c r="L41" s="40"/>
    </row>
    <row r="42" spans="1:14" ht="17.25">
      <c r="A42" s="18" t="s">
        <v>126</v>
      </c>
      <c r="B42" s="12">
        <v>6</v>
      </c>
      <c r="C42" s="12">
        <v>1600</v>
      </c>
      <c r="D42" s="44">
        <f>C42+95</f>
        <v>1695</v>
      </c>
      <c r="G42" s="41" t="s">
        <v>70</v>
      </c>
      <c r="H42" s="40">
        <f t="shared" ref="H42:L45" si="0">H7+H25</f>
        <v>2628</v>
      </c>
      <c r="I42" s="40">
        <f t="shared" si="0"/>
        <v>2619</v>
      </c>
      <c r="J42" s="40">
        <f t="shared" si="0"/>
        <v>2718</v>
      </c>
      <c r="K42" s="40">
        <f t="shared" si="0"/>
        <v>2786</v>
      </c>
      <c r="L42" s="40">
        <f t="shared" si="0"/>
        <v>3157</v>
      </c>
    </row>
    <row r="43" spans="1:14">
      <c r="A43" s="12"/>
      <c r="B43" s="12"/>
      <c r="C43" s="12"/>
      <c r="D43" s="12"/>
      <c r="G43" s="41" t="s">
        <v>71</v>
      </c>
      <c r="H43" s="40">
        <f t="shared" si="0"/>
        <v>2579</v>
      </c>
      <c r="I43" s="40">
        <f t="shared" si="0"/>
        <v>2571</v>
      </c>
      <c r="J43" s="40">
        <f t="shared" si="0"/>
        <v>2669</v>
      </c>
      <c r="K43" s="40">
        <f t="shared" si="0"/>
        <v>2741</v>
      </c>
      <c r="L43" s="40">
        <f t="shared" si="0"/>
        <v>2972</v>
      </c>
    </row>
    <row r="44" spans="1:14" ht="15.75">
      <c r="A44" s="17" t="s">
        <v>124</v>
      </c>
      <c r="B44" s="12"/>
      <c r="C44" s="12"/>
      <c r="D44" s="12"/>
      <c r="G44" s="41" t="s">
        <v>72</v>
      </c>
      <c r="H44" s="40">
        <f t="shared" si="0"/>
        <v>2559</v>
      </c>
      <c r="I44" s="40">
        <f t="shared" si="0"/>
        <v>2552</v>
      </c>
      <c r="J44" s="40">
        <f t="shared" si="0"/>
        <v>2650</v>
      </c>
      <c r="K44" s="40">
        <f t="shared" si="0"/>
        <v>2719</v>
      </c>
      <c r="L44" s="40">
        <f t="shared" si="0"/>
        <v>2869</v>
      </c>
    </row>
    <row r="45" spans="1:14" ht="17.25">
      <c r="A45" s="15" t="s">
        <v>4</v>
      </c>
      <c r="B45" s="16" t="s">
        <v>5</v>
      </c>
      <c r="C45" s="16" t="s">
        <v>6</v>
      </c>
      <c r="D45" s="43" t="s">
        <v>137</v>
      </c>
      <c r="G45" s="41" t="s">
        <v>73</v>
      </c>
      <c r="H45" s="40">
        <f t="shared" si="0"/>
        <v>2566</v>
      </c>
      <c r="I45" s="40">
        <f t="shared" si="0"/>
        <v>2560</v>
      </c>
      <c r="J45" s="40">
        <f t="shared" si="0"/>
        <v>2650</v>
      </c>
      <c r="K45" s="40">
        <f t="shared" si="0"/>
        <v>2715</v>
      </c>
      <c r="L45" s="40">
        <f t="shared" si="0"/>
        <v>2796</v>
      </c>
    </row>
    <row r="46" spans="1:14" ht="17.25">
      <c r="A46" s="18" t="s">
        <v>127</v>
      </c>
      <c r="B46" s="12">
        <v>6</v>
      </c>
      <c r="C46" s="12">
        <v>1585</v>
      </c>
      <c r="D46" s="44">
        <f>C46+95</f>
        <v>1680</v>
      </c>
      <c r="G46" s="41" t="s">
        <v>74</v>
      </c>
      <c r="H46" s="40">
        <f t="shared" ref="H46:J55" si="1">H11+H29</f>
        <v>2554</v>
      </c>
      <c r="I46" s="40">
        <f t="shared" si="1"/>
        <v>2548</v>
      </c>
      <c r="J46" s="40">
        <f t="shared" si="1"/>
        <v>2639</v>
      </c>
      <c r="K46" s="40"/>
      <c r="L46" s="40">
        <f>L11+L29</f>
        <v>2755</v>
      </c>
    </row>
    <row r="47" spans="1:14">
      <c r="A47" s="12"/>
      <c r="B47" s="12"/>
      <c r="C47" s="12"/>
      <c r="D47" s="12"/>
      <c r="G47" s="41" t="s">
        <v>75</v>
      </c>
      <c r="H47" s="40">
        <f t="shared" si="1"/>
        <v>2524</v>
      </c>
      <c r="I47" s="40">
        <f t="shared" si="1"/>
        <v>2520</v>
      </c>
      <c r="J47" s="40">
        <f t="shared" si="1"/>
        <v>2604</v>
      </c>
      <c r="K47" s="40"/>
      <c r="L47" s="40">
        <f>L12+L30</f>
        <v>2763</v>
      </c>
    </row>
    <row r="48" spans="1:14" ht="15.75">
      <c r="A48" s="17" t="s">
        <v>125</v>
      </c>
      <c r="B48" s="12"/>
      <c r="C48" s="12"/>
      <c r="D48" s="12"/>
      <c r="G48" s="41" t="s">
        <v>76</v>
      </c>
      <c r="H48" s="40">
        <f t="shared" si="1"/>
        <v>2520</v>
      </c>
      <c r="I48" s="40">
        <f t="shared" si="1"/>
        <v>2517</v>
      </c>
      <c r="J48" s="40">
        <f t="shared" si="1"/>
        <v>2597</v>
      </c>
      <c r="K48" s="40"/>
      <c r="L48" s="40">
        <f>L13+L31</f>
        <v>0</v>
      </c>
    </row>
    <row r="49" spans="1:12" ht="17.25">
      <c r="A49" s="15" t="s">
        <v>4</v>
      </c>
      <c r="B49" s="16" t="s">
        <v>5</v>
      </c>
      <c r="C49" s="16" t="s">
        <v>6</v>
      </c>
      <c r="D49" s="43" t="s">
        <v>137</v>
      </c>
      <c r="G49" s="41" t="s">
        <v>77</v>
      </c>
      <c r="H49" s="40">
        <f t="shared" si="1"/>
        <v>2541</v>
      </c>
      <c r="I49" s="40">
        <f t="shared" si="1"/>
        <v>2539</v>
      </c>
      <c r="J49" s="40">
        <f t="shared" si="1"/>
        <v>2610</v>
      </c>
      <c r="K49" s="40"/>
      <c r="L49" s="40"/>
    </row>
    <row r="50" spans="1:12" ht="17.25">
      <c r="A50" s="18" t="s">
        <v>128</v>
      </c>
      <c r="B50" s="12">
        <v>6</v>
      </c>
      <c r="C50" s="12">
        <v>1600</v>
      </c>
      <c r="D50" s="44">
        <f>C50+95</f>
        <v>1695</v>
      </c>
      <c r="G50" s="41" t="s">
        <v>78</v>
      </c>
      <c r="H50" s="40">
        <f t="shared" si="1"/>
        <v>2521</v>
      </c>
      <c r="I50" s="40">
        <f t="shared" si="1"/>
        <v>2518</v>
      </c>
      <c r="J50" s="40">
        <f t="shared" si="1"/>
        <v>2593</v>
      </c>
      <c r="K50" s="40"/>
      <c r="L50" s="40"/>
    </row>
    <row r="51" spans="1:12">
      <c r="A51" s="12"/>
      <c r="B51" s="12"/>
      <c r="C51" s="12"/>
      <c r="D51" s="12"/>
      <c r="G51" s="41" t="s">
        <v>79</v>
      </c>
      <c r="H51" s="40">
        <f t="shared" si="1"/>
        <v>2498</v>
      </c>
      <c r="I51" s="40">
        <f t="shared" si="1"/>
        <v>2493</v>
      </c>
      <c r="J51" s="40">
        <f t="shared" si="1"/>
        <v>2562</v>
      </c>
      <c r="K51" s="40"/>
      <c r="L51" s="40"/>
    </row>
    <row r="52" spans="1:12" ht="20.25">
      <c r="A52" s="11" t="s">
        <v>139</v>
      </c>
      <c r="B52" s="12"/>
      <c r="C52" s="49">
        <v>43330</v>
      </c>
      <c r="D52" s="50"/>
      <c r="G52" s="41" t="s">
        <v>80</v>
      </c>
      <c r="H52" s="40">
        <f t="shared" si="1"/>
        <v>2480</v>
      </c>
      <c r="I52" s="40">
        <f t="shared" si="1"/>
        <v>2474</v>
      </c>
      <c r="J52" s="40">
        <f t="shared" si="1"/>
        <v>2536</v>
      </c>
      <c r="K52" s="40"/>
      <c r="L52" s="40"/>
    </row>
    <row r="53" spans="1:12">
      <c r="A53" s="13" t="s">
        <v>0</v>
      </c>
      <c r="B53" s="13"/>
      <c r="C53" s="12"/>
      <c r="D53" s="12"/>
      <c r="G53" s="41" t="s">
        <v>81</v>
      </c>
      <c r="H53" s="40">
        <f t="shared" si="1"/>
        <v>2474</v>
      </c>
      <c r="I53" s="40">
        <f t="shared" si="1"/>
        <v>2466</v>
      </c>
      <c r="J53" s="40">
        <f t="shared" si="1"/>
        <v>2521</v>
      </c>
      <c r="K53" s="40"/>
      <c r="L53" s="40"/>
    </row>
    <row r="54" spans="1:12">
      <c r="A54" s="13" t="s">
        <v>2</v>
      </c>
      <c r="B54" s="13"/>
      <c r="C54" s="12"/>
      <c r="D54" s="12"/>
      <c r="G54" s="41" t="s">
        <v>82</v>
      </c>
      <c r="H54" s="40">
        <f t="shared" si="1"/>
        <v>2417</v>
      </c>
      <c r="I54" s="40">
        <f t="shared" si="1"/>
        <v>2416</v>
      </c>
      <c r="J54" s="40">
        <f t="shared" si="1"/>
        <v>2482</v>
      </c>
      <c r="K54" s="40"/>
      <c r="L54" s="40"/>
    </row>
    <row r="55" spans="1:12">
      <c r="A55" s="12"/>
      <c r="B55" s="12"/>
      <c r="C55" s="12"/>
      <c r="D55" s="12"/>
      <c r="G55" s="41" t="s">
        <v>83</v>
      </c>
      <c r="H55" s="40">
        <f t="shared" si="1"/>
        <v>-4</v>
      </c>
      <c r="I55" s="40">
        <f t="shared" si="1"/>
        <v>2364</v>
      </c>
      <c r="J55" s="40">
        <f t="shared" si="1"/>
        <v>2363</v>
      </c>
      <c r="K55" s="40">
        <f>K20+K38</f>
        <v>2439</v>
      </c>
      <c r="L55" s="40"/>
    </row>
    <row r="56" spans="1:12">
      <c r="A56" s="12"/>
      <c r="B56" s="12"/>
      <c r="C56" s="12"/>
      <c r="D56" s="12"/>
    </row>
    <row r="57" spans="1:12">
      <c r="A57" s="12"/>
      <c r="B57" s="12"/>
      <c r="C57" s="12"/>
      <c r="D57" s="12"/>
    </row>
    <row r="58" spans="1:12">
      <c r="A58" s="12"/>
      <c r="B58" s="12"/>
      <c r="C58" s="12"/>
      <c r="D58" s="12"/>
    </row>
    <row r="59" spans="1:12">
      <c r="A59" s="12"/>
      <c r="B59" s="12"/>
      <c r="C59" s="12"/>
      <c r="D59" s="12"/>
    </row>
    <row r="60" spans="1:12">
      <c r="A60" s="12"/>
      <c r="B60" s="12"/>
      <c r="C60" s="12"/>
      <c r="D60" s="12"/>
    </row>
    <row r="61" spans="1:12">
      <c r="A61" s="12"/>
      <c r="B61" s="12"/>
      <c r="C61" s="12"/>
      <c r="D61" s="12"/>
    </row>
    <row r="62" spans="1:12">
      <c r="A62" s="12"/>
      <c r="B62" s="12"/>
      <c r="C62" s="12"/>
      <c r="D62" s="12"/>
    </row>
    <row r="63" spans="1:12">
      <c r="A63" s="12"/>
      <c r="B63" s="12"/>
      <c r="C63" s="12"/>
      <c r="D63" s="12"/>
    </row>
    <row r="64" spans="1:12">
      <c r="A64" s="12"/>
      <c r="B64" s="12"/>
      <c r="C64" s="12"/>
      <c r="D64" s="12"/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>
      <c r="A67" s="12"/>
      <c r="B67" s="12"/>
      <c r="C67" s="12"/>
      <c r="D67" s="12"/>
    </row>
    <row r="68" spans="1:4">
      <c r="A68" s="12"/>
      <c r="B68" s="12"/>
      <c r="C68" s="12"/>
      <c r="D68" s="12"/>
    </row>
    <row r="69" spans="1:4" ht="18.75">
      <c r="A69" s="19" t="s">
        <v>115</v>
      </c>
      <c r="B69" s="12"/>
      <c r="C69" s="12"/>
      <c r="D69" s="12"/>
    </row>
    <row r="70" spans="1:4" ht="17.25">
      <c r="A70" s="15" t="s">
        <v>4</v>
      </c>
      <c r="B70" s="16" t="s">
        <v>5</v>
      </c>
      <c r="C70" s="16" t="s">
        <v>6</v>
      </c>
      <c r="D70" s="43" t="s">
        <v>137</v>
      </c>
    </row>
    <row r="71" spans="1:4" ht="17.25">
      <c r="A71" s="12" t="s">
        <v>9</v>
      </c>
      <c r="B71" s="12">
        <v>2</v>
      </c>
      <c r="C71" s="12">
        <v>296</v>
      </c>
      <c r="D71" s="44">
        <f>C71+60</f>
        <v>356</v>
      </c>
    </row>
    <row r="72" spans="1:4" ht="17.25">
      <c r="A72" s="12" t="s">
        <v>10</v>
      </c>
      <c r="B72" s="12">
        <v>2</v>
      </c>
      <c r="C72" s="12">
        <v>303</v>
      </c>
      <c r="D72" s="44">
        <f t="shared" ref="D72:D83" si="2">C72+60</f>
        <v>363</v>
      </c>
    </row>
    <row r="73" spans="1:4" ht="17.25">
      <c r="A73" s="12" t="s">
        <v>11</v>
      </c>
      <c r="B73" s="12">
        <v>2</v>
      </c>
      <c r="C73" s="12">
        <v>322</v>
      </c>
      <c r="D73" s="44">
        <f t="shared" si="2"/>
        <v>382</v>
      </c>
    </row>
    <row r="74" spans="1:4" ht="17.25">
      <c r="A74" s="18" t="s">
        <v>129</v>
      </c>
      <c r="B74" s="12">
        <v>4</v>
      </c>
      <c r="C74" s="12">
        <v>346</v>
      </c>
      <c r="D74" s="44">
        <f t="shared" si="2"/>
        <v>406</v>
      </c>
    </row>
    <row r="75" spans="1:4" ht="17.25">
      <c r="A75" s="12" t="s">
        <v>12</v>
      </c>
      <c r="B75" s="12">
        <v>2</v>
      </c>
      <c r="C75" s="12">
        <v>349</v>
      </c>
      <c r="D75" s="44">
        <f t="shared" si="2"/>
        <v>409</v>
      </c>
    </row>
    <row r="76" spans="1:4" ht="17.25">
      <c r="A76" s="12" t="s">
        <v>13</v>
      </c>
      <c r="B76" s="12">
        <v>2</v>
      </c>
      <c r="C76" s="12">
        <v>369</v>
      </c>
      <c r="D76" s="44">
        <f t="shared" si="2"/>
        <v>429</v>
      </c>
    </row>
    <row r="77" spans="1:4" ht="17.25">
      <c r="A77" s="12" t="s">
        <v>14</v>
      </c>
      <c r="B77" s="12">
        <v>2</v>
      </c>
      <c r="C77" s="12">
        <v>376</v>
      </c>
      <c r="D77" s="44">
        <f t="shared" si="2"/>
        <v>436</v>
      </c>
    </row>
    <row r="78" spans="1:4" ht="17.25">
      <c r="A78" s="12" t="s">
        <v>15</v>
      </c>
      <c r="B78" s="12">
        <v>2</v>
      </c>
      <c r="C78" s="12">
        <v>381</v>
      </c>
      <c r="D78" s="44">
        <f t="shared" si="2"/>
        <v>441</v>
      </c>
    </row>
    <row r="79" spans="1:4" ht="17.25">
      <c r="A79" s="12" t="s">
        <v>16</v>
      </c>
      <c r="B79" s="12">
        <v>2</v>
      </c>
      <c r="C79" s="12">
        <v>390</v>
      </c>
      <c r="D79" s="44">
        <f t="shared" si="2"/>
        <v>450</v>
      </c>
    </row>
    <row r="80" spans="1:4" ht="17.25">
      <c r="A80" s="12" t="s">
        <v>17</v>
      </c>
      <c r="B80" s="12">
        <v>2</v>
      </c>
      <c r="C80" s="12">
        <v>400</v>
      </c>
      <c r="D80" s="44">
        <f t="shared" si="2"/>
        <v>460</v>
      </c>
    </row>
    <row r="81" spans="1:4" ht="17.25">
      <c r="A81" s="12" t="s">
        <v>18</v>
      </c>
      <c r="B81" s="12">
        <v>2</v>
      </c>
      <c r="C81" s="12">
        <v>447</v>
      </c>
      <c r="D81" s="44">
        <f t="shared" si="2"/>
        <v>507</v>
      </c>
    </row>
    <row r="82" spans="1:4" ht="17.25">
      <c r="A82" s="12" t="s">
        <v>19</v>
      </c>
      <c r="B82" s="12">
        <v>2</v>
      </c>
      <c r="C82" s="12">
        <v>770</v>
      </c>
      <c r="D82" s="44">
        <f t="shared" si="2"/>
        <v>830</v>
      </c>
    </row>
    <row r="83" spans="1:4" ht="17.25">
      <c r="A83" s="12" t="s">
        <v>20</v>
      </c>
      <c r="B83" s="12">
        <v>2</v>
      </c>
      <c r="C83" s="12">
        <v>821</v>
      </c>
      <c r="D83" s="44">
        <f t="shared" si="2"/>
        <v>881</v>
      </c>
    </row>
    <row r="84" spans="1:4">
      <c r="A84" s="12"/>
      <c r="B84" s="12"/>
      <c r="C84" s="12"/>
      <c r="D84" s="12"/>
    </row>
    <row r="85" spans="1:4" ht="18.75">
      <c r="A85" s="19" t="s">
        <v>116</v>
      </c>
      <c r="B85" s="12"/>
      <c r="C85" s="12"/>
      <c r="D85" s="12"/>
    </row>
    <row r="86" spans="1:4" ht="17.25">
      <c r="A86" s="15" t="s">
        <v>4</v>
      </c>
      <c r="B86" s="16" t="s">
        <v>5</v>
      </c>
      <c r="C86" s="16" t="s">
        <v>6</v>
      </c>
      <c r="D86" s="43" t="s">
        <v>137</v>
      </c>
    </row>
    <row r="87" spans="1:4" ht="17.25">
      <c r="A87" s="12" t="s">
        <v>21</v>
      </c>
      <c r="B87" s="12">
        <v>2</v>
      </c>
      <c r="C87" s="12">
        <v>331</v>
      </c>
      <c r="D87" s="44">
        <f>C87+60</f>
        <v>391</v>
      </c>
    </row>
    <row r="88" spans="1:4" ht="17.25">
      <c r="A88" s="12" t="s">
        <v>22</v>
      </c>
      <c r="B88" s="12">
        <v>2</v>
      </c>
      <c r="C88" s="12">
        <v>345</v>
      </c>
      <c r="D88" s="44">
        <f t="shared" ref="D88:D105" si="3">C88+60</f>
        <v>405</v>
      </c>
    </row>
    <row r="89" spans="1:4" ht="17.25">
      <c r="A89" s="12" t="s">
        <v>23</v>
      </c>
      <c r="B89" s="12">
        <v>2</v>
      </c>
      <c r="C89" s="12">
        <v>371</v>
      </c>
      <c r="D89" s="44">
        <f t="shared" si="3"/>
        <v>431</v>
      </c>
    </row>
    <row r="90" spans="1:4" ht="17.25">
      <c r="A90" s="12" t="s">
        <v>24</v>
      </c>
      <c r="B90" s="12">
        <v>2</v>
      </c>
      <c r="C90" s="12">
        <v>401</v>
      </c>
      <c r="D90" s="44">
        <f t="shared" si="3"/>
        <v>461</v>
      </c>
    </row>
    <row r="91" spans="1:4" ht="17.25">
      <c r="A91" s="12" t="s">
        <v>25</v>
      </c>
      <c r="B91" s="12">
        <v>2</v>
      </c>
      <c r="C91" s="12">
        <v>410</v>
      </c>
      <c r="D91" s="44">
        <f t="shared" si="3"/>
        <v>470</v>
      </c>
    </row>
    <row r="92" spans="1:4" ht="17.25">
      <c r="A92" s="12" t="s">
        <v>26</v>
      </c>
      <c r="B92" s="12">
        <v>2</v>
      </c>
      <c r="C92" s="12">
        <v>417</v>
      </c>
      <c r="D92" s="44">
        <f t="shared" si="3"/>
        <v>477</v>
      </c>
    </row>
    <row r="93" spans="1:4" ht="17.25">
      <c r="A93" s="12" t="s">
        <v>27</v>
      </c>
      <c r="B93" s="12">
        <v>2</v>
      </c>
      <c r="C93" s="12">
        <v>424</v>
      </c>
      <c r="D93" s="44">
        <f t="shared" si="3"/>
        <v>484</v>
      </c>
    </row>
    <row r="94" spans="1:4" ht="17.25">
      <c r="A94" s="12" t="s">
        <v>28</v>
      </c>
      <c r="B94" s="12">
        <v>2</v>
      </c>
      <c r="C94" s="12">
        <v>451</v>
      </c>
      <c r="D94" s="44">
        <f t="shared" si="3"/>
        <v>511</v>
      </c>
    </row>
    <row r="95" spans="1:4" ht="17.25">
      <c r="A95" s="12" t="s">
        <v>29</v>
      </c>
      <c r="B95" s="12">
        <v>2</v>
      </c>
      <c r="C95" s="12">
        <v>463</v>
      </c>
      <c r="D95" s="44">
        <f t="shared" si="3"/>
        <v>523</v>
      </c>
    </row>
    <row r="96" spans="1:4" ht="17.25">
      <c r="A96" s="12" t="s">
        <v>30</v>
      </c>
      <c r="B96" s="12">
        <v>2</v>
      </c>
      <c r="C96" s="12">
        <v>464</v>
      </c>
      <c r="D96" s="44">
        <f t="shared" si="3"/>
        <v>524</v>
      </c>
    </row>
    <row r="97" spans="1:4" ht="17.25">
      <c r="A97" s="12" t="s">
        <v>31</v>
      </c>
      <c r="B97" s="12">
        <v>2</v>
      </c>
      <c r="C97" s="12">
        <v>482</v>
      </c>
      <c r="D97" s="44">
        <f t="shared" si="3"/>
        <v>542</v>
      </c>
    </row>
    <row r="98" spans="1:4" ht="17.25">
      <c r="A98" s="12" t="s">
        <v>32</v>
      </c>
      <c r="B98" s="12">
        <v>2</v>
      </c>
      <c r="C98" s="12">
        <v>530</v>
      </c>
      <c r="D98" s="44">
        <f t="shared" si="3"/>
        <v>590</v>
      </c>
    </row>
    <row r="99" spans="1:4" ht="17.25">
      <c r="A99" s="12" t="s">
        <v>33</v>
      </c>
      <c r="B99" s="12">
        <v>2</v>
      </c>
      <c r="C99" s="12">
        <v>531</v>
      </c>
      <c r="D99" s="44">
        <f t="shared" si="3"/>
        <v>591</v>
      </c>
    </row>
    <row r="100" spans="1:4" ht="17.25">
      <c r="A100" s="12" t="s">
        <v>34</v>
      </c>
      <c r="B100" s="12">
        <v>2</v>
      </c>
      <c r="C100" s="12">
        <v>534</v>
      </c>
      <c r="D100" s="44">
        <f t="shared" si="3"/>
        <v>594</v>
      </c>
    </row>
    <row r="101" spans="1:4" ht="17.25">
      <c r="A101" s="12" t="s">
        <v>35</v>
      </c>
      <c r="B101" s="12">
        <v>2</v>
      </c>
      <c r="C101" s="12">
        <v>556</v>
      </c>
      <c r="D101" s="44">
        <f t="shared" si="3"/>
        <v>616</v>
      </c>
    </row>
    <row r="102" spans="1:4" ht="17.25">
      <c r="A102" s="18" t="s">
        <v>130</v>
      </c>
      <c r="B102" s="12">
        <v>6</v>
      </c>
      <c r="C102" s="12">
        <v>600</v>
      </c>
      <c r="D102" s="44">
        <f t="shared" si="3"/>
        <v>660</v>
      </c>
    </row>
    <row r="103" spans="1:4" ht="17.25">
      <c r="A103" s="12" t="s">
        <v>36</v>
      </c>
      <c r="B103" s="12">
        <v>2</v>
      </c>
      <c r="C103" s="12">
        <v>771</v>
      </c>
      <c r="D103" s="44">
        <f t="shared" si="3"/>
        <v>831</v>
      </c>
    </row>
    <row r="104" spans="1:4" ht="17.25">
      <c r="A104" s="12" t="s">
        <v>37</v>
      </c>
      <c r="B104" s="12">
        <v>2</v>
      </c>
      <c r="C104" s="12">
        <v>889</v>
      </c>
      <c r="D104" s="44">
        <f t="shared" si="3"/>
        <v>949</v>
      </c>
    </row>
    <row r="105" spans="1:4" ht="17.25">
      <c r="A105" s="20" t="s">
        <v>38</v>
      </c>
      <c r="B105" s="20">
        <v>2</v>
      </c>
      <c r="C105" s="20">
        <v>839</v>
      </c>
      <c r="D105" s="44">
        <f t="shared" si="3"/>
        <v>899</v>
      </c>
    </row>
    <row r="106" spans="1:4">
      <c r="A106" s="12"/>
      <c r="B106" s="12"/>
      <c r="C106" s="12"/>
      <c r="D106" s="12"/>
    </row>
    <row r="107" spans="1:4" ht="18.75">
      <c r="A107" s="19" t="s">
        <v>117</v>
      </c>
      <c r="B107" s="12"/>
      <c r="C107" s="12"/>
      <c r="D107" s="12"/>
    </row>
    <row r="108" spans="1:4" ht="17.25">
      <c r="A108" s="15" t="s">
        <v>4</v>
      </c>
      <c r="B108" s="16" t="s">
        <v>5</v>
      </c>
      <c r="C108" s="16" t="s">
        <v>6</v>
      </c>
      <c r="D108" s="43" t="s">
        <v>137</v>
      </c>
    </row>
    <row r="109" spans="1:4" ht="17.25">
      <c r="A109" s="12" t="s">
        <v>39</v>
      </c>
      <c r="B109" s="12">
        <v>2</v>
      </c>
      <c r="C109" s="12">
        <v>289</v>
      </c>
      <c r="D109" s="44">
        <f>C109+60</f>
        <v>349</v>
      </c>
    </row>
    <row r="110" spans="1:4" ht="17.25">
      <c r="A110" s="12" t="s">
        <v>40</v>
      </c>
      <c r="B110" s="12">
        <v>2</v>
      </c>
      <c r="C110" s="12">
        <v>294</v>
      </c>
      <c r="D110" s="44">
        <f t="shared" ref="D110:D120" si="4">C110+60</f>
        <v>354</v>
      </c>
    </row>
    <row r="111" spans="1:4" ht="17.25">
      <c r="A111" s="12" t="s">
        <v>41</v>
      </c>
      <c r="B111" s="12">
        <v>2</v>
      </c>
      <c r="C111" s="12">
        <v>312</v>
      </c>
      <c r="D111" s="44">
        <f t="shared" si="4"/>
        <v>372</v>
      </c>
    </row>
    <row r="112" spans="1:4" ht="17.25">
      <c r="A112" s="18" t="s">
        <v>131</v>
      </c>
      <c r="B112" s="12">
        <v>4</v>
      </c>
      <c r="C112" s="12">
        <v>334</v>
      </c>
      <c r="D112" s="44">
        <f t="shared" si="4"/>
        <v>394</v>
      </c>
    </row>
    <row r="113" spans="1:4" ht="17.25">
      <c r="A113" s="12" t="s">
        <v>42</v>
      </c>
      <c r="B113" s="12">
        <v>2</v>
      </c>
      <c r="C113" s="12">
        <v>338</v>
      </c>
      <c r="D113" s="44">
        <f t="shared" si="4"/>
        <v>398</v>
      </c>
    </row>
    <row r="114" spans="1:4" ht="17.25">
      <c r="A114" s="12" t="s">
        <v>43</v>
      </c>
      <c r="B114" s="12">
        <v>2</v>
      </c>
      <c r="C114" s="12">
        <v>356</v>
      </c>
      <c r="D114" s="44">
        <f t="shared" si="4"/>
        <v>416</v>
      </c>
    </row>
    <row r="115" spans="1:4" ht="17.25">
      <c r="A115" s="12" t="s">
        <v>44</v>
      </c>
      <c r="B115" s="12">
        <v>2</v>
      </c>
      <c r="C115" s="12">
        <v>367</v>
      </c>
      <c r="D115" s="44">
        <f t="shared" si="4"/>
        <v>427</v>
      </c>
    </row>
    <row r="116" spans="1:4" ht="17.25">
      <c r="A116" s="12" t="s">
        <v>45</v>
      </c>
      <c r="B116" s="12">
        <v>2</v>
      </c>
      <c r="C116" s="12">
        <v>373</v>
      </c>
      <c r="D116" s="44">
        <f t="shared" si="4"/>
        <v>433</v>
      </c>
    </row>
    <row r="117" spans="1:4" ht="17.25">
      <c r="A117" s="12" t="s">
        <v>46</v>
      </c>
      <c r="B117" s="12">
        <v>2</v>
      </c>
      <c r="C117" s="12">
        <v>381</v>
      </c>
      <c r="D117" s="44">
        <f t="shared" si="4"/>
        <v>441</v>
      </c>
    </row>
    <row r="118" spans="1:4" ht="17.25">
      <c r="A118" s="12" t="s">
        <v>47</v>
      </c>
      <c r="B118" s="12">
        <v>2</v>
      </c>
      <c r="C118" s="12">
        <v>393</v>
      </c>
      <c r="D118" s="44">
        <f t="shared" si="4"/>
        <v>453</v>
      </c>
    </row>
    <row r="119" spans="1:4" ht="17.25">
      <c r="A119" s="12" t="s">
        <v>48</v>
      </c>
      <c r="B119" s="12">
        <v>2</v>
      </c>
      <c r="C119" s="12">
        <v>441</v>
      </c>
      <c r="D119" s="44">
        <f t="shared" si="4"/>
        <v>501</v>
      </c>
    </row>
    <row r="120" spans="1:4" ht="17.25">
      <c r="A120" s="12" t="s">
        <v>49</v>
      </c>
      <c r="B120" s="12">
        <v>2</v>
      </c>
      <c r="C120" s="12">
        <v>820</v>
      </c>
      <c r="D120" s="44">
        <f t="shared" si="4"/>
        <v>880</v>
      </c>
    </row>
    <row r="121" spans="1:4">
      <c r="A121" s="12"/>
      <c r="B121" s="12"/>
      <c r="C121" s="12"/>
      <c r="D121" s="12"/>
    </row>
    <row r="122" spans="1:4" ht="18.75">
      <c r="A122" s="19" t="s">
        <v>118</v>
      </c>
      <c r="B122" s="12"/>
      <c r="C122" s="12"/>
      <c r="D122" s="12"/>
    </row>
    <row r="123" spans="1:4" ht="17.25">
      <c r="A123" s="15" t="s">
        <v>4</v>
      </c>
      <c r="B123" s="16" t="s">
        <v>5</v>
      </c>
      <c r="C123" s="16" t="s">
        <v>6</v>
      </c>
      <c r="D123" s="43" t="s">
        <v>137</v>
      </c>
    </row>
    <row r="124" spans="1:4" ht="17.25">
      <c r="A124" s="12" t="s">
        <v>50</v>
      </c>
      <c r="B124" s="12">
        <v>2</v>
      </c>
      <c r="C124" s="12">
        <v>406</v>
      </c>
      <c r="D124" s="44">
        <f>C124+60</f>
        <v>466</v>
      </c>
    </row>
    <row r="125" spans="1:4" ht="17.25">
      <c r="A125" s="12" t="s">
        <v>51</v>
      </c>
      <c r="B125" s="12">
        <v>2</v>
      </c>
      <c r="C125" s="12">
        <v>415</v>
      </c>
      <c r="D125" s="44">
        <f t="shared" ref="D125:D131" si="5">C125+60</f>
        <v>475</v>
      </c>
    </row>
    <row r="126" spans="1:4" ht="17.25">
      <c r="A126" s="12" t="s">
        <v>52</v>
      </c>
      <c r="B126" s="12">
        <v>2</v>
      </c>
      <c r="C126" s="12">
        <v>447</v>
      </c>
      <c r="D126" s="44">
        <f t="shared" si="5"/>
        <v>507</v>
      </c>
    </row>
    <row r="127" spans="1:4" ht="17.25">
      <c r="A127" s="12" t="s">
        <v>53</v>
      </c>
      <c r="B127" s="12">
        <v>2</v>
      </c>
      <c r="C127" s="12">
        <v>519</v>
      </c>
      <c r="D127" s="44">
        <f t="shared" si="5"/>
        <v>579</v>
      </c>
    </row>
    <row r="128" spans="1:4" ht="17.25">
      <c r="A128" s="12" t="s">
        <v>54</v>
      </c>
      <c r="B128" s="12">
        <v>2</v>
      </c>
      <c r="C128" s="12">
        <v>550</v>
      </c>
      <c r="D128" s="44">
        <f t="shared" si="5"/>
        <v>610</v>
      </c>
    </row>
    <row r="129" spans="1:4" ht="17.25">
      <c r="A129" s="12" t="s">
        <v>55</v>
      </c>
      <c r="B129" s="12">
        <v>2</v>
      </c>
      <c r="C129" s="12">
        <v>734</v>
      </c>
      <c r="D129" s="44">
        <f t="shared" si="5"/>
        <v>794</v>
      </c>
    </row>
    <row r="130" spans="1:4" ht="17.25">
      <c r="A130" s="18" t="s">
        <v>132</v>
      </c>
      <c r="B130" s="12">
        <v>4</v>
      </c>
      <c r="C130" s="12">
        <v>865</v>
      </c>
      <c r="D130" s="44">
        <f t="shared" si="5"/>
        <v>925</v>
      </c>
    </row>
    <row r="131" spans="1:4" ht="17.25">
      <c r="A131" s="12" t="s">
        <v>56</v>
      </c>
      <c r="B131" s="12">
        <v>2</v>
      </c>
      <c r="C131" s="12">
        <v>937</v>
      </c>
      <c r="D131" s="44">
        <f t="shared" si="5"/>
        <v>997</v>
      </c>
    </row>
    <row r="132" spans="1:4">
      <c r="A132" s="12"/>
      <c r="B132" s="12"/>
      <c r="C132" s="12"/>
      <c r="D132" s="12"/>
    </row>
    <row r="133" spans="1:4" ht="18.75">
      <c r="A133" s="19" t="s">
        <v>119</v>
      </c>
      <c r="B133" s="12"/>
      <c r="C133" s="12"/>
      <c r="D133" s="12"/>
    </row>
    <row r="134" spans="1:4" ht="17.25">
      <c r="A134" s="15" t="s">
        <v>4</v>
      </c>
      <c r="B134" s="16" t="s">
        <v>5</v>
      </c>
      <c r="C134" s="16" t="s">
        <v>6</v>
      </c>
      <c r="D134" s="43" t="s">
        <v>137</v>
      </c>
    </row>
    <row r="135" spans="1:4" ht="17.25">
      <c r="A135" s="18" t="s">
        <v>133</v>
      </c>
      <c r="B135" s="12">
        <v>12</v>
      </c>
      <c r="C135" s="12">
        <v>600</v>
      </c>
      <c r="D135" s="44">
        <f>C135+60</f>
        <v>660</v>
      </c>
    </row>
    <row r="136" spans="1:4">
      <c r="A136" s="12"/>
      <c r="B136" s="12"/>
      <c r="C136" s="12"/>
      <c r="D136" s="12"/>
    </row>
    <row r="137" spans="1:4" ht="18.75">
      <c r="A137" s="19" t="s">
        <v>120</v>
      </c>
      <c r="B137" s="12"/>
      <c r="C137" s="12"/>
      <c r="D137" s="12"/>
    </row>
    <row r="138" spans="1:4" ht="17.25">
      <c r="A138" s="15" t="s">
        <v>4</v>
      </c>
      <c r="B138" s="16" t="s">
        <v>5</v>
      </c>
      <c r="C138" s="16" t="s">
        <v>6</v>
      </c>
      <c r="D138" s="43" t="s">
        <v>137</v>
      </c>
    </row>
    <row r="139" spans="1:4" ht="17.25">
      <c r="A139" s="18" t="s">
        <v>134</v>
      </c>
      <c r="B139" s="12">
        <v>8</v>
      </c>
      <c r="C139" s="12">
        <v>600</v>
      </c>
      <c r="D139" s="44">
        <f>C139+60</f>
        <v>660</v>
      </c>
    </row>
    <row r="140" spans="1:4">
      <c r="A140" s="12"/>
      <c r="B140" s="12"/>
      <c r="C140" s="12"/>
      <c r="D140" s="12"/>
    </row>
    <row r="141" spans="1:4" ht="18.75">
      <c r="A141" s="19" t="s">
        <v>121</v>
      </c>
      <c r="B141" s="12"/>
      <c r="C141" s="12"/>
      <c r="D141" s="12"/>
    </row>
    <row r="142" spans="1:4" ht="17.25">
      <c r="A142" s="15" t="s">
        <v>4</v>
      </c>
      <c r="B142" s="16" t="s">
        <v>5</v>
      </c>
      <c r="C142" s="16" t="s">
        <v>6</v>
      </c>
      <c r="D142" s="43" t="s">
        <v>137</v>
      </c>
    </row>
    <row r="143" spans="1:4" ht="17.25">
      <c r="A143" s="18" t="s">
        <v>135</v>
      </c>
      <c r="B143" s="12">
        <v>12</v>
      </c>
      <c r="C143" s="12">
        <v>600</v>
      </c>
      <c r="D143" s="44">
        <f>C143+60</f>
        <v>660</v>
      </c>
    </row>
    <row r="144" spans="1:4">
      <c r="A144" s="12"/>
      <c r="B144" s="12"/>
      <c r="C144" s="12"/>
      <c r="D144" s="12"/>
    </row>
  </sheetData>
  <mergeCells count="3">
    <mergeCell ref="C1:D1"/>
    <mergeCell ref="C22:D22"/>
    <mergeCell ref="C52:D52"/>
  </mergeCells>
  <phoneticPr fontId="0" type="noConversion"/>
  <pageMargins left="0.81" right="0.12" top="0.12" bottom="0.33" header="0.12" footer="0.12"/>
  <pageSetup scale="99" orientation="portrait" verticalDpi="0" r:id="rId1"/>
  <headerFooter>
    <oddFooter>&amp;CPage &amp;P of &amp;N&amp;RRAPIDOS - 6.5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U1" sqref="U1"/>
    </sheetView>
  </sheetViews>
  <sheetFormatPr defaultColWidth="5" defaultRowHeight="48" customHeight="1"/>
  <cols>
    <col min="1" max="1" width="5" style="48"/>
    <col min="2" max="2" width="5" style="46"/>
    <col min="4" max="4" width="5" style="8"/>
    <col min="5" max="5" width="5" style="48"/>
    <col min="6" max="6" width="5" style="46"/>
    <col min="8" max="8" width="5" style="8"/>
    <col min="9" max="9" width="5" style="48"/>
    <col min="10" max="10" width="5" style="46"/>
    <col min="12" max="12" width="5" style="8"/>
    <col min="13" max="13" width="5" style="48"/>
    <col min="14" max="14" width="5" style="46"/>
    <col min="16" max="16" width="5" style="8"/>
    <col min="17" max="17" width="5" style="48"/>
    <col min="18" max="18" width="6.85546875" style="46" customWidth="1"/>
    <col min="20" max="20" width="5" style="9"/>
  </cols>
  <sheetData>
    <row r="1" spans="1:20" ht="48" customHeight="1">
      <c r="A1" s="47">
        <f ca="1">'Line details'!D131</f>
        <v>997</v>
      </c>
      <c r="B1" s="45">
        <f ca="1">'Line details'!C131</f>
        <v>937</v>
      </c>
      <c r="C1" s="6" t="str">
        <f ca="1">'Line details'!A131</f>
        <v>KM1</v>
      </c>
      <c r="D1" s="7" t="s">
        <v>136</v>
      </c>
      <c r="E1" s="47">
        <f ca="1">'Line details'!D113</f>
        <v>398</v>
      </c>
      <c r="F1" s="45">
        <f ca="1">'Line details'!C113</f>
        <v>338</v>
      </c>
      <c r="G1" s="6" t="str">
        <f ca="1">'Line details'!A113</f>
        <v>A6</v>
      </c>
      <c r="H1" s="7" t="s">
        <v>136</v>
      </c>
      <c r="I1" s="47">
        <f ca="1">'Line details'!D95</f>
        <v>523</v>
      </c>
      <c r="J1" s="45">
        <f ca="1">'Line details'!C95</f>
        <v>463</v>
      </c>
      <c r="K1" s="6" t="str">
        <f ca="1">'Line details'!A95</f>
        <v>C3</v>
      </c>
      <c r="L1" s="7" t="s">
        <v>136</v>
      </c>
      <c r="M1" s="47">
        <f ca="1">'Line details'!D77</f>
        <v>436</v>
      </c>
      <c r="N1" s="45">
        <f ca="1">'Line details'!C77</f>
        <v>376</v>
      </c>
      <c r="O1" s="6" t="str">
        <f ca="1">'Line details'!A77</f>
        <v>B5</v>
      </c>
      <c r="P1" s="7" t="s">
        <v>136</v>
      </c>
      <c r="Q1" s="47">
        <f ca="1">'Line details'!D19</f>
        <v>1643</v>
      </c>
      <c r="R1" s="45" t="s">
        <v>138</v>
      </c>
      <c r="S1" s="6" t="str">
        <f ca="1">'Line details'!A19</f>
        <v>KR1</v>
      </c>
      <c r="T1" s="7" t="s">
        <v>136</v>
      </c>
    </row>
    <row r="2" spans="1:20" ht="48" customHeight="1">
      <c r="A2" s="47"/>
      <c r="B2" s="45"/>
      <c r="C2" s="6"/>
      <c r="D2" s="7" t="s">
        <v>136</v>
      </c>
      <c r="E2" s="47">
        <f ca="1">'Line details'!D114</f>
        <v>416</v>
      </c>
      <c r="F2" s="45">
        <f ca="1">'Line details'!C114</f>
        <v>356</v>
      </c>
      <c r="G2" s="6" t="str">
        <f ca="1">'Line details'!A114</f>
        <v>A8</v>
      </c>
      <c r="H2" s="7" t="s">
        <v>136</v>
      </c>
      <c r="I2" s="47">
        <f ca="1">'Line details'!D96</f>
        <v>524</v>
      </c>
      <c r="J2" s="45">
        <f ca="1">'Line details'!C96</f>
        <v>464</v>
      </c>
      <c r="K2" s="6" t="str">
        <f ca="1">'Line details'!A96</f>
        <v>C4</v>
      </c>
      <c r="L2" s="7" t="s">
        <v>136</v>
      </c>
      <c r="M2" s="47">
        <f ca="1">'Line details'!D78</f>
        <v>441</v>
      </c>
      <c r="N2" s="45">
        <f ca="1">'Line details'!C78</f>
        <v>381</v>
      </c>
      <c r="O2" s="6" t="str">
        <f ca="1">'Line details'!A78</f>
        <v>B3</v>
      </c>
      <c r="P2" s="7" t="s">
        <v>136</v>
      </c>
      <c r="Q2" s="47"/>
      <c r="R2" s="45"/>
      <c r="S2" s="6"/>
      <c r="T2" s="7" t="s">
        <v>136</v>
      </c>
    </row>
    <row r="3" spans="1:20" ht="48" customHeight="1">
      <c r="A3" s="47">
        <f ca="1">'Line details'!D135</f>
        <v>660</v>
      </c>
      <c r="B3" s="45">
        <f ca="1">'Line details'!C135</f>
        <v>600</v>
      </c>
      <c r="C3" s="6" t="str">
        <f ca="1">'Line details'!A135</f>
        <v>BM1-6</v>
      </c>
      <c r="D3" s="7" t="s">
        <v>136</v>
      </c>
      <c r="E3" s="47">
        <f ca="1">'Line details'!D115</f>
        <v>427</v>
      </c>
      <c r="F3" s="45">
        <f ca="1">'Line details'!C115</f>
        <v>367</v>
      </c>
      <c r="G3" s="6" t="str">
        <f ca="1">'Line details'!A115</f>
        <v>A5</v>
      </c>
      <c r="H3" s="7" t="s">
        <v>136</v>
      </c>
      <c r="I3" s="47">
        <f ca="1">'Line details'!D97</f>
        <v>542</v>
      </c>
      <c r="J3" s="45">
        <f ca="1">'Line details'!C97</f>
        <v>482</v>
      </c>
      <c r="K3" s="6" t="str">
        <f ca="1">'Line details'!A97</f>
        <v>C2</v>
      </c>
      <c r="L3" s="7" t="s">
        <v>136</v>
      </c>
      <c r="M3" s="47">
        <f ca="1">'Line details'!D79</f>
        <v>450</v>
      </c>
      <c r="N3" s="45">
        <f ca="1">'Line details'!C79</f>
        <v>390</v>
      </c>
      <c r="O3" s="6" t="str">
        <f ca="1">'Line details'!A79</f>
        <v>B4</v>
      </c>
      <c r="P3" s="7" t="s">
        <v>136</v>
      </c>
      <c r="Q3" s="47">
        <f ca="1">'Line details'!D42</f>
        <v>1695</v>
      </c>
      <c r="R3" s="45">
        <f ca="1">'Line details'!C38</f>
        <v>1600</v>
      </c>
      <c r="S3" s="6" t="str">
        <f ca="1">'Line details'!A38</f>
        <v>BR4</v>
      </c>
      <c r="T3" s="7" t="s">
        <v>136</v>
      </c>
    </row>
    <row r="4" spans="1:20" ht="48" customHeight="1">
      <c r="A4" s="47"/>
      <c r="B4" s="45"/>
      <c r="C4" s="6"/>
      <c r="D4" s="7" t="s">
        <v>136</v>
      </c>
      <c r="E4" s="47">
        <f ca="1">'Line details'!D116</f>
        <v>433</v>
      </c>
      <c r="F4" s="45">
        <f ca="1">'Line details'!C116</f>
        <v>373</v>
      </c>
      <c r="G4" s="6" t="str">
        <f ca="1">'Line details'!A116</f>
        <v>A3</v>
      </c>
      <c r="H4" s="7" t="s">
        <v>136</v>
      </c>
      <c r="I4" s="47">
        <f ca="1">'Line details'!D98</f>
        <v>590</v>
      </c>
      <c r="J4" s="45">
        <f ca="1">'Line details'!C98</f>
        <v>530</v>
      </c>
      <c r="K4" s="6" t="str">
        <f ca="1">'Line details'!A98</f>
        <v>C1</v>
      </c>
      <c r="L4" s="7" t="s">
        <v>136</v>
      </c>
      <c r="M4" s="47">
        <f ca="1">'Line details'!D80</f>
        <v>460</v>
      </c>
      <c r="N4" s="45">
        <f ca="1">'Line details'!C80</f>
        <v>400</v>
      </c>
      <c r="O4" s="6" t="str">
        <f ca="1">'Line details'!A80</f>
        <v>B2</v>
      </c>
      <c r="P4" s="7" t="s">
        <v>136</v>
      </c>
      <c r="Q4" s="47"/>
      <c r="R4" s="45"/>
      <c r="S4" s="6"/>
      <c r="T4" s="7" t="s">
        <v>136</v>
      </c>
    </row>
    <row r="5" spans="1:20" ht="48" customHeight="1">
      <c r="A5" s="47">
        <f ca="1">'Line details'!D139</f>
        <v>660</v>
      </c>
      <c r="B5" s="45">
        <f ca="1">'Line details'!C139</f>
        <v>600</v>
      </c>
      <c r="C5" s="6" t="str">
        <f ca="1">'Line details'!A139</f>
        <v>CM1-4</v>
      </c>
      <c r="D5" s="7" t="s">
        <v>136</v>
      </c>
      <c r="E5" s="47">
        <f ca="1">'Line details'!D117</f>
        <v>441</v>
      </c>
      <c r="F5" s="45">
        <f ca="1">'Line details'!C117</f>
        <v>381</v>
      </c>
      <c r="G5" s="6" t="str">
        <f ca="1">'Line details'!A117</f>
        <v>A4</v>
      </c>
      <c r="H5" s="7" t="s">
        <v>136</v>
      </c>
      <c r="I5" s="47">
        <f ca="1">'Line details'!D99</f>
        <v>591</v>
      </c>
      <c r="J5" s="45">
        <f ca="1">'Line details'!C99</f>
        <v>531</v>
      </c>
      <c r="K5" s="6" t="str">
        <f ca="1">'Line details'!A99</f>
        <v>D4</v>
      </c>
      <c r="L5" s="7" t="s">
        <v>136</v>
      </c>
      <c r="M5" s="47">
        <f ca="1">'Line details'!D81</f>
        <v>507</v>
      </c>
      <c r="N5" s="45">
        <f ca="1">'Line details'!C81</f>
        <v>447</v>
      </c>
      <c r="O5" s="6" t="str">
        <f ca="1">'Line details'!A81</f>
        <v>B1</v>
      </c>
      <c r="P5" s="7" t="s">
        <v>136</v>
      </c>
      <c r="Q5" s="47">
        <f ca="1">'Line details'!D42</f>
        <v>1695</v>
      </c>
      <c r="R5" s="45">
        <f ca="1">'Line details'!C42</f>
        <v>1600</v>
      </c>
      <c r="S5" s="6" t="str">
        <f ca="1">'Line details'!A42</f>
        <v>CR1-3</v>
      </c>
      <c r="T5" s="7" t="s">
        <v>136</v>
      </c>
    </row>
    <row r="6" spans="1:20" ht="48" customHeight="1">
      <c r="A6" s="47"/>
      <c r="B6" s="45"/>
      <c r="C6" s="6"/>
      <c r="D6" s="7" t="s">
        <v>136</v>
      </c>
      <c r="E6" s="47">
        <f ca="1">'Line details'!D118</f>
        <v>453</v>
      </c>
      <c r="F6" s="45">
        <f ca="1">'Line details'!C118</f>
        <v>393</v>
      </c>
      <c r="G6" s="6" t="str">
        <f ca="1">'Line details'!A118</f>
        <v>A2</v>
      </c>
      <c r="H6" s="7" t="s">
        <v>136</v>
      </c>
      <c r="I6" s="47">
        <f ca="1">'Line details'!D100</f>
        <v>594</v>
      </c>
      <c r="J6" s="45">
        <f ca="1">'Line details'!C100</f>
        <v>534</v>
      </c>
      <c r="K6" s="6" t="str">
        <f ca="1">'Line details'!A100</f>
        <v>D3</v>
      </c>
      <c r="L6" s="7" t="s">
        <v>136</v>
      </c>
      <c r="M6" s="47">
        <f ca="1">'Line details'!D82</f>
        <v>830</v>
      </c>
      <c r="N6" s="45">
        <f ca="1">'Line details'!C82</f>
        <v>770</v>
      </c>
      <c r="O6" s="6" t="str">
        <f ca="1">'Line details'!A82</f>
        <v>B14</v>
      </c>
      <c r="P6" s="7" t="s">
        <v>136</v>
      </c>
      <c r="Q6" s="47"/>
      <c r="R6" s="45"/>
      <c r="S6" s="6"/>
      <c r="T6" s="7" t="s">
        <v>136</v>
      </c>
    </row>
    <row r="7" spans="1:20" ht="48" customHeight="1">
      <c r="A7" s="47">
        <f ca="1">'Line details'!D143</f>
        <v>660</v>
      </c>
      <c r="B7" s="45">
        <f ca="1">'Line details'!C143</f>
        <v>600</v>
      </c>
      <c r="C7" s="6" t="str">
        <f ca="1">'Line details'!A143</f>
        <v>AM1-6</v>
      </c>
      <c r="D7" s="7" t="s">
        <v>136</v>
      </c>
      <c r="E7" s="47">
        <f ca="1">'Line details'!D119</f>
        <v>501</v>
      </c>
      <c r="F7" s="45">
        <f ca="1">'Line details'!C119</f>
        <v>441</v>
      </c>
      <c r="G7" s="6" t="str">
        <f ca="1">'Line details'!A119</f>
        <v>A1</v>
      </c>
      <c r="H7" s="7" t="s">
        <v>136</v>
      </c>
      <c r="I7" s="47">
        <f ca="1">'Line details'!D101</f>
        <v>616</v>
      </c>
      <c r="J7" s="45">
        <f ca="1">'Line details'!C101</f>
        <v>556</v>
      </c>
      <c r="K7" s="6" t="str">
        <f ca="1">'Line details'!A101</f>
        <v>D2</v>
      </c>
      <c r="L7" s="7" t="s">
        <v>136</v>
      </c>
      <c r="M7" s="47">
        <f ca="1">'Line details'!D83</f>
        <v>881</v>
      </c>
      <c r="N7" s="45">
        <f ca="1">'Line details'!C83</f>
        <v>821</v>
      </c>
      <c r="O7" s="6" t="str">
        <f ca="1">'Line details'!A83</f>
        <v>B13</v>
      </c>
      <c r="P7" s="7" t="s">
        <v>136</v>
      </c>
      <c r="Q7" s="47">
        <f ca="1">'Line details'!D46</f>
        <v>1680</v>
      </c>
      <c r="R7" s="45">
        <f ca="1">'Line details'!C46</f>
        <v>1585</v>
      </c>
      <c r="S7" s="6" t="str">
        <f ca="1">'Line details'!A46</f>
        <v>BR1-3</v>
      </c>
      <c r="T7" s="7" t="s">
        <v>136</v>
      </c>
    </row>
    <row r="8" spans="1:20" ht="48" customHeight="1">
      <c r="A8" s="47"/>
      <c r="B8" s="45"/>
      <c r="C8" s="6"/>
      <c r="D8" s="7" t="s">
        <v>136</v>
      </c>
      <c r="E8" s="47">
        <f ca="1">'Line details'!D120</f>
        <v>880</v>
      </c>
      <c r="F8" s="45">
        <f ca="1">'Line details'!C120</f>
        <v>820</v>
      </c>
      <c r="G8" s="6" t="str">
        <f ca="1">'Line details'!A120</f>
        <v>A13</v>
      </c>
      <c r="H8" s="7" t="s">
        <v>136</v>
      </c>
      <c r="I8" s="47">
        <f ca="1">'Line details'!D102</f>
        <v>660</v>
      </c>
      <c r="J8" s="45">
        <f ca="1">'Line details'!C102</f>
        <v>600</v>
      </c>
      <c r="K8" s="6" t="str">
        <f ca="1">'Line details'!A102</f>
        <v>CM5,CM6,D1</v>
      </c>
      <c r="L8" s="7" t="s">
        <v>136</v>
      </c>
      <c r="M8" s="47"/>
      <c r="N8" s="45"/>
      <c r="O8" s="6"/>
      <c r="P8" s="7" t="s">
        <v>136</v>
      </c>
      <c r="Q8" s="47"/>
      <c r="R8" s="45"/>
      <c r="S8" s="6"/>
      <c r="T8" s="7" t="s">
        <v>136</v>
      </c>
    </row>
    <row r="9" spans="1:20" ht="48" customHeight="1">
      <c r="A9" s="47"/>
      <c r="B9" s="45"/>
      <c r="C9" s="6"/>
      <c r="D9" s="7" t="s">
        <v>136</v>
      </c>
      <c r="E9" s="47"/>
      <c r="F9" s="45"/>
      <c r="G9" s="6"/>
      <c r="H9" s="7" t="s">
        <v>136</v>
      </c>
      <c r="I9" s="47">
        <f ca="1">'Line details'!D103</f>
        <v>831</v>
      </c>
      <c r="J9" s="45">
        <f ca="1">'Line details'!C103</f>
        <v>771</v>
      </c>
      <c r="K9" s="6" t="str">
        <f ca="1">'Line details'!A103</f>
        <v>C14</v>
      </c>
      <c r="L9" s="7" t="s">
        <v>136</v>
      </c>
      <c r="M9" s="47">
        <f ca="1">'Line details'!D87</f>
        <v>391</v>
      </c>
      <c r="N9" s="45">
        <f ca="1">'Line details'!C87</f>
        <v>331</v>
      </c>
      <c r="O9" s="6" t="str">
        <f ca="1">'Line details'!A87</f>
        <v>C12</v>
      </c>
      <c r="P9" s="7" t="s">
        <v>136</v>
      </c>
      <c r="Q9" s="47">
        <f ca="1">'Line details'!D50</f>
        <v>1695</v>
      </c>
      <c r="R9" s="45">
        <f ca="1">'Line details'!C50</f>
        <v>1600</v>
      </c>
      <c r="S9" s="6" t="str">
        <f ca="1">'Line details'!A50</f>
        <v>AR1-3</v>
      </c>
      <c r="T9" s="7" t="s">
        <v>136</v>
      </c>
    </row>
    <row r="10" spans="1:20" ht="48" customHeight="1">
      <c r="A10" s="47"/>
      <c r="B10" s="45"/>
      <c r="C10" s="6"/>
      <c r="D10" s="7" t="s">
        <v>136</v>
      </c>
      <c r="E10" s="47">
        <f ca="1">'Line details'!D124</f>
        <v>466</v>
      </c>
      <c r="F10" s="45">
        <f ca="1">'Line details'!C124</f>
        <v>406</v>
      </c>
      <c r="G10" s="6" t="str">
        <f ca="1">'Line details'!A124</f>
        <v>K5</v>
      </c>
      <c r="H10" s="7" t="s">
        <v>136</v>
      </c>
      <c r="I10" s="47">
        <f ca="1">'Line details'!D104</f>
        <v>949</v>
      </c>
      <c r="J10" s="45">
        <f ca="1">'Line details'!C104</f>
        <v>889</v>
      </c>
      <c r="K10" s="6" t="str">
        <f ca="1">'Line details'!A104</f>
        <v>C13</v>
      </c>
      <c r="L10" s="7" t="s">
        <v>136</v>
      </c>
      <c r="M10" s="47">
        <f ca="1">'Line details'!D88</f>
        <v>405</v>
      </c>
      <c r="N10" s="45">
        <f ca="1">'Line details'!C88</f>
        <v>345</v>
      </c>
      <c r="O10" s="6" t="str">
        <f ca="1">'Line details'!A88</f>
        <v>C11</v>
      </c>
      <c r="P10" s="7" t="s">
        <v>136</v>
      </c>
      <c r="Q10" s="47"/>
      <c r="R10" s="45"/>
      <c r="S10" s="6"/>
      <c r="T10" s="7" t="s">
        <v>136</v>
      </c>
    </row>
    <row r="11" spans="1:20" ht="48" customHeight="1">
      <c r="D11" s="7" t="s">
        <v>136</v>
      </c>
      <c r="E11" s="47">
        <f ca="1">'Line details'!D125</f>
        <v>475</v>
      </c>
      <c r="F11" s="45">
        <f ca="1">'Line details'!C125</f>
        <v>415</v>
      </c>
      <c r="G11" s="6" t="str">
        <f ca="1">'Line details'!A125</f>
        <v>K6</v>
      </c>
      <c r="H11" s="7" t="s">
        <v>136</v>
      </c>
      <c r="I11" s="47">
        <f ca="1">'Line details'!D105</f>
        <v>899</v>
      </c>
      <c r="J11" s="45">
        <f ca="1">'Line details'!C105</f>
        <v>839</v>
      </c>
      <c r="K11" s="6" t="str">
        <f ca="1">'Line details'!A105</f>
        <v>D14</v>
      </c>
      <c r="L11" s="7" t="s">
        <v>136</v>
      </c>
      <c r="M11" s="47">
        <f ca="1">'Line details'!D89</f>
        <v>431</v>
      </c>
      <c r="N11" s="45">
        <f ca="1">'Line details'!C89</f>
        <v>371</v>
      </c>
      <c r="O11" s="6" t="str">
        <f ca="1">'Line details'!A89</f>
        <v>C10</v>
      </c>
      <c r="P11" s="7" t="s">
        <v>136</v>
      </c>
      <c r="Q11" s="47">
        <f ca="1">'Line details'!D71</f>
        <v>356</v>
      </c>
      <c r="R11" s="45">
        <f ca="1">'Line details'!C71</f>
        <v>296</v>
      </c>
      <c r="S11" s="6" t="str">
        <f ca="1">'Line details'!A71</f>
        <v>B12</v>
      </c>
      <c r="T11" s="7" t="s">
        <v>136</v>
      </c>
    </row>
    <row r="12" spans="1:20" ht="48" customHeight="1">
      <c r="A12" s="47"/>
      <c r="B12" s="45"/>
      <c r="C12" s="6"/>
      <c r="D12" s="7" t="s">
        <v>136</v>
      </c>
      <c r="E12" s="47">
        <f ca="1">'Line details'!D126</f>
        <v>507</v>
      </c>
      <c r="F12" s="45">
        <f ca="1">'Line details'!C126</f>
        <v>447</v>
      </c>
      <c r="G12" s="6" t="str">
        <f ca="1">'Line details'!A126</f>
        <v>K4</v>
      </c>
      <c r="H12" s="7" t="s">
        <v>136</v>
      </c>
      <c r="I12" s="47"/>
      <c r="J12" s="45"/>
      <c r="K12" s="6"/>
      <c r="L12" s="7" t="s">
        <v>136</v>
      </c>
      <c r="M12" s="47">
        <f ca="1">'Line details'!D90</f>
        <v>461</v>
      </c>
      <c r="N12" s="45">
        <f ca="1">'Line details'!C90</f>
        <v>401</v>
      </c>
      <c r="O12" s="6" t="str">
        <f ca="1">'Line details'!A90</f>
        <v>C9</v>
      </c>
      <c r="P12" s="7" t="s">
        <v>136</v>
      </c>
      <c r="Q12" s="47">
        <f ca="1">'Line details'!D72</f>
        <v>363</v>
      </c>
      <c r="R12" s="45">
        <f ca="1">'Line details'!C72</f>
        <v>303</v>
      </c>
      <c r="S12" s="6" t="str">
        <f ca="1">'Line details'!A72</f>
        <v>B11</v>
      </c>
      <c r="T12" s="7" t="s">
        <v>136</v>
      </c>
    </row>
    <row r="13" spans="1:20" ht="48" customHeight="1">
      <c r="A13" s="47"/>
      <c r="B13" s="45"/>
      <c r="C13" s="6"/>
      <c r="D13" s="7" t="s">
        <v>136</v>
      </c>
      <c r="E13" s="47">
        <f ca="1">'Line details'!D127</f>
        <v>579</v>
      </c>
      <c r="F13" s="45">
        <f ca="1">'Line details'!C127</f>
        <v>519</v>
      </c>
      <c r="G13" s="6" t="str">
        <f ca="1">'Line details'!A127</f>
        <v>K3</v>
      </c>
      <c r="H13" s="7" t="s">
        <v>136</v>
      </c>
      <c r="I13" s="47">
        <f ca="1">'Line details'!D109</f>
        <v>349</v>
      </c>
      <c r="J13" s="45">
        <f ca="1">'Line details'!C109</f>
        <v>289</v>
      </c>
      <c r="K13" s="6" t="str">
        <f ca="1">'Line details'!A109</f>
        <v>A12</v>
      </c>
      <c r="L13" s="7" t="s">
        <v>136</v>
      </c>
      <c r="M13" s="47">
        <f ca="1">'Line details'!D91</f>
        <v>470</v>
      </c>
      <c r="N13" s="45">
        <f ca="1">'Line details'!C91</f>
        <v>410</v>
      </c>
      <c r="O13" s="6" t="str">
        <f ca="1">'Line details'!A91</f>
        <v>C7</v>
      </c>
      <c r="P13" s="7" t="s">
        <v>136</v>
      </c>
      <c r="Q13" s="47">
        <f ca="1">'Line details'!D73</f>
        <v>382</v>
      </c>
      <c r="R13" s="45">
        <f ca="1">'Line details'!C73</f>
        <v>322</v>
      </c>
      <c r="S13" s="6" t="str">
        <f ca="1">'Line details'!A73</f>
        <v>B10</v>
      </c>
      <c r="T13" s="7" t="s">
        <v>136</v>
      </c>
    </row>
    <row r="14" spans="1:20" ht="48" customHeight="1">
      <c r="A14" s="47"/>
      <c r="B14" s="45"/>
      <c r="C14" s="6"/>
      <c r="D14" s="7" t="s">
        <v>136</v>
      </c>
      <c r="E14" s="47">
        <f ca="1">'Line details'!D128</f>
        <v>610</v>
      </c>
      <c r="F14" s="45">
        <f ca="1">'Line details'!C128</f>
        <v>550</v>
      </c>
      <c r="G14" s="6" t="str">
        <f ca="1">'Line details'!A128</f>
        <v>K2</v>
      </c>
      <c r="H14" s="7" t="s">
        <v>136</v>
      </c>
      <c r="I14" s="47">
        <f ca="1">'Line details'!D110</f>
        <v>354</v>
      </c>
      <c r="J14" s="45">
        <f ca="1">'Line details'!C110</f>
        <v>294</v>
      </c>
      <c r="K14" s="6" t="str">
        <f ca="1">'Line details'!A110</f>
        <v>A11</v>
      </c>
      <c r="L14" s="7" t="s">
        <v>136</v>
      </c>
      <c r="M14" s="47">
        <f ca="1">'Line details'!D92</f>
        <v>477</v>
      </c>
      <c r="N14" s="45">
        <f ca="1">'Line details'!C92</f>
        <v>417</v>
      </c>
      <c r="O14" s="6" t="str">
        <f ca="1">'Line details'!A92</f>
        <v>C6</v>
      </c>
      <c r="P14" s="7" t="s">
        <v>136</v>
      </c>
      <c r="Q14" s="47">
        <f ca="1">'Line details'!D74</f>
        <v>406</v>
      </c>
      <c r="R14" s="45">
        <f ca="1">'Line details'!C74</f>
        <v>346</v>
      </c>
      <c r="S14" s="6" t="str">
        <f ca="1">'Line details'!A74</f>
        <v>B7,B9</v>
      </c>
      <c r="T14" s="7" t="s">
        <v>136</v>
      </c>
    </row>
    <row r="15" spans="1:20" ht="48" customHeight="1">
      <c r="A15" s="47"/>
      <c r="B15" s="45"/>
      <c r="C15" s="6"/>
      <c r="D15" s="7" t="s">
        <v>136</v>
      </c>
      <c r="E15" s="47">
        <f ca="1">'Line details'!D129</f>
        <v>794</v>
      </c>
      <c r="F15" s="45">
        <f ca="1">'Line details'!C129</f>
        <v>734</v>
      </c>
      <c r="G15" s="6" t="str">
        <f ca="1">'Line details'!A129</f>
        <v>K1</v>
      </c>
      <c r="H15" s="7" t="s">
        <v>136</v>
      </c>
      <c r="I15" s="47">
        <f ca="1">'Line details'!D111</f>
        <v>372</v>
      </c>
      <c r="J15" s="45">
        <f ca="1">'Line details'!C111</f>
        <v>312</v>
      </c>
      <c r="K15" s="6" t="str">
        <f ca="1">'Line details'!A111</f>
        <v>A10</v>
      </c>
      <c r="L15" s="7" t="s">
        <v>136</v>
      </c>
      <c r="M15" s="47">
        <f ca="1">'Line details'!D93</f>
        <v>484</v>
      </c>
      <c r="N15" s="45">
        <f ca="1">'Line details'!C93</f>
        <v>424</v>
      </c>
      <c r="O15" s="6" t="str">
        <f ca="1">'Line details'!A93</f>
        <v>C8</v>
      </c>
      <c r="P15" s="7" t="s">
        <v>136</v>
      </c>
      <c r="Q15" s="47">
        <f ca="1">'Line details'!D75</f>
        <v>409</v>
      </c>
      <c r="R15" s="45">
        <f ca="1">'Line details'!C75</f>
        <v>349</v>
      </c>
      <c r="S15" s="6" t="str">
        <f ca="1">'Line details'!A75</f>
        <v>B6</v>
      </c>
      <c r="T15" s="7" t="s">
        <v>136</v>
      </c>
    </row>
    <row r="16" spans="1:20" ht="48" customHeight="1">
      <c r="A16" s="47"/>
      <c r="B16" s="45"/>
      <c r="C16" s="6"/>
      <c r="D16" s="7" t="s">
        <v>136</v>
      </c>
      <c r="E16" s="47">
        <f ca="1">'Line details'!D130</f>
        <v>925</v>
      </c>
      <c r="F16" s="45">
        <f ca="1">'Line details'!C130</f>
        <v>865</v>
      </c>
      <c r="G16" s="6" t="str">
        <f ca="1">'Line details'!A130</f>
        <v>KM2,KM3</v>
      </c>
      <c r="H16" s="7" t="s">
        <v>136</v>
      </c>
      <c r="I16" s="47">
        <f ca="1">'Line details'!D112</f>
        <v>394</v>
      </c>
      <c r="J16" s="45">
        <f ca="1">'Line details'!C112</f>
        <v>334</v>
      </c>
      <c r="K16" s="6" t="str">
        <f ca="1">'Line details'!A112</f>
        <v>A7,A9</v>
      </c>
      <c r="L16" s="7" t="s">
        <v>136</v>
      </c>
      <c r="M16" s="47">
        <f ca="1">'Line details'!D94</f>
        <v>511</v>
      </c>
      <c r="N16" s="45">
        <f ca="1">'Line details'!C94</f>
        <v>451</v>
      </c>
      <c r="O16" s="6" t="str">
        <f ca="1">'Line details'!A94</f>
        <v>C5</v>
      </c>
      <c r="P16" s="7" t="s">
        <v>136</v>
      </c>
      <c r="Q16" s="47">
        <f ca="1">'Line details'!D76</f>
        <v>429</v>
      </c>
      <c r="R16" s="45">
        <f ca="1">'Line details'!C76</f>
        <v>369</v>
      </c>
      <c r="S16" s="6" t="str">
        <f ca="1">'Line details'!A76</f>
        <v>B8</v>
      </c>
      <c r="T16" s="7" t="s">
        <v>136</v>
      </c>
    </row>
  </sheetData>
  <phoneticPr fontId="0" type="noConversion"/>
  <pageMargins left="0.2" right="0.12" top="0.24" bottom="0.2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7"/>
  <sheetViews>
    <sheetView topLeftCell="A25" workbookViewId="0">
      <selection activeCell="A27" sqref="A27:P46"/>
    </sheetView>
  </sheetViews>
  <sheetFormatPr defaultRowHeight="15"/>
  <cols>
    <col min="2" max="3" width="13.42578125" customWidth="1"/>
  </cols>
  <sheetData>
    <row r="1" spans="1:12" ht="20.25">
      <c r="A1" s="1" t="s">
        <v>57</v>
      </c>
    </row>
    <row r="2" spans="1:12">
      <c r="A2" s="2" t="s">
        <v>0</v>
      </c>
      <c r="B2" s="2" t="s">
        <v>1</v>
      </c>
    </row>
    <row r="3" spans="1:12">
      <c r="A3" s="2" t="s">
        <v>2</v>
      </c>
      <c r="B3" s="2" t="s">
        <v>3</v>
      </c>
    </row>
    <row r="5" spans="1:12">
      <c r="A5" s="3" t="s">
        <v>58</v>
      </c>
    </row>
    <row r="7" spans="1:12">
      <c r="B7" s="4" t="s">
        <v>59</v>
      </c>
      <c r="C7" s="4" t="s">
        <v>60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4" t="s">
        <v>67</v>
      </c>
      <c r="K7" s="4" t="s">
        <v>68</v>
      </c>
      <c r="L7" s="4" t="s">
        <v>69</v>
      </c>
    </row>
    <row r="9" spans="1:12">
      <c r="A9" s="3" t="s">
        <v>70</v>
      </c>
      <c r="B9">
        <f>1600+600+441+(-10-3+5)</f>
        <v>2633</v>
      </c>
      <c r="C9">
        <f>1585+600+447+(-10-3+5)</f>
        <v>2624</v>
      </c>
      <c r="D9">
        <f>1600+600+530+(-8-5+5)</f>
        <v>2722</v>
      </c>
      <c r="E9">
        <f>1600+600+600+(-8-5+5)</f>
        <v>2792</v>
      </c>
      <c r="L9">
        <f>1733+937+734+(-13-5+5)</f>
        <v>3391</v>
      </c>
    </row>
    <row r="10" spans="1:12">
      <c r="A10" s="3" t="s">
        <v>71</v>
      </c>
      <c r="B10">
        <f>1600+600+393+(-10-3+5)</f>
        <v>2585</v>
      </c>
      <c r="C10">
        <f>1585+600+400+(-10-3+5)</f>
        <v>2577</v>
      </c>
      <c r="D10">
        <f>1600+600+482+(-8-5+5)</f>
        <v>2674</v>
      </c>
      <c r="E10">
        <f>1600+600+556+(-8-5+5)</f>
        <v>2748</v>
      </c>
      <c r="L10">
        <f>1733+937+550+(-13-5+5)</f>
        <v>3207</v>
      </c>
    </row>
    <row r="11" spans="1:12">
      <c r="A11" s="3" t="s">
        <v>72</v>
      </c>
      <c r="B11">
        <f>1600+600+373+(-10-3+5)</f>
        <v>2565</v>
      </c>
      <c r="C11">
        <f>1585+600+381+(-10-3+5)</f>
        <v>2558</v>
      </c>
      <c r="D11">
        <f>1600+600+463+(-8-5+5)</f>
        <v>2655</v>
      </c>
      <c r="E11">
        <f>1600+600+534+(-8-5+5)</f>
        <v>2726</v>
      </c>
      <c r="L11">
        <f>1733+865+519+(-13-5+5)</f>
        <v>3104</v>
      </c>
    </row>
    <row r="12" spans="1:12">
      <c r="A12" s="3" t="s">
        <v>73</v>
      </c>
      <c r="B12">
        <f>1600+600+381+(-10-3+5)</f>
        <v>2573</v>
      </c>
      <c r="C12">
        <f>1585+600+390+(-10-3+5)</f>
        <v>2567</v>
      </c>
      <c r="D12">
        <f>1600+600+464+(-8-5+5)</f>
        <v>2656</v>
      </c>
      <c r="E12">
        <f>1600+600+531+(-8-5+5)</f>
        <v>2723</v>
      </c>
      <c r="L12">
        <f>1733+865+447+(-13-5+5)</f>
        <v>3032</v>
      </c>
    </row>
    <row r="13" spans="1:12">
      <c r="A13" s="3" t="s">
        <v>74</v>
      </c>
      <c r="B13">
        <f>1600+600+367+(-10-3+5)</f>
        <v>2559</v>
      </c>
      <c r="C13">
        <f>1585+600+376+(-10-3+5)</f>
        <v>2553</v>
      </c>
      <c r="D13">
        <f>1600+600+451+(-8-3+5)</f>
        <v>2645</v>
      </c>
      <c r="L13">
        <f>1733+865+406+(-13-5+5)</f>
        <v>2991</v>
      </c>
    </row>
    <row r="14" spans="1:12">
      <c r="A14" s="3" t="s">
        <v>75</v>
      </c>
      <c r="B14">
        <f>1600+600+338+(-10-3+5)</f>
        <v>2530</v>
      </c>
      <c r="C14">
        <f>1585+600+349+(-10-3+5)</f>
        <v>2526</v>
      </c>
      <c r="D14">
        <f>1600+600+417+(-8-3+5)</f>
        <v>2611</v>
      </c>
      <c r="L14">
        <f>1733+865+415+(-13-5+5)</f>
        <v>3000</v>
      </c>
    </row>
    <row r="15" spans="1:12">
      <c r="A15" s="3" t="s">
        <v>76</v>
      </c>
      <c r="B15">
        <f>1600+600+334+(-10-3+5)</f>
        <v>2526</v>
      </c>
      <c r="C15">
        <f>1585+600+346+(-10-3+5)</f>
        <v>2523</v>
      </c>
      <c r="D15">
        <f>1600+600+410+(-8-3+5)</f>
        <v>2604</v>
      </c>
    </row>
    <row r="16" spans="1:12">
      <c r="A16" s="3" t="s">
        <v>77</v>
      </c>
      <c r="B16">
        <f>1600+600+356+(-10-3+5)</f>
        <v>2548</v>
      </c>
      <c r="C16">
        <f>1585+600+369+(-10-3+5)</f>
        <v>2546</v>
      </c>
      <c r="D16">
        <f>1600+600+424+(-8-3+5)</f>
        <v>2618</v>
      </c>
    </row>
    <row r="17" spans="1:16">
      <c r="A17" s="3" t="s">
        <v>78</v>
      </c>
      <c r="B17">
        <f>1600+600+334+(-10-3+5)</f>
        <v>2526</v>
      </c>
      <c r="C17">
        <f>1585+600+346+(-10-3+5)</f>
        <v>2523</v>
      </c>
      <c r="D17">
        <f>1600+600+401+(-8-3+5)</f>
        <v>2595</v>
      </c>
    </row>
    <row r="18" spans="1:16">
      <c r="A18" s="3" t="s">
        <v>79</v>
      </c>
      <c r="B18">
        <f>1600+600+312+(-10-3+5)</f>
        <v>2504</v>
      </c>
      <c r="C18">
        <f>1585+600+322+(-10-3+5)</f>
        <v>2499</v>
      </c>
      <c r="D18">
        <f>1600+600+371+(-8-3+5)</f>
        <v>2565</v>
      </c>
    </row>
    <row r="19" spans="1:16">
      <c r="A19" s="3" t="s">
        <v>80</v>
      </c>
      <c r="B19">
        <f>1600+600+294+(-10-3+5)</f>
        <v>2486</v>
      </c>
      <c r="C19">
        <f>1585+600+303+(-10-3+5)</f>
        <v>2480</v>
      </c>
      <c r="D19">
        <f>1600+600+345+(-8-3+5)</f>
        <v>2539</v>
      </c>
    </row>
    <row r="20" spans="1:16">
      <c r="A20" s="3" t="s">
        <v>81</v>
      </c>
      <c r="B20">
        <f>1600+600+289+(-10-3+5)</f>
        <v>2481</v>
      </c>
      <c r="C20">
        <f>1585+600+296+(-10-3+5)</f>
        <v>2473</v>
      </c>
      <c r="D20">
        <f>1600+600+331+(-8-3+5)</f>
        <v>2525</v>
      </c>
    </row>
    <row r="21" spans="1:16">
      <c r="A21" s="3" t="s">
        <v>82</v>
      </c>
      <c r="B21">
        <f>1600+820+(-7+5)</f>
        <v>2418</v>
      </c>
      <c r="C21">
        <f>1600+821+(-7+5)</f>
        <v>2419</v>
      </c>
      <c r="D21">
        <f>1600+889+(-7+5)</f>
        <v>2487</v>
      </c>
    </row>
    <row r="22" spans="1:16">
      <c r="A22" s="3" t="s">
        <v>83</v>
      </c>
      <c r="C22">
        <f>1600+770+(-7+5)</f>
        <v>2368</v>
      </c>
      <c r="D22">
        <f>1600+771+(-7+5)</f>
        <v>2369</v>
      </c>
      <c r="E22">
        <f>1600+839+(-7+5)</f>
        <v>2437</v>
      </c>
    </row>
    <row r="27" spans="1:16" ht="32.25" thickBot="1">
      <c r="A27" s="22" t="s">
        <v>146</v>
      </c>
      <c r="B27" s="23"/>
      <c r="C27" s="23"/>
      <c r="D27" s="23"/>
      <c r="E27" s="23"/>
      <c r="F27" s="23"/>
      <c r="G27" s="23"/>
      <c r="H27" s="23"/>
      <c r="I27" s="52">
        <v>43230</v>
      </c>
      <c r="J27" s="53"/>
      <c r="K27" s="23"/>
      <c r="L27" s="23"/>
      <c r="M27" s="23"/>
      <c r="N27" s="23"/>
      <c r="O27" s="23"/>
      <c r="P27" s="23"/>
    </row>
    <row r="28" spans="1:16" ht="21.75" thickBot="1">
      <c r="A28" s="24" t="s">
        <v>140</v>
      </c>
      <c r="B28" s="23"/>
      <c r="C28" s="25"/>
      <c r="D28" s="26"/>
      <c r="E28" s="27"/>
      <c r="F28" s="27"/>
      <c r="G28" s="28"/>
      <c r="H28" s="25"/>
      <c r="I28" s="23"/>
      <c r="J28" s="23"/>
      <c r="K28" s="29" t="s">
        <v>141</v>
      </c>
      <c r="L28" s="30"/>
      <c r="M28" s="31"/>
      <c r="N28" s="32"/>
      <c r="O28" s="33"/>
      <c r="P28" s="23"/>
    </row>
    <row r="29" spans="1:16" ht="21.75" thickBot="1">
      <c r="A29" s="34" t="s">
        <v>142</v>
      </c>
      <c r="B29" s="23"/>
      <c r="C29" s="25"/>
      <c r="D29" s="35"/>
      <c r="E29" s="36"/>
      <c r="F29" s="36"/>
      <c r="G29" s="37"/>
      <c r="H29" s="25"/>
      <c r="I29" s="23"/>
      <c r="J29" s="23"/>
      <c r="K29" s="29" t="s">
        <v>143</v>
      </c>
      <c r="L29" s="30"/>
      <c r="M29" s="31"/>
      <c r="N29" s="32"/>
      <c r="O29" s="33"/>
      <c r="P29" s="23"/>
    </row>
    <row r="30" spans="1:16" ht="19.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6" ht="21">
      <c r="A31" s="38"/>
      <c r="B31" s="51" t="s">
        <v>59</v>
      </c>
      <c r="C31" s="51"/>
      <c r="D31" s="51"/>
      <c r="E31" s="51" t="s">
        <v>60</v>
      </c>
      <c r="F31" s="51"/>
      <c r="G31" s="51"/>
      <c r="H31" s="51" t="s">
        <v>61</v>
      </c>
      <c r="I31" s="51"/>
      <c r="J31" s="51"/>
      <c r="K31" s="51" t="s">
        <v>62</v>
      </c>
      <c r="L31" s="51"/>
      <c r="M31" s="51"/>
      <c r="N31" s="51" t="s">
        <v>69</v>
      </c>
      <c r="O31" s="51"/>
      <c r="P31" s="51"/>
    </row>
    <row r="32" spans="1:16" ht="19.5">
      <c r="A32" s="38"/>
      <c r="B32" s="38"/>
      <c r="C32" s="38" t="s">
        <v>144</v>
      </c>
      <c r="D32" s="38" t="s">
        <v>145</v>
      </c>
      <c r="E32" s="38"/>
      <c r="F32" s="38" t="s">
        <v>144</v>
      </c>
      <c r="G32" s="38" t="s">
        <v>145</v>
      </c>
      <c r="H32" s="38"/>
      <c r="I32" s="38" t="s">
        <v>144</v>
      </c>
      <c r="J32" s="38" t="s">
        <v>145</v>
      </c>
      <c r="K32" s="38"/>
      <c r="L32" s="38" t="s">
        <v>144</v>
      </c>
      <c r="M32" s="38" t="s">
        <v>145</v>
      </c>
      <c r="N32" s="38"/>
      <c r="O32" s="38" t="s">
        <v>144</v>
      </c>
      <c r="P32" s="38" t="s">
        <v>145</v>
      </c>
    </row>
    <row r="33" spans="1:16" ht="27.75" customHeight="1">
      <c r="A33" s="39">
        <v>1</v>
      </c>
      <c r="B33" s="38">
        <f ca="1">'Line details'!H42</f>
        <v>2628</v>
      </c>
      <c r="C33" s="38"/>
      <c r="D33" s="38"/>
      <c r="E33" s="38">
        <f ca="1">'Line details'!I42</f>
        <v>2619</v>
      </c>
      <c r="F33" s="38"/>
      <c r="G33" s="38"/>
      <c r="H33" s="38">
        <f ca="1">'Line details'!J42</f>
        <v>2718</v>
      </c>
      <c r="I33" s="38"/>
      <c r="J33" s="38"/>
      <c r="K33" s="38">
        <f ca="1">'Line details'!K42</f>
        <v>2786</v>
      </c>
      <c r="L33" s="38"/>
      <c r="M33" s="38"/>
      <c r="N33" s="38">
        <f ca="1">'Line details'!L42</f>
        <v>3157</v>
      </c>
      <c r="O33" s="38"/>
      <c r="P33" s="38"/>
    </row>
    <row r="34" spans="1:16" ht="27.75" customHeight="1">
      <c r="A34" s="39">
        <v>2</v>
      </c>
      <c r="B34" s="38">
        <f ca="1">'Line details'!H43</f>
        <v>2579</v>
      </c>
      <c r="C34" s="38"/>
      <c r="D34" s="38"/>
      <c r="E34" s="38">
        <f ca="1">'Line details'!I43</f>
        <v>2571</v>
      </c>
      <c r="F34" s="38"/>
      <c r="G34" s="38"/>
      <c r="H34" s="38">
        <f ca="1">'Line details'!J43</f>
        <v>2669</v>
      </c>
      <c r="I34" s="38"/>
      <c r="J34" s="38"/>
      <c r="K34" s="38">
        <f ca="1">'Line details'!K43</f>
        <v>2741</v>
      </c>
      <c r="L34" s="38"/>
      <c r="M34" s="38"/>
      <c r="N34" s="38">
        <f ca="1">'Line details'!L43</f>
        <v>2972</v>
      </c>
      <c r="O34" s="38"/>
      <c r="P34" s="38"/>
    </row>
    <row r="35" spans="1:16" ht="27.75" customHeight="1">
      <c r="A35" s="39">
        <v>3</v>
      </c>
      <c r="B35" s="38">
        <f ca="1">'Line details'!H44</f>
        <v>2559</v>
      </c>
      <c r="C35" s="38"/>
      <c r="D35" s="38"/>
      <c r="E35" s="38">
        <f ca="1">'Line details'!I44</f>
        <v>2552</v>
      </c>
      <c r="F35" s="38"/>
      <c r="G35" s="38"/>
      <c r="H35" s="38">
        <f ca="1">'Line details'!J44</f>
        <v>2650</v>
      </c>
      <c r="I35" s="38"/>
      <c r="J35" s="38"/>
      <c r="K35" s="38">
        <f ca="1">'Line details'!K44</f>
        <v>2719</v>
      </c>
      <c r="L35" s="38"/>
      <c r="M35" s="38"/>
      <c r="N35" s="38">
        <f ca="1">'Line details'!L44</f>
        <v>2869</v>
      </c>
      <c r="O35" s="38"/>
      <c r="P35" s="38"/>
    </row>
    <row r="36" spans="1:16" ht="27.75" customHeight="1">
      <c r="A36" s="39">
        <v>4</v>
      </c>
      <c r="B36" s="38">
        <f ca="1">'Line details'!H45</f>
        <v>2566</v>
      </c>
      <c r="C36" s="38"/>
      <c r="D36" s="38"/>
      <c r="E36" s="38">
        <f ca="1">'Line details'!I45</f>
        <v>2560</v>
      </c>
      <c r="F36" s="38"/>
      <c r="G36" s="38"/>
      <c r="H36" s="38">
        <f ca="1">'Line details'!J45</f>
        <v>2650</v>
      </c>
      <c r="I36" s="38"/>
      <c r="J36" s="38"/>
      <c r="K36" s="38">
        <f ca="1">'Line details'!K45</f>
        <v>2715</v>
      </c>
      <c r="L36" s="38"/>
      <c r="M36" s="38"/>
      <c r="N36" s="38">
        <f ca="1">'Line details'!L45</f>
        <v>2796</v>
      </c>
      <c r="O36" s="38"/>
      <c r="P36" s="38"/>
    </row>
    <row r="37" spans="1:16" ht="27.75" customHeight="1">
      <c r="A37" s="39">
        <v>5</v>
      </c>
      <c r="B37" s="38">
        <f ca="1">'Line details'!H46</f>
        <v>2554</v>
      </c>
      <c r="C37" s="38"/>
      <c r="D37" s="38"/>
      <c r="E37" s="38">
        <f ca="1">'Line details'!I46</f>
        <v>2548</v>
      </c>
      <c r="F37" s="38"/>
      <c r="G37" s="38"/>
      <c r="H37" s="38">
        <f ca="1">'Line details'!J46</f>
        <v>2639</v>
      </c>
      <c r="I37" s="38"/>
      <c r="J37" s="38"/>
      <c r="K37" s="38"/>
      <c r="L37" s="38"/>
      <c r="M37" s="38"/>
      <c r="N37" s="38">
        <f ca="1">'Line details'!L46</f>
        <v>2755</v>
      </c>
      <c r="O37" s="38"/>
      <c r="P37" s="38"/>
    </row>
    <row r="38" spans="1:16" ht="27.75" customHeight="1">
      <c r="A38" s="39">
        <v>6</v>
      </c>
      <c r="B38" s="38">
        <f ca="1">'Line details'!H47</f>
        <v>2524</v>
      </c>
      <c r="C38" s="38"/>
      <c r="D38" s="38"/>
      <c r="E38" s="38">
        <f ca="1">'Line details'!I47</f>
        <v>2520</v>
      </c>
      <c r="F38" s="38"/>
      <c r="G38" s="38"/>
      <c r="H38" s="38">
        <f ca="1">'Line details'!J47</f>
        <v>2604</v>
      </c>
      <c r="I38" s="38"/>
      <c r="J38" s="38"/>
      <c r="K38" s="38"/>
      <c r="L38" s="38"/>
      <c r="M38" s="38"/>
      <c r="N38" s="38">
        <f ca="1">'Line details'!L47</f>
        <v>2763</v>
      </c>
      <c r="O38" s="38"/>
      <c r="P38" s="38"/>
    </row>
    <row r="39" spans="1:16" ht="27.75" customHeight="1">
      <c r="A39" s="39">
        <v>7</v>
      </c>
      <c r="B39" s="38">
        <f ca="1">'Line details'!H48</f>
        <v>2520</v>
      </c>
      <c r="C39" s="38"/>
      <c r="D39" s="38"/>
      <c r="E39" s="38">
        <f ca="1">'Line details'!I48</f>
        <v>2517</v>
      </c>
      <c r="F39" s="38"/>
      <c r="G39" s="38"/>
      <c r="H39" s="38">
        <f ca="1">'Line details'!J48</f>
        <v>2597</v>
      </c>
      <c r="I39" s="38"/>
      <c r="J39" s="38"/>
      <c r="K39" s="38"/>
      <c r="L39" s="38"/>
      <c r="M39" s="38"/>
      <c r="N39" s="38"/>
      <c r="O39" s="38"/>
      <c r="P39" s="38"/>
    </row>
    <row r="40" spans="1:16" ht="27.75" customHeight="1">
      <c r="A40" s="39">
        <v>8</v>
      </c>
      <c r="B40" s="38">
        <f ca="1">'Line details'!H49</f>
        <v>2541</v>
      </c>
      <c r="C40" s="38"/>
      <c r="D40" s="38"/>
      <c r="E40" s="38">
        <f ca="1">'Line details'!I49</f>
        <v>2539</v>
      </c>
      <c r="F40" s="38"/>
      <c r="G40" s="38"/>
      <c r="H40" s="38">
        <f ca="1">'Line details'!J49</f>
        <v>2610</v>
      </c>
      <c r="I40" s="38"/>
      <c r="J40" s="38"/>
      <c r="K40" s="38"/>
      <c r="L40" s="38"/>
      <c r="M40" s="38"/>
      <c r="N40" s="38"/>
      <c r="O40" s="38"/>
      <c r="P40" s="38"/>
    </row>
    <row r="41" spans="1:16" ht="27.75" customHeight="1">
      <c r="A41" s="39">
        <v>9</v>
      </c>
      <c r="B41" s="38">
        <f ca="1">'Line details'!H50</f>
        <v>2521</v>
      </c>
      <c r="C41" s="38"/>
      <c r="D41" s="38"/>
      <c r="E41" s="38">
        <f ca="1">'Line details'!I50</f>
        <v>2518</v>
      </c>
      <c r="F41" s="38"/>
      <c r="G41" s="38"/>
      <c r="H41" s="38">
        <f ca="1">'Line details'!J50</f>
        <v>2593</v>
      </c>
      <c r="I41" s="38"/>
      <c r="J41" s="38"/>
      <c r="K41" s="38"/>
      <c r="L41" s="38"/>
      <c r="M41" s="38"/>
      <c r="N41" s="38"/>
      <c r="O41" s="38"/>
      <c r="P41" s="38"/>
    </row>
    <row r="42" spans="1:16" ht="27.75" customHeight="1">
      <c r="A42" s="39">
        <v>10</v>
      </c>
      <c r="B42" s="38">
        <f ca="1">'Line details'!H51</f>
        <v>2498</v>
      </c>
      <c r="C42" s="38"/>
      <c r="D42" s="38"/>
      <c r="E42" s="38">
        <f ca="1">'Line details'!I51</f>
        <v>2493</v>
      </c>
      <c r="F42" s="38"/>
      <c r="G42" s="38"/>
      <c r="H42" s="38">
        <f ca="1">'Line details'!J51</f>
        <v>2562</v>
      </c>
      <c r="I42" s="38"/>
      <c r="J42" s="38"/>
      <c r="K42" s="38"/>
      <c r="L42" s="38"/>
      <c r="M42" s="38"/>
      <c r="N42" s="38"/>
      <c r="O42" s="38"/>
      <c r="P42" s="38"/>
    </row>
    <row r="43" spans="1:16" ht="27.75" customHeight="1">
      <c r="A43" s="39">
        <v>11</v>
      </c>
      <c r="B43" s="38">
        <f ca="1">'Line details'!H52</f>
        <v>2480</v>
      </c>
      <c r="C43" s="38"/>
      <c r="D43" s="38"/>
      <c r="E43" s="38">
        <f ca="1">'Line details'!I52</f>
        <v>2474</v>
      </c>
      <c r="F43" s="38"/>
      <c r="G43" s="38"/>
      <c r="H43" s="38">
        <f ca="1">'Line details'!J52</f>
        <v>2536</v>
      </c>
      <c r="I43" s="38"/>
      <c r="J43" s="38"/>
      <c r="K43" s="38"/>
      <c r="L43" s="38"/>
      <c r="M43" s="38"/>
      <c r="N43" s="38"/>
      <c r="O43" s="38"/>
      <c r="P43" s="38"/>
    </row>
    <row r="44" spans="1:16" ht="27.75" customHeight="1">
      <c r="A44" s="39">
        <v>12</v>
      </c>
      <c r="B44" s="38">
        <f ca="1">'Line details'!H53</f>
        <v>2474</v>
      </c>
      <c r="C44" s="38"/>
      <c r="D44" s="38"/>
      <c r="E44" s="38">
        <f ca="1">'Line details'!I53</f>
        <v>2466</v>
      </c>
      <c r="F44" s="38"/>
      <c r="G44" s="38"/>
      <c r="H44" s="38">
        <f ca="1">'Line details'!J53</f>
        <v>2521</v>
      </c>
      <c r="I44" s="38"/>
      <c r="J44" s="38"/>
      <c r="K44" s="38"/>
      <c r="L44" s="38"/>
      <c r="M44" s="38"/>
      <c r="N44" s="38"/>
      <c r="O44" s="38"/>
      <c r="P44" s="38"/>
    </row>
    <row r="45" spans="1:16" ht="27.75" customHeight="1">
      <c r="A45" s="39">
        <v>13</v>
      </c>
      <c r="B45" s="38">
        <f ca="1">'Line details'!H54</f>
        <v>2417</v>
      </c>
      <c r="C45" s="38"/>
      <c r="D45" s="38"/>
      <c r="E45" s="38">
        <f ca="1">'Line details'!I54</f>
        <v>2416</v>
      </c>
      <c r="F45" s="38"/>
      <c r="G45" s="38"/>
      <c r="H45" s="38">
        <f ca="1">'Line details'!J54</f>
        <v>2482</v>
      </c>
      <c r="I45" s="38"/>
      <c r="J45" s="38"/>
      <c r="K45" s="38"/>
      <c r="L45" s="38"/>
      <c r="M45" s="38"/>
      <c r="N45" s="38"/>
      <c r="O45" s="38"/>
      <c r="P45" s="38"/>
    </row>
    <row r="46" spans="1:16" ht="27.75" customHeight="1">
      <c r="A46" s="39">
        <v>14</v>
      </c>
      <c r="B46" s="38">
        <f ca="1">'Line details'!H55</f>
        <v>-4</v>
      </c>
      <c r="C46" s="38"/>
      <c r="D46" s="38"/>
      <c r="E46" s="38">
        <f ca="1">'Line details'!I55</f>
        <v>2364</v>
      </c>
      <c r="F46" s="38"/>
      <c r="G46" s="38"/>
      <c r="H46" s="38">
        <f ca="1">'Line details'!J55</f>
        <v>2363</v>
      </c>
      <c r="I46" s="38"/>
      <c r="J46" s="38"/>
      <c r="K46" s="38">
        <f ca="1">'Line details'!K55</f>
        <v>2439</v>
      </c>
      <c r="L46" s="38"/>
      <c r="M46" s="38"/>
      <c r="N46" s="38"/>
      <c r="O46" s="38"/>
      <c r="P46" s="38"/>
    </row>
    <row r="47" spans="1:16" ht="27.75" customHeight="1"/>
  </sheetData>
  <mergeCells count="6">
    <mergeCell ref="N31:P31"/>
    <mergeCell ref="I27:J27"/>
    <mergeCell ref="B31:D31"/>
    <mergeCell ref="E31:G31"/>
    <mergeCell ref="H31:J31"/>
    <mergeCell ref="K31:M31"/>
  </mergeCells>
  <phoneticPr fontId="0" type="noConversion"/>
  <pageMargins left="0.12" right="0.15" top="0.74803149606299213" bottom="0.74803149606299213" header="0.31496062992125984" footer="0.31496062992125984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84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85</v>
      </c>
    </row>
    <row r="7" spans="1:23" ht="20.25">
      <c r="A7" s="1" t="s">
        <v>86</v>
      </c>
    </row>
    <row r="8" spans="1:23">
      <c r="B8" s="4" t="s">
        <v>59</v>
      </c>
      <c r="D8" s="4" t="s">
        <v>60</v>
      </c>
      <c r="F8" s="4" t="s">
        <v>61</v>
      </c>
      <c r="H8" s="4" t="s">
        <v>62</v>
      </c>
      <c r="J8" s="4" t="s">
        <v>63</v>
      </c>
      <c r="L8" s="4" t="s">
        <v>64</v>
      </c>
      <c r="N8" s="4" t="s">
        <v>65</v>
      </c>
      <c r="P8" s="4" t="s">
        <v>66</v>
      </c>
      <c r="R8" s="4" t="s">
        <v>67</v>
      </c>
      <c r="T8" s="4" t="s">
        <v>68</v>
      </c>
      <c r="V8" s="4" t="s">
        <v>69</v>
      </c>
    </row>
    <row r="9" spans="1:23">
      <c r="B9" s="3" t="s">
        <v>87</v>
      </c>
      <c r="C9" s="3" t="s">
        <v>88</v>
      </c>
      <c r="D9" s="3" t="s">
        <v>87</v>
      </c>
      <c r="E9" s="3" t="s">
        <v>88</v>
      </c>
      <c r="F9" s="3" t="s">
        <v>87</v>
      </c>
      <c r="G9" s="3" t="s">
        <v>88</v>
      </c>
      <c r="H9" s="3" t="s">
        <v>87</v>
      </c>
      <c r="I9" s="3" t="s">
        <v>88</v>
      </c>
      <c r="J9" s="3" t="s">
        <v>87</v>
      </c>
      <c r="K9" s="3" t="s">
        <v>88</v>
      </c>
      <c r="L9" s="3" t="s">
        <v>87</v>
      </c>
      <c r="M9" s="3" t="s">
        <v>88</v>
      </c>
      <c r="N9" s="3" t="s">
        <v>87</v>
      </c>
      <c r="O9" s="3" t="s">
        <v>88</v>
      </c>
      <c r="P9" s="3" t="s">
        <v>87</v>
      </c>
      <c r="Q9" s="3" t="s">
        <v>88</v>
      </c>
      <c r="R9" s="3" t="s">
        <v>87</v>
      </c>
      <c r="S9" s="3" t="s">
        <v>88</v>
      </c>
      <c r="T9" s="3" t="s">
        <v>87</v>
      </c>
      <c r="U9" s="3" t="s">
        <v>88</v>
      </c>
      <c r="V9" s="3" t="s">
        <v>87</v>
      </c>
      <c r="W9" s="3" t="s">
        <v>88</v>
      </c>
    </row>
    <row r="10" spans="1:23">
      <c r="A10" s="3" t="s">
        <v>70</v>
      </c>
      <c r="B10">
        <v>441</v>
      </c>
      <c r="D10">
        <v>447</v>
      </c>
      <c r="F10">
        <v>530</v>
      </c>
      <c r="H10">
        <v>580</v>
      </c>
      <c r="I10">
        <v>20</v>
      </c>
      <c r="V10">
        <v>734</v>
      </c>
    </row>
    <row r="11" spans="1:23">
      <c r="A11" s="3" t="s">
        <v>71</v>
      </c>
      <c r="B11">
        <v>393</v>
      </c>
      <c r="D11">
        <v>400</v>
      </c>
      <c r="F11">
        <v>482</v>
      </c>
      <c r="H11">
        <v>536</v>
      </c>
      <c r="I11">
        <v>20</v>
      </c>
      <c r="V11">
        <v>550</v>
      </c>
    </row>
    <row r="12" spans="1:23">
      <c r="A12" s="3" t="s">
        <v>72</v>
      </c>
      <c r="B12">
        <v>373</v>
      </c>
      <c r="D12">
        <v>381</v>
      </c>
      <c r="F12">
        <v>463</v>
      </c>
      <c r="H12">
        <v>514</v>
      </c>
      <c r="I12">
        <v>20</v>
      </c>
      <c r="V12">
        <v>519</v>
      </c>
    </row>
    <row r="13" spans="1:23">
      <c r="A13" s="3" t="s">
        <v>73</v>
      </c>
      <c r="B13">
        <v>381</v>
      </c>
      <c r="D13">
        <v>390</v>
      </c>
      <c r="F13">
        <v>464</v>
      </c>
      <c r="H13">
        <v>511</v>
      </c>
      <c r="I13">
        <v>20</v>
      </c>
      <c r="V13">
        <v>447</v>
      </c>
    </row>
    <row r="14" spans="1:23">
      <c r="A14" s="3" t="s">
        <v>74</v>
      </c>
      <c r="B14">
        <v>367</v>
      </c>
      <c r="D14">
        <v>376</v>
      </c>
      <c r="F14">
        <v>451</v>
      </c>
      <c r="V14">
        <v>406</v>
      </c>
    </row>
    <row r="15" spans="1:23">
      <c r="A15" s="3" t="s">
        <v>75</v>
      </c>
      <c r="B15">
        <v>338</v>
      </c>
      <c r="D15">
        <v>349</v>
      </c>
      <c r="F15">
        <v>417</v>
      </c>
      <c r="V15">
        <v>415</v>
      </c>
    </row>
    <row r="16" spans="1:23">
      <c r="A16" s="3" t="s">
        <v>76</v>
      </c>
      <c r="B16">
        <v>334</v>
      </c>
      <c r="D16">
        <v>346</v>
      </c>
      <c r="F16">
        <v>410</v>
      </c>
    </row>
    <row r="17" spans="1:8">
      <c r="A17" s="3" t="s">
        <v>77</v>
      </c>
      <c r="B17">
        <v>356</v>
      </c>
      <c r="D17">
        <v>369</v>
      </c>
      <c r="F17">
        <v>424</v>
      </c>
    </row>
    <row r="18" spans="1:8">
      <c r="A18" s="3" t="s">
        <v>78</v>
      </c>
      <c r="B18">
        <v>334</v>
      </c>
      <c r="D18">
        <v>346</v>
      </c>
      <c r="F18">
        <v>401</v>
      </c>
    </row>
    <row r="19" spans="1:8">
      <c r="A19" s="3" t="s">
        <v>79</v>
      </c>
      <c r="B19">
        <v>312</v>
      </c>
      <c r="D19">
        <v>322</v>
      </c>
      <c r="F19">
        <v>371</v>
      </c>
    </row>
    <row r="20" spans="1:8">
      <c r="A20" s="3" t="s">
        <v>80</v>
      </c>
      <c r="B20">
        <v>294</v>
      </c>
      <c r="D20">
        <v>303</v>
      </c>
      <c r="F20">
        <v>345</v>
      </c>
    </row>
    <row r="21" spans="1:8">
      <c r="A21" s="3" t="s">
        <v>81</v>
      </c>
      <c r="B21">
        <v>289</v>
      </c>
      <c r="D21">
        <v>296</v>
      </c>
      <c r="F21">
        <v>331</v>
      </c>
    </row>
    <row r="22" spans="1:8">
      <c r="A22" s="3" t="s">
        <v>82</v>
      </c>
      <c r="B22">
        <v>820</v>
      </c>
      <c r="D22">
        <v>821</v>
      </c>
      <c r="F22">
        <v>889</v>
      </c>
    </row>
    <row r="23" spans="1:8">
      <c r="A23" s="3" t="s">
        <v>83</v>
      </c>
      <c r="D23">
        <v>770</v>
      </c>
      <c r="F23">
        <v>771</v>
      </c>
      <c r="H23">
        <v>839</v>
      </c>
    </row>
    <row r="25" spans="1:8" ht="20.25">
      <c r="A25" s="1" t="s">
        <v>89</v>
      </c>
    </row>
    <row r="26" spans="1:8">
      <c r="A26" s="3" t="s">
        <v>90</v>
      </c>
      <c r="B26" s="3" t="s">
        <v>87</v>
      </c>
      <c r="C26" s="3" t="s">
        <v>88</v>
      </c>
    </row>
    <row r="27" spans="1:8">
      <c r="A27" t="s">
        <v>91</v>
      </c>
      <c r="B27">
        <v>600</v>
      </c>
    </row>
    <row r="28" spans="1:8">
      <c r="A28" t="s">
        <v>92</v>
      </c>
      <c r="B28">
        <v>600</v>
      </c>
    </row>
    <row r="29" spans="1:8">
      <c r="A29" t="s">
        <v>93</v>
      </c>
      <c r="B29">
        <v>600</v>
      </c>
    </row>
    <row r="30" spans="1:8">
      <c r="A30" t="s">
        <v>94</v>
      </c>
      <c r="B30">
        <v>600</v>
      </c>
    </row>
    <row r="31" spans="1:8">
      <c r="A31" t="s">
        <v>95</v>
      </c>
      <c r="B31">
        <v>600</v>
      </c>
    </row>
    <row r="32" spans="1:8">
      <c r="A32" t="s">
        <v>96</v>
      </c>
      <c r="B32">
        <v>600</v>
      </c>
    </row>
    <row r="33" spans="1:2">
      <c r="A33" t="s">
        <v>97</v>
      </c>
      <c r="B33">
        <v>600</v>
      </c>
    </row>
    <row r="34" spans="1:2">
      <c r="A34" t="s">
        <v>98</v>
      </c>
      <c r="B34">
        <v>600</v>
      </c>
    </row>
    <row r="35" spans="1:2">
      <c r="A35" t="s">
        <v>99</v>
      </c>
      <c r="B35">
        <v>600</v>
      </c>
    </row>
    <row r="36" spans="1:2">
      <c r="A36" t="s">
        <v>100</v>
      </c>
      <c r="B36">
        <v>600</v>
      </c>
    </row>
    <row r="37" spans="1:2">
      <c r="A37" t="s">
        <v>101</v>
      </c>
      <c r="B37">
        <v>600</v>
      </c>
    </row>
    <row r="38" spans="1:2">
      <c r="A38" t="s">
        <v>102</v>
      </c>
      <c r="B38">
        <v>600</v>
      </c>
    </row>
    <row r="39" spans="1:2">
      <c r="A39" t="s">
        <v>103</v>
      </c>
      <c r="B39">
        <v>600</v>
      </c>
    </row>
    <row r="40" spans="1:2">
      <c r="A40" t="s">
        <v>104</v>
      </c>
      <c r="B40">
        <v>600</v>
      </c>
    </row>
    <row r="41" spans="1:2">
      <c r="A41" t="s">
        <v>105</v>
      </c>
      <c r="B41">
        <v>600</v>
      </c>
    </row>
    <row r="42" spans="1:2">
      <c r="A42" t="s">
        <v>106</v>
      </c>
      <c r="B42">
        <v>600</v>
      </c>
    </row>
    <row r="43" spans="1:2">
      <c r="A43" t="s">
        <v>107</v>
      </c>
      <c r="B43">
        <v>600</v>
      </c>
    </row>
    <row r="44" spans="1:2">
      <c r="A44" t="s">
        <v>108</v>
      </c>
      <c r="B44">
        <v>600</v>
      </c>
    </row>
    <row r="45" spans="1:2">
      <c r="A45" t="s">
        <v>56</v>
      </c>
      <c r="B45">
        <v>937</v>
      </c>
    </row>
    <row r="46" spans="1:2">
      <c r="A46" t="s">
        <v>109</v>
      </c>
      <c r="B46">
        <v>865</v>
      </c>
    </row>
    <row r="47" spans="1:2">
      <c r="A47" t="s">
        <v>110</v>
      </c>
      <c r="B47">
        <v>865</v>
      </c>
    </row>
    <row r="50" spans="1:23" ht="20.25">
      <c r="A50" s="1" t="s">
        <v>111</v>
      </c>
    </row>
    <row r="51" spans="1:23">
      <c r="B51" s="4" t="s">
        <v>59</v>
      </c>
      <c r="D51" s="4" t="s">
        <v>60</v>
      </c>
      <c r="F51" s="4" t="s">
        <v>61</v>
      </c>
      <c r="H51" s="4" t="s">
        <v>62</v>
      </c>
      <c r="J51" s="4" t="s">
        <v>63</v>
      </c>
      <c r="L51" s="4" t="s">
        <v>64</v>
      </c>
      <c r="N51" s="4" t="s">
        <v>65</v>
      </c>
      <c r="P51" s="4" t="s">
        <v>66</v>
      </c>
      <c r="R51" s="4" t="s">
        <v>67</v>
      </c>
      <c r="T51" s="4" t="s">
        <v>68</v>
      </c>
      <c r="V51" s="4" t="s">
        <v>69</v>
      </c>
    </row>
    <row r="52" spans="1:23">
      <c r="B52" s="3" t="s">
        <v>87</v>
      </c>
      <c r="C52" s="3" t="s">
        <v>88</v>
      </c>
      <c r="D52" s="3" t="s">
        <v>87</v>
      </c>
      <c r="E52" s="3" t="s">
        <v>88</v>
      </c>
      <c r="F52" s="3" t="s">
        <v>87</v>
      </c>
      <c r="G52" s="3" t="s">
        <v>88</v>
      </c>
      <c r="H52" s="3" t="s">
        <v>87</v>
      </c>
      <c r="I52" s="3" t="s">
        <v>88</v>
      </c>
      <c r="J52" s="3" t="s">
        <v>87</v>
      </c>
      <c r="K52" s="3" t="s">
        <v>88</v>
      </c>
      <c r="L52" s="3" t="s">
        <v>87</v>
      </c>
      <c r="M52" s="3" t="s">
        <v>88</v>
      </c>
      <c r="N52" s="3" t="s">
        <v>87</v>
      </c>
      <c r="O52" s="3" t="s">
        <v>88</v>
      </c>
      <c r="P52" s="3" t="s">
        <v>87</v>
      </c>
      <c r="Q52" s="3" t="s">
        <v>88</v>
      </c>
      <c r="R52" s="3" t="s">
        <v>87</v>
      </c>
      <c r="S52" s="3" t="s">
        <v>88</v>
      </c>
      <c r="T52" s="3" t="s">
        <v>87</v>
      </c>
      <c r="U52" s="3" t="s">
        <v>88</v>
      </c>
      <c r="V52" s="3" t="s">
        <v>87</v>
      </c>
      <c r="W52" s="3" t="s">
        <v>88</v>
      </c>
    </row>
    <row r="53" spans="1:23">
      <c r="A53" s="3" t="s">
        <v>70</v>
      </c>
      <c r="B53">
        <v>1600</v>
      </c>
      <c r="D53">
        <v>1600</v>
      </c>
      <c r="E53">
        <v>-15</v>
      </c>
      <c r="F53">
        <v>1600</v>
      </c>
      <c r="V53">
        <v>1333</v>
      </c>
      <c r="W53">
        <v>400</v>
      </c>
    </row>
    <row r="54" spans="1:23">
      <c r="A54" s="3" t="s">
        <v>71</v>
      </c>
      <c r="B54">
        <v>1600</v>
      </c>
      <c r="D54">
        <v>1600</v>
      </c>
      <c r="E54">
        <v>-15</v>
      </c>
      <c r="F54">
        <v>1600</v>
      </c>
    </row>
    <row r="55" spans="1:23">
      <c r="A55" s="3" t="s">
        <v>72</v>
      </c>
      <c r="B55">
        <v>1600</v>
      </c>
      <c r="D55">
        <v>1600</v>
      </c>
      <c r="E55">
        <v>-15</v>
      </c>
      <c r="F55">
        <v>1600</v>
      </c>
    </row>
    <row r="56" spans="1:23">
      <c r="A56" s="3" t="s">
        <v>73</v>
      </c>
      <c r="D56">
        <v>1600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Line details</vt:lpstr>
      <vt:lpstr>Sheet1</vt:lpstr>
      <vt:lpstr>Line check</vt:lpstr>
      <vt:lpstr>Line mods</vt:lpstr>
      <vt:lpstr>'Line details'!Print_Area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products7</dc:creator>
  <cp:lastModifiedBy>production2</cp:lastModifiedBy>
  <cp:lastPrinted>2018-09-08T01:44:10Z</cp:lastPrinted>
  <dcterms:created xsi:type="dcterms:W3CDTF">2018-02-09T06:03:19Z</dcterms:created>
  <dcterms:modified xsi:type="dcterms:W3CDTF">2018-09-08T01:44:16Z</dcterms:modified>
</cp:coreProperties>
</file>