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updateLinks="never" codeName="ThisWorkbook" defaultThemeVersion="166925"/>
  <mc:AlternateContent xmlns:mc="http://schemas.openxmlformats.org/markup-compatibility/2006">
    <mc:Choice Requires="x15">
      <x15ac:absPath xmlns:x15ac="http://schemas.microsoft.com/office/spreadsheetml/2010/11/ac" url="https://innovationnorway-my.sharepoint.com/personal/atena-georgiana_ardelean_innovationnorway_no/Documents/Skrivebord/"/>
    </mc:Choice>
  </mc:AlternateContent>
  <xr:revisionPtr revIDLastSave="16" documentId="8_{497CA851-0227-4453-8954-00D5951A4EC4}" xr6:coauthVersionLast="46" xr6:coauthVersionMax="46" xr10:uidLastSave="{DC6D2B05-B402-4DC8-B5F5-3C8BA5FCE4EF}"/>
  <workbookProtection workbookAlgorithmName="SHA-512" workbookHashValue="F8xfkEgElx3vC9hjP4LGX5ZfdvHUZHu6VSDnnvMOYk4DMH64unklDeLiE0zFxpPNWDsoJOHHfWsw9C8YtsL5cw==" workbookSaltValue="ypYCcg4if7+3Na17QS4HtA==" workbookSpinCount="100000" lockStructure="1"/>
  <bookViews>
    <workbookView xWindow="-110" yWindow="-110" windowWidth="22780" windowHeight="14660" tabRatio="797" xr2:uid="{00000000-000D-0000-FFFF-FFFF00000000}"/>
  </bookViews>
  <sheets>
    <sheet name="Detailed Budget" sheetId="6" r:id="rId1"/>
    <sheet name="Balance_sheet_Historical data" sheetId="8" r:id="rId2"/>
    <sheet name="P&amp;L_historic" sheetId="9" r:id="rId3"/>
    <sheet name="Project costs and revenues" sheetId="11" r:id="rId4"/>
    <sheet name="Project_profitability" sheetId="12" state="hidden" r:id="rId5"/>
    <sheet name="Financial Analysis company " sheetId="13" state="hidden" r:id="rId6"/>
    <sheet name="Sensitivity analysis project" sheetId="14" state="hidden" r:id="rId7"/>
    <sheet name="Undertaking in difficulty" sheetId="15" state="hidden" r:id="rId8"/>
    <sheet name="Admin" sheetId="3" state="hidden" r:id="rId9"/>
  </sheets>
  <externalReferences>
    <externalReference r:id="rId10"/>
  </externalReferences>
  <definedNames>
    <definedName name="_xlnm._FilterDatabase" localSheetId="8" hidden="1">Admin!$A$1:$N$62</definedName>
    <definedName name="_xlnm._FilterDatabase" localSheetId="0" hidden="1">'Detailed Budget'!$Y$1:$Y$271</definedName>
    <definedName name="Activity_1">#REF!</definedName>
    <definedName name="Activity_2">#REF!</definedName>
    <definedName name="Activity_3">#REF!</definedName>
    <definedName name="Activity_4" localSheetId="0">#REF!</definedName>
    <definedName name="Activity_4">#REF!</definedName>
    <definedName name="Activity_5" localSheetId="0">#REF!</definedName>
    <definedName name="Activity_5">#REF!</definedName>
    <definedName name="Bulgaria">Admin!$AF$18:$AF$20</definedName>
    <definedName name="Croatia">Admin!$AF$18:$AF$20</definedName>
    <definedName name="Cyprus">Admin!$AF$18:$AF$20</definedName>
    <definedName name="Czech_Republic">Admin!$AF$18:$AF$21</definedName>
    <definedName name="Estonia">Admin!$AF$18:$AF$21</definedName>
    <definedName name="Hungary">Admin!$AF$18:$AF$21</definedName>
    <definedName name="Latvia">Admin!$AF$18:$AF$20</definedName>
    <definedName name="Lithuania">Admin!$AF$18:$AF$20</definedName>
    <definedName name="Malta">Admin!$AF$18:$AF$20</definedName>
    <definedName name="Management" localSheetId="0">#REF!</definedName>
    <definedName name="Management">#REF!</definedName>
    <definedName name="Other" localSheetId="0">#REF!</definedName>
    <definedName name="Other">#REF!</definedName>
    <definedName name="Poland">Admin!$AF$18:$AF$21</definedName>
    <definedName name="_xlnm.Print_Area" localSheetId="0">'Detailed Budget'!$A$3:$U$232,'Detailed Budget'!$A$233:$W$259</definedName>
    <definedName name="Publicity" localSheetId="0">#REF!</definedName>
    <definedName name="Publicity">#REF!</definedName>
    <definedName name="Romania">Admin!$AF$18:$AF$21</definedName>
    <definedName name="Slovakia">Admin!$AF$18:$AF$21</definedName>
    <definedName name="Slovenia">Admin!$AF$18:$AF$20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6" l="1"/>
  <c r="B16" i="6"/>
  <c r="G15" i="13"/>
  <c r="G17" i="13"/>
  <c r="G16" i="13"/>
  <c r="G13" i="13"/>
  <c r="G12" i="13"/>
  <c r="G8" i="13"/>
  <c r="G9" i="13"/>
  <c r="G7" i="13"/>
  <c r="I253" i="14" l="1"/>
  <c r="J253" i="14"/>
  <c r="K253" i="14"/>
  <c r="L253" i="14"/>
  <c r="M253" i="14"/>
  <c r="N253" i="14"/>
  <c r="O253" i="14"/>
  <c r="P253" i="14"/>
  <c r="Q253" i="14"/>
  <c r="R253" i="14"/>
  <c r="S253" i="14"/>
  <c r="T253" i="14"/>
  <c r="U253" i="14"/>
  <c r="V253" i="14"/>
  <c r="W253" i="14"/>
  <c r="X253" i="14"/>
  <c r="Y253" i="14"/>
  <c r="Z253" i="14"/>
  <c r="AA253" i="14"/>
  <c r="I256" i="14"/>
  <c r="J256" i="14"/>
  <c r="K256" i="14"/>
  <c r="L256" i="14"/>
  <c r="M256" i="14"/>
  <c r="N256" i="14"/>
  <c r="O256" i="14"/>
  <c r="P256" i="14"/>
  <c r="Q256" i="14"/>
  <c r="R256" i="14"/>
  <c r="S256" i="14"/>
  <c r="T256" i="14"/>
  <c r="U256" i="14"/>
  <c r="V256" i="14"/>
  <c r="W256" i="14"/>
  <c r="X256" i="14"/>
  <c r="Y256" i="14"/>
  <c r="Z256" i="14"/>
  <c r="AA256" i="14"/>
  <c r="I233" i="14"/>
  <c r="J233" i="14"/>
  <c r="K233" i="14"/>
  <c r="L233" i="14"/>
  <c r="M233" i="14"/>
  <c r="N233" i="14"/>
  <c r="O233" i="14"/>
  <c r="P233" i="14"/>
  <c r="Q233" i="14"/>
  <c r="R233" i="14"/>
  <c r="S233" i="14"/>
  <c r="T233" i="14"/>
  <c r="U233" i="14"/>
  <c r="V233" i="14"/>
  <c r="W233" i="14"/>
  <c r="X233" i="14"/>
  <c r="Y233" i="14"/>
  <c r="Z233" i="14"/>
  <c r="AA233" i="14"/>
  <c r="I236" i="14"/>
  <c r="J236" i="14"/>
  <c r="K236" i="14"/>
  <c r="L236" i="14"/>
  <c r="M236" i="14"/>
  <c r="N236" i="14"/>
  <c r="O236" i="14"/>
  <c r="P236" i="14"/>
  <c r="Q236" i="14"/>
  <c r="R236" i="14"/>
  <c r="S236" i="14"/>
  <c r="T236" i="14"/>
  <c r="U236" i="14"/>
  <c r="V236" i="14"/>
  <c r="W236" i="14"/>
  <c r="X236" i="14"/>
  <c r="Y236" i="14"/>
  <c r="Z236" i="14"/>
  <c r="AA236" i="14"/>
  <c r="I212" i="14"/>
  <c r="J212" i="14"/>
  <c r="K212" i="14"/>
  <c r="L212" i="14"/>
  <c r="M212" i="14"/>
  <c r="N212" i="14"/>
  <c r="O212" i="14"/>
  <c r="P212" i="14"/>
  <c r="Q212" i="14"/>
  <c r="R212" i="14"/>
  <c r="S212" i="14"/>
  <c r="T212" i="14"/>
  <c r="U212" i="14"/>
  <c r="V212" i="14"/>
  <c r="W212" i="14"/>
  <c r="X212" i="14"/>
  <c r="Y212" i="14"/>
  <c r="Z212" i="14"/>
  <c r="AA212" i="14"/>
  <c r="M215" i="14"/>
  <c r="U215" i="14"/>
  <c r="I192" i="14"/>
  <c r="J192" i="14"/>
  <c r="K192" i="14"/>
  <c r="L192" i="14"/>
  <c r="M192" i="14"/>
  <c r="N192" i="14"/>
  <c r="O192" i="14"/>
  <c r="P192" i="14"/>
  <c r="Q192" i="14"/>
  <c r="R192" i="14"/>
  <c r="S192" i="14"/>
  <c r="T192" i="14"/>
  <c r="U192" i="14"/>
  <c r="V192" i="14"/>
  <c r="W192" i="14"/>
  <c r="X192" i="14"/>
  <c r="Y192" i="14"/>
  <c r="Z192" i="14"/>
  <c r="AA192" i="14"/>
  <c r="I195" i="14"/>
  <c r="I215" i="14" s="1"/>
  <c r="J195" i="14"/>
  <c r="J215" i="14" s="1"/>
  <c r="K195" i="14"/>
  <c r="K215" i="14" s="1"/>
  <c r="L195" i="14"/>
  <c r="L215" i="14" s="1"/>
  <c r="M195" i="14"/>
  <c r="N195" i="14"/>
  <c r="N215" i="14" s="1"/>
  <c r="O195" i="14"/>
  <c r="O215" i="14" s="1"/>
  <c r="P195" i="14"/>
  <c r="P215" i="14" s="1"/>
  <c r="Q195" i="14"/>
  <c r="Q215" i="14" s="1"/>
  <c r="R195" i="14"/>
  <c r="R215" i="14" s="1"/>
  <c r="S195" i="14"/>
  <c r="S215" i="14" s="1"/>
  <c r="T195" i="14"/>
  <c r="T215" i="14" s="1"/>
  <c r="U195" i="14"/>
  <c r="V195" i="14"/>
  <c r="V215" i="14" s="1"/>
  <c r="W195" i="14"/>
  <c r="W215" i="14" s="1"/>
  <c r="X195" i="14"/>
  <c r="X215" i="14" s="1"/>
  <c r="Y195" i="14"/>
  <c r="Y215" i="14" s="1"/>
  <c r="Z195" i="14"/>
  <c r="Z215" i="14" s="1"/>
  <c r="AA195" i="14"/>
  <c r="AA215" i="14" s="1"/>
  <c r="I171" i="14"/>
  <c r="J171" i="14"/>
  <c r="K171" i="14"/>
  <c r="L171" i="14"/>
  <c r="M171" i="14"/>
  <c r="N171" i="14"/>
  <c r="O171" i="14"/>
  <c r="P171" i="14"/>
  <c r="Q171" i="14"/>
  <c r="R171" i="14"/>
  <c r="S171" i="14"/>
  <c r="T171" i="14"/>
  <c r="U171" i="14"/>
  <c r="V171" i="14"/>
  <c r="W171" i="14"/>
  <c r="X171" i="14"/>
  <c r="Y171" i="14"/>
  <c r="Z171" i="14"/>
  <c r="AA171" i="14"/>
  <c r="I151" i="14"/>
  <c r="J151" i="14"/>
  <c r="K151" i="14"/>
  <c r="L151" i="14"/>
  <c r="M151" i="14"/>
  <c r="N151" i="14"/>
  <c r="O151" i="14"/>
  <c r="P151" i="14"/>
  <c r="Q151" i="14"/>
  <c r="R151" i="14"/>
  <c r="S151" i="14"/>
  <c r="T151" i="14"/>
  <c r="U151" i="14"/>
  <c r="V151" i="14"/>
  <c r="W151" i="14"/>
  <c r="X151" i="14"/>
  <c r="Y151" i="14"/>
  <c r="Z151" i="14"/>
  <c r="AA151" i="14"/>
  <c r="I154" i="14"/>
  <c r="I174" i="14" s="1"/>
  <c r="J154" i="14"/>
  <c r="J174" i="14" s="1"/>
  <c r="K154" i="14"/>
  <c r="K174" i="14" s="1"/>
  <c r="L154" i="14"/>
  <c r="L174" i="14" s="1"/>
  <c r="M154" i="14"/>
  <c r="M174" i="14" s="1"/>
  <c r="N154" i="14"/>
  <c r="N174" i="14" s="1"/>
  <c r="O154" i="14"/>
  <c r="O174" i="14" s="1"/>
  <c r="P154" i="14"/>
  <c r="P174" i="14" s="1"/>
  <c r="Q154" i="14"/>
  <c r="Q174" i="14" s="1"/>
  <c r="R154" i="14"/>
  <c r="R174" i="14" s="1"/>
  <c r="S154" i="14"/>
  <c r="S174" i="14" s="1"/>
  <c r="T154" i="14"/>
  <c r="T174" i="14" s="1"/>
  <c r="U154" i="14"/>
  <c r="U174" i="14" s="1"/>
  <c r="V154" i="14"/>
  <c r="V174" i="14" s="1"/>
  <c r="W154" i="14"/>
  <c r="W174" i="14" s="1"/>
  <c r="X154" i="14"/>
  <c r="X174" i="14" s="1"/>
  <c r="Y154" i="14"/>
  <c r="Y174" i="14" s="1"/>
  <c r="Z154" i="14"/>
  <c r="Z174" i="14" s="1"/>
  <c r="AA154" i="14"/>
  <c r="AA174" i="14" s="1"/>
  <c r="I130" i="14"/>
  <c r="J130" i="14"/>
  <c r="K130" i="14"/>
  <c r="L130" i="14"/>
  <c r="M130" i="14"/>
  <c r="N130" i="14"/>
  <c r="O130" i="14"/>
  <c r="P130" i="14"/>
  <c r="Q130" i="14"/>
  <c r="R130" i="14"/>
  <c r="S130" i="14"/>
  <c r="T130" i="14"/>
  <c r="U130" i="14"/>
  <c r="V130" i="14"/>
  <c r="W130" i="14"/>
  <c r="X130" i="14"/>
  <c r="Y130" i="14"/>
  <c r="Z130" i="14"/>
  <c r="AA130" i="14"/>
  <c r="I110" i="14"/>
  <c r="J110" i="14"/>
  <c r="K110" i="14"/>
  <c r="L110" i="14"/>
  <c r="M110" i="14"/>
  <c r="N110" i="14"/>
  <c r="O110" i="14"/>
  <c r="P110" i="14"/>
  <c r="Q110" i="14"/>
  <c r="R110" i="14"/>
  <c r="S110" i="14"/>
  <c r="T110" i="14"/>
  <c r="U110" i="14"/>
  <c r="V110" i="14"/>
  <c r="W110" i="14"/>
  <c r="X110" i="14"/>
  <c r="Y110" i="14"/>
  <c r="Z110" i="14"/>
  <c r="AA110" i="14"/>
  <c r="I113" i="14"/>
  <c r="I133" i="14" s="1"/>
  <c r="J113" i="14"/>
  <c r="J133" i="14" s="1"/>
  <c r="K113" i="14"/>
  <c r="K133" i="14" s="1"/>
  <c r="L113" i="14"/>
  <c r="L133" i="14" s="1"/>
  <c r="M113" i="14"/>
  <c r="M133" i="14" s="1"/>
  <c r="N113" i="14"/>
  <c r="N133" i="14" s="1"/>
  <c r="O113" i="14"/>
  <c r="O133" i="14" s="1"/>
  <c r="P113" i="14"/>
  <c r="P133" i="14" s="1"/>
  <c r="Q113" i="14"/>
  <c r="Q133" i="14" s="1"/>
  <c r="R113" i="14"/>
  <c r="R133" i="14" s="1"/>
  <c r="S113" i="14"/>
  <c r="S133" i="14" s="1"/>
  <c r="T113" i="14"/>
  <c r="T133" i="14" s="1"/>
  <c r="U113" i="14"/>
  <c r="U133" i="14" s="1"/>
  <c r="V113" i="14"/>
  <c r="V133" i="14" s="1"/>
  <c r="W113" i="14"/>
  <c r="W133" i="14" s="1"/>
  <c r="X113" i="14"/>
  <c r="X133" i="14" s="1"/>
  <c r="Y113" i="14"/>
  <c r="Y133" i="14" s="1"/>
  <c r="Z113" i="14"/>
  <c r="Z133" i="14" s="1"/>
  <c r="AA113" i="14"/>
  <c r="AA133" i="14" s="1"/>
  <c r="I89" i="14"/>
  <c r="J89" i="14"/>
  <c r="K89" i="14"/>
  <c r="L89" i="14"/>
  <c r="M89" i="14"/>
  <c r="N89" i="14"/>
  <c r="O89" i="14"/>
  <c r="P89" i="14"/>
  <c r="Q89" i="14"/>
  <c r="R89" i="14"/>
  <c r="S89" i="14"/>
  <c r="T89" i="14"/>
  <c r="U89" i="14"/>
  <c r="V89" i="14"/>
  <c r="W89" i="14"/>
  <c r="X89" i="14"/>
  <c r="Y89" i="14"/>
  <c r="Z89" i="14"/>
  <c r="AA89" i="14"/>
  <c r="I69" i="14"/>
  <c r="J69" i="14"/>
  <c r="K69" i="14"/>
  <c r="L69" i="14"/>
  <c r="M69" i="14"/>
  <c r="N69" i="14"/>
  <c r="O69" i="14"/>
  <c r="P69" i="14"/>
  <c r="Q69" i="14"/>
  <c r="R69" i="14"/>
  <c r="S69" i="14"/>
  <c r="T69" i="14"/>
  <c r="U69" i="14"/>
  <c r="V69" i="14"/>
  <c r="W69" i="14"/>
  <c r="X69" i="14"/>
  <c r="Y69" i="14"/>
  <c r="Z69" i="14"/>
  <c r="AA69" i="14"/>
  <c r="I72" i="14"/>
  <c r="I92" i="14" s="1"/>
  <c r="J72" i="14"/>
  <c r="J92" i="14" s="1"/>
  <c r="K72" i="14"/>
  <c r="K92" i="14" s="1"/>
  <c r="L72" i="14"/>
  <c r="L92" i="14" s="1"/>
  <c r="M72" i="14"/>
  <c r="M92" i="14" s="1"/>
  <c r="N72" i="14"/>
  <c r="N92" i="14" s="1"/>
  <c r="O72" i="14"/>
  <c r="O92" i="14" s="1"/>
  <c r="P72" i="14"/>
  <c r="P92" i="14" s="1"/>
  <c r="Q72" i="14"/>
  <c r="Q92" i="14" s="1"/>
  <c r="R72" i="14"/>
  <c r="R92" i="14" s="1"/>
  <c r="S72" i="14"/>
  <c r="S92" i="14" s="1"/>
  <c r="T72" i="14"/>
  <c r="T92" i="14" s="1"/>
  <c r="U72" i="14"/>
  <c r="U92" i="14" s="1"/>
  <c r="V72" i="14"/>
  <c r="V92" i="14" s="1"/>
  <c r="W72" i="14"/>
  <c r="W92" i="14" s="1"/>
  <c r="X72" i="14"/>
  <c r="X92" i="14" s="1"/>
  <c r="Y72" i="14"/>
  <c r="Y92" i="14" s="1"/>
  <c r="Z72" i="14"/>
  <c r="Z92" i="14" s="1"/>
  <c r="AA72" i="14"/>
  <c r="AA92" i="14" s="1"/>
  <c r="I48" i="14"/>
  <c r="J48" i="14"/>
  <c r="K48" i="14"/>
  <c r="L48" i="14"/>
  <c r="M48" i="14"/>
  <c r="N48" i="14"/>
  <c r="O48" i="14"/>
  <c r="P48" i="14"/>
  <c r="Q48" i="14"/>
  <c r="R48" i="14"/>
  <c r="S48" i="14"/>
  <c r="T48" i="14"/>
  <c r="U48" i="14"/>
  <c r="V48" i="14"/>
  <c r="W48" i="14"/>
  <c r="X48" i="14"/>
  <c r="Y48" i="14"/>
  <c r="Z48" i="14"/>
  <c r="AA48" i="14"/>
  <c r="I28" i="14"/>
  <c r="J28" i="14"/>
  <c r="K28" i="14"/>
  <c r="L28" i="14"/>
  <c r="M28" i="14"/>
  <c r="N28" i="14"/>
  <c r="O28" i="14"/>
  <c r="P28" i="14"/>
  <c r="Q28" i="14"/>
  <c r="R28" i="14"/>
  <c r="S28" i="14"/>
  <c r="T28" i="14"/>
  <c r="U28" i="14"/>
  <c r="V28" i="14"/>
  <c r="W28" i="14"/>
  <c r="X28" i="14"/>
  <c r="Y28" i="14"/>
  <c r="Z28" i="14"/>
  <c r="AA28" i="14"/>
  <c r="I31" i="14"/>
  <c r="I51" i="14" s="1"/>
  <c r="J31" i="14"/>
  <c r="J51" i="14" s="1"/>
  <c r="K31" i="14"/>
  <c r="K51" i="14" s="1"/>
  <c r="L31" i="14"/>
  <c r="L51" i="14" s="1"/>
  <c r="M31" i="14"/>
  <c r="M51" i="14" s="1"/>
  <c r="N31" i="14"/>
  <c r="N51" i="14" s="1"/>
  <c r="O31" i="14"/>
  <c r="O51" i="14" s="1"/>
  <c r="P31" i="14"/>
  <c r="P51" i="14" s="1"/>
  <c r="Q31" i="14"/>
  <c r="Q51" i="14" s="1"/>
  <c r="R31" i="14"/>
  <c r="R51" i="14" s="1"/>
  <c r="S31" i="14"/>
  <c r="S51" i="14" s="1"/>
  <c r="T31" i="14"/>
  <c r="T51" i="14" s="1"/>
  <c r="U31" i="14"/>
  <c r="U51" i="14" s="1"/>
  <c r="V31" i="14"/>
  <c r="V51" i="14" s="1"/>
  <c r="W31" i="14"/>
  <c r="W51" i="14" s="1"/>
  <c r="X31" i="14"/>
  <c r="X51" i="14" s="1"/>
  <c r="Y31" i="14"/>
  <c r="Y51" i="14" s="1"/>
  <c r="Z31" i="14"/>
  <c r="Z51" i="14" s="1"/>
  <c r="AA31" i="14"/>
  <c r="AA51" i="14" s="1"/>
  <c r="C86" i="11"/>
  <c r="D86" i="11"/>
  <c r="A253" i="6"/>
  <c r="M235" i="6"/>
  <c r="M21" i="6"/>
  <c r="M86" i="6" s="1"/>
  <c r="M131" i="6" s="1"/>
  <c r="M156" i="6" s="1"/>
  <c r="M183" i="6" s="1"/>
  <c r="M208" i="6" s="1"/>
  <c r="C21" i="6"/>
  <c r="T23" i="6"/>
  <c r="V21" i="6"/>
  <c r="V86" i="6" s="1"/>
  <c r="V131" i="6" s="1"/>
  <c r="V156" i="6" s="1"/>
  <c r="V183" i="6" s="1"/>
  <c r="V208" i="6" s="1"/>
  <c r="A270" i="6"/>
  <c r="A269" i="6"/>
  <c r="A268" i="6"/>
  <c r="A267" i="6"/>
  <c r="A266" i="6"/>
  <c r="A265" i="6"/>
  <c r="A264" i="6"/>
  <c r="O258" i="6"/>
  <c r="F258" i="6"/>
  <c r="N253" i="6"/>
  <c r="A242" i="6"/>
  <c r="V23" i="6" l="1"/>
  <c r="V88" i="6" s="1"/>
  <c r="V133" i="6" s="1"/>
  <c r="V158" i="6" s="1"/>
  <c r="V185" i="6" s="1"/>
  <c r="V210" i="6" s="1"/>
  <c r="F4" i="11" l="1"/>
  <c r="B8" i="8"/>
  <c r="B87" i="11"/>
  <c r="B86" i="11"/>
  <c r="B85" i="11"/>
  <c r="B84" i="11"/>
  <c r="A83" i="11"/>
  <c r="B79" i="11"/>
  <c r="B78" i="11"/>
  <c r="B77" i="11"/>
  <c r="B83" i="11" s="1"/>
  <c r="B76" i="11"/>
  <c r="B70" i="11"/>
  <c r="B69" i="11"/>
  <c r="B68" i="11"/>
  <c r="B67" i="11"/>
  <c r="B66" i="11"/>
  <c r="B65" i="11"/>
  <c r="B64" i="11"/>
  <c r="B51" i="11"/>
  <c r="B50" i="11"/>
  <c r="B49" i="11"/>
  <c r="B48" i="11"/>
  <c r="B47" i="11"/>
  <c r="B46" i="11"/>
  <c r="B45" i="11"/>
  <c r="C41" i="11"/>
  <c r="B38" i="11"/>
  <c r="B37" i="11" l="1"/>
  <c r="B36" i="11"/>
  <c r="B35" i="11"/>
  <c r="A29" i="11"/>
  <c r="B32" i="11"/>
  <c r="B29" i="11"/>
  <c r="B26" i="11"/>
  <c r="B23" i="11"/>
  <c r="B20" i="11"/>
  <c r="B19" i="11"/>
  <c r="B22" i="11" s="1"/>
  <c r="B25" i="11" s="1"/>
  <c r="B28" i="11" s="1"/>
  <c r="B31" i="11" s="1"/>
  <c r="B34" i="11" s="1"/>
  <c r="B18" i="11"/>
  <c r="B21" i="11" s="1"/>
  <c r="B24" i="11" s="1"/>
  <c r="B27" i="11" s="1"/>
  <c r="B30" i="11" s="1"/>
  <c r="B33" i="11" s="1"/>
  <c r="B17" i="11"/>
  <c r="B16" i="11"/>
  <c r="C14" i="11"/>
  <c r="C43" i="11" s="1"/>
  <c r="AB15" i="11"/>
  <c r="AB44" i="11" s="1"/>
  <c r="AA15" i="11"/>
  <c r="AA44" i="11" s="1"/>
  <c r="Z15" i="11"/>
  <c r="Z44" i="11" s="1"/>
  <c r="Y15" i="11"/>
  <c r="Y44" i="11" s="1"/>
  <c r="X15" i="11"/>
  <c r="X44" i="11" s="1"/>
  <c r="W15" i="11"/>
  <c r="W44" i="11" s="1"/>
  <c r="V15" i="11"/>
  <c r="V44" i="11" s="1"/>
  <c r="U15" i="11"/>
  <c r="U44" i="11" s="1"/>
  <c r="T15" i="11"/>
  <c r="T44" i="11" s="1"/>
  <c r="S15" i="11"/>
  <c r="S44" i="11" s="1"/>
  <c r="R15" i="11"/>
  <c r="R44" i="11" s="1"/>
  <c r="Q15" i="11"/>
  <c r="Q44" i="11" s="1"/>
  <c r="P15" i="11"/>
  <c r="P44" i="11" s="1"/>
  <c r="O15" i="11"/>
  <c r="O44" i="11" s="1"/>
  <c r="N15" i="11"/>
  <c r="N44" i="11" s="1"/>
  <c r="M15" i="11"/>
  <c r="M44" i="11" s="1"/>
  <c r="L15" i="11"/>
  <c r="L44" i="11" s="1"/>
  <c r="K15" i="11"/>
  <c r="K44" i="11" s="1"/>
  <c r="J15" i="11"/>
  <c r="J44" i="11" s="1"/>
  <c r="I15" i="11"/>
  <c r="I44" i="11" s="1"/>
  <c r="H15" i="11"/>
  <c r="H44" i="11" s="1"/>
  <c r="G15" i="11"/>
  <c r="G44" i="11" s="1"/>
  <c r="F15" i="11"/>
  <c r="F44" i="11" s="1"/>
  <c r="E15" i="11"/>
  <c r="E44" i="11" s="1"/>
  <c r="D15" i="11"/>
  <c r="D44" i="11" s="1"/>
  <c r="C15" i="11"/>
  <c r="C44" i="11" s="1"/>
  <c r="C83" i="11" s="1"/>
  <c r="C12" i="11"/>
  <c r="B6" i="11"/>
  <c r="G4" i="11"/>
  <c r="G5" i="11" s="1"/>
  <c r="G6" i="11" s="1"/>
  <c r="B5" i="11"/>
  <c r="AU6" i="3"/>
  <c r="AU5" i="3"/>
  <c r="AU4" i="3"/>
  <c r="AU3" i="3"/>
  <c r="B4" i="11"/>
  <c r="B31" i="9"/>
  <c r="B30" i="9"/>
  <c r="B29" i="9"/>
  <c r="B28" i="9"/>
  <c r="B27" i="9"/>
  <c r="B26" i="9"/>
  <c r="B25" i="9"/>
  <c r="B24" i="9"/>
  <c r="B23" i="9"/>
  <c r="B22" i="9"/>
  <c r="B21" i="9"/>
  <c r="B20" i="9"/>
  <c r="B19" i="9"/>
  <c r="B18" i="9"/>
  <c r="B17" i="9"/>
  <c r="B16" i="9"/>
  <c r="B15" i="9"/>
  <c r="B14" i="9"/>
  <c r="B13" i="9"/>
  <c r="B12" i="9"/>
  <c r="B11" i="9"/>
  <c r="B18" i="8"/>
  <c r="B7" i="9"/>
  <c r="B42" i="8"/>
  <c r="B41" i="8"/>
  <c r="B40" i="8"/>
  <c r="B39" i="8"/>
  <c r="B38" i="8"/>
  <c r="B37" i="8"/>
  <c r="B36" i="8"/>
  <c r="B35" i="8"/>
  <c r="B34" i="8"/>
  <c r="B33" i="8"/>
  <c r="B32" i="8"/>
  <c r="B31" i="8"/>
  <c r="B30" i="8"/>
  <c r="B29" i="8"/>
  <c r="B28" i="8"/>
  <c r="B27" i="8"/>
  <c r="B26" i="8"/>
  <c r="B25" i="8"/>
  <c r="B24" i="8"/>
  <c r="B23" i="8"/>
  <c r="B22" i="8"/>
  <c r="B21" i="8"/>
  <c r="B20" i="8"/>
  <c r="B19" i="8"/>
  <c r="C16" i="8"/>
  <c r="C9" i="9" s="1"/>
  <c r="B15" i="8"/>
  <c r="B8" i="9" s="1"/>
  <c r="B13" i="8"/>
  <c r="B12" i="8"/>
  <c r="B11" i="8"/>
  <c r="B5" i="8"/>
  <c r="B4" i="9" s="1"/>
  <c r="B9" i="11" s="1"/>
  <c r="B3" i="8"/>
  <c r="B2" i="8"/>
  <c r="B2" i="9" s="1"/>
  <c r="B2" i="11" s="1"/>
  <c r="A231" i="6"/>
  <c r="A240" i="6"/>
  <c r="A239" i="6"/>
  <c r="A238" i="6"/>
  <c r="A237" i="6"/>
  <c r="I236" i="6"/>
  <c r="T236" i="6" s="1"/>
  <c r="G236" i="6"/>
  <c r="S236" i="6" s="1"/>
  <c r="E236" i="6"/>
  <c r="Q236" i="6" s="1"/>
  <c r="C236" i="6"/>
  <c r="O236" i="6" s="1"/>
  <c r="B236" i="6"/>
  <c r="M236" i="6" s="1"/>
  <c r="B235" i="6"/>
  <c r="A209" i="6"/>
  <c r="A206" i="6"/>
  <c r="A182" i="6"/>
  <c r="A179" i="6"/>
  <c r="A154" i="6"/>
  <c r="A156" i="6"/>
  <c r="A84" i="6"/>
  <c r="A131" i="6"/>
  <c r="A129" i="6"/>
  <c r="C6" i="3"/>
  <c r="C4" i="3"/>
  <c r="C3" i="3"/>
  <c r="C5" i="3"/>
  <c r="A86" i="6"/>
  <c r="A7" i="6"/>
  <c r="A23" i="6"/>
  <c r="A88" i="6" s="1"/>
  <c r="A133" i="6" s="1"/>
  <c r="A158" i="6" s="1"/>
  <c r="A185" i="6" s="1"/>
  <c r="A210" i="6" s="1"/>
  <c r="F23" i="6"/>
  <c r="H23" i="6"/>
  <c r="E23" i="6"/>
  <c r="D23" i="6"/>
  <c r="C23" i="6"/>
  <c r="C86" i="6"/>
  <c r="C131" i="6" s="1"/>
  <c r="C156" i="6" s="1"/>
  <c r="C183" i="6" s="1"/>
  <c r="C208" i="6" s="1"/>
  <c r="A21" i="6"/>
  <c r="A20" i="6"/>
  <c r="H16" i="6"/>
  <c r="F16" i="6"/>
  <c r="E16" i="6"/>
  <c r="C16" i="6"/>
  <c r="A16" i="6"/>
  <c r="I12" i="6"/>
  <c r="A12" i="6"/>
  <c r="A9" i="6"/>
  <c r="N7" i="6"/>
  <c r="N5" i="6"/>
  <c r="N3" i="6"/>
  <c r="A5" i="6"/>
  <c r="A3" i="6"/>
  <c r="A1" i="6"/>
  <c r="D17" i="13"/>
  <c r="E17" i="13"/>
  <c r="C17" i="13"/>
  <c r="E13" i="13"/>
  <c r="D13" i="13"/>
  <c r="C13" i="13"/>
  <c r="B17" i="13"/>
  <c r="B13" i="13"/>
  <c r="D88" i="6" l="1"/>
  <c r="D133" i="6" s="1"/>
  <c r="D158" i="6" s="1"/>
  <c r="D185" i="6" s="1"/>
  <c r="D210" i="6" s="1"/>
  <c r="N23" i="6"/>
  <c r="N88" i="6" s="1"/>
  <c r="N133" i="6" s="1"/>
  <c r="N158" i="6" s="1"/>
  <c r="N185" i="6" s="1"/>
  <c r="N210" i="6" s="1"/>
  <c r="C88" i="6"/>
  <c r="C133" i="6" s="1"/>
  <c r="C158" i="6" s="1"/>
  <c r="C185" i="6" s="1"/>
  <c r="C210" i="6" s="1"/>
  <c r="M23" i="6"/>
  <c r="M88" i="6" s="1"/>
  <c r="M133" i="6" s="1"/>
  <c r="M158" i="6" s="1"/>
  <c r="M185" i="6" s="1"/>
  <c r="M210" i="6" s="1"/>
  <c r="F88" i="6"/>
  <c r="F133" i="6" s="1"/>
  <c r="F158" i="6" s="1"/>
  <c r="F185" i="6" s="1"/>
  <c r="F210" i="6" s="1"/>
  <c r="P23" i="6"/>
  <c r="P88" i="6" s="1"/>
  <c r="P133" i="6" s="1"/>
  <c r="P158" i="6" s="1"/>
  <c r="P185" i="6" s="1"/>
  <c r="P210" i="6" s="1"/>
  <c r="E88" i="6"/>
  <c r="E133" i="6" s="1"/>
  <c r="E158" i="6" s="1"/>
  <c r="E185" i="6" s="1"/>
  <c r="E210" i="6" s="1"/>
  <c r="O23" i="6"/>
  <c r="O88" i="6" s="1"/>
  <c r="O133" i="6" s="1"/>
  <c r="O158" i="6" s="1"/>
  <c r="O185" i="6" s="1"/>
  <c r="O210" i="6" s="1"/>
  <c r="H88" i="6"/>
  <c r="H133" i="6" s="1"/>
  <c r="H158" i="6" s="1"/>
  <c r="H185" i="6" s="1"/>
  <c r="H210" i="6" s="1"/>
  <c r="R23" i="6"/>
  <c r="R88" i="6" s="1"/>
  <c r="R133" i="6" s="1"/>
  <c r="R158" i="6" s="1"/>
  <c r="R185" i="6" s="1"/>
  <c r="R210" i="6" s="1"/>
  <c r="AI85" i="11"/>
  <c r="AI87" i="11" s="1"/>
  <c r="AJ85" i="11"/>
  <c r="AJ87" i="11" s="1"/>
  <c r="AK85" i="11"/>
  <c r="AK87" i="11" s="1"/>
  <c r="AL85" i="11"/>
  <c r="AL87" i="11" s="1"/>
  <c r="AI86" i="11"/>
  <c r="AJ86" i="11"/>
  <c r="AK86" i="11"/>
  <c r="AL86" i="11"/>
  <c r="G50" i="11" l="1"/>
  <c r="C5" i="12"/>
  <c r="C39"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E30" i="12"/>
  <c r="F30" i="12" s="1"/>
  <c r="G30" i="12" s="1"/>
  <c r="H30" i="12" s="1"/>
  <c r="I30" i="12" s="1"/>
  <c r="J30" i="12" s="1"/>
  <c r="K30" i="12" s="1"/>
  <c r="L30" i="12" s="1"/>
  <c r="M30" i="12" s="1"/>
  <c r="N30" i="12" s="1"/>
  <c r="O30" i="12" s="1"/>
  <c r="P30" i="12" s="1"/>
  <c r="Q30" i="12" s="1"/>
  <c r="R30" i="12" s="1"/>
  <c r="S30" i="12" s="1"/>
  <c r="T30" i="12" s="1"/>
  <c r="U30" i="12" s="1"/>
  <c r="V30" i="12" s="1"/>
  <c r="W30" i="12" s="1"/>
  <c r="X30" i="12" s="1"/>
  <c r="Y30" i="12" s="1"/>
  <c r="Z30" i="12" s="1"/>
  <c r="AA30" i="12" s="1"/>
  <c r="AB30" i="12" s="1"/>
  <c r="D30" i="12"/>
  <c r="E11" i="12"/>
  <c r="D11" i="12"/>
  <c r="C5" i="9"/>
  <c r="C10" i="11"/>
  <c r="E86" i="11"/>
  <c r="Q84" i="11"/>
  <c r="P84" i="11"/>
  <c r="O84" i="11"/>
  <c r="N84" i="11"/>
  <c r="M84" i="11"/>
  <c r="L84" i="11"/>
  <c r="K84" i="11"/>
  <c r="J84" i="11"/>
  <c r="I84" i="11"/>
  <c r="H84" i="11"/>
  <c r="G84" i="11"/>
  <c r="F84" i="11"/>
  <c r="E84" i="11"/>
  <c r="D84"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B50" i="11"/>
  <c r="AA50" i="11"/>
  <c r="Z50" i="11"/>
  <c r="Y50" i="11"/>
  <c r="X50" i="11"/>
  <c r="W50" i="11"/>
  <c r="V50" i="11"/>
  <c r="U50" i="11"/>
  <c r="T50" i="11"/>
  <c r="S50" i="11"/>
  <c r="R50" i="11"/>
  <c r="Q50" i="11"/>
  <c r="P50" i="11"/>
  <c r="O50" i="11"/>
  <c r="N50" i="11"/>
  <c r="M50" i="11"/>
  <c r="L50" i="11"/>
  <c r="K50" i="11"/>
  <c r="J50" i="11"/>
  <c r="I50" i="11"/>
  <c r="H50" i="11"/>
  <c r="F50" i="11"/>
  <c r="E50" i="11"/>
  <c r="D50" i="11"/>
  <c r="C50" i="11"/>
  <c r="C46"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B17" i="11"/>
  <c r="AA17" i="11"/>
  <c r="Z17" i="11"/>
  <c r="Y17" i="11"/>
  <c r="X17" i="11"/>
  <c r="W17" i="11"/>
  <c r="V17" i="11"/>
  <c r="U17" i="11"/>
  <c r="T17" i="11"/>
  <c r="S17" i="11"/>
  <c r="R17" i="11"/>
  <c r="Q17" i="11"/>
  <c r="P17" i="11"/>
  <c r="P16" i="11" s="1"/>
  <c r="P13" i="12" s="1"/>
  <c r="O17" i="11"/>
  <c r="N17" i="11"/>
  <c r="M17" i="11"/>
  <c r="L17" i="11"/>
  <c r="K17" i="11"/>
  <c r="J17" i="11"/>
  <c r="I17" i="11"/>
  <c r="H17" i="11"/>
  <c r="G17" i="11"/>
  <c r="G16" i="11" s="1"/>
  <c r="G13" i="12" s="1"/>
  <c r="F17" i="11"/>
  <c r="E17" i="11"/>
  <c r="D17" i="11"/>
  <c r="C17" i="11"/>
  <c r="C16" i="11" s="1"/>
  <c r="C13" i="12" s="1"/>
  <c r="F6" i="11"/>
  <c r="F17" i="8"/>
  <c r="F10" i="8" s="1"/>
  <c r="E10" i="8" s="1"/>
  <c r="D10" i="8" s="1"/>
  <c r="C10" i="8" s="1"/>
  <c r="P33" i="12" l="1"/>
  <c r="P209" i="14"/>
  <c r="P189" i="14"/>
  <c r="P107" i="14"/>
  <c r="P25" i="14"/>
  <c r="P250" i="14"/>
  <c r="P230" i="14"/>
  <c r="G33" i="12"/>
  <c r="G250" i="14"/>
  <c r="G189" i="14"/>
  <c r="G107" i="14"/>
  <c r="G127" i="14" s="1"/>
  <c r="G148" i="14" s="1"/>
  <c r="G168" i="14" s="1"/>
  <c r="G230" i="14"/>
  <c r="G209" i="14"/>
  <c r="G25" i="14"/>
  <c r="G45" i="14" s="1"/>
  <c r="G66" i="14" s="1"/>
  <c r="G86" i="14" s="1"/>
  <c r="C33" i="12"/>
  <c r="C189" i="14"/>
  <c r="C107" i="14"/>
  <c r="C127" i="14" s="1"/>
  <c r="C148" i="14" s="1"/>
  <c r="C168" i="14" s="1"/>
  <c r="C25" i="14"/>
  <c r="C45" i="14" s="1"/>
  <c r="C66" i="14" s="1"/>
  <c r="C86" i="14" s="1"/>
  <c r="C250" i="14"/>
  <c r="C230" i="14"/>
  <c r="C209" i="14"/>
  <c r="X16" i="11"/>
  <c r="X13" i="12" s="1"/>
  <c r="AB16" i="11"/>
  <c r="AB13" i="12" s="1"/>
  <c r="AB33" i="12" s="1"/>
  <c r="T16" i="11"/>
  <c r="T13" i="12" s="1"/>
  <c r="H16" i="11"/>
  <c r="H13" i="12" s="1"/>
  <c r="L16" i="11"/>
  <c r="L13" i="12" s="1"/>
  <c r="K16" i="11"/>
  <c r="K13" i="12" s="1"/>
  <c r="S16" i="11"/>
  <c r="S13" i="12" s="1"/>
  <c r="AA16" i="11"/>
  <c r="AA13" i="12" s="1"/>
  <c r="O16" i="11"/>
  <c r="O13" i="12" s="1"/>
  <c r="W16" i="11"/>
  <c r="W13" i="12" s="1"/>
  <c r="F86" i="11"/>
  <c r="G86" i="11" s="1"/>
  <c r="H86" i="11" s="1"/>
  <c r="I86" i="11" s="1"/>
  <c r="J86" i="11" s="1"/>
  <c r="K86" i="11" s="1"/>
  <c r="L86" i="11" s="1"/>
  <c r="M86" i="11" s="1"/>
  <c r="N86" i="11" s="1"/>
  <c r="O86" i="11" s="1"/>
  <c r="P86" i="11" s="1"/>
  <c r="Q86" i="11" s="1"/>
  <c r="R86" i="11" s="1"/>
  <c r="S86" i="11" s="1"/>
  <c r="T86" i="11" s="1"/>
  <c r="U86" i="11" s="1"/>
  <c r="V86" i="11" s="1"/>
  <c r="W86" i="11" s="1"/>
  <c r="X86" i="11" s="1"/>
  <c r="Y86" i="11" s="1"/>
  <c r="Z86" i="11" s="1"/>
  <c r="AA86" i="11" s="1"/>
  <c r="AB86" i="11" s="1"/>
  <c r="AC86" i="11" s="1"/>
  <c r="AD86" i="11" s="1"/>
  <c r="AE86" i="11" s="1"/>
  <c r="AF86" i="11" s="1"/>
  <c r="AG86" i="11" s="1"/>
  <c r="AH86" i="11" s="1"/>
  <c r="F16" i="11"/>
  <c r="F13" i="12" s="1"/>
  <c r="J16" i="11"/>
  <c r="J13" i="12" s="1"/>
  <c r="N16" i="11"/>
  <c r="N13" i="12" s="1"/>
  <c r="R16" i="11"/>
  <c r="R13" i="12" s="1"/>
  <c r="V16" i="11"/>
  <c r="V13" i="12" s="1"/>
  <c r="Z16" i="11"/>
  <c r="Z13" i="12" s="1"/>
  <c r="E16" i="11"/>
  <c r="E13" i="12" s="1"/>
  <c r="D16" i="11"/>
  <c r="D13" i="12" s="1"/>
  <c r="C45" i="11"/>
  <c r="I16" i="11"/>
  <c r="I13" i="12" s="1"/>
  <c r="M16" i="11"/>
  <c r="M13" i="12" s="1"/>
  <c r="Q16" i="11"/>
  <c r="Q13" i="12" s="1"/>
  <c r="U16" i="11"/>
  <c r="U13" i="12" s="1"/>
  <c r="Y16" i="11"/>
  <c r="Y13" i="12" s="1"/>
  <c r="X16" i="12"/>
  <c r="G16" i="12"/>
  <c r="AA16" i="12"/>
  <c r="S16" i="12"/>
  <c r="N16" i="12"/>
  <c r="J16" i="12"/>
  <c r="F16" i="12"/>
  <c r="T16" i="12"/>
  <c r="K16" i="12"/>
  <c r="Z16" i="12"/>
  <c r="V16" i="12"/>
  <c r="Q16" i="12"/>
  <c r="M16" i="12"/>
  <c r="I16" i="12"/>
  <c r="E16" i="12"/>
  <c r="E36" i="12" s="1"/>
  <c r="O16" i="12"/>
  <c r="C16" i="12"/>
  <c r="Y16" i="12"/>
  <c r="U16" i="12"/>
  <c r="P16" i="12"/>
  <c r="L16" i="12"/>
  <c r="H16" i="12"/>
  <c r="D16" i="12"/>
  <c r="D36" i="12" s="1"/>
  <c r="E17" i="8"/>
  <c r="D17" i="8" s="1"/>
  <c r="C17" i="8" s="1"/>
  <c r="F10" i="9"/>
  <c r="E10" i="9" s="1"/>
  <c r="D10" i="9" s="1"/>
  <c r="C10" i="9" s="1"/>
  <c r="F11" i="12"/>
  <c r="D46" i="11"/>
  <c r="D45" i="11" s="1"/>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Q212" i="6"/>
  <c r="Q213" i="6"/>
  <c r="Q214" i="6"/>
  <c r="Q215" i="6"/>
  <c r="Q216" i="6"/>
  <c r="Q217" i="6"/>
  <c r="Q218" i="6"/>
  <c r="Q219" i="6"/>
  <c r="Q220" i="6"/>
  <c r="Q221" i="6"/>
  <c r="Q222" i="6"/>
  <c r="Q223" i="6"/>
  <c r="Q224" i="6"/>
  <c r="Q225" i="6"/>
  <c r="Q226" i="6"/>
  <c r="Q227" i="6"/>
  <c r="Q228" i="6"/>
  <c r="Q229" i="6"/>
  <c r="Q230" i="6"/>
  <c r="Q211" i="6"/>
  <c r="Q187" i="6"/>
  <c r="Q188" i="6"/>
  <c r="Q189" i="6"/>
  <c r="Q190" i="6"/>
  <c r="Q191" i="6"/>
  <c r="Q192" i="6"/>
  <c r="Q193" i="6"/>
  <c r="Q194" i="6"/>
  <c r="Q195" i="6"/>
  <c r="Q196" i="6"/>
  <c r="Q197" i="6"/>
  <c r="Q198" i="6"/>
  <c r="Q199" i="6"/>
  <c r="Q200" i="6"/>
  <c r="Q201" i="6"/>
  <c r="Q202" i="6"/>
  <c r="Q203" i="6"/>
  <c r="Q204" i="6"/>
  <c r="Q205" i="6"/>
  <c r="Q186" i="6"/>
  <c r="Q160" i="6"/>
  <c r="Q161" i="6"/>
  <c r="Q162" i="6"/>
  <c r="Q163" i="6"/>
  <c r="Q164" i="6"/>
  <c r="Q165" i="6"/>
  <c r="Q166" i="6"/>
  <c r="Q167" i="6"/>
  <c r="Q168" i="6"/>
  <c r="Q169" i="6"/>
  <c r="Q170" i="6"/>
  <c r="Q171" i="6"/>
  <c r="Q172" i="6"/>
  <c r="Q173" i="6"/>
  <c r="Q174" i="6"/>
  <c r="Q175" i="6"/>
  <c r="Q176" i="6"/>
  <c r="Q177" i="6"/>
  <c r="Q178" i="6"/>
  <c r="Q159" i="6"/>
  <c r="Q135" i="6"/>
  <c r="Q136" i="6"/>
  <c r="Q137" i="6"/>
  <c r="Q138" i="6"/>
  <c r="Q139" i="6"/>
  <c r="Q140" i="6"/>
  <c r="Q141" i="6"/>
  <c r="Q142" i="6"/>
  <c r="Q143" i="6"/>
  <c r="Q144" i="6"/>
  <c r="Q145" i="6"/>
  <c r="Q146" i="6"/>
  <c r="Q147" i="6"/>
  <c r="Q148" i="6"/>
  <c r="Q149" i="6"/>
  <c r="Q150" i="6"/>
  <c r="Q151" i="6"/>
  <c r="Q152" i="6"/>
  <c r="Q153" i="6"/>
  <c r="Q134"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89" i="6"/>
  <c r="Q83"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24" i="6"/>
  <c r="G24" i="6"/>
  <c r="I24" i="6" s="1"/>
  <c r="Q33" i="12" l="1"/>
  <c r="Q250" i="14"/>
  <c r="Q230" i="14"/>
  <c r="Q209" i="14"/>
  <c r="Q189" i="14"/>
  <c r="Q107" i="14"/>
  <c r="Q25" i="14"/>
  <c r="D33" i="12"/>
  <c r="D230" i="14"/>
  <c r="D209" i="14"/>
  <c r="D250" i="14"/>
  <c r="D189" i="14"/>
  <c r="D107" i="14"/>
  <c r="D127" i="14" s="1"/>
  <c r="D148" i="14" s="1"/>
  <c r="D168" i="14" s="1"/>
  <c r="D25" i="14"/>
  <c r="D45" i="14" s="1"/>
  <c r="D66" i="14" s="1"/>
  <c r="D86" i="14" s="1"/>
  <c r="S33" i="12"/>
  <c r="S250" i="14"/>
  <c r="S25" i="14"/>
  <c r="S230" i="14"/>
  <c r="S107" i="14"/>
  <c r="S209" i="14"/>
  <c r="S189" i="14"/>
  <c r="P127" i="14"/>
  <c r="M33" i="12"/>
  <c r="M250" i="14"/>
  <c r="M230" i="14"/>
  <c r="M209" i="14"/>
  <c r="M189" i="14"/>
  <c r="M107" i="14"/>
  <c r="M25" i="14"/>
  <c r="E33" i="12"/>
  <c r="E25" i="14"/>
  <c r="E45" i="14" s="1"/>
  <c r="E66" i="14" s="1"/>
  <c r="E86" i="14" s="1"/>
  <c r="E230" i="14"/>
  <c r="E209" i="14"/>
  <c r="E250" i="14"/>
  <c r="E107" i="14"/>
  <c r="E127" i="14" s="1"/>
  <c r="E148" i="14" s="1"/>
  <c r="E168" i="14" s="1"/>
  <c r="E189" i="14"/>
  <c r="N33" i="12"/>
  <c r="N250" i="14"/>
  <c r="N230" i="14"/>
  <c r="N209" i="14"/>
  <c r="N189" i="14"/>
  <c r="N25" i="14"/>
  <c r="N107" i="14"/>
  <c r="W33" i="12"/>
  <c r="W250" i="14"/>
  <c r="W230" i="14"/>
  <c r="W107" i="14"/>
  <c r="W209" i="14"/>
  <c r="W189" i="14"/>
  <c r="W25" i="14"/>
  <c r="K33" i="12"/>
  <c r="K250" i="14"/>
  <c r="K25" i="14"/>
  <c r="K230" i="14"/>
  <c r="K107" i="14"/>
  <c r="K209" i="14"/>
  <c r="K189" i="14"/>
  <c r="T33" i="12"/>
  <c r="T209" i="14"/>
  <c r="T189" i="14"/>
  <c r="T107" i="14"/>
  <c r="T25" i="14"/>
  <c r="T250" i="14"/>
  <c r="T230" i="14"/>
  <c r="Y33" i="12"/>
  <c r="Y250" i="14"/>
  <c r="Y230" i="14"/>
  <c r="Y209" i="14"/>
  <c r="Y189" i="14"/>
  <c r="Y107" i="14"/>
  <c r="Y25" i="14"/>
  <c r="I33" i="12"/>
  <c r="I250" i="14"/>
  <c r="I230" i="14"/>
  <c r="I209" i="14"/>
  <c r="I189" i="14"/>
  <c r="I107" i="14"/>
  <c r="I25" i="14"/>
  <c r="Z250" i="14"/>
  <c r="Z230" i="14"/>
  <c r="Z25" i="14"/>
  <c r="Z107" i="14"/>
  <c r="Z209" i="14"/>
  <c r="Z189" i="14"/>
  <c r="J33" i="12"/>
  <c r="J250" i="14"/>
  <c r="J230" i="14"/>
  <c r="J25" i="14"/>
  <c r="J107" i="14"/>
  <c r="J209" i="14"/>
  <c r="J189" i="14"/>
  <c r="O33" i="12"/>
  <c r="O250" i="14"/>
  <c r="O230" i="14"/>
  <c r="O107" i="14"/>
  <c r="O209" i="14"/>
  <c r="O189" i="14"/>
  <c r="O25" i="14"/>
  <c r="L33" i="12"/>
  <c r="L209" i="14"/>
  <c r="L189" i="14"/>
  <c r="L107" i="14"/>
  <c r="L25" i="14"/>
  <c r="L250" i="14"/>
  <c r="L230" i="14"/>
  <c r="X33" i="12"/>
  <c r="X209" i="14"/>
  <c r="X189" i="14"/>
  <c r="X107" i="14"/>
  <c r="X25" i="14"/>
  <c r="X230" i="14"/>
  <c r="X250" i="14"/>
  <c r="R33" i="12"/>
  <c r="R250" i="14"/>
  <c r="R230" i="14"/>
  <c r="R25" i="14"/>
  <c r="R107" i="14"/>
  <c r="R209" i="14"/>
  <c r="R189" i="14"/>
  <c r="Z33" i="12"/>
  <c r="U33" i="12"/>
  <c r="U250" i="14"/>
  <c r="U230" i="14"/>
  <c r="U209" i="14"/>
  <c r="U189" i="14"/>
  <c r="U107" i="14"/>
  <c r="U25" i="14"/>
  <c r="V33" i="12"/>
  <c r="V250" i="14"/>
  <c r="V230" i="14"/>
  <c r="V209" i="14"/>
  <c r="V189" i="14"/>
  <c r="V25" i="14"/>
  <c r="V107" i="14"/>
  <c r="F33" i="12"/>
  <c r="F25" i="14"/>
  <c r="F45" i="14" s="1"/>
  <c r="F66" i="14" s="1"/>
  <c r="F86" i="14" s="1"/>
  <c r="F250" i="14"/>
  <c r="F230" i="14"/>
  <c r="F209" i="14"/>
  <c r="F107" i="14"/>
  <c r="F127" i="14" s="1"/>
  <c r="F148" i="14" s="1"/>
  <c r="F168" i="14" s="1"/>
  <c r="F189" i="14"/>
  <c r="AA33" i="12"/>
  <c r="AA250" i="14"/>
  <c r="AA25" i="14"/>
  <c r="AA230" i="14"/>
  <c r="AA107" i="14"/>
  <c r="AA209" i="14"/>
  <c r="AA189" i="14"/>
  <c r="H33" i="12"/>
  <c r="H230" i="14"/>
  <c r="H209" i="14"/>
  <c r="H250" i="14"/>
  <c r="H189" i="14"/>
  <c r="H107" i="14"/>
  <c r="H127" i="14" s="1"/>
  <c r="H148" i="14" s="1"/>
  <c r="H168" i="14" s="1"/>
  <c r="H25" i="14"/>
  <c r="H45" i="14" s="1"/>
  <c r="H66" i="14" s="1"/>
  <c r="H86" i="14" s="1"/>
  <c r="P45" i="14"/>
  <c r="C14" i="12"/>
  <c r="C85" i="11"/>
  <c r="D85" i="11" s="1"/>
  <c r="D87" i="11" s="1"/>
  <c r="D14" i="12"/>
  <c r="F36" i="12"/>
  <c r="G11" i="12"/>
  <c r="E46" i="11"/>
  <c r="E45" i="11" s="1"/>
  <c r="T243" i="6"/>
  <c r="T18" i="6" s="1"/>
  <c r="T242" i="6"/>
  <c r="T241" i="6"/>
  <c r="T240" i="6"/>
  <c r="T239" i="6"/>
  <c r="T238" i="6"/>
  <c r="T237" i="6"/>
  <c r="Y243" i="6"/>
  <c r="S243" i="6"/>
  <c r="R18" i="6" s="1"/>
  <c r="Q243" i="6"/>
  <c r="O243" i="6"/>
  <c r="Y242" i="6"/>
  <c r="S242" i="6"/>
  <c r="Q242" i="6"/>
  <c r="O242" i="6"/>
  <c r="I242" i="6"/>
  <c r="E242" i="6"/>
  <c r="Y241" i="6"/>
  <c r="S241" i="6"/>
  <c r="Q241" i="6"/>
  <c r="O241" i="6"/>
  <c r="Y240" i="6"/>
  <c r="S240" i="6"/>
  <c r="Q240" i="6"/>
  <c r="O240" i="6"/>
  <c r="I240" i="6"/>
  <c r="G240" i="6"/>
  <c r="E240" i="6"/>
  <c r="C240" i="6"/>
  <c r="Y239" i="6"/>
  <c r="S239" i="6"/>
  <c r="Q239" i="6"/>
  <c r="O239" i="6"/>
  <c r="I239" i="6"/>
  <c r="G239" i="6"/>
  <c r="E239" i="6"/>
  <c r="Y238" i="6"/>
  <c r="S238" i="6"/>
  <c r="Q238" i="6"/>
  <c r="O238" i="6"/>
  <c r="I238" i="6"/>
  <c r="G238" i="6"/>
  <c r="C238" i="6"/>
  <c r="Y237" i="6"/>
  <c r="S237" i="6"/>
  <c r="Q237" i="6"/>
  <c r="O237" i="6"/>
  <c r="I237" i="6"/>
  <c r="G237" i="6"/>
  <c r="E237" i="6"/>
  <c r="C237" i="6"/>
  <c r="Y236" i="6"/>
  <c r="Y235" i="6"/>
  <c r="Y234" i="6"/>
  <c r="Y233" i="6"/>
  <c r="Y232" i="6"/>
  <c r="Y231" i="6"/>
  <c r="Y230" i="6"/>
  <c r="Y229" i="6"/>
  <c r="Y228" i="6"/>
  <c r="Y227" i="6"/>
  <c r="Y226" i="6"/>
  <c r="Y225" i="6"/>
  <c r="Y224" i="6"/>
  <c r="Y223" i="6"/>
  <c r="Y222" i="6"/>
  <c r="Y221" i="6"/>
  <c r="Y220" i="6"/>
  <c r="Y219" i="6"/>
  <c r="Y218" i="6"/>
  <c r="Y217" i="6"/>
  <c r="Y216" i="6"/>
  <c r="Y215" i="6"/>
  <c r="Y214" i="6"/>
  <c r="Y213" i="6"/>
  <c r="Y212" i="6"/>
  <c r="Y211" i="6"/>
  <c r="Y210" i="6"/>
  <c r="Y209" i="6"/>
  <c r="Y208" i="6"/>
  <c r="Y207" i="6"/>
  <c r="Y206" i="6"/>
  <c r="Y205" i="6"/>
  <c r="Y204" i="6"/>
  <c r="Y203" i="6"/>
  <c r="Y202" i="6"/>
  <c r="Y201" i="6"/>
  <c r="Y200" i="6"/>
  <c r="Y199" i="6"/>
  <c r="Y198" i="6"/>
  <c r="Y197" i="6"/>
  <c r="Y196" i="6"/>
  <c r="Y195" i="6"/>
  <c r="Y194" i="6"/>
  <c r="Y193" i="6"/>
  <c r="Y192" i="6"/>
  <c r="Y191" i="6"/>
  <c r="Y190" i="6"/>
  <c r="Y189" i="6"/>
  <c r="Y188" i="6"/>
  <c r="Y187" i="6"/>
  <c r="Y186" i="6"/>
  <c r="Y185" i="6"/>
  <c r="Y184" i="6"/>
  <c r="Y183" i="6"/>
  <c r="Y182" i="6"/>
  <c r="Y181" i="6"/>
  <c r="Y180" i="6"/>
  <c r="Y179" i="6"/>
  <c r="Y178" i="6"/>
  <c r="Y177" i="6"/>
  <c r="Y176" i="6"/>
  <c r="Y175" i="6"/>
  <c r="Y174" i="6"/>
  <c r="Y173" i="6"/>
  <c r="Y172" i="6"/>
  <c r="Y171" i="6"/>
  <c r="Y170" i="6"/>
  <c r="Y169" i="6"/>
  <c r="Y168" i="6"/>
  <c r="Y167" i="6"/>
  <c r="Y166" i="6"/>
  <c r="Y165" i="6"/>
  <c r="Y164" i="6"/>
  <c r="Y163" i="6"/>
  <c r="Y162" i="6"/>
  <c r="Y161" i="6"/>
  <c r="Y160" i="6"/>
  <c r="Y159" i="6"/>
  <c r="Y158" i="6"/>
  <c r="Y157" i="6"/>
  <c r="Y156" i="6"/>
  <c r="Y155" i="6"/>
  <c r="Y154" i="6"/>
  <c r="Y153" i="6"/>
  <c r="Y152" i="6"/>
  <c r="Y151" i="6"/>
  <c r="Y150" i="6"/>
  <c r="Y149" i="6"/>
  <c r="Y148" i="6"/>
  <c r="Y147" i="6"/>
  <c r="Y146" i="6"/>
  <c r="Y145" i="6"/>
  <c r="Y144" i="6"/>
  <c r="Y143" i="6"/>
  <c r="Y142" i="6"/>
  <c r="Y141" i="6"/>
  <c r="Y140" i="6"/>
  <c r="Y139" i="6"/>
  <c r="Y138" i="6"/>
  <c r="Y137" i="6"/>
  <c r="Y136" i="6"/>
  <c r="Y135" i="6"/>
  <c r="Y134" i="6"/>
  <c r="Y133" i="6"/>
  <c r="Y132" i="6"/>
  <c r="Y131" i="6"/>
  <c r="Y130" i="6"/>
  <c r="Y129" i="6"/>
  <c r="Y128" i="6"/>
  <c r="Y127" i="6"/>
  <c r="Y126" i="6"/>
  <c r="Y125" i="6"/>
  <c r="Y124" i="6"/>
  <c r="Y123" i="6"/>
  <c r="Y122" i="6"/>
  <c r="Y121" i="6"/>
  <c r="Y120" i="6"/>
  <c r="Y119" i="6"/>
  <c r="Y118" i="6"/>
  <c r="Y117" i="6"/>
  <c r="Y116" i="6"/>
  <c r="Y115" i="6"/>
  <c r="Y114" i="6"/>
  <c r="Y113" i="6"/>
  <c r="Y112" i="6"/>
  <c r="Y111" i="6"/>
  <c r="Y110" i="6"/>
  <c r="Y109" i="6"/>
  <c r="Y108" i="6"/>
  <c r="Y107" i="6"/>
  <c r="Y106" i="6"/>
  <c r="Y105" i="6"/>
  <c r="Y104" i="6"/>
  <c r="Y103" i="6"/>
  <c r="Y102" i="6"/>
  <c r="Y101" i="6"/>
  <c r="Y100" i="6"/>
  <c r="Y99" i="6"/>
  <c r="Y98" i="6"/>
  <c r="Y97" i="6"/>
  <c r="Y96" i="6"/>
  <c r="Y95" i="6"/>
  <c r="Y94" i="6"/>
  <c r="Y93" i="6"/>
  <c r="Y92" i="6"/>
  <c r="Y91" i="6"/>
  <c r="Y90" i="6"/>
  <c r="Y89" i="6"/>
  <c r="Y88" i="6"/>
  <c r="Y87" i="6"/>
  <c r="Y86" i="6"/>
  <c r="Y85" i="6"/>
  <c r="Y84" i="6"/>
  <c r="Y83" i="6"/>
  <c r="Y82" i="6"/>
  <c r="Y81" i="6"/>
  <c r="Y80" i="6"/>
  <c r="Y79" i="6"/>
  <c r="Y78" i="6"/>
  <c r="Y7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D210" i="14" l="1"/>
  <c r="D190" i="14"/>
  <c r="D149" i="14"/>
  <c r="D128" i="14"/>
  <c r="D251" i="14"/>
  <c r="D231" i="14"/>
  <c r="D108" i="14"/>
  <c r="D26" i="14"/>
  <c r="D46" i="14" s="1"/>
  <c r="D67" i="14" s="1"/>
  <c r="D87" i="14" s="1"/>
  <c r="D169" i="14"/>
  <c r="C108" i="14"/>
  <c r="C210" i="14"/>
  <c r="C231" i="14"/>
  <c r="C190" i="14"/>
  <c r="C128" i="14"/>
  <c r="C169" i="14"/>
  <c r="C251" i="14"/>
  <c r="C26" i="14"/>
  <c r="C46" i="14" s="1"/>
  <c r="C67" i="14" s="1"/>
  <c r="C87" i="14" s="1"/>
  <c r="C149" i="14"/>
  <c r="L45" i="14"/>
  <c r="K127" i="14"/>
  <c r="W127" i="14"/>
  <c r="Y45" i="14"/>
  <c r="AA127" i="14"/>
  <c r="V127" i="14"/>
  <c r="U127" i="14"/>
  <c r="X45" i="14"/>
  <c r="L127" i="14"/>
  <c r="O45" i="14"/>
  <c r="Z127" i="14"/>
  <c r="I45" i="14"/>
  <c r="Y127" i="14"/>
  <c r="T45" i="14"/>
  <c r="W45" i="14"/>
  <c r="N45" i="14"/>
  <c r="S127" i="14"/>
  <c r="Q45" i="14"/>
  <c r="O127" i="14"/>
  <c r="V45" i="14"/>
  <c r="R127" i="14"/>
  <c r="X127" i="14"/>
  <c r="J127" i="14"/>
  <c r="Z45" i="14"/>
  <c r="I127" i="14"/>
  <c r="T127" i="14"/>
  <c r="K45" i="14"/>
  <c r="M45" i="14"/>
  <c r="P148" i="14"/>
  <c r="Q127" i="14"/>
  <c r="U45" i="14"/>
  <c r="N127" i="14"/>
  <c r="P66" i="14"/>
  <c r="AA45" i="14"/>
  <c r="R45" i="14"/>
  <c r="J45" i="14"/>
  <c r="M127" i="14"/>
  <c r="S45" i="14"/>
  <c r="C34" i="12"/>
  <c r="C35" i="12" s="1"/>
  <c r="C15" i="12"/>
  <c r="E85" i="11"/>
  <c r="E87" i="11" s="1"/>
  <c r="E14" i="12"/>
  <c r="D34" i="12"/>
  <c r="D35" i="12" s="1"/>
  <c r="D37" i="12" s="1"/>
  <c r="D15" i="12"/>
  <c r="D17" i="12" s="1"/>
  <c r="H11" i="12"/>
  <c r="F46" i="11"/>
  <c r="F45" i="11" s="1"/>
  <c r="I84" i="6"/>
  <c r="G212" i="6"/>
  <c r="G213" i="6"/>
  <c r="G214" i="6"/>
  <c r="G215" i="6"/>
  <c r="G216" i="6"/>
  <c r="G217" i="6"/>
  <c r="G218" i="6"/>
  <c r="G219" i="6"/>
  <c r="G220" i="6"/>
  <c r="G221" i="6"/>
  <c r="G222" i="6"/>
  <c r="G223" i="6"/>
  <c r="G224" i="6"/>
  <c r="G225" i="6"/>
  <c r="G226" i="6"/>
  <c r="G227" i="6"/>
  <c r="G228" i="6"/>
  <c r="G229" i="6"/>
  <c r="G230" i="6"/>
  <c r="G211" i="6"/>
  <c r="G187" i="6"/>
  <c r="G188" i="6"/>
  <c r="G189" i="6"/>
  <c r="G190" i="6"/>
  <c r="G191" i="6"/>
  <c r="G192" i="6"/>
  <c r="G193" i="6"/>
  <c r="G194" i="6"/>
  <c r="G195" i="6"/>
  <c r="G196" i="6"/>
  <c r="G197" i="6"/>
  <c r="G198" i="6"/>
  <c r="G199" i="6"/>
  <c r="G200" i="6"/>
  <c r="G201" i="6"/>
  <c r="G202" i="6"/>
  <c r="G203" i="6"/>
  <c r="G204" i="6"/>
  <c r="G205" i="6"/>
  <c r="G186" i="6"/>
  <c r="G160" i="6"/>
  <c r="G161" i="6"/>
  <c r="G162" i="6"/>
  <c r="G163" i="6"/>
  <c r="G164" i="6"/>
  <c r="G165" i="6"/>
  <c r="G166" i="6"/>
  <c r="G167" i="6"/>
  <c r="G168" i="6"/>
  <c r="G169" i="6"/>
  <c r="G170" i="6"/>
  <c r="G171" i="6"/>
  <c r="G172" i="6"/>
  <c r="G173" i="6"/>
  <c r="G174" i="6"/>
  <c r="G175" i="6"/>
  <c r="G176" i="6"/>
  <c r="G177" i="6"/>
  <c r="G178" i="6"/>
  <c r="G159" i="6"/>
  <c r="G136" i="6"/>
  <c r="G135" i="6"/>
  <c r="G137" i="6"/>
  <c r="G138" i="6"/>
  <c r="G139" i="6"/>
  <c r="G140" i="6"/>
  <c r="G141" i="6"/>
  <c r="G142" i="6"/>
  <c r="G143" i="6"/>
  <c r="G144" i="6"/>
  <c r="G145" i="6"/>
  <c r="G146" i="6"/>
  <c r="G147" i="6"/>
  <c r="G148" i="6"/>
  <c r="G149" i="6"/>
  <c r="G150" i="6"/>
  <c r="G151" i="6"/>
  <c r="G152" i="6"/>
  <c r="G153" i="6"/>
  <c r="G134" i="6"/>
  <c r="C239" i="6" s="1"/>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C29" i="8"/>
  <c r="D29" i="8"/>
  <c r="E29" i="8"/>
  <c r="F29" i="8"/>
  <c r="E108" i="14" l="1"/>
  <c r="E210" i="14"/>
  <c r="E190" i="14"/>
  <c r="E169" i="14"/>
  <c r="E149" i="14"/>
  <c r="E251" i="14"/>
  <c r="E26" i="14"/>
  <c r="E46" i="14" s="1"/>
  <c r="E67" i="14" s="1"/>
  <c r="E87" i="14" s="1"/>
  <c r="E128" i="14"/>
  <c r="E231" i="14"/>
  <c r="T66" i="14"/>
  <c r="X66" i="14"/>
  <c r="S66" i="14"/>
  <c r="J66" i="14"/>
  <c r="AA66" i="14"/>
  <c r="N148" i="14"/>
  <c r="Q148" i="14"/>
  <c r="M66" i="14"/>
  <c r="T148" i="14"/>
  <c r="Z66" i="14"/>
  <c r="X148" i="14"/>
  <c r="V66" i="14"/>
  <c r="Q66" i="14"/>
  <c r="N66" i="14"/>
  <c r="I66" i="14"/>
  <c r="O66" i="14"/>
  <c r="V148" i="14"/>
  <c r="Y66" i="14"/>
  <c r="K148" i="14"/>
  <c r="L66" i="14"/>
  <c r="P86" i="14"/>
  <c r="M148" i="14"/>
  <c r="R66" i="14"/>
  <c r="U66" i="14"/>
  <c r="P168" i="14"/>
  <c r="K66" i="14"/>
  <c r="I148" i="14"/>
  <c r="J148" i="14"/>
  <c r="R148" i="14"/>
  <c r="O148" i="14"/>
  <c r="S148" i="14"/>
  <c r="W66" i="14"/>
  <c r="Y148" i="14"/>
  <c r="Z148" i="14"/>
  <c r="L148" i="14"/>
  <c r="U148" i="14"/>
  <c r="AA148" i="14"/>
  <c r="W148" i="14"/>
  <c r="G242" i="6"/>
  <c r="C242" i="6"/>
  <c r="E241" i="6"/>
  <c r="C243" i="6"/>
  <c r="B18" i="6" s="1"/>
  <c r="C241" i="6"/>
  <c r="F85" i="11"/>
  <c r="F87" i="11" s="1"/>
  <c r="F14" i="12"/>
  <c r="E34" i="12"/>
  <c r="E35" i="12" s="1"/>
  <c r="E37" i="12" s="1"/>
  <c r="E15" i="12"/>
  <c r="E17" i="12" s="1"/>
  <c r="I11" i="12"/>
  <c r="G36" i="12"/>
  <c r="G46" i="11"/>
  <c r="G45" i="11" s="1"/>
  <c r="G154" i="6"/>
  <c r="B239" i="6" s="1"/>
  <c r="G179" i="6"/>
  <c r="B240" i="6" s="1"/>
  <c r="G206" i="6"/>
  <c r="B241" i="6" s="1"/>
  <c r="G231" i="6"/>
  <c r="B242" i="6" s="1"/>
  <c r="F26" i="14" l="1"/>
  <c r="F46" i="14" s="1"/>
  <c r="F67" i="14" s="1"/>
  <c r="F87" i="14" s="1"/>
  <c r="F251" i="14"/>
  <c r="F210" i="14"/>
  <c r="F108" i="14"/>
  <c r="F169" i="14"/>
  <c r="F149" i="14"/>
  <c r="F128" i="14"/>
  <c r="F190" i="14"/>
  <c r="F231" i="14"/>
  <c r="R168" i="14"/>
  <c r="W86" i="14"/>
  <c r="L86" i="14"/>
  <c r="N168" i="14"/>
  <c r="K86" i="14"/>
  <c r="W168" i="14"/>
  <c r="U168" i="14"/>
  <c r="Z168" i="14"/>
  <c r="O168" i="14"/>
  <c r="J168" i="14"/>
  <c r="U86" i="14"/>
  <c r="M168" i="14"/>
  <c r="Y86" i="14"/>
  <c r="O86" i="14"/>
  <c r="N86" i="14"/>
  <c r="V86" i="14"/>
  <c r="Z86" i="14"/>
  <c r="M86" i="14"/>
  <c r="J86" i="14"/>
  <c r="X86" i="14"/>
  <c r="X168" i="14"/>
  <c r="T168" i="14"/>
  <c r="AA86" i="14"/>
  <c r="T86" i="14"/>
  <c r="AA168" i="14"/>
  <c r="L168" i="14"/>
  <c r="Y168" i="14"/>
  <c r="S168" i="14"/>
  <c r="I168" i="14"/>
  <c r="R86" i="14"/>
  <c r="K168" i="14"/>
  <c r="V168" i="14"/>
  <c r="I86" i="14"/>
  <c r="Q86" i="14"/>
  <c r="Q168" i="14"/>
  <c r="S86" i="14"/>
  <c r="G243" i="6"/>
  <c r="E18" i="6" s="1"/>
  <c r="G241" i="6"/>
  <c r="I243" i="6"/>
  <c r="F18" i="6" s="1"/>
  <c r="I241" i="6"/>
  <c r="F34" i="12"/>
  <c r="F35" i="12" s="1"/>
  <c r="F37" i="12" s="1"/>
  <c r="F15" i="12"/>
  <c r="F17" i="12" s="1"/>
  <c r="G85" i="11"/>
  <c r="G87" i="11" s="1"/>
  <c r="G14" i="12"/>
  <c r="C36" i="12"/>
  <c r="J11" i="12"/>
  <c r="H36" i="12"/>
  <c r="H46" i="11"/>
  <c r="H45" i="11" s="1"/>
  <c r="G251" i="14" l="1"/>
  <c r="G231" i="14"/>
  <c r="G169" i="14"/>
  <c r="G26" i="14"/>
  <c r="G46" i="14" s="1"/>
  <c r="G67" i="14" s="1"/>
  <c r="G87" i="14" s="1"/>
  <c r="G149" i="14"/>
  <c r="G210" i="14"/>
  <c r="G190" i="14"/>
  <c r="G128" i="14"/>
  <c r="G108" i="14"/>
  <c r="H85" i="11"/>
  <c r="H87" i="11" s="1"/>
  <c r="H14" i="12"/>
  <c r="G34" i="12"/>
  <c r="G35" i="12" s="1"/>
  <c r="G37" i="12" s="1"/>
  <c r="G15" i="12"/>
  <c r="G17" i="12" s="1"/>
  <c r="K11" i="12"/>
  <c r="I36" i="12"/>
  <c r="I46" i="11"/>
  <c r="I45" i="11" s="1"/>
  <c r="H210" i="14" l="1"/>
  <c r="H190" i="14"/>
  <c r="H149" i="14"/>
  <c r="H128" i="14"/>
  <c r="H251" i="14"/>
  <c r="H231" i="14"/>
  <c r="H108" i="14"/>
  <c r="H26" i="14"/>
  <c r="H46" i="14" s="1"/>
  <c r="H67" i="14" s="1"/>
  <c r="H87" i="14" s="1"/>
  <c r="H169" i="14"/>
  <c r="I85" i="11"/>
  <c r="I87" i="11" s="1"/>
  <c r="I14" i="12"/>
  <c r="H34" i="12"/>
  <c r="H35" i="12" s="1"/>
  <c r="H37" i="12" s="1"/>
  <c r="H15" i="12"/>
  <c r="H17" i="12" s="1"/>
  <c r="L11" i="12"/>
  <c r="J36" i="12"/>
  <c r="J46" i="11"/>
  <c r="J45" i="11" s="1"/>
  <c r="G89" i="6"/>
  <c r="I129" i="6" s="1"/>
  <c r="G84" i="6"/>
  <c r="I251" i="14" l="1"/>
  <c r="I252" i="14" s="1"/>
  <c r="I254" i="14" s="1"/>
  <c r="I255" i="14" s="1"/>
  <c r="I257" i="14" s="1"/>
  <c r="I259" i="14" s="1"/>
  <c r="I231" i="14"/>
  <c r="I232" i="14" s="1"/>
  <c r="I234" i="14" s="1"/>
  <c r="I235" i="14" s="1"/>
  <c r="I237" i="14" s="1"/>
  <c r="I239" i="14" s="1"/>
  <c r="I210" i="14"/>
  <c r="I211" i="14" s="1"/>
  <c r="I213" i="14" s="1"/>
  <c r="I214" i="14" s="1"/>
  <c r="I216" i="14" s="1"/>
  <c r="I218" i="14" s="1"/>
  <c r="I149" i="14"/>
  <c r="I150" i="14" s="1"/>
  <c r="I152" i="14" s="1"/>
  <c r="I153" i="14" s="1"/>
  <c r="I155" i="14" s="1"/>
  <c r="I157" i="14" s="1"/>
  <c r="I128" i="14"/>
  <c r="I129" i="14" s="1"/>
  <c r="I131" i="14" s="1"/>
  <c r="I132" i="14" s="1"/>
  <c r="I134" i="14" s="1"/>
  <c r="I136" i="14" s="1"/>
  <c r="I190" i="14"/>
  <c r="I191" i="14" s="1"/>
  <c r="I193" i="14" s="1"/>
  <c r="I194" i="14" s="1"/>
  <c r="I196" i="14" s="1"/>
  <c r="I198" i="14" s="1"/>
  <c r="I108" i="14"/>
  <c r="I109" i="14" s="1"/>
  <c r="I111" i="14" s="1"/>
  <c r="I112" i="14" s="1"/>
  <c r="I114" i="14" s="1"/>
  <c r="I116" i="14" s="1"/>
  <c r="I26" i="14"/>
  <c r="I169" i="14"/>
  <c r="I170" i="14" s="1"/>
  <c r="I172" i="14" s="1"/>
  <c r="I173" i="14" s="1"/>
  <c r="I175" i="14" s="1"/>
  <c r="I177" i="14" s="1"/>
  <c r="G129" i="6"/>
  <c r="B238" i="6" s="1"/>
  <c r="E238" i="6"/>
  <c r="E243" i="6"/>
  <c r="C18" i="6" s="1"/>
  <c r="I34" i="12"/>
  <c r="I35" i="12" s="1"/>
  <c r="I37" i="12" s="1"/>
  <c r="I15" i="12"/>
  <c r="I17" i="12" s="1"/>
  <c r="J85" i="11"/>
  <c r="J87" i="11" s="1"/>
  <c r="J14" i="12"/>
  <c r="M11" i="12"/>
  <c r="K36" i="12"/>
  <c r="K46" i="11"/>
  <c r="K45" i="11" s="1"/>
  <c r="B243" i="6"/>
  <c r="C84" i="11" s="1"/>
  <c r="C87" i="11" s="1"/>
  <c r="B237" i="6"/>
  <c r="D19" i="9"/>
  <c r="D27" i="9"/>
  <c r="E27" i="9"/>
  <c r="F27" i="9"/>
  <c r="C27" i="9"/>
  <c r="D24" i="9"/>
  <c r="E24" i="9"/>
  <c r="F24" i="9"/>
  <c r="C24" i="9"/>
  <c r="E19" i="9"/>
  <c r="C19" i="9"/>
  <c r="C13" i="9"/>
  <c r="D35" i="8"/>
  <c r="E35" i="8"/>
  <c r="F35" i="8"/>
  <c r="C35" i="8"/>
  <c r="D31" i="8"/>
  <c r="E31" i="8"/>
  <c r="F31" i="8"/>
  <c r="C31" i="8"/>
  <c r="D27" i="8"/>
  <c r="E27" i="8"/>
  <c r="F27" i="8"/>
  <c r="C27" i="8"/>
  <c r="D22" i="8"/>
  <c r="E22" i="8"/>
  <c r="F22" i="8"/>
  <c r="C22" i="8"/>
  <c r="J190" i="14" l="1"/>
  <c r="J191" i="14" s="1"/>
  <c r="J193" i="14" s="1"/>
  <c r="J194" i="14" s="1"/>
  <c r="J196" i="14" s="1"/>
  <c r="J198" i="14" s="1"/>
  <c r="J169" i="14"/>
  <c r="J170" i="14" s="1"/>
  <c r="J172" i="14" s="1"/>
  <c r="J173" i="14" s="1"/>
  <c r="J175" i="14" s="1"/>
  <c r="J177" i="14" s="1"/>
  <c r="J149" i="14"/>
  <c r="J150" i="14" s="1"/>
  <c r="J152" i="14" s="1"/>
  <c r="J153" i="14" s="1"/>
  <c r="J155" i="14" s="1"/>
  <c r="J157" i="14" s="1"/>
  <c r="J251" i="14"/>
  <c r="J252" i="14" s="1"/>
  <c r="J254" i="14" s="1"/>
  <c r="J255" i="14" s="1"/>
  <c r="J257" i="14" s="1"/>
  <c r="J259" i="14" s="1"/>
  <c r="J231" i="14"/>
  <c r="J232" i="14" s="1"/>
  <c r="J234" i="14" s="1"/>
  <c r="J235" i="14" s="1"/>
  <c r="J237" i="14" s="1"/>
  <c r="J239" i="14" s="1"/>
  <c r="J210" i="14"/>
  <c r="J211" i="14" s="1"/>
  <c r="J213" i="14" s="1"/>
  <c r="J214" i="14" s="1"/>
  <c r="J216" i="14" s="1"/>
  <c r="J218" i="14" s="1"/>
  <c r="J108" i="14"/>
  <c r="J109" i="14" s="1"/>
  <c r="J111" i="14" s="1"/>
  <c r="J112" i="14" s="1"/>
  <c r="J114" i="14" s="1"/>
  <c r="J116" i="14" s="1"/>
  <c r="J26" i="14"/>
  <c r="J128" i="14"/>
  <c r="J129" i="14" s="1"/>
  <c r="J131" i="14" s="1"/>
  <c r="J132" i="14" s="1"/>
  <c r="J134" i="14" s="1"/>
  <c r="J136" i="14" s="1"/>
  <c r="I46" i="14"/>
  <c r="I27" i="14"/>
  <c r="I29" i="14" s="1"/>
  <c r="I30" i="14" s="1"/>
  <c r="I32" i="14" s="1"/>
  <c r="I34" i="14" s="1"/>
  <c r="K85" i="11"/>
  <c r="K87" i="11" s="1"/>
  <c r="K14" i="12"/>
  <c r="J34" i="12"/>
  <c r="J35" i="12" s="1"/>
  <c r="J37" i="12" s="1"/>
  <c r="J15" i="12"/>
  <c r="J17" i="12" s="1"/>
  <c r="A18" i="6"/>
  <c r="C12" i="12"/>
  <c r="N11" i="12"/>
  <c r="L36" i="12"/>
  <c r="L46" i="11"/>
  <c r="L45" i="11" s="1"/>
  <c r="E13" i="9"/>
  <c r="E20" i="9" s="1"/>
  <c r="E28" i="9" s="1"/>
  <c r="E31" i="9" s="1"/>
  <c r="D13" i="9"/>
  <c r="D20" i="9" s="1"/>
  <c r="D28" i="9" s="1"/>
  <c r="D31" i="9" s="1"/>
  <c r="F19" i="9"/>
  <c r="C20" i="9"/>
  <c r="C28" i="9" s="1"/>
  <c r="F13" i="9"/>
  <c r="C28" i="8"/>
  <c r="C40" i="8" s="1"/>
  <c r="C41" i="8" s="1"/>
  <c r="C42" i="8" s="1"/>
  <c r="E28" i="8"/>
  <c r="D28" i="8"/>
  <c r="F28" i="8"/>
  <c r="F40" i="8" s="1"/>
  <c r="F41" i="8" s="1"/>
  <c r="F42" i="8" s="1"/>
  <c r="A11" i="12" l="1"/>
  <c r="C65" i="14"/>
  <c r="C44" i="14"/>
  <c r="C208" i="14"/>
  <c r="C229" i="14"/>
  <c r="C106" i="14"/>
  <c r="C126" i="14" s="1"/>
  <c r="C147" i="14" s="1"/>
  <c r="C167" i="14" s="1"/>
  <c r="C85" i="14"/>
  <c r="C24" i="14"/>
  <c r="C249" i="14"/>
  <c r="C188" i="14"/>
  <c r="K128" i="14"/>
  <c r="K129" i="14" s="1"/>
  <c r="K131" i="14" s="1"/>
  <c r="K132" i="14" s="1"/>
  <c r="K134" i="14" s="1"/>
  <c r="K136" i="14" s="1"/>
  <c r="K108" i="14"/>
  <c r="K109" i="14" s="1"/>
  <c r="K111" i="14" s="1"/>
  <c r="K112" i="14" s="1"/>
  <c r="K114" i="14" s="1"/>
  <c r="K116" i="14" s="1"/>
  <c r="K190" i="14"/>
  <c r="K191" i="14" s="1"/>
  <c r="K193" i="14" s="1"/>
  <c r="K194" i="14" s="1"/>
  <c r="K196" i="14" s="1"/>
  <c r="K198" i="14" s="1"/>
  <c r="K251" i="14"/>
  <c r="K252" i="14" s="1"/>
  <c r="K254" i="14" s="1"/>
  <c r="K255" i="14" s="1"/>
  <c r="K257" i="14" s="1"/>
  <c r="K259" i="14" s="1"/>
  <c r="K210" i="14"/>
  <c r="K211" i="14" s="1"/>
  <c r="K213" i="14" s="1"/>
  <c r="K214" i="14" s="1"/>
  <c r="K216" i="14" s="1"/>
  <c r="K218" i="14" s="1"/>
  <c r="K169" i="14"/>
  <c r="K170" i="14" s="1"/>
  <c r="K172" i="14" s="1"/>
  <c r="K173" i="14" s="1"/>
  <c r="K175" i="14" s="1"/>
  <c r="K177" i="14" s="1"/>
  <c r="K26" i="14"/>
  <c r="K149" i="14"/>
  <c r="K150" i="14" s="1"/>
  <c r="K152" i="14" s="1"/>
  <c r="K153" i="14" s="1"/>
  <c r="K155" i="14" s="1"/>
  <c r="K157" i="14" s="1"/>
  <c r="K231" i="14"/>
  <c r="K232" i="14" s="1"/>
  <c r="K234" i="14" s="1"/>
  <c r="K235" i="14" s="1"/>
  <c r="K237" i="14" s="1"/>
  <c r="K239" i="14" s="1"/>
  <c r="J46" i="14"/>
  <c r="J27" i="14"/>
  <c r="J29" i="14" s="1"/>
  <c r="J30" i="14" s="1"/>
  <c r="J32" i="14" s="1"/>
  <c r="J34" i="14" s="1"/>
  <c r="I67" i="14"/>
  <c r="I47" i="14"/>
  <c r="I49" i="14" s="1"/>
  <c r="I50" i="14" s="1"/>
  <c r="I52" i="14" s="1"/>
  <c r="I54" i="14" s="1"/>
  <c r="C31" i="9"/>
  <c r="B9" i="13"/>
  <c r="E40" i="8"/>
  <c r="E41" i="8" s="1"/>
  <c r="E42" i="8" s="1"/>
  <c r="L85" i="11"/>
  <c r="L87" i="11" s="1"/>
  <c r="L14" i="12"/>
  <c r="K34" i="12"/>
  <c r="K35" i="12" s="1"/>
  <c r="K37" i="12" s="1"/>
  <c r="K15" i="12"/>
  <c r="K17" i="12" s="1"/>
  <c r="C31" i="12"/>
  <c r="C17" i="12"/>
  <c r="O11" i="12"/>
  <c r="M36" i="12"/>
  <c r="M46" i="11"/>
  <c r="M45" i="11" s="1"/>
  <c r="C45" i="8"/>
  <c r="F45" i="8"/>
  <c r="E45" i="8"/>
  <c r="F20" i="9"/>
  <c r="F28" i="9" s="1"/>
  <c r="F31" i="9" s="1"/>
  <c r="C7" i="15"/>
  <c r="C6" i="15"/>
  <c r="C4" i="15"/>
  <c r="C5" i="15" s="1"/>
  <c r="H236" i="14"/>
  <c r="H256" i="14" s="1"/>
  <c r="G236" i="14"/>
  <c r="G256" i="14" s="1"/>
  <c r="F236" i="14"/>
  <c r="F256" i="14" s="1"/>
  <c r="E236" i="14"/>
  <c r="E256" i="14" s="1"/>
  <c r="D236" i="14"/>
  <c r="C236" i="14"/>
  <c r="C256" i="14" s="1"/>
  <c r="H195" i="14"/>
  <c r="H215" i="14" s="1"/>
  <c r="G195" i="14"/>
  <c r="G215" i="14" s="1"/>
  <c r="F195" i="14"/>
  <c r="F215" i="14" s="1"/>
  <c r="E195" i="14"/>
  <c r="E215" i="14" s="1"/>
  <c r="D195" i="14"/>
  <c r="D215" i="14" s="1"/>
  <c r="C195" i="14"/>
  <c r="C215" i="14" s="1"/>
  <c r="H154" i="14"/>
  <c r="H174" i="14" s="1"/>
  <c r="G154" i="14"/>
  <c r="G174" i="14" s="1"/>
  <c r="F154" i="14"/>
  <c r="F174" i="14" s="1"/>
  <c r="E154" i="14"/>
  <c r="E174" i="14" s="1"/>
  <c r="D154" i="14"/>
  <c r="D174" i="14" s="1"/>
  <c r="C154" i="14"/>
  <c r="C174" i="14" s="1"/>
  <c r="H113" i="14"/>
  <c r="H133" i="14" s="1"/>
  <c r="G113" i="14"/>
  <c r="G133" i="14" s="1"/>
  <c r="F113" i="14"/>
  <c r="F133" i="14" s="1"/>
  <c r="E113" i="14"/>
  <c r="E133" i="14" s="1"/>
  <c r="D113" i="14"/>
  <c r="D133" i="14" s="1"/>
  <c r="C113" i="14"/>
  <c r="C133" i="14" s="1"/>
  <c r="H110" i="14"/>
  <c r="G110" i="14"/>
  <c r="F110" i="14"/>
  <c r="E110" i="14"/>
  <c r="D110" i="14"/>
  <c r="C110" i="14"/>
  <c r="H72" i="14"/>
  <c r="H92" i="14" s="1"/>
  <c r="G72" i="14"/>
  <c r="G92" i="14" s="1"/>
  <c r="F72" i="14"/>
  <c r="F92" i="14" s="1"/>
  <c r="E72" i="14"/>
  <c r="E92" i="14" s="1"/>
  <c r="D72" i="14"/>
  <c r="D92" i="14" s="1"/>
  <c r="C72" i="14"/>
  <c r="C92" i="14" s="1"/>
  <c r="D256" i="14"/>
  <c r="E38" i="13"/>
  <c r="D38" i="13"/>
  <c r="C38" i="13"/>
  <c r="B38" i="13"/>
  <c r="E37" i="13"/>
  <c r="B37" i="13"/>
  <c r="E36" i="13"/>
  <c r="D36" i="13"/>
  <c r="B36" i="13"/>
  <c r="E35" i="13"/>
  <c r="D35" i="13"/>
  <c r="B35" i="13"/>
  <c r="E33" i="13"/>
  <c r="D33" i="13"/>
  <c r="B33" i="13"/>
  <c r="E32" i="13"/>
  <c r="D32" i="13"/>
  <c r="B32" i="13"/>
  <c r="E30" i="13"/>
  <c r="D30" i="13"/>
  <c r="C30" i="13"/>
  <c r="B30" i="13"/>
  <c r="E29" i="13"/>
  <c r="D29" i="13"/>
  <c r="C29" i="13"/>
  <c r="B29" i="13"/>
  <c r="E28" i="13"/>
  <c r="D28" i="13"/>
  <c r="C28" i="13"/>
  <c r="B28" i="13"/>
  <c r="E27" i="13"/>
  <c r="B27" i="13"/>
  <c r="E26" i="13"/>
  <c r="B26" i="13"/>
  <c r="E25" i="13"/>
  <c r="B25" i="13"/>
  <c r="E23" i="13"/>
  <c r="D23" i="13"/>
  <c r="C23" i="13"/>
  <c r="B23" i="13"/>
  <c r="E22" i="13"/>
  <c r="D22" i="13"/>
  <c r="C22" i="13"/>
  <c r="B22" i="13"/>
  <c r="E16" i="13"/>
  <c r="D16" i="13"/>
  <c r="B16" i="13"/>
  <c r="E15" i="13"/>
  <c r="D15" i="13"/>
  <c r="B15" i="13"/>
  <c r="E12" i="13"/>
  <c r="D12" i="13"/>
  <c r="B12" i="13"/>
  <c r="E11" i="13"/>
  <c r="D11" i="13"/>
  <c r="B11" i="13"/>
  <c r="K46" i="14" l="1"/>
  <c r="K27" i="14"/>
  <c r="K29" i="14" s="1"/>
  <c r="K30" i="14" s="1"/>
  <c r="K32" i="14" s="1"/>
  <c r="K34" i="14" s="1"/>
  <c r="I87" i="14"/>
  <c r="I88" i="14" s="1"/>
  <c r="I90" i="14" s="1"/>
  <c r="I91" i="14" s="1"/>
  <c r="I93" i="14" s="1"/>
  <c r="I95" i="14" s="1"/>
  <c r="I68" i="14"/>
  <c r="I70" i="14" s="1"/>
  <c r="I71" i="14" s="1"/>
  <c r="I73" i="14" s="1"/>
  <c r="I75" i="14" s="1"/>
  <c r="L26" i="14"/>
  <c r="L231" i="14"/>
  <c r="L232" i="14" s="1"/>
  <c r="L234" i="14" s="1"/>
  <c r="L235" i="14" s="1"/>
  <c r="L237" i="14" s="1"/>
  <c r="L239" i="14" s="1"/>
  <c r="L190" i="14"/>
  <c r="L191" i="14" s="1"/>
  <c r="L193" i="14" s="1"/>
  <c r="L194" i="14" s="1"/>
  <c r="L196" i="14" s="1"/>
  <c r="L198" i="14" s="1"/>
  <c r="L169" i="14"/>
  <c r="L170" i="14" s="1"/>
  <c r="L172" i="14" s="1"/>
  <c r="L173" i="14" s="1"/>
  <c r="L175" i="14" s="1"/>
  <c r="L177" i="14" s="1"/>
  <c r="L149" i="14"/>
  <c r="L150" i="14" s="1"/>
  <c r="L152" i="14" s="1"/>
  <c r="L153" i="14" s="1"/>
  <c r="L155" i="14" s="1"/>
  <c r="L157" i="14" s="1"/>
  <c r="L210" i="14"/>
  <c r="L211" i="14" s="1"/>
  <c r="L213" i="14" s="1"/>
  <c r="L214" i="14" s="1"/>
  <c r="L216" i="14" s="1"/>
  <c r="L218" i="14" s="1"/>
  <c r="L108" i="14"/>
  <c r="L109" i="14" s="1"/>
  <c r="L111" i="14" s="1"/>
  <c r="L112" i="14" s="1"/>
  <c r="L114" i="14" s="1"/>
  <c r="L116" i="14" s="1"/>
  <c r="L251" i="14"/>
  <c r="L252" i="14" s="1"/>
  <c r="L254" i="14" s="1"/>
  <c r="L255" i="14" s="1"/>
  <c r="L257" i="14" s="1"/>
  <c r="L259" i="14" s="1"/>
  <c r="L128" i="14"/>
  <c r="L129" i="14" s="1"/>
  <c r="L131" i="14" s="1"/>
  <c r="L132" i="14" s="1"/>
  <c r="L134" i="14" s="1"/>
  <c r="L136" i="14" s="1"/>
  <c r="J67" i="14"/>
  <c r="J47" i="14"/>
  <c r="J49" i="14" s="1"/>
  <c r="J50" i="14" s="1"/>
  <c r="J52" i="14" s="1"/>
  <c r="J54" i="14" s="1"/>
  <c r="D37" i="13"/>
  <c r="L34" i="12"/>
  <c r="L35" i="12" s="1"/>
  <c r="L37" i="12" s="1"/>
  <c r="L15" i="12"/>
  <c r="L17" i="12" s="1"/>
  <c r="M85" i="11"/>
  <c r="M87" i="11" s="1"/>
  <c r="M14" i="12"/>
  <c r="P11" i="12"/>
  <c r="N36" i="12"/>
  <c r="N46" i="11"/>
  <c r="N45" i="11" s="1"/>
  <c r="C8" i="15"/>
  <c r="C10" i="15" s="1"/>
  <c r="J87" i="14" l="1"/>
  <c r="J88" i="14" s="1"/>
  <c r="J90" i="14" s="1"/>
  <c r="J91" i="14" s="1"/>
  <c r="J93" i="14" s="1"/>
  <c r="J95" i="14" s="1"/>
  <c r="J68" i="14"/>
  <c r="J70" i="14" s="1"/>
  <c r="J71" i="14" s="1"/>
  <c r="J73" i="14" s="1"/>
  <c r="J75" i="14" s="1"/>
  <c r="M251" i="14"/>
  <c r="M252" i="14" s="1"/>
  <c r="M254" i="14" s="1"/>
  <c r="M255" i="14" s="1"/>
  <c r="M257" i="14" s="1"/>
  <c r="M259" i="14" s="1"/>
  <c r="M231" i="14"/>
  <c r="M232" i="14" s="1"/>
  <c r="M234" i="14" s="1"/>
  <c r="M235" i="14" s="1"/>
  <c r="M237" i="14" s="1"/>
  <c r="M239" i="14" s="1"/>
  <c r="M210" i="14"/>
  <c r="M211" i="14" s="1"/>
  <c r="M213" i="14" s="1"/>
  <c r="M214" i="14" s="1"/>
  <c r="M216" i="14" s="1"/>
  <c r="M218" i="14" s="1"/>
  <c r="M108" i="14"/>
  <c r="M109" i="14" s="1"/>
  <c r="M111" i="14" s="1"/>
  <c r="M112" i="14" s="1"/>
  <c r="M114" i="14" s="1"/>
  <c r="M116" i="14" s="1"/>
  <c r="M26" i="14"/>
  <c r="M128" i="14"/>
  <c r="M129" i="14" s="1"/>
  <c r="M131" i="14" s="1"/>
  <c r="M132" i="14" s="1"/>
  <c r="M134" i="14" s="1"/>
  <c r="M136" i="14" s="1"/>
  <c r="M190" i="14"/>
  <c r="M191" i="14" s="1"/>
  <c r="M193" i="14" s="1"/>
  <c r="M194" i="14" s="1"/>
  <c r="M196" i="14" s="1"/>
  <c r="M198" i="14" s="1"/>
  <c r="M169" i="14"/>
  <c r="M170" i="14" s="1"/>
  <c r="M172" i="14" s="1"/>
  <c r="M173" i="14" s="1"/>
  <c r="M175" i="14" s="1"/>
  <c r="M177" i="14" s="1"/>
  <c r="M149" i="14"/>
  <c r="M150" i="14" s="1"/>
  <c r="M152" i="14" s="1"/>
  <c r="M153" i="14" s="1"/>
  <c r="M155" i="14" s="1"/>
  <c r="M157" i="14" s="1"/>
  <c r="L46" i="14"/>
  <c r="L27" i="14"/>
  <c r="L29" i="14" s="1"/>
  <c r="L30" i="14" s="1"/>
  <c r="L32" i="14" s="1"/>
  <c r="L34" i="14" s="1"/>
  <c r="K67" i="14"/>
  <c r="K47" i="14"/>
  <c r="K49" i="14" s="1"/>
  <c r="K50" i="14" s="1"/>
  <c r="K52" i="14" s="1"/>
  <c r="K54" i="14" s="1"/>
  <c r="N85" i="11"/>
  <c r="N87" i="11" s="1"/>
  <c r="N14" i="12"/>
  <c r="M34" i="12"/>
  <c r="M35" i="12" s="1"/>
  <c r="M37" i="12" s="1"/>
  <c r="M15" i="12"/>
  <c r="M17" i="12" s="1"/>
  <c r="Q11" i="12"/>
  <c r="O36" i="12"/>
  <c r="O46" i="11"/>
  <c r="O45" i="11" s="1"/>
  <c r="I206" i="6"/>
  <c r="Q206" i="6"/>
  <c r="M241" i="6" s="1"/>
  <c r="S206" i="6"/>
  <c r="S129" i="6"/>
  <c r="Q129" i="6"/>
  <c r="M238" i="6" s="1"/>
  <c r="Q84" i="6"/>
  <c r="S84" i="6"/>
  <c r="Q18" i="6"/>
  <c r="K87" i="14" l="1"/>
  <c r="K88" i="14" s="1"/>
  <c r="K90" i="14" s="1"/>
  <c r="K91" i="14" s="1"/>
  <c r="K93" i="14" s="1"/>
  <c r="K95" i="14" s="1"/>
  <c r="K68" i="14"/>
  <c r="K70" i="14" s="1"/>
  <c r="K71" i="14" s="1"/>
  <c r="K73" i="14" s="1"/>
  <c r="K75" i="14" s="1"/>
  <c r="L67" i="14"/>
  <c r="L47" i="14"/>
  <c r="L49" i="14" s="1"/>
  <c r="L50" i="14" s="1"/>
  <c r="L52" i="14" s="1"/>
  <c r="L54" i="14" s="1"/>
  <c r="M46" i="14"/>
  <c r="M27" i="14"/>
  <c r="M29" i="14" s="1"/>
  <c r="M30" i="14" s="1"/>
  <c r="M32" i="14" s="1"/>
  <c r="M34" i="14" s="1"/>
  <c r="N190" i="14"/>
  <c r="N191" i="14" s="1"/>
  <c r="N193" i="14" s="1"/>
  <c r="N194" i="14" s="1"/>
  <c r="N196" i="14" s="1"/>
  <c r="N198" i="14" s="1"/>
  <c r="N169" i="14"/>
  <c r="N170" i="14" s="1"/>
  <c r="N172" i="14" s="1"/>
  <c r="N173" i="14" s="1"/>
  <c r="N175" i="14" s="1"/>
  <c r="N177" i="14" s="1"/>
  <c r="N149" i="14"/>
  <c r="N150" i="14" s="1"/>
  <c r="N152" i="14" s="1"/>
  <c r="N153" i="14" s="1"/>
  <c r="N155" i="14" s="1"/>
  <c r="N157" i="14" s="1"/>
  <c r="N251" i="14"/>
  <c r="N252" i="14" s="1"/>
  <c r="N254" i="14" s="1"/>
  <c r="N255" i="14" s="1"/>
  <c r="N257" i="14" s="1"/>
  <c r="N259" i="14" s="1"/>
  <c r="N231" i="14"/>
  <c r="N232" i="14" s="1"/>
  <c r="N234" i="14" s="1"/>
  <c r="N235" i="14" s="1"/>
  <c r="N237" i="14" s="1"/>
  <c r="N239" i="14" s="1"/>
  <c r="N210" i="14"/>
  <c r="N211" i="14" s="1"/>
  <c r="N213" i="14" s="1"/>
  <c r="N214" i="14" s="1"/>
  <c r="N216" i="14" s="1"/>
  <c r="N218" i="14" s="1"/>
  <c r="N128" i="14"/>
  <c r="N129" i="14" s="1"/>
  <c r="N131" i="14" s="1"/>
  <c r="N132" i="14" s="1"/>
  <c r="N134" i="14" s="1"/>
  <c r="N136" i="14" s="1"/>
  <c r="N108" i="14"/>
  <c r="N109" i="14" s="1"/>
  <c r="N111" i="14" s="1"/>
  <c r="N112" i="14" s="1"/>
  <c r="N114" i="14" s="1"/>
  <c r="N116" i="14" s="1"/>
  <c r="N26" i="14"/>
  <c r="N34" i="12"/>
  <c r="N35" i="12" s="1"/>
  <c r="N37" i="12" s="1"/>
  <c r="N15" i="12"/>
  <c r="N17" i="12" s="1"/>
  <c r="O85" i="11"/>
  <c r="O87" i="11" s="1"/>
  <c r="O14" i="12"/>
  <c r="P36" i="12"/>
  <c r="R11" i="12"/>
  <c r="P46" i="11"/>
  <c r="P45" i="11" s="1"/>
  <c r="M237" i="6"/>
  <c r="O128" i="14" l="1"/>
  <c r="O129" i="14" s="1"/>
  <c r="O131" i="14" s="1"/>
  <c r="O132" i="14" s="1"/>
  <c r="O134" i="14" s="1"/>
  <c r="O136" i="14" s="1"/>
  <c r="O108" i="14"/>
  <c r="O109" i="14" s="1"/>
  <c r="O111" i="14" s="1"/>
  <c r="O112" i="14" s="1"/>
  <c r="O114" i="14" s="1"/>
  <c r="O116" i="14" s="1"/>
  <c r="O190" i="14"/>
  <c r="O191" i="14" s="1"/>
  <c r="O193" i="14" s="1"/>
  <c r="O194" i="14" s="1"/>
  <c r="O196" i="14" s="1"/>
  <c r="O198" i="14" s="1"/>
  <c r="O210" i="14"/>
  <c r="O211" i="14" s="1"/>
  <c r="O213" i="14" s="1"/>
  <c r="O214" i="14" s="1"/>
  <c r="O216" i="14" s="1"/>
  <c r="O218" i="14" s="1"/>
  <c r="O149" i="14"/>
  <c r="O150" i="14" s="1"/>
  <c r="O152" i="14" s="1"/>
  <c r="O153" i="14" s="1"/>
  <c r="O155" i="14" s="1"/>
  <c r="O157" i="14" s="1"/>
  <c r="O169" i="14"/>
  <c r="O170" i="14" s="1"/>
  <c r="O172" i="14" s="1"/>
  <c r="O173" i="14" s="1"/>
  <c r="O175" i="14" s="1"/>
  <c r="O177" i="14" s="1"/>
  <c r="O231" i="14"/>
  <c r="O232" i="14" s="1"/>
  <c r="O234" i="14" s="1"/>
  <c r="O235" i="14" s="1"/>
  <c r="O237" i="14" s="1"/>
  <c r="O239" i="14" s="1"/>
  <c r="O251" i="14"/>
  <c r="O252" i="14" s="1"/>
  <c r="O254" i="14" s="1"/>
  <c r="O255" i="14" s="1"/>
  <c r="O257" i="14" s="1"/>
  <c r="O259" i="14" s="1"/>
  <c r="O26" i="14"/>
  <c r="N46" i="14"/>
  <c r="N27" i="14"/>
  <c r="N29" i="14" s="1"/>
  <c r="N30" i="14" s="1"/>
  <c r="N32" i="14" s="1"/>
  <c r="N34" i="14" s="1"/>
  <c r="L87" i="14"/>
  <c r="L88" i="14" s="1"/>
  <c r="L90" i="14" s="1"/>
  <c r="L91" i="14" s="1"/>
  <c r="L93" i="14" s="1"/>
  <c r="L95" i="14" s="1"/>
  <c r="L68" i="14"/>
  <c r="L70" i="14" s="1"/>
  <c r="L71" i="14" s="1"/>
  <c r="L73" i="14" s="1"/>
  <c r="L75" i="14" s="1"/>
  <c r="M67" i="14"/>
  <c r="M47" i="14"/>
  <c r="M49" i="14" s="1"/>
  <c r="M50" i="14" s="1"/>
  <c r="M52" i="14" s="1"/>
  <c r="M54" i="14" s="1"/>
  <c r="P85" i="11"/>
  <c r="P87" i="11" s="1"/>
  <c r="P14" i="12"/>
  <c r="O34" i="12"/>
  <c r="O35" i="12" s="1"/>
  <c r="O37" i="12" s="1"/>
  <c r="O15" i="12"/>
  <c r="O17" i="12" s="1"/>
  <c r="S11" i="12"/>
  <c r="Q36" i="12"/>
  <c r="Q46" i="11"/>
  <c r="Q45" i="11" s="1"/>
  <c r="M87" i="14" l="1"/>
  <c r="M88" i="14" s="1"/>
  <c r="M90" i="14" s="1"/>
  <c r="M91" i="14" s="1"/>
  <c r="M93" i="14" s="1"/>
  <c r="M95" i="14" s="1"/>
  <c r="M68" i="14"/>
  <c r="M70" i="14" s="1"/>
  <c r="M71" i="14" s="1"/>
  <c r="M73" i="14" s="1"/>
  <c r="M75" i="14" s="1"/>
  <c r="N67" i="14"/>
  <c r="N47" i="14"/>
  <c r="N49" i="14" s="1"/>
  <c r="N50" i="14" s="1"/>
  <c r="N52" i="14" s="1"/>
  <c r="N54" i="14" s="1"/>
  <c r="P26" i="14"/>
  <c r="P210" i="14"/>
  <c r="P211" i="14" s="1"/>
  <c r="P213" i="14" s="1"/>
  <c r="P214" i="14" s="1"/>
  <c r="P216" i="14" s="1"/>
  <c r="P218" i="14" s="1"/>
  <c r="P149" i="14"/>
  <c r="P150" i="14" s="1"/>
  <c r="P152" i="14" s="1"/>
  <c r="P153" i="14" s="1"/>
  <c r="P155" i="14" s="1"/>
  <c r="P157" i="14" s="1"/>
  <c r="P128" i="14"/>
  <c r="P129" i="14" s="1"/>
  <c r="P131" i="14" s="1"/>
  <c r="P132" i="14" s="1"/>
  <c r="P134" i="14" s="1"/>
  <c r="P136" i="14" s="1"/>
  <c r="P231" i="14"/>
  <c r="P232" i="14" s="1"/>
  <c r="P234" i="14" s="1"/>
  <c r="P235" i="14" s="1"/>
  <c r="P237" i="14" s="1"/>
  <c r="P239" i="14" s="1"/>
  <c r="P190" i="14"/>
  <c r="P191" i="14" s="1"/>
  <c r="P193" i="14" s="1"/>
  <c r="P194" i="14" s="1"/>
  <c r="P196" i="14" s="1"/>
  <c r="P198" i="14" s="1"/>
  <c r="P108" i="14"/>
  <c r="P109" i="14" s="1"/>
  <c r="P111" i="14" s="1"/>
  <c r="P112" i="14" s="1"/>
  <c r="P114" i="14" s="1"/>
  <c r="P116" i="14" s="1"/>
  <c r="P251" i="14"/>
  <c r="P252" i="14" s="1"/>
  <c r="P254" i="14" s="1"/>
  <c r="P255" i="14" s="1"/>
  <c r="P257" i="14" s="1"/>
  <c r="P259" i="14" s="1"/>
  <c r="P169" i="14"/>
  <c r="P170" i="14" s="1"/>
  <c r="P172" i="14" s="1"/>
  <c r="P173" i="14" s="1"/>
  <c r="P175" i="14" s="1"/>
  <c r="P177" i="14" s="1"/>
  <c r="O46" i="14"/>
  <c r="O27" i="14"/>
  <c r="O29" i="14" s="1"/>
  <c r="O30" i="14" s="1"/>
  <c r="O32" i="14" s="1"/>
  <c r="O34" i="14" s="1"/>
  <c r="Q85" i="11"/>
  <c r="Q87" i="11" s="1"/>
  <c r="Q14" i="12"/>
  <c r="P34" i="12"/>
  <c r="P35" i="12" s="1"/>
  <c r="P37" i="12" s="1"/>
  <c r="P15" i="12"/>
  <c r="P17" i="12" s="1"/>
  <c r="T11" i="12"/>
  <c r="R46" i="11"/>
  <c r="R45" i="11" s="1"/>
  <c r="D212" i="14"/>
  <c r="C253" i="14"/>
  <c r="C233" i="14"/>
  <c r="C171" i="14"/>
  <c r="C151" i="14"/>
  <c r="C89" i="14"/>
  <c r="C69" i="14"/>
  <c r="C28" i="14"/>
  <c r="C212" i="14"/>
  <c r="C192" i="14"/>
  <c r="C48" i="14"/>
  <c r="H31" i="14"/>
  <c r="H51" i="14" s="1"/>
  <c r="G31" i="14"/>
  <c r="G51" i="14" s="1"/>
  <c r="F31" i="14"/>
  <c r="F51" i="14" s="1"/>
  <c r="E31" i="14"/>
  <c r="E51" i="14" s="1"/>
  <c r="D31" i="14"/>
  <c r="D51" i="14" s="1"/>
  <c r="N87" i="14" l="1"/>
  <c r="N88" i="14" s="1"/>
  <c r="N90" i="14" s="1"/>
  <c r="N91" i="14" s="1"/>
  <c r="N93" i="14" s="1"/>
  <c r="N95" i="14" s="1"/>
  <c r="N68" i="14"/>
  <c r="N70" i="14" s="1"/>
  <c r="N71" i="14" s="1"/>
  <c r="N73" i="14" s="1"/>
  <c r="N75" i="14" s="1"/>
  <c r="O67" i="14"/>
  <c r="O47" i="14"/>
  <c r="O49" i="14" s="1"/>
  <c r="O50" i="14" s="1"/>
  <c r="O52" i="14" s="1"/>
  <c r="O54" i="14" s="1"/>
  <c r="Q251" i="14"/>
  <c r="Q252" i="14" s="1"/>
  <c r="Q254" i="14" s="1"/>
  <c r="Q255" i="14" s="1"/>
  <c r="Q257" i="14" s="1"/>
  <c r="Q259" i="14" s="1"/>
  <c r="Q231" i="14"/>
  <c r="Q232" i="14" s="1"/>
  <c r="Q234" i="14" s="1"/>
  <c r="Q235" i="14" s="1"/>
  <c r="Q237" i="14" s="1"/>
  <c r="Q239" i="14" s="1"/>
  <c r="Q210" i="14"/>
  <c r="Q211" i="14" s="1"/>
  <c r="Q213" i="14" s="1"/>
  <c r="Q214" i="14" s="1"/>
  <c r="Q216" i="14" s="1"/>
  <c r="Q218" i="14" s="1"/>
  <c r="Q169" i="14"/>
  <c r="Q170" i="14" s="1"/>
  <c r="Q172" i="14" s="1"/>
  <c r="Q173" i="14" s="1"/>
  <c r="Q175" i="14" s="1"/>
  <c r="Q177" i="14" s="1"/>
  <c r="Q149" i="14"/>
  <c r="Q150" i="14" s="1"/>
  <c r="Q152" i="14" s="1"/>
  <c r="Q153" i="14" s="1"/>
  <c r="Q155" i="14" s="1"/>
  <c r="Q157" i="14" s="1"/>
  <c r="Q108" i="14"/>
  <c r="Q109" i="14" s="1"/>
  <c r="Q111" i="14" s="1"/>
  <c r="Q112" i="14" s="1"/>
  <c r="Q114" i="14" s="1"/>
  <c r="Q116" i="14" s="1"/>
  <c r="Q128" i="14"/>
  <c r="Q129" i="14" s="1"/>
  <c r="Q131" i="14" s="1"/>
  <c r="Q132" i="14" s="1"/>
  <c r="Q134" i="14" s="1"/>
  <c r="Q136" i="14" s="1"/>
  <c r="Q190" i="14"/>
  <c r="Q191" i="14" s="1"/>
  <c r="Q193" i="14" s="1"/>
  <c r="Q194" i="14" s="1"/>
  <c r="Q196" i="14" s="1"/>
  <c r="Q198" i="14" s="1"/>
  <c r="Q26" i="14"/>
  <c r="P46" i="14"/>
  <c r="P27" i="14"/>
  <c r="P29" i="14" s="1"/>
  <c r="P30" i="14" s="1"/>
  <c r="P32" i="14" s="1"/>
  <c r="P34" i="14" s="1"/>
  <c r="Q34" i="12"/>
  <c r="Q35" i="12" s="1"/>
  <c r="Q37" i="12" s="1"/>
  <c r="Q15" i="12"/>
  <c r="Q17" i="12" s="1"/>
  <c r="R85" i="11"/>
  <c r="R87" i="11" s="1"/>
  <c r="R14" i="12"/>
  <c r="S36" i="12"/>
  <c r="U11" i="12"/>
  <c r="S46" i="11"/>
  <c r="S45" i="11" s="1"/>
  <c r="D48" i="14"/>
  <c r="D69" i="14"/>
  <c r="D171" i="14"/>
  <c r="D233" i="14"/>
  <c r="D253" i="14"/>
  <c r="D28" i="14"/>
  <c r="D151" i="14"/>
  <c r="D192" i="14"/>
  <c r="D89" i="14"/>
  <c r="C7" i="13"/>
  <c r="C8" i="13"/>
  <c r="C9" i="13"/>
  <c r="E9" i="13"/>
  <c r="E7" i="13"/>
  <c r="E8" i="13"/>
  <c r="D8" i="13"/>
  <c r="D7" i="13"/>
  <c r="D9" i="13"/>
  <c r="B8" i="13"/>
  <c r="B7" i="13"/>
  <c r="G170" i="14"/>
  <c r="G232" i="14"/>
  <c r="G47" i="14"/>
  <c r="R190" i="14" l="1"/>
  <c r="R191" i="14" s="1"/>
  <c r="R193" i="14" s="1"/>
  <c r="R194" i="14" s="1"/>
  <c r="R196" i="14" s="1"/>
  <c r="R198" i="14" s="1"/>
  <c r="R169" i="14"/>
  <c r="R170" i="14" s="1"/>
  <c r="R172" i="14" s="1"/>
  <c r="R173" i="14" s="1"/>
  <c r="R175" i="14" s="1"/>
  <c r="R177" i="14" s="1"/>
  <c r="R149" i="14"/>
  <c r="R150" i="14" s="1"/>
  <c r="R152" i="14" s="1"/>
  <c r="R153" i="14" s="1"/>
  <c r="R155" i="14" s="1"/>
  <c r="R157" i="14" s="1"/>
  <c r="R251" i="14"/>
  <c r="R252" i="14" s="1"/>
  <c r="R254" i="14" s="1"/>
  <c r="R255" i="14" s="1"/>
  <c r="R257" i="14" s="1"/>
  <c r="R259" i="14" s="1"/>
  <c r="R231" i="14"/>
  <c r="R232" i="14" s="1"/>
  <c r="R234" i="14" s="1"/>
  <c r="R235" i="14" s="1"/>
  <c r="R237" i="14" s="1"/>
  <c r="R239" i="14" s="1"/>
  <c r="R210" i="14"/>
  <c r="R211" i="14" s="1"/>
  <c r="R213" i="14" s="1"/>
  <c r="R214" i="14" s="1"/>
  <c r="R216" i="14" s="1"/>
  <c r="R218" i="14" s="1"/>
  <c r="R108" i="14"/>
  <c r="R109" i="14" s="1"/>
  <c r="R111" i="14" s="1"/>
  <c r="R112" i="14" s="1"/>
  <c r="R114" i="14" s="1"/>
  <c r="R116" i="14" s="1"/>
  <c r="R26" i="14"/>
  <c r="R128" i="14"/>
  <c r="R129" i="14" s="1"/>
  <c r="R131" i="14" s="1"/>
  <c r="R132" i="14" s="1"/>
  <c r="R134" i="14" s="1"/>
  <c r="R136" i="14" s="1"/>
  <c r="O87" i="14"/>
  <c r="O88" i="14" s="1"/>
  <c r="O90" i="14" s="1"/>
  <c r="O91" i="14" s="1"/>
  <c r="O93" i="14" s="1"/>
  <c r="O95" i="14" s="1"/>
  <c r="O68" i="14"/>
  <c r="O70" i="14" s="1"/>
  <c r="O71" i="14" s="1"/>
  <c r="O73" i="14" s="1"/>
  <c r="O75" i="14" s="1"/>
  <c r="P67" i="14"/>
  <c r="P47" i="14"/>
  <c r="P49" i="14" s="1"/>
  <c r="P50" i="14" s="1"/>
  <c r="P52" i="14" s="1"/>
  <c r="P54" i="14" s="1"/>
  <c r="Q46" i="14"/>
  <c r="Q27" i="14"/>
  <c r="Q29" i="14" s="1"/>
  <c r="Q30" i="14" s="1"/>
  <c r="Q32" i="14" s="1"/>
  <c r="Q34" i="14" s="1"/>
  <c r="S85" i="11"/>
  <c r="S87" i="11" s="1"/>
  <c r="S14" i="12"/>
  <c r="R34" i="12"/>
  <c r="R35" i="12" s="1"/>
  <c r="R15" i="12"/>
  <c r="V11" i="12"/>
  <c r="T36" i="12"/>
  <c r="T46" i="11"/>
  <c r="T45" i="11" s="1"/>
  <c r="G88" i="14"/>
  <c r="D39" i="13"/>
  <c r="D19" i="13"/>
  <c r="D20" i="13"/>
  <c r="E19" i="13"/>
  <c r="E39" i="13"/>
  <c r="E20" i="13"/>
  <c r="C20" i="13"/>
  <c r="C19" i="13"/>
  <c r="C39" i="13"/>
  <c r="B19" i="13"/>
  <c r="B39" i="13"/>
  <c r="B20" i="13"/>
  <c r="G27" i="14"/>
  <c r="G109" i="14"/>
  <c r="G111" i="14" s="1"/>
  <c r="G191" i="14"/>
  <c r="G68" i="14"/>
  <c r="G252" i="14"/>
  <c r="G150" i="14"/>
  <c r="G129" i="14"/>
  <c r="G211" i="14"/>
  <c r="E170" i="14"/>
  <c r="E150" i="14"/>
  <c r="H170" i="14"/>
  <c r="H211" i="14"/>
  <c r="F170" i="14"/>
  <c r="D252" i="14"/>
  <c r="D254" i="14" s="1"/>
  <c r="D170" i="14"/>
  <c r="C170" i="14"/>
  <c r="C172" i="14" s="1"/>
  <c r="P87" i="14" l="1"/>
  <c r="P88" i="14" s="1"/>
  <c r="P90" i="14" s="1"/>
  <c r="P91" i="14" s="1"/>
  <c r="P93" i="14" s="1"/>
  <c r="P95" i="14" s="1"/>
  <c r="P68" i="14"/>
  <c r="P70" i="14" s="1"/>
  <c r="P71" i="14" s="1"/>
  <c r="P73" i="14" s="1"/>
  <c r="P75" i="14" s="1"/>
  <c r="R46" i="14"/>
  <c r="R27" i="14"/>
  <c r="R29" i="14" s="1"/>
  <c r="R30" i="14" s="1"/>
  <c r="R32" i="14" s="1"/>
  <c r="R34" i="14" s="1"/>
  <c r="Q67" i="14"/>
  <c r="Q47" i="14"/>
  <c r="Q49" i="14" s="1"/>
  <c r="Q50" i="14" s="1"/>
  <c r="Q52" i="14" s="1"/>
  <c r="Q54" i="14" s="1"/>
  <c r="S128" i="14"/>
  <c r="S129" i="14" s="1"/>
  <c r="S131" i="14" s="1"/>
  <c r="S132" i="14" s="1"/>
  <c r="S134" i="14" s="1"/>
  <c r="S136" i="14" s="1"/>
  <c r="S108" i="14"/>
  <c r="S109" i="14" s="1"/>
  <c r="S111" i="14" s="1"/>
  <c r="S112" i="14" s="1"/>
  <c r="S114" i="14" s="1"/>
  <c r="S116" i="14" s="1"/>
  <c r="S190" i="14"/>
  <c r="S191" i="14" s="1"/>
  <c r="S193" i="14" s="1"/>
  <c r="S194" i="14" s="1"/>
  <c r="S196" i="14" s="1"/>
  <c r="S198" i="14" s="1"/>
  <c r="S251" i="14"/>
  <c r="S252" i="14" s="1"/>
  <c r="S254" i="14" s="1"/>
  <c r="S255" i="14" s="1"/>
  <c r="S257" i="14" s="1"/>
  <c r="S259" i="14" s="1"/>
  <c r="S169" i="14"/>
  <c r="S170" i="14" s="1"/>
  <c r="S172" i="14" s="1"/>
  <c r="S173" i="14" s="1"/>
  <c r="S175" i="14" s="1"/>
  <c r="S177" i="14" s="1"/>
  <c r="S26" i="14"/>
  <c r="S210" i="14"/>
  <c r="S211" i="14" s="1"/>
  <c r="S213" i="14" s="1"/>
  <c r="S214" i="14" s="1"/>
  <c r="S216" i="14" s="1"/>
  <c r="S218" i="14" s="1"/>
  <c r="S231" i="14"/>
  <c r="S232" i="14" s="1"/>
  <c r="S234" i="14" s="1"/>
  <c r="S235" i="14" s="1"/>
  <c r="S237" i="14" s="1"/>
  <c r="S239" i="14" s="1"/>
  <c r="S149" i="14"/>
  <c r="S150" i="14" s="1"/>
  <c r="S152" i="14" s="1"/>
  <c r="S153" i="14" s="1"/>
  <c r="S155" i="14" s="1"/>
  <c r="S157" i="14" s="1"/>
  <c r="D255" i="14"/>
  <c r="D257" i="14" s="1"/>
  <c r="D259" i="14" s="1"/>
  <c r="C173" i="14"/>
  <c r="C175" i="14" s="1"/>
  <c r="G112" i="14"/>
  <c r="G114" i="14" s="1"/>
  <c r="G116" i="14" s="1"/>
  <c r="S34" i="12"/>
  <c r="S35" i="12" s="1"/>
  <c r="S37" i="12" s="1"/>
  <c r="S15" i="12"/>
  <c r="S17" i="12" s="1"/>
  <c r="T85" i="11"/>
  <c r="T87" i="11" s="1"/>
  <c r="T14" i="12"/>
  <c r="H109" i="14"/>
  <c r="H111" i="14" s="1"/>
  <c r="H88" i="14"/>
  <c r="H27" i="14"/>
  <c r="C68" i="14"/>
  <c r="C70" i="14" s="1"/>
  <c r="H47" i="14"/>
  <c r="W11" i="12"/>
  <c r="C88" i="14"/>
  <c r="C90" i="14" s="1"/>
  <c r="U36" i="12"/>
  <c r="U46" i="11"/>
  <c r="U45" i="11" s="1"/>
  <c r="C252" i="14"/>
  <c r="C254" i="14" s="1"/>
  <c r="H150" i="14"/>
  <c r="H68" i="14"/>
  <c r="C130" i="14"/>
  <c r="H252" i="14"/>
  <c r="F109" i="14"/>
  <c r="F111" i="14" s="1"/>
  <c r="F150" i="14"/>
  <c r="F211" i="14"/>
  <c r="H129" i="14"/>
  <c r="D172" i="14"/>
  <c r="D191" i="14"/>
  <c r="D193" i="14" s="1"/>
  <c r="D68" i="14"/>
  <c r="D70" i="14" s="1"/>
  <c r="D129" i="14"/>
  <c r="D232" i="14"/>
  <c r="D234" i="14" s="1"/>
  <c r="D109" i="14"/>
  <c r="D111" i="14" s="1"/>
  <c r="D88" i="14"/>
  <c r="D90" i="14" s="1"/>
  <c r="C150" i="14"/>
  <c r="C152" i="14" s="1"/>
  <c r="F68" i="14"/>
  <c r="F47" i="14"/>
  <c r="E88" i="14"/>
  <c r="D27" i="14"/>
  <c r="D29" i="14" s="1"/>
  <c r="F252" i="14"/>
  <c r="F191" i="14"/>
  <c r="F27" i="14"/>
  <c r="E68" i="14"/>
  <c r="H232" i="14"/>
  <c r="H191" i="14"/>
  <c r="D47" i="14"/>
  <c r="D49" i="14" s="1"/>
  <c r="C47" i="14"/>
  <c r="C49" i="14" s="1"/>
  <c r="C50" i="14" s="1"/>
  <c r="E109" i="14"/>
  <c r="E111" i="14" s="1"/>
  <c r="C211" i="14"/>
  <c r="C213" i="14" s="1"/>
  <c r="C232" i="14"/>
  <c r="C234" i="14" s="1"/>
  <c r="C129" i="14"/>
  <c r="D211" i="14"/>
  <c r="D213" i="14" s="1"/>
  <c r="F88" i="14"/>
  <c r="E252" i="14"/>
  <c r="C109" i="14"/>
  <c r="C111" i="14" s="1"/>
  <c r="D150" i="14"/>
  <c r="D152" i="14" s="1"/>
  <c r="F232" i="14"/>
  <c r="C27" i="14"/>
  <c r="C29" i="14" s="1"/>
  <c r="C30" i="14" s="1"/>
  <c r="C191" i="14"/>
  <c r="C193" i="14" s="1"/>
  <c r="E232" i="14"/>
  <c r="F129" i="14"/>
  <c r="E47" i="14"/>
  <c r="E211" i="14"/>
  <c r="E191" i="14"/>
  <c r="E129" i="14"/>
  <c r="E27" i="14"/>
  <c r="E253" i="14"/>
  <c r="E192" i="14"/>
  <c r="E171" i="14"/>
  <c r="E69" i="14"/>
  <c r="E48" i="14"/>
  <c r="E233" i="14"/>
  <c r="E212" i="14"/>
  <c r="E151" i="14"/>
  <c r="E152" i="14" s="1"/>
  <c r="E89" i="14"/>
  <c r="E28" i="14"/>
  <c r="S46" i="14" l="1"/>
  <c r="S27" i="14"/>
  <c r="S29" i="14" s="1"/>
  <c r="S30" i="14" s="1"/>
  <c r="S32" i="14" s="1"/>
  <c r="S34" i="14" s="1"/>
  <c r="R67" i="14"/>
  <c r="R47" i="14"/>
  <c r="R49" i="14" s="1"/>
  <c r="R50" i="14" s="1"/>
  <c r="R52" i="14" s="1"/>
  <c r="R54" i="14" s="1"/>
  <c r="T26" i="14"/>
  <c r="T231" i="14"/>
  <c r="T232" i="14" s="1"/>
  <c r="T234" i="14" s="1"/>
  <c r="T235" i="14" s="1"/>
  <c r="T237" i="14" s="1"/>
  <c r="T239" i="14" s="1"/>
  <c r="T190" i="14"/>
  <c r="T191" i="14" s="1"/>
  <c r="T193" i="14" s="1"/>
  <c r="T194" i="14" s="1"/>
  <c r="T196" i="14" s="1"/>
  <c r="T198" i="14" s="1"/>
  <c r="T149" i="14"/>
  <c r="T150" i="14" s="1"/>
  <c r="T152" i="14" s="1"/>
  <c r="T153" i="14" s="1"/>
  <c r="T155" i="14" s="1"/>
  <c r="T157" i="14" s="1"/>
  <c r="T128" i="14"/>
  <c r="T129" i="14" s="1"/>
  <c r="T131" i="14" s="1"/>
  <c r="T132" i="14" s="1"/>
  <c r="T134" i="14" s="1"/>
  <c r="T136" i="14" s="1"/>
  <c r="T251" i="14"/>
  <c r="T252" i="14" s="1"/>
  <c r="T254" i="14" s="1"/>
  <c r="T255" i="14" s="1"/>
  <c r="T257" i="14" s="1"/>
  <c r="T259" i="14" s="1"/>
  <c r="T108" i="14"/>
  <c r="T109" i="14" s="1"/>
  <c r="T111" i="14" s="1"/>
  <c r="T112" i="14" s="1"/>
  <c r="T114" i="14" s="1"/>
  <c r="T116" i="14" s="1"/>
  <c r="T169" i="14"/>
  <c r="T170" i="14" s="1"/>
  <c r="T172" i="14" s="1"/>
  <c r="T173" i="14" s="1"/>
  <c r="T175" i="14" s="1"/>
  <c r="T177" i="14" s="1"/>
  <c r="T210" i="14"/>
  <c r="T211" i="14" s="1"/>
  <c r="T213" i="14" s="1"/>
  <c r="T214" i="14" s="1"/>
  <c r="T216" i="14" s="1"/>
  <c r="T218" i="14" s="1"/>
  <c r="Q87" i="14"/>
  <c r="Q88" i="14" s="1"/>
  <c r="Q90" i="14" s="1"/>
  <c r="Q91" i="14" s="1"/>
  <c r="Q93" i="14" s="1"/>
  <c r="Q95" i="14" s="1"/>
  <c r="Q68" i="14"/>
  <c r="Q70" i="14" s="1"/>
  <c r="Q71" i="14" s="1"/>
  <c r="Q73" i="14" s="1"/>
  <c r="Q75" i="14" s="1"/>
  <c r="C255" i="14"/>
  <c r="C257" i="14" s="1"/>
  <c r="C235" i="14"/>
  <c r="C237" i="14" s="1"/>
  <c r="D235" i="14"/>
  <c r="D237" i="14" s="1"/>
  <c r="D239" i="14" s="1"/>
  <c r="C214" i="14"/>
  <c r="C216" i="14" s="1"/>
  <c r="D214" i="14"/>
  <c r="D216" i="14" s="1"/>
  <c r="D218" i="14" s="1"/>
  <c r="D194" i="14"/>
  <c r="D196" i="14" s="1"/>
  <c r="D198" i="14" s="1"/>
  <c r="C194" i="14"/>
  <c r="C196" i="14" s="1"/>
  <c r="D173" i="14"/>
  <c r="D175" i="14" s="1"/>
  <c r="D177" i="14" s="1"/>
  <c r="D153" i="14"/>
  <c r="D155" i="14" s="1"/>
  <c r="D157" i="14" s="1"/>
  <c r="C153" i="14"/>
  <c r="C155" i="14" s="1"/>
  <c r="E153" i="14"/>
  <c r="E155" i="14" s="1"/>
  <c r="E157" i="14" s="1"/>
  <c r="D112" i="14"/>
  <c r="D114" i="14" s="1"/>
  <c r="D116" i="14" s="1"/>
  <c r="H112" i="14"/>
  <c r="H114" i="14" s="1"/>
  <c r="E112" i="14"/>
  <c r="E114" i="14" s="1"/>
  <c r="E116" i="14" s="1"/>
  <c r="F112" i="14"/>
  <c r="F114" i="14" s="1"/>
  <c r="F116" i="14" s="1"/>
  <c r="C112" i="14"/>
  <c r="C114" i="14" s="1"/>
  <c r="D91" i="14"/>
  <c r="D93" i="14" s="1"/>
  <c r="D95" i="14" s="1"/>
  <c r="C91" i="14"/>
  <c r="C93" i="14" s="1"/>
  <c r="D71" i="14"/>
  <c r="D73" i="14" s="1"/>
  <c r="D75" i="14" s="1"/>
  <c r="C71" i="14"/>
  <c r="C73" i="14" s="1"/>
  <c r="D50" i="14"/>
  <c r="D52" i="14" s="1"/>
  <c r="D54" i="14" s="1"/>
  <c r="D30" i="14"/>
  <c r="D32" i="14" s="1"/>
  <c r="D34" i="14" s="1"/>
  <c r="U85" i="11"/>
  <c r="U87" i="11" s="1"/>
  <c r="U14" i="12"/>
  <c r="T34" i="12"/>
  <c r="T35" i="12" s="1"/>
  <c r="T37" i="12" s="1"/>
  <c r="T15" i="12"/>
  <c r="T17" i="12" s="1"/>
  <c r="X11" i="12"/>
  <c r="V36" i="12"/>
  <c r="V46" i="11"/>
  <c r="V45" i="11" s="1"/>
  <c r="D130" i="14"/>
  <c r="D131" i="14" s="1"/>
  <c r="E70" i="14"/>
  <c r="E90" i="14"/>
  <c r="E254" i="14"/>
  <c r="E172" i="14"/>
  <c r="C131" i="14"/>
  <c r="E234" i="14"/>
  <c r="E213" i="14"/>
  <c r="E49" i="14"/>
  <c r="E193" i="14"/>
  <c r="E29" i="14"/>
  <c r="U251" i="14" l="1"/>
  <c r="U252" i="14" s="1"/>
  <c r="U254" i="14" s="1"/>
  <c r="U255" i="14" s="1"/>
  <c r="U257" i="14" s="1"/>
  <c r="U259" i="14" s="1"/>
  <c r="U231" i="14"/>
  <c r="U232" i="14" s="1"/>
  <c r="U234" i="14" s="1"/>
  <c r="U235" i="14" s="1"/>
  <c r="U237" i="14" s="1"/>
  <c r="U239" i="14" s="1"/>
  <c r="U210" i="14"/>
  <c r="U211" i="14" s="1"/>
  <c r="U213" i="14" s="1"/>
  <c r="U214" i="14" s="1"/>
  <c r="U216" i="14" s="1"/>
  <c r="U218" i="14" s="1"/>
  <c r="U190" i="14"/>
  <c r="U191" i="14" s="1"/>
  <c r="U193" i="14" s="1"/>
  <c r="U194" i="14" s="1"/>
  <c r="U196" i="14" s="1"/>
  <c r="U198" i="14" s="1"/>
  <c r="U149" i="14"/>
  <c r="U150" i="14" s="1"/>
  <c r="U152" i="14" s="1"/>
  <c r="U153" i="14" s="1"/>
  <c r="U155" i="14" s="1"/>
  <c r="U157" i="14" s="1"/>
  <c r="U128" i="14"/>
  <c r="U129" i="14" s="1"/>
  <c r="U131" i="14" s="1"/>
  <c r="U132" i="14" s="1"/>
  <c r="U134" i="14" s="1"/>
  <c r="U136" i="14" s="1"/>
  <c r="U26" i="14"/>
  <c r="U108" i="14"/>
  <c r="U109" i="14" s="1"/>
  <c r="U111" i="14" s="1"/>
  <c r="U112" i="14" s="1"/>
  <c r="U114" i="14" s="1"/>
  <c r="U116" i="14" s="1"/>
  <c r="U169" i="14"/>
  <c r="U170" i="14" s="1"/>
  <c r="U172" i="14" s="1"/>
  <c r="U173" i="14" s="1"/>
  <c r="U175" i="14" s="1"/>
  <c r="U177" i="14" s="1"/>
  <c r="R87" i="14"/>
  <c r="R88" i="14" s="1"/>
  <c r="R90" i="14" s="1"/>
  <c r="R91" i="14" s="1"/>
  <c r="R93" i="14" s="1"/>
  <c r="R95" i="14" s="1"/>
  <c r="R68" i="14"/>
  <c r="R70" i="14" s="1"/>
  <c r="R71" i="14" s="1"/>
  <c r="R73" i="14" s="1"/>
  <c r="R75" i="14" s="1"/>
  <c r="T46" i="14"/>
  <c r="T27" i="14"/>
  <c r="T29" i="14" s="1"/>
  <c r="T30" i="14" s="1"/>
  <c r="T32" i="14" s="1"/>
  <c r="T34" i="14" s="1"/>
  <c r="S67" i="14"/>
  <c r="S47" i="14"/>
  <c r="S49" i="14" s="1"/>
  <c r="S50" i="14" s="1"/>
  <c r="S52" i="14" s="1"/>
  <c r="S54" i="14" s="1"/>
  <c r="E255" i="14"/>
  <c r="E257" i="14" s="1"/>
  <c r="E259" i="14" s="1"/>
  <c r="E235" i="14"/>
  <c r="E237" i="14" s="1"/>
  <c r="E239" i="14" s="1"/>
  <c r="E214" i="14"/>
  <c r="E216" i="14" s="1"/>
  <c r="E218" i="14" s="1"/>
  <c r="E194" i="14"/>
  <c r="E196" i="14" s="1"/>
  <c r="E198" i="14" s="1"/>
  <c r="E173" i="14"/>
  <c r="E175" i="14" s="1"/>
  <c r="E177" i="14" s="1"/>
  <c r="D132" i="14"/>
  <c r="D134" i="14" s="1"/>
  <c r="D136" i="14" s="1"/>
  <c r="C132" i="14"/>
  <c r="C134" i="14" s="1"/>
  <c r="E91" i="14"/>
  <c r="E93" i="14" s="1"/>
  <c r="E95" i="14" s="1"/>
  <c r="E71" i="14"/>
  <c r="E73" i="14" s="1"/>
  <c r="E75" i="14" s="1"/>
  <c r="E50" i="14"/>
  <c r="E52" i="14" s="1"/>
  <c r="E54" i="14" s="1"/>
  <c r="E30" i="14"/>
  <c r="E32" i="14" s="1"/>
  <c r="E34" i="14" s="1"/>
  <c r="U34" i="12"/>
  <c r="U35" i="12" s="1"/>
  <c r="U37" i="12" s="1"/>
  <c r="U15" i="12"/>
  <c r="U17" i="12" s="1"/>
  <c r="V85" i="11"/>
  <c r="V87" i="11" s="1"/>
  <c r="V14" i="12"/>
  <c r="Y11" i="12"/>
  <c r="W46" i="11"/>
  <c r="W45" i="11" s="1"/>
  <c r="E130" i="14"/>
  <c r="E131" i="14" s="1"/>
  <c r="F253" i="14"/>
  <c r="F254" i="14" s="1"/>
  <c r="U46" i="14" l="1"/>
  <c r="U27" i="14"/>
  <c r="U29" i="14" s="1"/>
  <c r="U30" i="14" s="1"/>
  <c r="U32" i="14" s="1"/>
  <c r="U34" i="14" s="1"/>
  <c r="T67" i="14"/>
  <c r="T47" i="14"/>
  <c r="T49" i="14" s="1"/>
  <c r="T50" i="14" s="1"/>
  <c r="T52" i="14" s="1"/>
  <c r="T54" i="14" s="1"/>
  <c r="V190" i="14"/>
  <c r="V191" i="14" s="1"/>
  <c r="V193" i="14" s="1"/>
  <c r="V194" i="14" s="1"/>
  <c r="V196" i="14" s="1"/>
  <c r="V198" i="14" s="1"/>
  <c r="V169" i="14"/>
  <c r="V170" i="14" s="1"/>
  <c r="V172" i="14" s="1"/>
  <c r="V173" i="14" s="1"/>
  <c r="V175" i="14" s="1"/>
  <c r="V177" i="14" s="1"/>
  <c r="V149" i="14"/>
  <c r="V150" i="14" s="1"/>
  <c r="V152" i="14" s="1"/>
  <c r="V153" i="14" s="1"/>
  <c r="V155" i="14" s="1"/>
  <c r="V157" i="14" s="1"/>
  <c r="V251" i="14"/>
  <c r="V252" i="14" s="1"/>
  <c r="V254" i="14" s="1"/>
  <c r="V255" i="14" s="1"/>
  <c r="V257" i="14" s="1"/>
  <c r="V259" i="14" s="1"/>
  <c r="V231" i="14"/>
  <c r="V232" i="14" s="1"/>
  <c r="V234" i="14" s="1"/>
  <c r="V235" i="14" s="1"/>
  <c r="V237" i="14" s="1"/>
  <c r="V239" i="14" s="1"/>
  <c r="V210" i="14"/>
  <c r="V211" i="14" s="1"/>
  <c r="V213" i="14" s="1"/>
  <c r="V214" i="14" s="1"/>
  <c r="V216" i="14" s="1"/>
  <c r="V218" i="14" s="1"/>
  <c r="V128" i="14"/>
  <c r="V129" i="14" s="1"/>
  <c r="V131" i="14" s="1"/>
  <c r="V132" i="14" s="1"/>
  <c r="V134" i="14" s="1"/>
  <c r="V136" i="14" s="1"/>
  <c r="V108" i="14"/>
  <c r="V109" i="14" s="1"/>
  <c r="V111" i="14" s="1"/>
  <c r="V112" i="14" s="1"/>
  <c r="V114" i="14" s="1"/>
  <c r="V116" i="14" s="1"/>
  <c r="V26" i="14"/>
  <c r="S87" i="14"/>
  <c r="S88" i="14" s="1"/>
  <c r="S90" i="14" s="1"/>
  <c r="S91" i="14" s="1"/>
  <c r="S93" i="14" s="1"/>
  <c r="S95" i="14" s="1"/>
  <c r="S68" i="14"/>
  <c r="S70" i="14" s="1"/>
  <c r="S71" i="14" s="1"/>
  <c r="S73" i="14" s="1"/>
  <c r="S75" i="14" s="1"/>
  <c r="F255" i="14"/>
  <c r="F257" i="14" s="1"/>
  <c r="F259" i="14" s="1"/>
  <c r="E132" i="14"/>
  <c r="E134" i="14" s="1"/>
  <c r="E136" i="14" s="1"/>
  <c r="W85" i="11"/>
  <c r="W87" i="11" s="1"/>
  <c r="W14" i="12"/>
  <c r="V34" i="12"/>
  <c r="V35" i="12" s="1"/>
  <c r="V37" i="12" s="1"/>
  <c r="V15" i="12"/>
  <c r="V17" i="12" s="1"/>
  <c r="Z11" i="12"/>
  <c r="X36" i="12"/>
  <c r="X46" i="11"/>
  <c r="X45" i="11" s="1"/>
  <c r="F89" i="14"/>
  <c r="F90" i="14" s="1"/>
  <c r="F151" i="14"/>
  <c r="F152" i="14" s="1"/>
  <c r="F69" i="14"/>
  <c r="F70" i="14" s="1"/>
  <c r="F48" i="14"/>
  <c r="F49" i="14" s="1"/>
  <c r="F212" i="14"/>
  <c r="F213" i="14" s="1"/>
  <c r="F192" i="14"/>
  <c r="F193" i="14" s="1"/>
  <c r="F28" i="14"/>
  <c r="F29" i="14" s="1"/>
  <c r="F233" i="14"/>
  <c r="F234" i="14" s="1"/>
  <c r="F171" i="14"/>
  <c r="F172" i="14" s="1"/>
  <c r="W128" i="14" l="1"/>
  <c r="W129" i="14" s="1"/>
  <c r="W131" i="14" s="1"/>
  <c r="W132" i="14" s="1"/>
  <c r="W134" i="14" s="1"/>
  <c r="W136" i="14" s="1"/>
  <c r="W108" i="14"/>
  <c r="W109" i="14" s="1"/>
  <c r="W111" i="14" s="1"/>
  <c r="W112" i="14" s="1"/>
  <c r="W114" i="14" s="1"/>
  <c r="W116" i="14" s="1"/>
  <c r="W190" i="14"/>
  <c r="W191" i="14" s="1"/>
  <c r="W193" i="14" s="1"/>
  <c r="W194" i="14" s="1"/>
  <c r="W196" i="14" s="1"/>
  <c r="W198" i="14" s="1"/>
  <c r="W210" i="14"/>
  <c r="W211" i="14" s="1"/>
  <c r="W213" i="14" s="1"/>
  <c r="W214" i="14" s="1"/>
  <c r="W216" i="14" s="1"/>
  <c r="W218" i="14" s="1"/>
  <c r="W169" i="14"/>
  <c r="W170" i="14" s="1"/>
  <c r="W172" i="14" s="1"/>
  <c r="W173" i="14" s="1"/>
  <c r="W175" i="14" s="1"/>
  <c r="W177" i="14" s="1"/>
  <c r="W26" i="14"/>
  <c r="W251" i="14"/>
  <c r="W252" i="14" s="1"/>
  <c r="W254" i="14" s="1"/>
  <c r="W255" i="14" s="1"/>
  <c r="W257" i="14" s="1"/>
  <c r="W259" i="14" s="1"/>
  <c r="W231" i="14"/>
  <c r="W232" i="14" s="1"/>
  <c r="W234" i="14" s="1"/>
  <c r="W235" i="14" s="1"/>
  <c r="W237" i="14" s="1"/>
  <c r="W239" i="14" s="1"/>
  <c r="W149" i="14"/>
  <c r="W150" i="14" s="1"/>
  <c r="W152" i="14" s="1"/>
  <c r="W153" i="14" s="1"/>
  <c r="W155" i="14" s="1"/>
  <c r="W157" i="14" s="1"/>
  <c r="T87" i="14"/>
  <c r="T88" i="14" s="1"/>
  <c r="T90" i="14" s="1"/>
  <c r="T91" i="14" s="1"/>
  <c r="T93" i="14" s="1"/>
  <c r="T95" i="14" s="1"/>
  <c r="T68" i="14"/>
  <c r="T70" i="14" s="1"/>
  <c r="T71" i="14" s="1"/>
  <c r="T73" i="14" s="1"/>
  <c r="T75" i="14" s="1"/>
  <c r="V46" i="14"/>
  <c r="V27" i="14"/>
  <c r="V29" i="14" s="1"/>
  <c r="V30" i="14" s="1"/>
  <c r="V32" i="14" s="1"/>
  <c r="V34" i="14" s="1"/>
  <c r="U67" i="14"/>
  <c r="U47" i="14"/>
  <c r="U49" i="14" s="1"/>
  <c r="U50" i="14" s="1"/>
  <c r="U52" i="14" s="1"/>
  <c r="U54" i="14" s="1"/>
  <c r="F235" i="14"/>
  <c r="F237" i="14" s="1"/>
  <c r="F239" i="14" s="1"/>
  <c r="F214" i="14"/>
  <c r="F216" i="14" s="1"/>
  <c r="F218" i="14" s="1"/>
  <c r="F194" i="14"/>
  <c r="F196" i="14" s="1"/>
  <c r="F198" i="14" s="1"/>
  <c r="F173" i="14"/>
  <c r="F175" i="14" s="1"/>
  <c r="F177" i="14" s="1"/>
  <c r="F153" i="14"/>
  <c r="F155" i="14" s="1"/>
  <c r="F157" i="14" s="1"/>
  <c r="F91" i="14"/>
  <c r="F93" i="14" s="1"/>
  <c r="F95" i="14" s="1"/>
  <c r="F71" i="14"/>
  <c r="F73" i="14" s="1"/>
  <c r="F75" i="14" s="1"/>
  <c r="F50" i="14"/>
  <c r="F52" i="14" s="1"/>
  <c r="F54" i="14" s="1"/>
  <c r="F30" i="14"/>
  <c r="F32" i="14" s="1"/>
  <c r="F34" i="14" s="1"/>
  <c r="W34" i="12"/>
  <c r="W35" i="12" s="1"/>
  <c r="W15" i="12"/>
  <c r="X85" i="11"/>
  <c r="X87" i="11" s="1"/>
  <c r="X14" i="12"/>
  <c r="AA11" i="12"/>
  <c r="Y36" i="12"/>
  <c r="Y46" i="11"/>
  <c r="Y45" i="11" s="1"/>
  <c r="F130" i="14"/>
  <c r="F131" i="14" s="1"/>
  <c r="Y2" i="3"/>
  <c r="Y3" i="3" s="1"/>
  <c r="V67" i="14" l="1"/>
  <c r="V47" i="14"/>
  <c r="V49" i="14" s="1"/>
  <c r="V50" i="14" s="1"/>
  <c r="V52" i="14" s="1"/>
  <c r="V54" i="14" s="1"/>
  <c r="U87" i="14"/>
  <c r="U88" i="14" s="1"/>
  <c r="U90" i="14" s="1"/>
  <c r="U91" i="14" s="1"/>
  <c r="U93" i="14" s="1"/>
  <c r="U95" i="14" s="1"/>
  <c r="U68" i="14"/>
  <c r="U70" i="14" s="1"/>
  <c r="U71" i="14" s="1"/>
  <c r="U73" i="14" s="1"/>
  <c r="U75" i="14" s="1"/>
  <c r="W46" i="14"/>
  <c r="W27" i="14"/>
  <c r="W29" i="14" s="1"/>
  <c r="W30" i="14" s="1"/>
  <c r="W32" i="14" s="1"/>
  <c r="W34" i="14" s="1"/>
  <c r="X26" i="14"/>
  <c r="X108" i="14"/>
  <c r="X109" i="14" s="1"/>
  <c r="X111" i="14" s="1"/>
  <c r="X112" i="14" s="1"/>
  <c r="X114" i="14" s="1"/>
  <c r="X116" i="14" s="1"/>
  <c r="X190" i="14"/>
  <c r="X191" i="14" s="1"/>
  <c r="X193" i="14" s="1"/>
  <c r="X194" i="14" s="1"/>
  <c r="X196" i="14" s="1"/>
  <c r="X198" i="14" s="1"/>
  <c r="X251" i="14"/>
  <c r="X252" i="14" s="1"/>
  <c r="X254" i="14" s="1"/>
  <c r="X255" i="14" s="1"/>
  <c r="X257" i="14" s="1"/>
  <c r="X259" i="14" s="1"/>
  <c r="X149" i="14"/>
  <c r="X150" i="14" s="1"/>
  <c r="X152" i="14" s="1"/>
  <c r="X153" i="14" s="1"/>
  <c r="X155" i="14" s="1"/>
  <c r="X157" i="14" s="1"/>
  <c r="X128" i="14"/>
  <c r="X129" i="14" s="1"/>
  <c r="X131" i="14" s="1"/>
  <c r="X132" i="14" s="1"/>
  <c r="X134" i="14" s="1"/>
  <c r="X136" i="14" s="1"/>
  <c r="X210" i="14"/>
  <c r="X211" i="14" s="1"/>
  <c r="X213" i="14" s="1"/>
  <c r="X214" i="14" s="1"/>
  <c r="X216" i="14" s="1"/>
  <c r="X218" i="14" s="1"/>
  <c r="X169" i="14"/>
  <c r="X170" i="14" s="1"/>
  <c r="X172" i="14" s="1"/>
  <c r="X173" i="14" s="1"/>
  <c r="X175" i="14" s="1"/>
  <c r="X177" i="14" s="1"/>
  <c r="X231" i="14"/>
  <c r="X232" i="14" s="1"/>
  <c r="X234" i="14" s="1"/>
  <c r="X235" i="14" s="1"/>
  <c r="X237" i="14" s="1"/>
  <c r="X239" i="14" s="1"/>
  <c r="F132" i="14"/>
  <c r="F134" i="14" s="1"/>
  <c r="F136" i="14" s="1"/>
  <c r="Y85" i="11"/>
  <c r="Y87" i="11" s="1"/>
  <c r="Y14" i="12"/>
  <c r="X34" i="12"/>
  <c r="X35" i="12" s="1"/>
  <c r="X37" i="12" s="1"/>
  <c r="X15" i="12"/>
  <c r="X17" i="12" s="1"/>
  <c r="AB11" i="12"/>
  <c r="Z36" i="12"/>
  <c r="Z46" i="11"/>
  <c r="Z45" i="11" s="1"/>
  <c r="G192" i="14"/>
  <c r="G193" i="14" s="1"/>
  <c r="G151" i="14"/>
  <c r="G152" i="14" s="1"/>
  <c r="G89" i="14"/>
  <c r="G90" i="14" s="1"/>
  <c r="G171" i="14"/>
  <c r="G172" i="14" s="1"/>
  <c r="G48" i="14"/>
  <c r="G49" i="14" s="1"/>
  <c r="G253" i="14"/>
  <c r="G254" i="14" s="1"/>
  <c r="G212" i="14"/>
  <c r="G213" i="14" s="1"/>
  <c r="G69" i="14"/>
  <c r="G70" i="14" s="1"/>
  <c r="G28" i="14"/>
  <c r="G29" i="14" s="1"/>
  <c r="G233" i="14"/>
  <c r="G234" i="14" s="1"/>
  <c r="Y4" i="3"/>
  <c r="Y5" i="3" s="1"/>
  <c r="Y6" i="3" s="1"/>
  <c r="Y7" i="3" s="1"/>
  <c r="Y8" i="3" s="1"/>
  <c r="Y9" i="3" s="1"/>
  <c r="Y10" i="3" s="1"/>
  <c r="Y11" i="3" s="1"/>
  <c r="Y12" i="3" s="1"/>
  <c r="Y13" i="3" s="1"/>
  <c r="Y14" i="3" s="1"/>
  <c r="Y15" i="3" s="1"/>
  <c r="Y16" i="3" s="1"/>
  <c r="Y17" i="3" s="1"/>
  <c r="Y18" i="3" s="1"/>
  <c r="Y19" i="3" s="1"/>
  <c r="Y20" i="3" s="1"/>
  <c r="Y21" i="3" s="1"/>
  <c r="Y22" i="3" s="1"/>
  <c r="Y23" i="3" s="1"/>
  <c r="Y24" i="3" s="1"/>
  <c r="Y25" i="3" s="1"/>
  <c r="Y26" i="3" s="1"/>
  <c r="Y27" i="3" s="1"/>
  <c r="Y28" i="3" s="1"/>
  <c r="Y29" i="3" s="1"/>
  <c r="Y30" i="3" s="1"/>
  <c r="Y31" i="3" s="1"/>
  <c r="Y32" i="3" s="1"/>
  <c r="Y33" i="3" s="1"/>
  <c r="Y34" i="3" s="1"/>
  <c r="Y35" i="3" s="1"/>
  <c r="Y36" i="3" s="1"/>
  <c r="Y37" i="3" s="1"/>
  <c r="Y38" i="3" s="1"/>
  <c r="Y39" i="3" s="1"/>
  <c r="Y40" i="3" s="1"/>
  <c r="Y41" i="3" s="1"/>
  <c r="Y42" i="3" s="1"/>
  <c r="Y43" i="3" s="1"/>
  <c r="Y44" i="3" s="1"/>
  <c r="Y45" i="3" s="1"/>
  <c r="Y46" i="3" s="1"/>
  <c r="Y47" i="3" s="1"/>
  <c r="Y48" i="3" s="1"/>
  <c r="Y49" i="3" s="1"/>
  <c r="Y50" i="3" s="1"/>
  <c r="Y51" i="3" s="1"/>
  <c r="Y52" i="3" s="1"/>
  <c r="Y53" i="3" s="1"/>
  <c r="Y54" i="3" s="1"/>
  <c r="Y55" i="3" s="1"/>
  <c r="Y56" i="3" s="1"/>
  <c r="Y57" i="3" s="1"/>
  <c r="Y58" i="3" s="1"/>
  <c r="Y59" i="3" s="1"/>
  <c r="Y60" i="3" s="1"/>
  <c r="Y61" i="3" s="1"/>
  <c r="Y62" i="3" s="1"/>
  <c r="Y63" i="3" s="1"/>
  <c r="Y64" i="3" s="1"/>
  <c r="Y65" i="3" s="1"/>
  <c r="Y66" i="3" s="1"/>
  <c r="Y67" i="3" s="1"/>
  <c r="Y68" i="3" s="1"/>
  <c r="Y69" i="3" s="1"/>
  <c r="Y70" i="3" s="1"/>
  <c r="Y71" i="3" s="1"/>
  <c r="Y72" i="3" s="1"/>
  <c r="Y73" i="3" s="1"/>
  <c r="Y74" i="3" s="1"/>
  <c r="Y75" i="3" s="1"/>
  <c r="Y76" i="3" s="1"/>
  <c r="Y77" i="3" s="1"/>
  <c r="Y78" i="3" s="1"/>
  <c r="Y79" i="3" s="1"/>
  <c r="Y80" i="3" s="1"/>
  <c r="Y81" i="3" s="1"/>
  <c r="Y82" i="3" s="1"/>
  <c r="Y83" i="3" s="1"/>
  <c r="Y84" i="3" s="1"/>
  <c r="Y85" i="3" s="1"/>
  <c r="Y86" i="3" s="1"/>
  <c r="Y87" i="3" s="1"/>
  <c r="Y88" i="3" s="1"/>
  <c r="Y89" i="3" s="1"/>
  <c r="Y90" i="3" s="1"/>
  <c r="Y91" i="3" s="1"/>
  <c r="Y92" i="3" s="1"/>
  <c r="Y93" i="3" s="1"/>
  <c r="Y94" i="3" s="1"/>
  <c r="Y95" i="3" s="1"/>
  <c r="Y96" i="3" s="1"/>
  <c r="Y97" i="3" s="1"/>
  <c r="Y98" i="3" s="1"/>
  <c r="Y99" i="3" s="1"/>
  <c r="Y100" i="3" s="1"/>
  <c r="Y101" i="3" s="1"/>
  <c r="Y102" i="3" s="1"/>
  <c r="Y103" i="3" s="1"/>
  <c r="Y104" i="3" s="1"/>
  <c r="Y105" i="3" s="1"/>
  <c r="Y106" i="3" s="1"/>
  <c r="Y107" i="3" s="1"/>
  <c r="Y108" i="3" s="1"/>
  <c r="Y109" i="3" s="1"/>
  <c r="Y110" i="3" s="1"/>
  <c r="Y111" i="3" s="1"/>
  <c r="Y112" i="3" s="1"/>
  <c r="Y113" i="3" s="1"/>
  <c r="Y114" i="3" s="1"/>
  <c r="Y115" i="3" s="1"/>
  <c r="Y116" i="3" s="1"/>
  <c r="Y117" i="3" s="1"/>
  <c r="Y118" i="3" s="1"/>
  <c r="Y119" i="3" s="1"/>
  <c r="Y120" i="3" s="1"/>
  <c r="Y121" i="3" s="1"/>
  <c r="Y122" i="3" s="1"/>
  <c r="Y123" i="3" s="1"/>
  <c r="Y124" i="3" s="1"/>
  <c r="Y125" i="3" s="1"/>
  <c r="Y126" i="3" s="1"/>
  <c r="Y127" i="3" s="1"/>
  <c r="Y128" i="3" s="1"/>
  <c r="Y129" i="3" s="1"/>
  <c r="Y130" i="3" s="1"/>
  <c r="Y131" i="3" s="1"/>
  <c r="Y132" i="3" s="1"/>
  <c r="Y133" i="3" s="1"/>
  <c r="Y134" i="3" s="1"/>
  <c r="Y135" i="3" s="1"/>
  <c r="Y136" i="3" s="1"/>
  <c r="Y137" i="3" s="1"/>
  <c r="Y138" i="3" s="1"/>
  <c r="Y139" i="3" s="1"/>
  <c r="Y140" i="3" s="1"/>
  <c r="Y141" i="3" s="1"/>
  <c r="Y142" i="3" s="1"/>
  <c r="Y143" i="3" s="1"/>
  <c r="Y144" i="3" s="1"/>
  <c r="Y145" i="3" s="1"/>
  <c r="Y146" i="3" s="1"/>
  <c r="Y147" i="3" s="1"/>
  <c r="Y148" i="3" s="1"/>
  <c r="Y149" i="3" s="1"/>
  <c r="Y150" i="3" s="1"/>
  <c r="Y151" i="3" s="1"/>
  <c r="Y152" i="3" s="1"/>
  <c r="Y153" i="3" s="1"/>
  <c r="Y154" i="3" s="1"/>
  <c r="Y155" i="3" s="1"/>
  <c r="Y156" i="3" s="1"/>
  <c r="Y157" i="3" s="1"/>
  <c r="Y158" i="3" s="1"/>
  <c r="Y159" i="3" s="1"/>
  <c r="Y160" i="3" s="1"/>
  <c r="Y161" i="3" s="1"/>
  <c r="Y162" i="3" s="1"/>
  <c r="Y163" i="3" s="1"/>
  <c r="Y164" i="3" s="1"/>
  <c r="Y165" i="3" s="1"/>
  <c r="Y166" i="3" s="1"/>
  <c r="Y167" i="3" s="1"/>
  <c r="Y168" i="3" s="1"/>
  <c r="Y169" i="3" s="1"/>
  <c r="Y170" i="3" s="1"/>
  <c r="Y171" i="3" s="1"/>
  <c r="Y172" i="3" s="1"/>
  <c r="Y173" i="3" s="1"/>
  <c r="Y174" i="3" s="1"/>
  <c r="Y175" i="3" s="1"/>
  <c r="Y176" i="3" s="1"/>
  <c r="Y177" i="3" s="1"/>
  <c r="Y178" i="3" s="1"/>
  <c r="Y179" i="3" s="1"/>
  <c r="Y180" i="3" s="1"/>
  <c r="Y181" i="3" s="1"/>
  <c r="Y182" i="3" s="1"/>
  <c r="Y183" i="3" s="1"/>
  <c r="Y184" i="3" s="1"/>
  <c r="Y185" i="3" s="1"/>
  <c r="Y186" i="3" s="1"/>
  <c r="Y187" i="3" s="1"/>
  <c r="Y188" i="3" s="1"/>
  <c r="Y189" i="3" s="1"/>
  <c r="Y190" i="3" s="1"/>
  <c r="Y191" i="3" s="1"/>
  <c r="Y192" i="3" s="1"/>
  <c r="Y193" i="3" s="1"/>
  <c r="Y194" i="3" s="1"/>
  <c r="Y195" i="3" s="1"/>
  <c r="Y196" i="3" s="1"/>
  <c r="Y197" i="3" s="1"/>
  <c r="Y198" i="3" s="1"/>
  <c r="Y199" i="3" s="1"/>
  <c r="Y200" i="3" s="1"/>
  <c r="X46" i="14" l="1"/>
  <c r="X27" i="14"/>
  <c r="X29" i="14" s="1"/>
  <c r="X30" i="14" s="1"/>
  <c r="X32" i="14" s="1"/>
  <c r="X34" i="14" s="1"/>
  <c r="Y251" i="14"/>
  <c r="Y252" i="14" s="1"/>
  <c r="Y254" i="14" s="1"/>
  <c r="Y255" i="14" s="1"/>
  <c r="Y257" i="14" s="1"/>
  <c r="Y259" i="14" s="1"/>
  <c r="Y231" i="14"/>
  <c r="Y232" i="14" s="1"/>
  <c r="Y234" i="14" s="1"/>
  <c r="Y235" i="14" s="1"/>
  <c r="Y237" i="14" s="1"/>
  <c r="Y239" i="14" s="1"/>
  <c r="Y210" i="14"/>
  <c r="Y211" i="14" s="1"/>
  <c r="Y213" i="14" s="1"/>
  <c r="Y214" i="14" s="1"/>
  <c r="Y216" i="14" s="1"/>
  <c r="Y218" i="14" s="1"/>
  <c r="Y149" i="14"/>
  <c r="Y150" i="14" s="1"/>
  <c r="Y152" i="14" s="1"/>
  <c r="Y153" i="14" s="1"/>
  <c r="Y155" i="14" s="1"/>
  <c r="Y157" i="14" s="1"/>
  <c r="Y128" i="14"/>
  <c r="Y129" i="14" s="1"/>
  <c r="Y131" i="14" s="1"/>
  <c r="Y132" i="14" s="1"/>
  <c r="Y134" i="14" s="1"/>
  <c r="Y136" i="14" s="1"/>
  <c r="Y169" i="14"/>
  <c r="Y170" i="14" s="1"/>
  <c r="Y172" i="14" s="1"/>
  <c r="Y173" i="14" s="1"/>
  <c r="Y175" i="14" s="1"/>
  <c r="Y177" i="14" s="1"/>
  <c r="Y108" i="14"/>
  <c r="Y109" i="14" s="1"/>
  <c r="Y111" i="14" s="1"/>
  <c r="Y112" i="14" s="1"/>
  <c r="Y114" i="14" s="1"/>
  <c r="Y116" i="14" s="1"/>
  <c r="Y26" i="14"/>
  <c r="Y190" i="14"/>
  <c r="Y191" i="14" s="1"/>
  <c r="Y193" i="14" s="1"/>
  <c r="Y194" i="14" s="1"/>
  <c r="Y196" i="14" s="1"/>
  <c r="Y198" i="14" s="1"/>
  <c r="W67" i="14"/>
  <c r="W47" i="14"/>
  <c r="W49" i="14" s="1"/>
  <c r="W50" i="14" s="1"/>
  <c r="W52" i="14" s="1"/>
  <c r="W54" i="14" s="1"/>
  <c r="V87" i="14"/>
  <c r="V88" i="14" s="1"/>
  <c r="V90" i="14" s="1"/>
  <c r="V91" i="14" s="1"/>
  <c r="V93" i="14" s="1"/>
  <c r="V95" i="14" s="1"/>
  <c r="V68" i="14"/>
  <c r="V70" i="14" s="1"/>
  <c r="V71" i="14" s="1"/>
  <c r="V73" i="14" s="1"/>
  <c r="V75" i="14" s="1"/>
  <c r="G255" i="14"/>
  <c r="G257" i="14" s="1"/>
  <c r="G259" i="14" s="1"/>
  <c r="G235" i="14"/>
  <c r="G237" i="14" s="1"/>
  <c r="G239" i="14" s="1"/>
  <c r="G214" i="14"/>
  <c r="G216" i="14" s="1"/>
  <c r="G218" i="14" s="1"/>
  <c r="G194" i="14"/>
  <c r="G196" i="14" s="1"/>
  <c r="G198" i="14" s="1"/>
  <c r="G173" i="14"/>
  <c r="G175" i="14" s="1"/>
  <c r="G177" i="14" s="1"/>
  <c r="G153" i="14"/>
  <c r="G155" i="14" s="1"/>
  <c r="G157" i="14" s="1"/>
  <c r="G91" i="14"/>
  <c r="G93" i="14" s="1"/>
  <c r="G95" i="14" s="1"/>
  <c r="G71" i="14"/>
  <c r="G73" i="14" s="1"/>
  <c r="G75" i="14" s="1"/>
  <c r="G50" i="14"/>
  <c r="G52" i="14" s="1"/>
  <c r="G54" i="14" s="1"/>
  <c r="G30" i="14"/>
  <c r="G32" i="14" s="1"/>
  <c r="G34" i="14" s="1"/>
  <c r="Y34" i="12"/>
  <c r="Y35" i="12" s="1"/>
  <c r="Y37" i="12" s="1"/>
  <c r="Y15" i="12"/>
  <c r="Y17" i="12" s="1"/>
  <c r="Z85" i="11"/>
  <c r="Z87" i="11" s="1"/>
  <c r="Z14" i="12"/>
  <c r="AA36" i="12"/>
  <c r="AA46" i="11"/>
  <c r="AA45" i="11" s="1"/>
  <c r="AB46" i="11"/>
  <c r="AB45" i="11" s="1"/>
  <c r="H212" i="14"/>
  <c r="H213" i="14" s="1"/>
  <c r="H116" i="14"/>
  <c r="G130" i="14"/>
  <c r="G131" i="14" s="1"/>
  <c r="G132" i="14" s="1"/>
  <c r="T118" i="6"/>
  <c r="U118" i="6" s="1"/>
  <c r="J118" i="6"/>
  <c r="K118" i="6" s="1"/>
  <c r="T117" i="6"/>
  <c r="U117" i="6" s="1"/>
  <c r="J117" i="6"/>
  <c r="K117" i="6" s="1"/>
  <c r="T116" i="6"/>
  <c r="U116" i="6" s="1"/>
  <c r="J116" i="6"/>
  <c r="K116" i="6" s="1"/>
  <c r="T115" i="6"/>
  <c r="U115" i="6" s="1"/>
  <c r="J115" i="6"/>
  <c r="K115" i="6" s="1"/>
  <c r="T114" i="6"/>
  <c r="U114" i="6" s="1"/>
  <c r="J114" i="6"/>
  <c r="K114" i="6" s="1"/>
  <c r="T113" i="6"/>
  <c r="U113" i="6" s="1"/>
  <c r="J113" i="6"/>
  <c r="K113" i="6" s="1"/>
  <c r="T112" i="6"/>
  <c r="U112" i="6" s="1"/>
  <c r="J112" i="6"/>
  <c r="K112" i="6" s="1"/>
  <c r="T111" i="6"/>
  <c r="U111" i="6" s="1"/>
  <c r="J111" i="6"/>
  <c r="K111" i="6" s="1"/>
  <c r="T110" i="6"/>
  <c r="U110" i="6" s="1"/>
  <c r="J110" i="6"/>
  <c r="K110" i="6" s="1"/>
  <c r="T109" i="6"/>
  <c r="U109" i="6" s="1"/>
  <c r="J109" i="6"/>
  <c r="K109" i="6" s="1"/>
  <c r="T73" i="6"/>
  <c r="U73" i="6" s="1"/>
  <c r="J73" i="6"/>
  <c r="K73" i="6" s="1"/>
  <c r="T72" i="6"/>
  <c r="U72" i="6" s="1"/>
  <c r="J72" i="6"/>
  <c r="K72" i="6" s="1"/>
  <c r="T71" i="6"/>
  <c r="U71" i="6" s="1"/>
  <c r="J71" i="6"/>
  <c r="K71" i="6" s="1"/>
  <c r="T70" i="6"/>
  <c r="U70" i="6" s="1"/>
  <c r="J70" i="6"/>
  <c r="K70" i="6" s="1"/>
  <c r="T69" i="6"/>
  <c r="U69" i="6" s="1"/>
  <c r="J69" i="6"/>
  <c r="K69" i="6" s="1"/>
  <c r="T68" i="6"/>
  <c r="U68" i="6" s="1"/>
  <c r="J68" i="6"/>
  <c r="K68" i="6" s="1"/>
  <c r="T67" i="6"/>
  <c r="U67" i="6" s="1"/>
  <c r="J67" i="6"/>
  <c r="K67" i="6" s="1"/>
  <c r="T66" i="6"/>
  <c r="U66" i="6" s="1"/>
  <c r="J66" i="6"/>
  <c r="K66" i="6" s="1"/>
  <c r="T65" i="6"/>
  <c r="U65" i="6" s="1"/>
  <c r="J65" i="6"/>
  <c r="K65" i="6" s="1"/>
  <c r="T64" i="6"/>
  <c r="U64" i="6" s="1"/>
  <c r="J64" i="6"/>
  <c r="K64" i="6" s="1"/>
  <c r="T220" i="6"/>
  <c r="U220" i="6" s="1"/>
  <c r="J220" i="6"/>
  <c r="K220" i="6" s="1"/>
  <c r="T219" i="6"/>
  <c r="U219" i="6" s="1"/>
  <c r="J219" i="6"/>
  <c r="K219" i="6" s="1"/>
  <c r="T218" i="6"/>
  <c r="U218" i="6" s="1"/>
  <c r="J218" i="6"/>
  <c r="K218" i="6" s="1"/>
  <c r="T217" i="6"/>
  <c r="U217" i="6" s="1"/>
  <c r="J217" i="6"/>
  <c r="K217" i="6" s="1"/>
  <c r="T216" i="6"/>
  <c r="U216" i="6" s="1"/>
  <c r="J216" i="6"/>
  <c r="K216" i="6" s="1"/>
  <c r="T225" i="6"/>
  <c r="U225" i="6" s="1"/>
  <c r="J225" i="6"/>
  <c r="K225" i="6" s="1"/>
  <c r="T224" i="6"/>
  <c r="U224" i="6" s="1"/>
  <c r="J224" i="6"/>
  <c r="K224" i="6" s="1"/>
  <c r="T223" i="6"/>
  <c r="U223" i="6" s="1"/>
  <c r="J223" i="6"/>
  <c r="K223" i="6" s="1"/>
  <c r="T222" i="6"/>
  <c r="U222" i="6" s="1"/>
  <c r="J222" i="6"/>
  <c r="K222" i="6" s="1"/>
  <c r="T221" i="6"/>
  <c r="U221" i="6" s="1"/>
  <c r="J221" i="6"/>
  <c r="K221" i="6" s="1"/>
  <c r="T195" i="6"/>
  <c r="U195" i="6" s="1"/>
  <c r="J195" i="6"/>
  <c r="K195" i="6" s="1"/>
  <c r="T194" i="6"/>
  <c r="U194" i="6" s="1"/>
  <c r="J194" i="6"/>
  <c r="K194" i="6" s="1"/>
  <c r="T193" i="6"/>
  <c r="U193" i="6" s="1"/>
  <c r="J193" i="6"/>
  <c r="K193" i="6" s="1"/>
  <c r="T192" i="6"/>
  <c r="U192" i="6" s="1"/>
  <c r="J192" i="6"/>
  <c r="K192" i="6" s="1"/>
  <c r="T191" i="6"/>
  <c r="U191" i="6" s="1"/>
  <c r="J191" i="6"/>
  <c r="K191" i="6" s="1"/>
  <c r="T168" i="6"/>
  <c r="U168" i="6" s="1"/>
  <c r="J168" i="6"/>
  <c r="K168" i="6" s="1"/>
  <c r="T167" i="6"/>
  <c r="U167" i="6" s="1"/>
  <c r="J167" i="6"/>
  <c r="K167" i="6" s="1"/>
  <c r="T166" i="6"/>
  <c r="U166" i="6" s="1"/>
  <c r="J166" i="6"/>
  <c r="K166" i="6" s="1"/>
  <c r="T165" i="6"/>
  <c r="U165" i="6" s="1"/>
  <c r="J165" i="6"/>
  <c r="K165" i="6" s="1"/>
  <c r="T164" i="6"/>
  <c r="U164" i="6" s="1"/>
  <c r="J164" i="6"/>
  <c r="K164" i="6" s="1"/>
  <c r="T173" i="6"/>
  <c r="U173" i="6" s="1"/>
  <c r="J173" i="6"/>
  <c r="K173" i="6" s="1"/>
  <c r="T172" i="6"/>
  <c r="U172" i="6" s="1"/>
  <c r="J172" i="6"/>
  <c r="K172" i="6" s="1"/>
  <c r="T171" i="6"/>
  <c r="U171" i="6" s="1"/>
  <c r="J171" i="6"/>
  <c r="K171" i="6" s="1"/>
  <c r="T170" i="6"/>
  <c r="U170" i="6" s="1"/>
  <c r="J170" i="6"/>
  <c r="K170" i="6" s="1"/>
  <c r="T169" i="6"/>
  <c r="U169" i="6" s="1"/>
  <c r="J169" i="6"/>
  <c r="K169" i="6" s="1"/>
  <c r="T108" i="6"/>
  <c r="U108" i="6" s="1"/>
  <c r="J108" i="6"/>
  <c r="K108" i="6" s="1"/>
  <c r="T107" i="6"/>
  <c r="U107" i="6" s="1"/>
  <c r="J107" i="6"/>
  <c r="K107" i="6" s="1"/>
  <c r="T106" i="6"/>
  <c r="U106" i="6" s="1"/>
  <c r="J106" i="6"/>
  <c r="K106" i="6" s="1"/>
  <c r="T105" i="6"/>
  <c r="U105" i="6" s="1"/>
  <c r="J105" i="6"/>
  <c r="K105" i="6" s="1"/>
  <c r="T104" i="6"/>
  <c r="U104" i="6" s="1"/>
  <c r="J104" i="6"/>
  <c r="K104" i="6" s="1"/>
  <c r="T103" i="6"/>
  <c r="U103" i="6" s="1"/>
  <c r="J103" i="6"/>
  <c r="K103" i="6" s="1"/>
  <c r="T102" i="6"/>
  <c r="U102" i="6" s="1"/>
  <c r="J102" i="6"/>
  <c r="K102" i="6" s="1"/>
  <c r="T101" i="6"/>
  <c r="U101" i="6" s="1"/>
  <c r="J101" i="6"/>
  <c r="K101" i="6" s="1"/>
  <c r="T100" i="6"/>
  <c r="U100" i="6" s="1"/>
  <c r="J100" i="6"/>
  <c r="K100" i="6" s="1"/>
  <c r="T99" i="6"/>
  <c r="U99" i="6" s="1"/>
  <c r="J99" i="6"/>
  <c r="K99" i="6" s="1"/>
  <c r="T63" i="6"/>
  <c r="U63" i="6" s="1"/>
  <c r="J63" i="6"/>
  <c r="K63" i="6" s="1"/>
  <c r="T62" i="6"/>
  <c r="U62" i="6" s="1"/>
  <c r="J62" i="6"/>
  <c r="K62" i="6" s="1"/>
  <c r="T61" i="6"/>
  <c r="U61" i="6" s="1"/>
  <c r="J61" i="6"/>
  <c r="K61" i="6" s="1"/>
  <c r="T60" i="6"/>
  <c r="U60" i="6" s="1"/>
  <c r="J60" i="6"/>
  <c r="K60" i="6" s="1"/>
  <c r="T59" i="6"/>
  <c r="U59" i="6" s="1"/>
  <c r="J59" i="6"/>
  <c r="K59" i="6" s="1"/>
  <c r="T58" i="6"/>
  <c r="U58" i="6" s="1"/>
  <c r="J58" i="6"/>
  <c r="K58" i="6" s="1"/>
  <c r="T57" i="6"/>
  <c r="U57" i="6" s="1"/>
  <c r="J57" i="6"/>
  <c r="K57" i="6" s="1"/>
  <c r="T56" i="6"/>
  <c r="U56" i="6" s="1"/>
  <c r="J56" i="6"/>
  <c r="K56" i="6" s="1"/>
  <c r="T55" i="6"/>
  <c r="U55" i="6" s="1"/>
  <c r="J55" i="6"/>
  <c r="K55" i="6" s="1"/>
  <c r="T54" i="6"/>
  <c r="U54" i="6" s="1"/>
  <c r="J54" i="6"/>
  <c r="K54" i="6" s="1"/>
  <c r="T148" i="6"/>
  <c r="U148" i="6" s="1"/>
  <c r="J148" i="6"/>
  <c r="K148" i="6" s="1"/>
  <c r="T147" i="6"/>
  <c r="U147" i="6" s="1"/>
  <c r="J147" i="6"/>
  <c r="K147" i="6" s="1"/>
  <c r="T146" i="6"/>
  <c r="U146" i="6" s="1"/>
  <c r="J146" i="6"/>
  <c r="K146" i="6" s="1"/>
  <c r="T145" i="6"/>
  <c r="U145" i="6" s="1"/>
  <c r="J145" i="6"/>
  <c r="K145" i="6" s="1"/>
  <c r="T144" i="6"/>
  <c r="U144" i="6" s="1"/>
  <c r="J144" i="6"/>
  <c r="K144" i="6" s="1"/>
  <c r="T53" i="6"/>
  <c r="U53" i="6" s="1"/>
  <c r="J53" i="6"/>
  <c r="K53" i="6" s="1"/>
  <c r="T52" i="6"/>
  <c r="U52" i="6" s="1"/>
  <c r="J52" i="6"/>
  <c r="K52" i="6" s="1"/>
  <c r="T51" i="6"/>
  <c r="U51" i="6" s="1"/>
  <c r="J51" i="6"/>
  <c r="K51" i="6" s="1"/>
  <c r="T50" i="6"/>
  <c r="U50" i="6" s="1"/>
  <c r="J50" i="6"/>
  <c r="K50" i="6" s="1"/>
  <c r="T49" i="6"/>
  <c r="U49" i="6" s="1"/>
  <c r="J49" i="6"/>
  <c r="K49" i="6" s="1"/>
  <c r="T48" i="6"/>
  <c r="U48" i="6" s="1"/>
  <c r="J48" i="6"/>
  <c r="K48" i="6" s="1"/>
  <c r="T47" i="6"/>
  <c r="U47" i="6" s="1"/>
  <c r="J47" i="6"/>
  <c r="K47" i="6" s="1"/>
  <c r="T46" i="6"/>
  <c r="U46" i="6" s="1"/>
  <c r="J46" i="6"/>
  <c r="K46" i="6" s="1"/>
  <c r="T45" i="6"/>
  <c r="U45" i="6" s="1"/>
  <c r="J45" i="6"/>
  <c r="K45" i="6" s="1"/>
  <c r="T44" i="6"/>
  <c r="U44" i="6" s="1"/>
  <c r="J44" i="6"/>
  <c r="K44" i="6" s="1"/>
  <c r="W87" i="14" l="1"/>
  <c r="W88" i="14" s="1"/>
  <c r="W90" i="14" s="1"/>
  <c r="W91" i="14" s="1"/>
  <c r="W93" i="14" s="1"/>
  <c r="W95" i="14" s="1"/>
  <c r="W68" i="14"/>
  <c r="W70" i="14" s="1"/>
  <c r="W71" i="14" s="1"/>
  <c r="W73" i="14" s="1"/>
  <c r="W75" i="14" s="1"/>
  <c r="Y46" i="14"/>
  <c r="Y27" i="14"/>
  <c r="Y29" i="14" s="1"/>
  <c r="Y30" i="14" s="1"/>
  <c r="Y32" i="14" s="1"/>
  <c r="Y34" i="14" s="1"/>
  <c r="Z190" i="14"/>
  <c r="Z191" i="14" s="1"/>
  <c r="Z193" i="14" s="1"/>
  <c r="Z194" i="14" s="1"/>
  <c r="Z196" i="14" s="1"/>
  <c r="Z198" i="14" s="1"/>
  <c r="Z169" i="14"/>
  <c r="Z170" i="14" s="1"/>
  <c r="Z172" i="14" s="1"/>
  <c r="Z173" i="14" s="1"/>
  <c r="Z175" i="14" s="1"/>
  <c r="Z177" i="14" s="1"/>
  <c r="Z149" i="14"/>
  <c r="Z150" i="14" s="1"/>
  <c r="Z152" i="14" s="1"/>
  <c r="Z153" i="14" s="1"/>
  <c r="Z155" i="14" s="1"/>
  <c r="Z157" i="14" s="1"/>
  <c r="Z251" i="14"/>
  <c r="Z252" i="14" s="1"/>
  <c r="Z254" i="14" s="1"/>
  <c r="Z255" i="14" s="1"/>
  <c r="Z257" i="14" s="1"/>
  <c r="Z259" i="14" s="1"/>
  <c r="Z231" i="14"/>
  <c r="Z232" i="14" s="1"/>
  <c r="Z234" i="14" s="1"/>
  <c r="Z235" i="14" s="1"/>
  <c r="Z237" i="14" s="1"/>
  <c r="Z239" i="14" s="1"/>
  <c r="Z210" i="14"/>
  <c r="Z211" i="14" s="1"/>
  <c r="Z213" i="14" s="1"/>
  <c r="Z214" i="14" s="1"/>
  <c r="Z216" i="14" s="1"/>
  <c r="Z218" i="14" s="1"/>
  <c r="Z26" i="14"/>
  <c r="Z128" i="14"/>
  <c r="Z129" i="14" s="1"/>
  <c r="Z131" i="14" s="1"/>
  <c r="Z132" i="14" s="1"/>
  <c r="Z134" i="14" s="1"/>
  <c r="Z136" i="14" s="1"/>
  <c r="Z108" i="14"/>
  <c r="Z109" i="14" s="1"/>
  <c r="Z111" i="14" s="1"/>
  <c r="Z112" i="14" s="1"/>
  <c r="Z114" i="14" s="1"/>
  <c r="Z116" i="14" s="1"/>
  <c r="X67" i="14"/>
  <c r="X47" i="14"/>
  <c r="X49" i="14" s="1"/>
  <c r="X50" i="14" s="1"/>
  <c r="X52" i="14" s="1"/>
  <c r="X54" i="14" s="1"/>
  <c r="H214" i="14"/>
  <c r="H216" i="14" s="1"/>
  <c r="H218" i="14" s="1"/>
  <c r="AA85" i="11"/>
  <c r="AA87" i="11" s="1"/>
  <c r="AA14" i="12"/>
  <c r="AB14" i="12"/>
  <c r="Z34" i="12"/>
  <c r="Z35" i="12" s="1"/>
  <c r="Z37" i="12" s="1"/>
  <c r="Z15" i="12"/>
  <c r="Z17" i="12" s="1"/>
  <c r="H28" i="14"/>
  <c r="H29" i="14" s="1"/>
  <c r="H151" i="14"/>
  <c r="H152" i="14" s="1"/>
  <c r="H69" i="14"/>
  <c r="H70" i="14" s="1"/>
  <c r="H233" i="14"/>
  <c r="H234" i="14" s="1"/>
  <c r="H192" i="14"/>
  <c r="H193" i="14" s="1"/>
  <c r="H171" i="14"/>
  <c r="H172" i="14" s="1"/>
  <c r="H89" i="14"/>
  <c r="H90" i="14" s="1"/>
  <c r="H48" i="14"/>
  <c r="H49" i="14" s="1"/>
  <c r="H253" i="14"/>
  <c r="H254" i="14" s="1"/>
  <c r="G134" i="14"/>
  <c r="G136" i="14" s="1"/>
  <c r="H130" i="14"/>
  <c r="H131" i="14" s="1"/>
  <c r="H132" i="14" s="1"/>
  <c r="Z46" i="14" l="1"/>
  <c r="Z27" i="14"/>
  <c r="Z29" i="14" s="1"/>
  <c r="Z30" i="14" s="1"/>
  <c r="Z32" i="14" s="1"/>
  <c r="Z34" i="14" s="1"/>
  <c r="Y67" i="14"/>
  <c r="Y47" i="14"/>
  <c r="Y49" i="14" s="1"/>
  <c r="Y50" i="14" s="1"/>
  <c r="Y52" i="14" s="1"/>
  <c r="Y54" i="14" s="1"/>
  <c r="AA128" i="14"/>
  <c r="AA129" i="14" s="1"/>
  <c r="AA131" i="14" s="1"/>
  <c r="AA132" i="14" s="1"/>
  <c r="AA134" i="14" s="1"/>
  <c r="AA108" i="14"/>
  <c r="AA109" i="14" s="1"/>
  <c r="AA111" i="14" s="1"/>
  <c r="AA112" i="14" s="1"/>
  <c r="AA114" i="14" s="1"/>
  <c r="AA190" i="14"/>
  <c r="AA191" i="14" s="1"/>
  <c r="AA193" i="14" s="1"/>
  <c r="AA194" i="14" s="1"/>
  <c r="AA196" i="14" s="1"/>
  <c r="AA251" i="14"/>
  <c r="AA252" i="14" s="1"/>
  <c r="AA254" i="14" s="1"/>
  <c r="AA255" i="14" s="1"/>
  <c r="AA257" i="14" s="1"/>
  <c r="AA210" i="14"/>
  <c r="AA211" i="14" s="1"/>
  <c r="AA213" i="14" s="1"/>
  <c r="AA214" i="14" s="1"/>
  <c r="AA216" i="14" s="1"/>
  <c r="AA231" i="14"/>
  <c r="AA232" i="14" s="1"/>
  <c r="AA234" i="14" s="1"/>
  <c r="AA235" i="14" s="1"/>
  <c r="AA237" i="14" s="1"/>
  <c r="AA169" i="14"/>
  <c r="AA170" i="14" s="1"/>
  <c r="AA172" i="14" s="1"/>
  <c r="AA173" i="14" s="1"/>
  <c r="AA175" i="14" s="1"/>
  <c r="AA149" i="14"/>
  <c r="AA150" i="14" s="1"/>
  <c r="AA152" i="14" s="1"/>
  <c r="AA153" i="14" s="1"/>
  <c r="AA155" i="14" s="1"/>
  <c r="AA26" i="14"/>
  <c r="X87" i="14"/>
  <c r="X88" i="14" s="1"/>
  <c r="X90" i="14" s="1"/>
  <c r="X91" i="14" s="1"/>
  <c r="X93" i="14" s="1"/>
  <c r="X95" i="14" s="1"/>
  <c r="X68" i="14"/>
  <c r="X70" i="14" s="1"/>
  <c r="X71" i="14" s="1"/>
  <c r="X73" i="14" s="1"/>
  <c r="X75" i="14" s="1"/>
  <c r="H255" i="14"/>
  <c r="H257" i="14" s="1"/>
  <c r="H259" i="14" s="1"/>
  <c r="H235" i="14"/>
  <c r="H237" i="14" s="1"/>
  <c r="H239" i="14" s="1"/>
  <c r="H194" i="14"/>
  <c r="H196" i="14" s="1"/>
  <c r="H198" i="14" s="1"/>
  <c r="H173" i="14"/>
  <c r="H175" i="14" s="1"/>
  <c r="H177" i="14" s="1"/>
  <c r="H153" i="14"/>
  <c r="H155" i="14" s="1"/>
  <c r="H157" i="14" s="1"/>
  <c r="H91" i="14"/>
  <c r="H93" i="14" s="1"/>
  <c r="H95" i="14" s="1"/>
  <c r="H71" i="14"/>
  <c r="H73" i="14" s="1"/>
  <c r="H75" i="14" s="1"/>
  <c r="H50" i="14"/>
  <c r="H52" i="14" s="1"/>
  <c r="H54" i="14" s="1"/>
  <c r="H30" i="14"/>
  <c r="H32" i="14" s="1"/>
  <c r="H34" i="14" s="1"/>
  <c r="AB85" i="11"/>
  <c r="AC85" i="11" s="1"/>
  <c r="AC87" i="11" s="1"/>
  <c r="AA34" i="12"/>
  <c r="AA35" i="12" s="1"/>
  <c r="AA37" i="12" s="1"/>
  <c r="AA15" i="12"/>
  <c r="AA17" i="12" s="1"/>
  <c r="AB15" i="12"/>
  <c r="C78" i="11" s="1"/>
  <c r="AB34" i="12"/>
  <c r="AB35" i="12" s="1"/>
  <c r="H134" i="14"/>
  <c r="H136" i="14" s="1"/>
  <c r="N25" i="3"/>
  <c r="N24" i="3"/>
  <c r="N23" i="3"/>
  <c r="N22" i="3"/>
  <c r="N21" i="3"/>
  <c r="N20" i="3"/>
  <c r="N19" i="3"/>
  <c r="N18" i="3"/>
  <c r="N17" i="3"/>
  <c r="N16" i="3"/>
  <c r="L25" i="3"/>
  <c r="L24" i="3"/>
  <c r="L23" i="3"/>
  <c r="L22" i="3"/>
  <c r="L21" i="3"/>
  <c r="L20" i="3"/>
  <c r="L19" i="3"/>
  <c r="L18" i="3"/>
  <c r="L17" i="3"/>
  <c r="L16" i="3"/>
  <c r="K3" i="3"/>
  <c r="J3" i="3"/>
  <c r="J4" i="3"/>
  <c r="J5" i="3"/>
  <c r="J6" i="3"/>
  <c r="J7" i="3"/>
  <c r="J8" i="3"/>
  <c r="J9" i="3"/>
  <c r="J10" i="3"/>
  <c r="J11" i="3"/>
  <c r="J12" i="3"/>
  <c r="K15" i="3"/>
  <c r="L2" i="3" s="1"/>
  <c r="M15" i="3"/>
  <c r="M2" i="3" s="1"/>
  <c r="Y87" i="14" l="1"/>
  <c r="Y88" i="14" s="1"/>
  <c r="Y90" i="14" s="1"/>
  <c r="Y91" i="14" s="1"/>
  <c r="Y93" i="14" s="1"/>
  <c r="Y95" i="14" s="1"/>
  <c r="Y68" i="14"/>
  <c r="Y70" i="14" s="1"/>
  <c r="Y71" i="14" s="1"/>
  <c r="Y73" i="14" s="1"/>
  <c r="Y75" i="14" s="1"/>
  <c r="AA46" i="14"/>
  <c r="AA27" i="14"/>
  <c r="AA29" i="14" s="1"/>
  <c r="AA30" i="14" s="1"/>
  <c r="AA32" i="14" s="1"/>
  <c r="Z67" i="14"/>
  <c r="Z47" i="14"/>
  <c r="Z49" i="14" s="1"/>
  <c r="Z50" i="14" s="1"/>
  <c r="Z52" i="14" s="1"/>
  <c r="Z54" i="14" s="1"/>
  <c r="AD85" i="11"/>
  <c r="AD87" i="11" s="1"/>
  <c r="AB87" i="11"/>
  <c r="D78" i="11"/>
  <c r="E78" i="11" s="1"/>
  <c r="F78" i="11" s="1"/>
  <c r="G78" i="11" s="1"/>
  <c r="H78" i="11" s="1"/>
  <c r="I78" i="11" s="1"/>
  <c r="J78" i="11" s="1"/>
  <c r="K78" i="11" s="1"/>
  <c r="L78" i="11" s="1"/>
  <c r="M78" i="11" s="1"/>
  <c r="N78" i="11" s="1"/>
  <c r="O78" i="11" s="1"/>
  <c r="P78" i="11" s="1"/>
  <c r="Q78" i="11" s="1"/>
  <c r="AB2" i="3"/>
  <c r="M25" i="3"/>
  <c r="M12" i="3" s="1"/>
  <c r="K25" i="3"/>
  <c r="L12" i="3" s="1"/>
  <c r="M24" i="3"/>
  <c r="M23" i="3"/>
  <c r="M22" i="3"/>
  <c r="M21" i="3"/>
  <c r="M20" i="3"/>
  <c r="M19" i="3"/>
  <c r="M18" i="3"/>
  <c r="M17" i="3"/>
  <c r="M16" i="3"/>
  <c r="T3" i="3"/>
  <c r="T2" i="3"/>
  <c r="O2" i="3"/>
  <c r="O3" i="3"/>
  <c r="U2" i="3"/>
  <c r="AA67" i="14" l="1"/>
  <c r="AA47" i="14"/>
  <c r="AA49" i="14" s="1"/>
  <c r="AA50" i="14" s="1"/>
  <c r="AA52" i="14" s="1"/>
  <c r="Z87" i="14"/>
  <c r="Z88" i="14" s="1"/>
  <c r="Z90" i="14" s="1"/>
  <c r="Z91" i="14" s="1"/>
  <c r="Z93" i="14" s="1"/>
  <c r="Z95" i="14" s="1"/>
  <c r="Z68" i="14"/>
  <c r="Z70" i="14" s="1"/>
  <c r="Z71" i="14" s="1"/>
  <c r="Z73" i="14" s="1"/>
  <c r="Z75" i="14" s="1"/>
  <c r="AE85" i="11"/>
  <c r="AE87" i="11" s="1"/>
  <c r="C79" i="11"/>
  <c r="R16" i="12" s="1"/>
  <c r="AF85" i="11"/>
  <c r="M4" i="3"/>
  <c r="M9" i="3"/>
  <c r="M5" i="3"/>
  <c r="M6" i="3"/>
  <c r="M3" i="3"/>
  <c r="M10" i="3"/>
  <c r="M7" i="3"/>
  <c r="M11" i="3"/>
  <c r="M8" i="3"/>
  <c r="AA87" i="14" l="1"/>
  <c r="AA88" i="14" s="1"/>
  <c r="AA90" i="14" s="1"/>
  <c r="AA91" i="14" s="1"/>
  <c r="AA93" i="14" s="1"/>
  <c r="AA68" i="14"/>
  <c r="AA70" i="14" s="1"/>
  <c r="AA71" i="14" s="1"/>
  <c r="AA73" i="14" s="1"/>
  <c r="R36" i="12"/>
  <c r="R37" i="12" s="1"/>
  <c r="R17" i="12"/>
  <c r="AB16" i="12"/>
  <c r="W16" i="12"/>
  <c r="AF87" i="11"/>
  <c r="AG85" i="11"/>
  <c r="T205" i="6"/>
  <c r="U205" i="6" s="1"/>
  <c r="J205" i="6"/>
  <c r="K205" i="6" s="1"/>
  <c r="T204" i="6"/>
  <c r="U204" i="6" s="1"/>
  <c r="J204" i="6"/>
  <c r="K204" i="6" s="1"/>
  <c r="T203" i="6"/>
  <c r="U203" i="6" s="1"/>
  <c r="J203" i="6"/>
  <c r="K203" i="6" s="1"/>
  <c r="T202" i="6"/>
  <c r="U202" i="6" s="1"/>
  <c r="J202" i="6"/>
  <c r="K202" i="6" s="1"/>
  <c r="T201" i="6"/>
  <c r="U201" i="6" s="1"/>
  <c r="J201" i="6"/>
  <c r="K201" i="6" s="1"/>
  <c r="T83" i="6"/>
  <c r="U83" i="6" s="1"/>
  <c r="J83" i="6"/>
  <c r="K83" i="6" s="1"/>
  <c r="T82" i="6"/>
  <c r="U82" i="6" s="1"/>
  <c r="J82" i="6"/>
  <c r="K82" i="6" s="1"/>
  <c r="T81" i="6"/>
  <c r="U81" i="6" s="1"/>
  <c r="J81" i="6"/>
  <c r="K81" i="6" s="1"/>
  <c r="T80" i="6"/>
  <c r="U80" i="6" s="1"/>
  <c r="J80" i="6"/>
  <c r="K80" i="6" s="1"/>
  <c r="T79" i="6"/>
  <c r="U79" i="6" s="1"/>
  <c r="J79" i="6"/>
  <c r="K79" i="6" s="1"/>
  <c r="T128" i="6"/>
  <c r="U128" i="6" s="1"/>
  <c r="J128" i="6"/>
  <c r="K128" i="6" s="1"/>
  <c r="T127" i="6"/>
  <c r="U127" i="6" s="1"/>
  <c r="J127" i="6"/>
  <c r="K127" i="6" s="1"/>
  <c r="T126" i="6"/>
  <c r="U126" i="6" s="1"/>
  <c r="J126" i="6"/>
  <c r="K126" i="6" s="1"/>
  <c r="T125" i="6"/>
  <c r="U125" i="6" s="1"/>
  <c r="J125" i="6"/>
  <c r="K125" i="6" s="1"/>
  <c r="T124" i="6"/>
  <c r="U124" i="6" s="1"/>
  <c r="J124" i="6"/>
  <c r="K124" i="6" s="1"/>
  <c r="T78" i="6"/>
  <c r="U78" i="6" s="1"/>
  <c r="J78" i="6"/>
  <c r="K78" i="6" s="1"/>
  <c r="T77" i="6"/>
  <c r="U77" i="6" s="1"/>
  <c r="J77" i="6"/>
  <c r="K77" i="6" s="1"/>
  <c r="T76" i="6"/>
  <c r="U76" i="6" s="1"/>
  <c r="J76" i="6"/>
  <c r="K76" i="6" s="1"/>
  <c r="T75" i="6"/>
  <c r="U75" i="6" s="1"/>
  <c r="J75" i="6"/>
  <c r="K75" i="6" s="1"/>
  <c r="T74" i="6"/>
  <c r="U74" i="6" s="1"/>
  <c r="J74" i="6"/>
  <c r="K74" i="6" s="1"/>
  <c r="T38" i="6"/>
  <c r="U38" i="6" s="1"/>
  <c r="J38" i="6"/>
  <c r="K38" i="6" s="1"/>
  <c r="T37" i="6"/>
  <c r="U37" i="6" s="1"/>
  <c r="J37" i="6"/>
  <c r="K37" i="6" s="1"/>
  <c r="T36" i="6"/>
  <c r="U36" i="6" s="1"/>
  <c r="J36" i="6"/>
  <c r="K36" i="6" s="1"/>
  <c r="T35" i="6"/>
  <c r="U35" i="6" s="1"/>
  <c r="J35" i="6"/>
  <c r="K35" i="6" s="1"/>
  <c r="T34" i="6"/>
  <c r="U34" i="6" s="1"/>
  <c r="J34" i="6"/>
  <c r="K34" i="6" s="1"/>
  <c r="AA238" i="14" l="1"/>
  <c r="AA239" i="14" s="1"/>
  <c r="AA258" i="14"/>
  <c r="AA259" i="14" s="1"/>
  <c r="AA197" i="14"/>
  <c r="AA198" i="14" s="1"/>
  <c r="AA217" i="14"/>
  <c r="AA218" i="14" s="1"/>
  <c r="AA156" i="14"/>
  <c r="AA157" i="14" s="1"/>
  <c r="AA176" i="14"/>
  <c r="AA177" i="14" s="1"/>
  <c r="AA33" i="14"/>
  <c r="AG87" i="11"/>
  <c r="C88" i="11" s="1"/>
  <c r="AH85" i="11"/>
  <c r="AH87" i="11" s="1"/>
  <c r="W36" i="12"/>
  <c r="W37" i="12" s="1"/>
  <c r="W17" i="12"/>
  <c r="S231" i="6"/>
  <c r="Q231" i="6"/>
  <c r="I231" i="6"/>
  <c r="T230" i="6"/>
  <c r="U230" i="6" s="1"/>
  <c r="J230" i="6"/>
  <c r="K230" i="6" s="1"/>
  <c r="T229" i="6"/>
  <c r="U229" i="6" s="1"/>
  <c r="J229" i="6"/>
  <c r="K229" i="6" s="1"/>
  <c r="T228" i="6"/>
  <c r="U228" i="6" s="1"/>
  <c r="J228" i="6"/>
  <c r="K228" i="6" s="1"/>
  <c r="T227" i="6"/>
  <c r="U227" i="6" s="1"/>
  <c r="J227" i="6"/>
  <c r="K227" i="6" s="1"/>
  <c r="T226" i="6"/>
  <c r="U226" i="6" s="1"/>
  <c r="J226" i="6"/>
  <c r="K226" i="6" s="1"/>
  <c r="T215" i="6"/>
  <c r="U215" i="6" s="1"/>
  <c r="J215" i="6"/>
  <c r="K215" i="6" s="1"/>
  <c r="T214" i="6"/>
  <c r="U214" i="6" s="1"/>
  <c r="J214" i="6"/>
  <c r="K214" i="6" s="1"/>
  <c r="T213" i="6"/>
  <c r="U213" i="6" s="1"/>
  <c r="J213" i="6"/>
  <c r="K213" i="6" s="1"/>
  <c r="T212" i="6"/>
  <c r="U212" i="6" s="1"/>
  <c r="J212" i="6"/>
  <c r="K212" i="6" s="1"/>
  <c r="T211" i="6"/>
  <c r="J211" i="6"/>
  <c r="AA34" i="14" l="1"/>
  <c r="AA53" i="14"/>
  <c r="J231" i="6"/>
  <c r="J242" i="6" s="1"/>
  <c r="K242" i="6" s="1"/>
  <c r="M242" i="6"/>
  <c r="U211" i="6"/>
  <c r="K211" i="6"/>
  <c r="T231" i="6"/>
  <c r="U242" i="6" s="1"/>
  <c r="AA54" i="14" l="1"/>
  <c r="AA74" i="14"/>
  <c r="W242" i="6"/>
  <c r="K231" i="6"/>
  <c r="U231" i="6"/>
  <c r="T200" i="6"/>
  <c r="U200" i="6" s="1"/>
  <c r="J200" i="6"/>
  <c r="K200" i="6" s="1"/>
  <c r="T199" i="6"/>
  <c r="U199" i="6" s="1"/>
  <c r="J199" i="6"/>
  <c r="K199" i="6" s="1"/>
  <c r="T198" i="6"/>
  <c r="U198" i="6" s="1"/>
  <c r="J198" i="6"/>
  <c r="K198" i="6" s="1"/>
  <c r="T197" i="6"/>
  <c r="U197" i="6" s="1"/>
  <c r="J197" i="6"/>
  <c r="K197" i="6" s="1"/>
  <c r="T196" i="6"/>
  <c r="U196" i="6" s="1"/>
  <c r="J196" i="6"/>
  <c r="K196" i="6" s="1"/>
  <c r="T190" i="6"/>
  <c r="U190" i="6" s="1"/>
  <c r="J190" i="6"/>
  <c r="K190" i="6" s="1"/>
  <c r="T189" i="6"/>
  <c r="U189" i="6" s="1"/>
  <c r="J189" i="6"/>
  <c r="K189" i="6" s="1"/>
  <c r="T188" i="6"/>
  <c r="U188" i="6" s="1"/>
  <c r="J188" i="6"/>
  <c r="K188" i="6" s="1"/>
  <c r="T187" i="6"/>
  <c r="U187" i="6" s="1"/>
  <c r="J187" i="6"/>
  <c r="K187" i="6" s="1"/>
  <c r="T186" i="6"/>
  <c r="J186" i="6"/>
  <c r="S179" i="6"/>
  <c r="Q179" i="6"/>
  <c r="I179" i="6"/>
  <c r="T178" i="6"/>
  <c r="U178" i="6" s="1"/>
  <c r="J178" i="6"/>
  <c r="K178" i="6" s="1"/>
  <c r="T177" i="6"/>
  <c r="U177" i="6" s="1"/>
  <c r="J177" i="6"/>
  <c r="K177" i="6" s="1"/>
  <c r="T176" i="6"/>
  <c r="U176" i="6" s="1"/>
  <c r="J176" i="6"/>
  <c r="K176" i="6" s="1"/>
  <c r="T175" i="6"/>
  <c r="U175" i="6" s="1"/>
  <c r="J175" i="6"/>
  <c r="K175" i="6" s="1"/>
  <c r="T174" i="6"/>
  <c r="U174" i="6" s="1"/>
  <c r="J174" i="6"/>
  <c r="K174" i="6" s="1"/>
  <c r="T163" i="6"/>
  <c r="U163" i="6" s="1"/>
  <c r="J163" i="6"/>
  <c r="K163" i="6" s="1"/>
  <c r="T162" i="6"/>
  <c r="U162" i="6" s="1"/>
  <c r="J162" i="6"/>
  <c r="K162" i="6" s="1"/>
  <c r="T161" i="6"/>
  <c r="U161" i="6" s="1"/>
  <c r="J161" i="6"/>
  <c r="K161" i="6" s="1"/>
  <c r="T160" i="6"/>
  <c r="U160" i="6" s="1"/>
  <c r="J160" i="6"/>
  <c r="K160" i="6" s="1"/>
  <c r="T159" i="6"/>
  <c r="J159" i="6"/>
  <c r="S154" i="6"/>
  <c r="Q154" i="6"/>
  <c r="M239" i="6" s="1"/>
  <c r="I154" i="6"/>
  <c r="T153" i="6"/>
  <c r="U153" i="6" s="1"/>
  <c r="J153" i="6"/>
  <c r="K153" i="6" s="1"/>
  <c r="T152" i="6"/>
  <c r="U152" i="6" s="1"/>
  <c r="J152" i="6"/>
  <c r="K152" i="6" s="1"/>
  <c r="T151" i="6"/>
  <c r="U151" i="6" s="1"/>
  <c r="J151" i="6"/>
  <c r="K151" i="6" s="1"/>
  <c r="T150" i="6"/>
  <c r="U150" i="6" s="1"/>
  <c r="J150" i="6"/>
  <c r="K150" i="6" s="1"/>
  <c r="T149" i="6"/>
  <c r="U149" i="6" s="1"/>
  <c r="J149" i="6"/>
  <c r="K149" i="6" s="1"/>
  <c r="T143" i="6"/>
  <c r="U143" i="6" s="1"/>
  <c r="J143" i="6"/>
  <c r="K143" i="6" s="1"/>
  <c r="T142" i="6"/>
  <c r="U142" i="6" s="1"/>
  <c r="J142" i="6"/>
  <c r="K142" i="6" s="1"/>
  <c r="T141" i="6"/>
  <c r="U141" i="6" s="1"/>
  <c r="J141" i="6"/>
  <c r="K141" i="6" s="1"/>
  <c r="T140" i="6"/>
  <c r="U140" i="6" s="1"/>
  <c r="J140" i="6"/>
  <c r="K140" i="6" s="1"/>
  <c r="T139" i="6"/>
  <c r="U139" i="6" s="1"/>
  <c r="J139" i="6"/>
  <c r="K139" i="6" s="1"/>
  <c r="T138" i="6"/>
  <c r="U138" i="6" s="1"/>
  <c r="J138" i="6"/>
  <c r="K138" i="6" s="1"/>
  <c r="T137" i="6"/>
  <c r="U137" i="6" s="1"/>
  <c r="J137" i="6"/>
  <c r="K137" i="6" s="1"/>
  <c r="T136" i="6"/>
  <c r="U136" i="6" s="1"/>
  <c r="J136" i="6"/>
  <c r="K136" i="6" s="1"/>
  <c r="T135" i="6"/>
  <c r="U135" i="6" s="1"/>
  <c r="J135" i="6"/>
  <c r="K135" i="6" s="1"/>
  <c r="T134" i="6"/>
  <c r="U134" i="6" s="1"/>
  <c r="J134" i="6"/>
  <c r="T123" i="6"/>
  <c r="U123" i="6" s="1"/>
  <c r="J123" i="6"/>
  <c r="K123" i="6" s="1"/>
  <c r="T122" i="6"/>
  <c r="U122" i="6" s="1"/>
  <c r="J122" i="6"/>
  <c r="K122" i="6" s="1"/>
  <c r="T121" i="6"/>
  <c r="U121" i="6" s="1"/>
  <c r="J121" i="6"/>
  <c r="K121" i="6" s="1"/>
  <c r="T120" i="6"/>
  <c r="U120" i="6" s="1"/>
  <c r="J120" i="6"/>
  <c r="K120" i="6" s="1"/>
  <c r="T119" i="6"/>
  <c r="U119" i="6" s="1"/>
  <c r="J119" i="6"/>
  <c r="K119" i="6" s="1"/>
  <c r="T98" i="6"/>
  <c r="U98" i="6" s="1"/>
  <c r="J98" i="6"/>
  <c r="K98" i="6" s="1"/>
  <c r="T97" i="6"/>
  <c r="U97" i="6" s="1"/>
  <c r="J97" i="6"/>
  <c r="K97" i="6" s="1"/>
  <c r="T96" i="6"/>
  <c r="U96" i="6" s="1"/>
  <c r="J96" i="6"/>
  <c r="K96" i="6" s="1"/>
  <c r="T95" i="6"/>
  <c r="U95" i="6" s="1"/>
  <c r="J95" i="6"/>
  <c r="K95" i="6" s="1"/>
  <c r="T94" i="6"/>
  <c r="U94" i="6" s="1"/>
  <c r="J94" i="6"/>
  <c r="K94" i="6" s="1"/>
  <c r="T93" i="6"/>
  <c r="U93" i="6" s="1"/>
  <c r="J93" i="6"/>
  <c r="K93" i="6" s="1"/>
  <c r="T92" i="6"/>
  <c r="U92" i="6" s="1"/>
  <c r="J92" i="6"/>
  <c r="K92" i="6" s="1"/>
  <c r="T91" i="6"/>
  <c r="U91" i="6" s="1"/>
  <c r="J91" i="6"/>
  <c r="K91" i="6" s="1"/>
  <c r="T90" i="6"/>
  <c r="U90" i="6" s="1"/>
  <c r="J90" i="6"/>
  <c r="K90" i="6" s="1"/>
  <c r="T89" i="6"/>
  <c r="J89" i="6"/>
  <c r="AA75" i="14" l="1"/>
  <c r="AA94" i="14"/>
  <c r="J179" i="6"/>
  <c r="J240" i="6" s="1"/>
  <c r="K240" i="6" s="1"/>
  <c r="J129" i="6"/>
  <c r="J238" i="6" s="1"/>
  <c r="K238" i="6" s="1"/>
  <c r="J154" i="6"/>
  <c r="J239" i="6" s="1"/>
  <c r="K239" i="6" s="1"/>
  <c r="J206" i="6"/>
  <c r="J241" i="6" s="1"/>
  <c r="K241" i="6" s="1"/>
  <c r="U89" i="6"/>
  <c r="T129" i="6"/>
  <c r="U238" i="6" s="1"/>
  <c r="W238" i="6" s="1"/>
  <c r="M240" i="6"/>
  <c r="M243" i="6"/>
  <c r="U186" i="6"/>
  <c r="T206" i="6"/>
  <c r="U241" i="6" s="1"/>
  <c r="W241" i="6" s="1"/>
  <c r="U159" i="6"/>
  <c r="K186" i="6"/>
  <c r="K159" i="6"/>
  <c r="T179" i="6"/>
  <c r="U240" i="6" s="1"/>
  <c r="K134" i="6"/>
  <c r="T154" i="6"/>
  <c r="U239" i="6" s="1"/>
  <c r="W239" i="6" s="1"/>
  <c r="K89" i="6"/>
  <c r="AA115" i="14" l="1"/>
  <c r="AA116" i="14" s="1"/>
  <c r="AA135" i="14"/>
  <c r="AA136" i="14" s="1"/>
  <c r="AA95" i="14"/>
  <c r="W240" i="6"/>
  <c r="K206" i="6"/>
  <c r="K129" i="6"/>
  <c r="P2" i="3"/>
  <c r="U206" i="6"/>
  <c r="K179" i="6"/>
  <c r="U154" i="6"/>
  <c r="U129" i="6"/>
  <c r="U179" i="6"/>
  <c r="K154" i="6"/>
  <c r="O18" i="6"/>
  <c r="M18" i="6"/>
  <c r="P3" i="3" s="1"/>
  <c r="T43" i="6"/>
  <c r="U43" i="6" s="1"/>
  <c r="J43" i="6"/>
  <c r="K43" i="6" s="1"/>
  <c r="T42" i="6"/>
  <c r="U42" i="6" s="1"/>
  <c r="J42" i="6"/>
  <c r="K42" i="6" s="1"/>
  <c r="T41" i="6"/>
  <c r="U41" i="6" s="1"/>
  <c r="J41" i="6"/>
  <c r="K41" i="6" s="1"/>
  <c r="T40" i="6"/>
  <c r="U40" i="6" s="1"/>
  <c r="J40" i="6"/>
  <c r="K40" i="6" s="1"/>
  <c r="T39" i="6"/>
  <c r="U39" i="6" s="1"/>
  <c r="J39" i="6"/>
  <c r="K39" i="6" s="1"/>
  <c r="T33" i="6"/>
  <c r="U33" i="6" s="1"/>
  <c r="J33" i="6"/>
  <c r="K33" i="6" s="1"/>
  <c r="T32" i="6"/>
  <c r="U32" i="6" s="1"/>
  <c r="J32" i="6"/>
  <c r="K32" i="6" s="1"/>
  <c r="T31" i="6"/>
  <c r="U31" i="6" s="1"/>
  <c r="J31" i="6"/>
  <c r="K31" i="6" s="1"/>
  <c r="T30" i="6"/>
  <c r="U30" i="6" s="1"/>
  <c r="J30" i="6"/>
  <c r="K30" i="6" s="1"/>
  <c r="T29" i="6"/>
  <c r="U29" i="6" s="1"/>
  <c r="J29" i="6"/>
  <c r="K29" i="6" s="1"/>
  <c r="T28" i="6"/>
  <c r="U28" i="6" s="1"/>
  <c r="J28" i="6"/>
  <c r="K28" i="6" s="1"/>
  <c r="T27" i="6"/>
  <c r="U27" i="6" s="1"/>
  <c r="J27" i="6"/>
  <c r="K27" i="6" s="1"/>
  <c r="T26" i="6"/>
  <c r="U26" i="6" s="1"/>
  <c r="J26" i="6"/>
  <c r="K26" i="6" s="1"/>
  <c r="T25" i="6"/>
  <c r="U25" i="6" s="1"/>
  <c r="J25" i="6"/>
  <c r="K25" i="6" s="1"/>
  <c r="T24" i="6"/>
  <c r="J24" i="6"/>
  <c r="J84" i="6" l="1"/>
  <c r="C136" i="14"/>
  <c r="C177" i="14"/>
  <c r="C181" i="14" s="1"/>
  <c r="C75" i="14"/>
  <c r="C218" i="14"/>
  <c r="C157" i="14"/>
  <c r="C95" i="14"/>
  <c r="C259" i="14"/>
  <c r="C198" i="14"/>
  <c r="C116" i="14"/>
  <c r="C121" i="14" s="1"/>
  <c r="C239" i="14"/>
  <c r="U24" i="6"/>
  <c r="T84" i="6"/>
  <c r="Q2" i="3"/>
  <c r="K24" i="6"/>
  <c r="C264" i="14" l="1"/>
  <c r="F17" i="14" s="1"/>
  <c r="C263" i="14"/>
  <c r="E17" i="14" s="1"/>
  <c r="C244" i="14"/>
  <c r="F16" i="14" s="1"/>
  <c r="C243" i="14"/>
  <c r="E16" i="14" s="1"/>
  <c r="C223" i="14"/>
  <c r="F15" i="14" s="1"/>
  <c r="C222" i="14"/>
  <c r="E15" i="14" s="1"/>
  <c r="C203" i="14"/>
  <c r="F14" i="14" s="1"/>
  <c r="C202" i="14"/>
  <c r="E14" i="14" s="1"/>
  <c r="C182" i="14"/>
  <c r="F13" i="14" s="1"/>
  <c r="C162" i="14"/>
  <c r="F12" i="14" s="1"/>
  <c r="C161" i="14"/>
  <c r="E12" i="14" s="1"/>
  <c r="C140" i="14"/>
  <c r="E11" i="14" s="1"/>
  <c r="C141" i="14"/>
  <c r="F11" i="14" s="1"/>
  <c r="C120" i="14"/>
  <c r="E10" i="14" s="1"/>
  <c r="F10" i="14"/>
  <c r="C99" i="14"/>
  <c r="E9" i="14" s="1"/>
  <c r="C100" i="14"/>
  <c r="F9" i="14" s="1"/>
  <c r="C79" i="14"/>
  <c r="E8" i="14" s="1"/>
  <c r="C80" i="14"/>
  <c r="F8" i="14" s="1"/>
  <c r="U243" i="6"/>
  <c r="U237" i="6"/>
  <c r="W237" i="6" s="1"/>
  <c r="J243" i="6"/>
  <c r="J237" i="6"/>
  <c r="K237" i="6" s="1"/>
  <c r="E13" i="14"/>
  <c r="U84" i="6"/>
  <c r="K84" i="6"/>
  <c r="K243" i="6" l="1"/>
  <c r="J18" i="6" s="1"/>
  <c r="C32" i="12"/>
  <c r="C37" i="12" s="1"/>
  <c r="W243" i="6"/>
  <c r="X18" i="6" s="1"/>
  <c r="V18" i="6"/>
  <c r="H18" i="6"/>
  <c r="R2" i="3"/>
  <c r="R3" i="3"/>
  <c r="S2" i="3" l="1"/>
  <c r="Z2" i="3"/>
  <c r="AA2" i="3"/>
  <c r="K16" i="3" l="1"/>
  <c r="K17" i="3"/>
  <c r="K18" i="3"/>
  <c r="K24" i="3"/>
  <c r="L11" i="3" s="1"/>
  <c r="K23" i="3"/>
  <c r="K22" i="3"/>
  <c r="K21" i="3"/>
  <c r="K20" i="3"/>
  <c r="K19" i="3"/>
  <c r="K12" i="3"/>
  <c r="K11" i="3"/>
  <c r="K10" i="3"/>
  <c r="K9" i="3"/>
  <c r="K8" i="3"/>
  <c r="K7" i="3"/>
  <c r="K6" i="3"/>
  <c r="K5" i="3"/>
  <c r="K4" i="3"/>
  <c r="W3" i="3"/>
  <c r="U3" i="3"/>
  <c r="V2" i="3" s="1"/>
  <c r="W2" i="3"/>
  <c r="X2" i="3" s="1"/>
  <c r="L10" i="3" l="1"/>
  <c r="L6" i="3"/>
  <c r="L3" i="3"/>
  <c r="L5" i="3"/>
  <c r="L4" i="3"/>
  <c r="L8" i="3"/>
  <c r="L9" i="3"/>
  <c r="L7" i="3"/>
  <c r="AB36" i="12" l="1"/>
  <c r="AB37" i="12" s="1"/>
  <c r="AB17" i="12"/>
  <c r="C41" i="12" l="1"/>
  <c r="C40" i="12"/>
  <c r="C21" i="12"/>
  <c r="C22" i="12"/>
  <c r="C31" i="14" s="1"/>
  <c r="C51" i="14" l="1"/>
  <c r="C52" i="14" s="1"/>
  <c r="C54" i="14" s="1"/>
  <c r="C32" i="14"/>
  <c r="C34" i="14" s="1"/>
  <c r="C58" i="14" l="1"/>
  <c r="E7" i="14" s="1"/>
  <c r="C59" i="14"/>
  <c r="F7" i="14" s="1"/>
  <c r="C38" i="14"/>
  <c r="E6" i="14" s="1"/>
  <c r="C39" i="14"/>
  <c r="F6" i="14" s="1"/>
  <c r="D40" i="8"/>
  <c r="C12" i="13" s="1"/>
  <c r="D26" i="13" l="1"/>
  <c r="C26" i="13"/>
  <c r="C33" i="13"/>
  <c r="D25" i="13"/>
  <c r="C25" i="13"/>
  <c r="C11" i="13"/>
  <c r="C32" i="13"/>
  <c r="C16" i="13"/>
  <c r="D41" i="8"/>
  <c r="D27" i="13"/>
  <c r="C27" i="13"/>
  <c r="D42" i="8" l="1"/>
  <c r="C35" i="13"/>
  <c r="C37" i="13"/>
  <c r="C36" i="13"/>
  <c r="D45" i="8" l="1"/>
  <c r="C15" i="13"/>
</calcChain>
</file>

<file path=xl/sharedStrings.xml><?xml version="1.0" encoding="utf-8"?>
<sst xmlns="http://schemas.openxmlformats.org/spreadsheetml/2006/main" count="1231" uniqueCount="205">
  <si>
    <t>Hide/unhide empty budget lines =&gt;</t>
  </si>
  <si>
    <t>Abc</t>
  </si>
  <si>
    <t>Select…</t>
  </si>
  <si>
    <t>2020/…</t>
  </si>
  <si>
    <t>Recapitulation of expenses from latest Project Modification</t>
  </si>
  <si>
    <t>Total costs</t>
  </si>
  <si>
    <t>Partner(s) 
costs</t>
  </si>
  <si>
    <t>Promoter's  contribution</t>
  </si>
  <si>
    <t>Partner(s) contribution</t>
  </si>
  <si>
    <t>Grant</t>
  </si>
  <si>
    <t>Grant %</t>
  </si>
  <si>
    <t xml:space="preserve">Promoter's 
costs </t>
  </si>
  <si>
    <t>…</t>
  </si>
  <si>
    <t>Management</t>
  </si>
  <si>
    <t>Publicity</t>
  </si>
  <si>
    <t>RECAPITULATION OF COSTS</t>
  </si>
  <si>
    <t>Grant 
%</t>
  </si>
  <si>
    <t xml:space="preserve">Grant </t>
  </si>
  <si>
    <t>TOTAL</t>
  </si>
  <si>
    <t>The Exchange rate to be used is:</t>
  </si>
  <si>
    <t>Romania</t>
  </si>
  <si>
    <t>1 Euro = 4,8271 LEI</t>
  </si>
  <si>
    <t>Paid in capital</t>
  </si>
  <si>
    <t>CHECK</t>
  </si>
  <si>
    <t>Operating profit</t>
  </si>
  <si>
    <t>Bulgaria</t>
  </si>
  <si>
    <t>Croatia</t>
  </si>
  <si>
    <t>Implementation and operation (EURO)*</t>
  </si>
  <si>
    <t>Other costs 1</t>
  </si>
  <si>
    <t>Other costs 2</t>
  </si>
  <si>
    <t>Residual value</t>
  </si>
  <si>
    <t xml:space="preserve">EGC </t>
  </si>
  <si>
    <t>Operational costs</t>
  </si>
  <si>
    <t>EGC [Eur/MWh]</t>
  </si>
  <si>
    <t>I. Profitability of the project without the non-reimbursable financial support</t>
  </si>
  <si>
    <t xml:space="preserve">Investment Costs </t>
  </si>
  <si>
    <t>Operating revenues</t>
  </si>
  <si>
    <t>Operating costs (excluding depreciation and amortization)</t>
  </si>
  <si>
    <t xml:space="preserve">Residual value </t>
  </si>
  <si>
    <t>Net Cash Flow</t>
  </si>
  <si>
    <t>Discount rate</t>
  </si>
  <si>
    <t>Net present Value (NPV)</t>
  </si>
  <si>
    <t xml:space="preserve">Internal Rate of Return (IRR) </t>
  </si>
  <si>
    <t>II. Profitability of the project with the non-reimbursable financial support</t>
  </si>
  <si>
    <t>Grant Value</t>
  </si>
  <si>
    <t>Operating revenue</t>
  </si>
  <si>
    <t xml:space="preserve">FINANCIAL ANALYSIS OF THE COMPANY - WITH PROJECT </t>
  </si>
  <si>
    <t>The cells are linked with the  figures from previous Worksheets</t>
  </si>
  <si>
    <t>Indicators for Financial analysis of the company after the project implementation with non-reimbursable support</t>
  </si>
  <si>
    <t>Historical information</t>
  </si>
  <si>
    <t>N-3</t>
  </si>
  <si>
    <t>N-2</t>
  </si>
  <si>
    <t>N-1</t>
  </si>
  <si>
    <t>N</t>
  </si>
  <si>
    <t>Return on total assets</t>
  </si>
  <si>
    <t>Cash flow on long term liabilities</t>
  </si>
  <si>
    <t>Interest cover ratio</t>
  </si>
  <si>
    <t>Working capital in 1000</t>
  </si>
  <si>
    <t>Working capital in % of revenue</t>
  </si>
  <si>
    <t>Days sales outstanding</t>
  </si>
  <si>
    <t>Equity ratio in %</t>
  </si>
  <si>
    <t>Long term inventories in %</t>
  </si>
  <si>
    <t>Average inventories period</t>
  </si>
  <si>
    <t>Return on Assets</t>
  </si>
  <si>
    <t>Return on Equity</t>
  </si>
  <si>
    <t>Turnover of Assets</t>
  </si>
  <si>
    <t>Turnover of Fixed Assets</t>
  </si>
  <si>
    <t>Net Working Capital to Sales</t>
  </si>
  <si>
    <t>Net Working Capital to Current Liabilities</t>
  </si>
  <si>
    <t>Net Working Capital to Inventory</t>
  </si>
  <si>
    <t>Days Receivables Outst.</t>
  </si>
  <si>
    <t>Turnover of Current Assets</t>
  </si>
  <si>
    <t>Average Inventory Period</t>
  </si>
  <si>
    <t>Current Ratio</t>
  </si>
  <si>
    <t>Quick Ratio</t>
  </si>
  <si>
    <t>Debt to Total Assets</t>
  </si>
  <si>
    <t>Debt to Capital</t>
  </si>
  <si>
    <t>Debt to Equity</t>
  </si>
  <si>
    <t>Interest Cover</t>
  </si>
  <si>
    <t>Cash Flow to LT Liabilities</t>
  </si>
  <si>
    <t>The sensitivity analysis will be made only for the non-grant version of the project</t>
  </si>
  <si>
    <t>Item</t>
  </si>
  <si>
    <t>Variation</t>
  </si>
  <si>
    <t>FNPV</t>
  </si>
  <si>
    <t>IRR</t>
  </si>
  <si>
    <t>Investment costs</t>
  </si>
  <si>
    <t>Increase of investment costs with 10%</t>
  </si>
  <si>
    <t>Decrease of investment costs with 10%</t>
  </si>
  <si>
    <t>Increase of investment costs with 5%</t>
  </si>
  <si>
    <t>Decrease of investment costs with 5%</t>
  </si>
  <si>
    <t>Increase of operational costs with 10%</t>
  </si>
  <si>
    <t>Decrease of operational costs with 10%</t>
  </si>
  <si>
    <t>Increase of operational costs with 5%</t>
  </si>
  <si>
    <t>Decrease of operational costs with 5%</t>
  </si>
  <si>
    <t>Revenues</t>
  </si>
  <si>
    <t>Increase of operational revenues with 10%</t>
  </si>
  <si>
    <t>Decrease of operational revenues with 10%</t>
  </si>
  <si>
    <t>Increase of operational revenues with 5%</t>
  </si>
  <si>
    <t>Decrease of operational revenues with 5%</t>
  </si>
  <si>
    <t>1. Investments costs + 10%</t>
  </si>
  <si>
    <t>Operating expenditures (excluding depreciation and amortization)</t>
  </si>
  <si>
    <r>
      <rPr>
        <b/>
        <sz val="11"/>
        <color indexed="8"/>
        <rFont val="Calibri"/>
        <family val="2"/>
      </rPr>
      <t>EBITDA</t>
    </r>
    <r>
      <rPr>
        <sz val="11"/>
        <color theme="1"/>
        <rFont val="Calibri"/>
        <family val="2"/>
        <scheme val="minor"/>
      </rPr>
      <t xml:space="preserve"> (Earnings before interest, tax and depreciation)</t>
    </r>
  </si>
  <si>
    <t>Depreciation and amortization (D&amp;A)</t>
  </si>
  <si>
    <t xml:space="preserve">Operating profit before tax (EBIT) </t>
  </si>
  <si>
    <t>Net operating profit</t>
  </si>
  <si>
    <t>Changes in working capital</t>
  </si>
  <si>
    <t>Operating cash flow</t>
  </si>
  <si>
    <t>FREE Cash Flow</t>
  </si>
  <si>
    <t>2. Investment costs -10%</t>
  </si>
  <si>
    <t>3. Investments costs + 5%</t>
  </si>
  <si>
    <t>4. Investment costs -5%</t>
  </si>
  <si>
    <t>5. Operational costs + 10%</t>
  </si>
  <si>
    <t>6. Operational costs -10%</t>
  </si>
  <si>
    <t>7. Operational costs + 5%</t>
  </si>
  <si>
    <t>8. Operational costs -5%</t>
  </si>
  <si>
    <t>9. Operational revenues + 10%</t>
  </si>
  <si>
    <t>10. Operational revenues -10%</t>
  </si>
  <si>
    <t>11. Operational revenues + 5%</t>
  </si>
  <si>
    <t>10. Operational revenues -5%</t>
  </si>
  <si>
    <t>UNDERTAKING IN DIFFICULTY</t>
  </si>
  <si>
    <t>Retained earnings (previous year) + Net earnings from current year</t>
  </si>
  <si>
    <t>TOTAL RESULT</t>
  </si>
  <si>
    <t>Capital bonuses + Revaluation reserves + Reserves</t>
  </si>
  <si>
    <t>TOTAL CAPITAL LOSS</t>
  </si>
  <si>
    <t>RESULT:</t>
  </si>
  <si>
    <t>If the applicant has less than 3 fiscal years since establishment, this check is not going to be used</t>
  </si>
  <si>
    <t>Reports</t>
  </si>
  <si>
    <t>Activities</t>
  </si>
  <si>
    <t>Name of state aid</t>
  </si>
  <si>
    <t>Yes / No</t>
  </si>
  <si>
    <t>Costs covered by:</t>
  </si>
  <si>
    <t>Currency</t>
  </si>
  <si>
    <t>Project start date</t>
  </si>
  <si>
    <t>Project end date</t>
  </si>
  <si>
    <t>Disbursement date</t>
  </si>
  <si>
    <t>Reporting from original DP</t>
  </si>
  <si>
    <t>Reporting from modified DP</t>
  </si>
  <si>
    <t>Reporting to
original DP</t>
  </si>
  <si>
    <t>Reporting to
modified DP</t>
  </si>
  <si>
    <t>Current period</t>
  </si>
  <si>
    <t>Which is the actual budget/grant</t>
  </si>
  <si>
    <t>DAB budget 
line 2-original 
line 3-modified</t>
  </si>
  <si>
    <t>Actual budget in DAB</t>
  </si>
  <si>
    <t>Grant in DAB
line 2-original 
line 3-modified</t>
  </si>
  <si>
    <t>Actual grant in DAB</t>
  </si>
  <si>
    <t>Which is the actual disbursement plan</t>
  </si>
  <si>
    <t>DB budget 
line 2-original 
line 3-modified</t>
  </si>
  <si>
    <t>Actual budget in DP</t>
  </si>
  <si>
    <t>Grant in DP
line 2-original 
line 3-modified</t>
  </si>
  <si>
    <t>Returned value of budget modification</t>
  </si>
  <si>
    <t>Returned value of DP modification</t>
  </si>
  <si>
    <t>Returned value of Interim Report</t>
  </si>
  <si>
    <t>Returned value of DP modification (total cost)</t>
  </si>
  <si>
    <t>Focus Area</t>
  </si>
  <si>
    <t>RES type of project</t>
  </si>
  <si>
    <t>Period of analysis</t>
  </si>
  <si>
    <t>Hydropower</t>
  </si>
  <si>
    <t>Activity_1</t>
  </si>
  <si>
    <t>NO</t>
  </si>
  <si>
    <t>PP</t>
  </si>
  <si>
    <t>BGN</t>
  </si>
  <si>
    <t>Geothermal</t>
  </si>
  <si>
    <t>Activity_2</t>
  </si>
  <si>
    <t>YES</t>
  </si>
  <si>
    <t>P1</t>
  </si>
  <si>
    <t>CHF</t>
  </si>
  <si>
    <t>Activity_3</t>
  </si>
  <si>
    <t>P2</t>
  </si>
  <si>
    <t>EUR</t>
  </si>
  <si>
    <t xml:space="preserve">Other RES </t>
  </si>
  <si>
    <t>Activity_4</t>
  </si>
  <si>
    <t>P3</t>
  </si>
  <si>
    <t>GBP</t>
  </si>
  <si>
    <t>Electrification</t>
  </si>
  <si>
    <t>P4</t>
  </si>
  <si>
    <t>NOK</t>
  </si>
  <si>
    <t>PLN</t>
  </si>
  <si>
    <t>RON</t>
  </si>
  <si>
    <t>USD</t>
  </si>
  <si>
    <t>Countries</t>
  </si>
  <si>
    <t>Outcomes per country</t>
  </si>
  <si>
    <t>Cyprus</t>
  </si>
  <si>
    <t>Czech Republic</t>
  </si>
  <si>
    <t>Estonia</t>
  </si>
  <si>
    <t>Hungary</t>
  </si>
  <si>
    <t>Latvia</t>
  </si>
  <si>
    <t>Lithuania</t>
  </si>
  <si>
    <t>Malta</t>
  </si>
  <si>
    <t>Poland</t>
  </si>
  <si>
    <t xml:space="preserve">Slovakia </t>
  </si>
  <si>
    <t>Slovenia</t>
  </si>
  <si>
    <t>Outcome 1. Improved social dialogue and cooperation</t>
  </si>
  <si>
    <t>Outcome 2. Enhanced implementation of decent work agenda</t>
  </si>
  <si>
    <t>Outcome 3. Access to employment facilitated</t>
  </si>
  <si>
    <t>Czech_Republic</t>
  </si>
  <si>
    <t>Slovakia</t>
  </si>
  <si>
    <t>Language</t>
  </si>
  <si>
    <t>Romana</t>
  </si>
  <si>
    <t>English</t>
  </si>
  <si>
    <t>(example) Technical expertise / (exemplu)Expertiza tehnica</t>
  </si>
  <si>
    <t>(example) Legal expertise / (exemplu) Expertiza juridica</t>
  </si>
  <si>
    <t>day / zi</t>
  </si>
  <si>
    <t>item / bucati / contract</t>
  </si>
  <si>
    <t>(example) Project Manager / (exemplu) Management de Proiect</t>
  </si>
  <si>
    <t>hour / 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</si>
</sst>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
    <numFmt numFmtId="166" formatCode="dd/mm/yyyy;@"/>
    <numFmt numFmtId="167" formatCode="&quot; &quot;#,##0.00&quot;     &quot;;&quot;-&quot;#,##0.00&quot;     &quot;;&quot; -&quot;00&quot;     &quot;;&quot; &quot;@&quot; &quot;"/>
    <numFmt numFmtId="168" formatCode="0.00&quot; &quot;%"/>
    <numFmt numFmtId="169" formatCode="_-* #,##0_-;\-* #,##0_-;_-* &quot;-&quot;??_-;_-@_-"/>
    <numFmt numFmtId="170" formatCode="0.0"/>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4"/>
      <color theme="0"/>
      <name val="Calibri"/>
      <family val="2"/>
      <scheme val="minor"/>
    </font>
    <font>
      <sz val="11"/>
      <color indexed="9"/>
      <name val="Calibri"/>
      <family val="2"/>
    </font>
    <font>
      <b/>
      <sz val="12"/>
      <color indexed="9"/>
      <name val="Calibri"/>
      <family val="2"/>
    </font>
    <font>
      <sz val="11"/>
      <name val="Calibri"/>
      <family val="2"/>
      <scheme val="minor"/>
    </font>
    <font>
      <b/>
      <sz val="11"/>
      <name val="Calibri"/>
      <family val="2"/>
      <scheme val="minor"/>
    </font>
    <font>
      <b/>
      <sz val="12"/>
      <name val="Calibri"/>
      <family val="2"/>
      <scheme val="minor"/>
    </font>
    <font>
      <sz val="8"/>
      <name val="Calibri"/>
      <family val="2"/>
      <scheme val="minor"/>
    </font>
    <font>
      <b/>
      <sz val="12"/>
      <color theme="1"/>
      <name val="Calibri"/>
      <family val="2"/>
      <scheme val="minor"/>
    </font>
    <font>
      <sz val="14"/>
      <name val="Calibri"/>
      <family val="2"/>
      <scheme val="minor"/>
    </font>
    <font>
      <b/>
      <sz val="14"/>
      <name val="Calibri"/>
      <family val="2"/>
      <scheme val="minor"/>
    </font>
    <font>
      <sz val="14"/>
      <color theme="1"/>
      <name val="Calibri"/>
      <family val="2"/>
      <scheme val="minor"/>
    </font>
    <font>
      <sz val="8"/>
      <color rgb="FFFF0000"/>
      <name val="Calibri"/>
      <family val="2"/>
      <scheme val="minor"/>
    </font>
    <font>
      <sz val="12"/>
      <color theme="1"/>
      <name val="Calibri"/>
      <family val="2"/>
    </font>
    <font>
      <sz val="14"/>
      <color theme="1"/>
      <name val="Calibri"/>
      <family val="2"/>
    </font>
    <font>
      <b/>
      <sz val="14"/>
      <color theme="1"/>
      <name val="Calibri"/>
      <family val="2"/>
    </font>
    <font>
      <sz val="9"/>
      <color rgb="FFFF0000"/>
      <name val="Calibri"/>
      <family val="2"/>
      <scheme val="minor"/>
    </font>
    <font>
      <sz val="13.5"/>
      <color theme="1"/>
      <name val="Calibri"/>
      <family val="2"/>
      <scheme val="minor"/>
    </font>
    <font>
      <sz val="14"/>
      <color theme="0"/>
      <name val="Calibri"/>
      <family val="2"/>
      <scheme val="minor"/>
    </font>
    <font>
      <sz val="1"/>
      <color theme="0"/>
      <name val="Calibri"/>
      <family val="2"/>
      <scheme val="minor"/>
    </font>
    <font>
      <sz val="8"/>
      <color theme="0"/>
      <name val="Calibri"/>
      <family val="2"/>
      <scheme val="minor"/>
    </font>
    <font>
      <b/>
      <sz val="11"/>
      <color rgb="FFFF0000"/>
      <name val="Calibri"/>
      <family val="2"/>
    </font>
    <font>
      <b/>
      <sz val="11"/>
      <color rgb="FF000000"/>
      <name val="Calibri"/>
      <family val="2"/>
    </font>
    <font>
      <i/>
      <sz val="11"/>
      <color rgb="FF000000"/>
      <name val="Calibri"/>
      <family val="2"/>
    </font>
    <font>
      <sz val="11"/>
      <color theme="1"/>
      <name val="Calibri"/>
      <family val="2"/>
      <charset val="204"/>
      <scheme val="minor"/>
    </font>
    <font>
      <sz val="11"/>
      <color rgb="FF000000"/>
      <name val="Calibri"/>
      <family val="2"/>
    </font>
    <font>
      <b/>
      <i/>
      <sz val="11"/>
      <color rgb="FF000000"/>
      <name val="Calibri"/>
      <family val="2"/>
    </font>
    <font>
      <b/>
      <sz val="14"/>
      <color rgb="FF000000"/>
      <name val="Calibri"/>
      <family val="2"/>
    </font>
    <font>
      <b/>
      <sz val="9"/>
      <color rgb="FFFF0000"/>
      <name val="Calibri"/>
      <family val="2"/>
    </font>
    <font>
      <b/>
      <sz val="11"/>
      <color rgb="FF0070C0"/>
      <name val="Calibri"/>
      <family val="2"/>
    </font>
    <font>
      <sz val="10"/>
      <color rgb="FF000000"/>
      <name val="Arial"/>
      <family val="2"/>
    </font>
    <font>
      <sz val="10"/>
      <color rgb="FF000000"/>
      <name val="Times New Roman"/>
      <family val="1"/>
    </font>
    <font>
      <sz val="11"/>
      <color rgb="FFFF0000"/>
      <name val="Calibri"/>
      <family val="2"/>
    </font>
    <font>
      <b/>
      <sz val="11"/>
      <color indexed="8"/>
      <name val="Calibri"/>
      <family val="2"/>
    </font>
    <font>
      <sz val="11"/>
      <name val="Calibri"/>
      <family val="2"/>
    </font>
    <font>
      <b/>
      <sz val="11"/>
      <color rgb="FFC00000"/>
      <name val="Calibri"/>
      <family val="2"/>
    </font>
    <font>
      <sz val="10"/>
      <name val="Calibri"/>
      <family val="2"/>
      <charset val="238"/>
      <scheme val="minor"/>
    </font>
    <font>
      <b/>
      <sz val="10"/>
      <color rgb="FFFF0000"/>
      <name val="Calibri"/>
      <family val="2"/>
      <scheme val="minor"/>
    </font>
    <font>
      <sz val="13.5"/>
      <name val="Calibri"/>
      <family val="2"/>
      <scheme val="minor"/>
    </font>
    <font>
      <b/>
      <sz val="14"/>
      <color theme="1"/>
      <name val="Calibri"/>
      <family val="2"/>
      <scheme val="minor"/>
    </font>
    <font>
      <sz val="9"/>
      <color theme="1"/>
      <name val="Calibri"/>
      <family val="2"/>
      <scheme val="minor"/>
    </font>
    <font>
      <b/>
      <sz val="11"/>
      <color theme="9"/>
      <name val="Calibri"/>
      <family val="2"/>
      <scheme val="minor"/>
    </font>
    <font>
      <b/>
      <sz val="11"/>
      <color theme="5"/>
      <name val="Calibri"/>
      <family val="2"/>
    </font>
    <font>
      <b/>
      <sz val="11"/>
      <color rgb="FFFF0000"/>
      <name val="Calibri"/>
      <family val="2"/>
      <scheme val="minor"/>
    </font>
    <font>
      <sz val="11"/>
      <color theme="1"/>
      <name val="Calibri"/>
      <family val="2"/>
    </font>
    <font>
      <b/>
      <sz val="14"/>
      <color rgb="FFFF0000"/>
      <name val="Calibri"/>
      <family val="2"/>
      <scheme val="minor"/>
    </font>
  </fonts>
  <fills count="26">
    <fill>
      <patternFill patternType="none"/>
    </fill>
    <fill>
      <patternFill patternType="gray125"/>
    </fill>
    <fill>
      <patternFill patternType="solid">
        <fgColor rgb="FFFFFFCC"/>
        <bgColor indexed="64"/>
      </patternFill>
    </fill>
    <fill>
      <patternFill patternType="solid">
        <fgColor theme="1" tint="4.9989318521683403E-2"/>
        <bgColor indexed="64"/>
      </patternFill>
    </fill>
    <fill>
      <patternFill patternType="solid">
        <fgColor indexed="54"/>
      </patternFill>
    </fill>
    <fill>
      <patternFill patternType="solid">
        <fgColor rgb="FF00B0F0"/>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BDD7EE"/>
        <bgColor rgb="FFBDD7EE"/>
      </patternFill>
    </fill>
    <fill>
      <patternFill patternType="solid">
        <fgColor rgb="FF0070C0"/>
        <bgColor rgb="FF0070C0"/>
      </patternFill>
    </fill>
    <fill>
      <patternFill patternType="solid">
        <fgColor rgb="FFB4C6E7"/>
        <bgColor rgb="FFB4C6E7"/>
      </patternFill>
    </fill>
    <fill>
      <patternFill patternType="solid">
        <fgColor theme="0"/>
        <bgColor rgb="FFF8CBAD"/>
      </patternFill>
    </fill>
    <fill>
      <patternFill patternType="solid">
        <fgColor theme="0" tint="-0.14999847407452621"/>
        <bgColor rgb="FFF8CBAD"/>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2CC"/>
        <bgColor rgb="FFFFF2CC"/>
      </patternFill>
    </fill>
    <fill>
      <patternFill patternType="solid">
        <fgColor rgb="FFDDEBF7"/>
        <bgColor rgb="FFDDEBF7"/>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FFFFFF"/>
        <bgColor indexed="64"/>
      </patternFill>
    </fill>
    <fill>
      <patternFill patternType="solid">
        <fgColor rgb="FFFFFF00"/>
        <bgColor rgb="FFDDEBF7"/>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dotted">
        <color auto="1"/>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8">
    <xf numFmtId="0" fontId="0" fillId="0" borderId="0"/>
    <xf numFmtId="0" fontId="4" fillId="0" borderId="0"/>
    <xf numFmtId="0" fontId="6" fillId="4" borderId="0" applyNumberFormat="0" applyBorder="0" applyAlignment="0" applyProtection="0"/>
    <xf numFmtId="0" fontId="4" fillId="0" borderId="0"/>
    <xf numFmtId="9" fontId="1" fillId="0" borderId="0" applyFont="0" applyFill="0" applyBorder="0" applyAlignment="0" applyProtection="0"/>
    <xf numFmtId="167" fontId="29" fillId="0" borderId="0" applyFont="0" applyFill="0" applyBorder="0" applyAlignment="0" applyProtection="0"/>
    <xf numFmtId="43" fontId="1" fillId="0" borderId="0" applyFont="0" applyFill="0" applyBorder="0" applyAlignment="0" applyProtection="0"/>
    <xf numFmtId="0" fontId="34" fillId="0" borderId="0" applyNumberFormat="0" applyBorder="0" applyProtection="0"/>
  </cellStyleXfs>
  <cellXfs count="409">
    <xf numFmtId="0" fontId="0" fillId="0" borderId="0" xfId="0"/>
    <xf numFmtId="0" fontId="8" fillId="2" borderId="1" xfId="3" applyFont="1" applyFill="1" applyBorder="1" applyAlignment="1" applyProtection="1">
      <alignment horizontal="center" vertical="center" wrapText="1"/>
      <protection locked="0"/>
    </xf>
    <xf numFmtId="0" fontId="0" fillId="0" borderId="0" xfId="0" applyProtection="1">
      <protection hidden="1"/>
    </xf>
    <xf numFmtId="4" fontId="8" fillId="2" borderId="1" xfId="3" applyNumberFormat="1" applyFont="1" applyFill="1" applyBorder="1" applyAlignment="1" applyProtection="1">
      <alignment vertical="center"/>
      <protection locked="0"/>
    </xf>
    <xf numFmtId="4" fontId="8" fillId="2" borderId="1" xfId="3" applyNumberFormat="1" applyFont="1" applyFill="1" applyBorder="1" applyAlignment="1" applyProtection="1">
      <alignment horizontal="right" vertical="center"/>
      <protection locked="0"/>
    </xf>
    <xf numFmtId="4" fontId="8" fillId="2" borderId="1" xfId="3" applyNumberFormat="1" applyFont="1" applyFill="1" applyBorder="1" applyAlignment="1" applyProtection="1">
      <alignment horizontal="center" vertical="center" wrapText="1"/>
      <protection locked="0"/>
    </xf>
    <xf numFmtId="0" fontId="0" fillId="0" borderId="0" xfId="0" applyAlignment="1" applyProtection="1">
      <alignment wrapText="1"/>
    </xf>
    <xf numFmtId="0" fontId="0" fillId="0" borderId="0" xfId="0" applyAlignment="1" applyProtection="1">
      <alignment horizontal="center"/>
    </xf>
    <xf numFmtId="0" fontId="0" fillId="0" borderId="0" xfId="0" applyProtection="1"/>
    <xf numFmtId="0" fontId="15" fillId="0" borderId="0" xfId="0" applyFont="1" applyProtection="1"/>
    <xf numFmtId="0" fontId="15" fillId="0" borderId="0" xfId="0" applyFont="1" applyAlignment="1" applyProtection="1">
      <alignment horizontal="right" vertical="center"/>
    </xf>
    <xf numFmtId="0" fontId="14" fillId="0" borderId="0" xfId="1" applyFont="1" applyAlignment="1" applyProtection="1">
      <alignment vertical="center" wrapText="1"/>
    </xf>
    <xf numFmtId="0" fontId="15" fillId="0" borderId="0" xfId="0" applyFont="1" applyAlignment="1" applyProtection="1">
      <alignment horizontal="right"/>
    </xf>
    <xf numFmtId="0" fontId="13" fillId="0" borderId="0" xfId="1" applyFont="1" applyAlignment="1" applyProtection="1">
      <alignment vertical="center" wrapText="1"/>
    </xf>
    <xf numFmtId="0" fontId="13" fillId="0" borderId="0" xfId="1" applyFont="1" applyAlignment="1" applyProtection="1">
      <alignment horizontal="right" vertical="center"/>
    </xf>
    <xf numFmtId="0" fontId="15" fillId="0" borderId="0" xfId="0" applyFont="1" applyAlignment="1" applyProtection="1">
      <alignment vertical="center" wrapText="1"/>
    </xf>
    <xf numFmtId="0" fontId="1" fillId="0" borderId="0" xfId="0" applyFont="1" applyAlignment="1" applyProtection="1">
      <alignment vertical="center"/>
    </xf>
    <xf numFmtId="0" fontId="9" fillId="0" borderId="0" xfId="1" applyFont="1" applyAlignment="1" applyProtection="1">
      <alignment vertical="center" wrapText="1"/>
    </xf>
    <xf numFmtId="0" fontId="13" fillId="0" borderId="0" xfId="1"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vertical="center"/>
    </xf>
    <xf numFmtId="0" fontId="1" fillId="0" borderId="0" xfId="0" applyFont="1" applyProtection="1"/>
    <xf numFmtId="0" fontId="8" fillId="0" borderId="0" xfId="0" applyFont="1" applyFill="1" applyProtection="1"/>
    <xf numFmtId="0" fontId="3" fillId="0" borderId="0" xfId="0" applyFont="1" applyFill="1" applyAlignment="1" applyProtection="1">
      <alignment wrapText="1"/>
    </xf>
    <xf numFmtId="0" fontId="0" fillId="0" borderId="0" xfId="0" applyAlignment="1" applyProtection="1">
      <alignment vertical="center" wrapText="1"/>
    </xf>
    <xf numFmtId="0" fontId="8" fillId="0" borderId="0" xfId="0" applyFont="1" applyProtection="1"/>
    <xf numFmtId="0" fontId="5" fillId="3" borderId="1" xfId="1" applyFont="1" applyFill="1" applyBorder="1" applyAlignment="1" applyProtection="1">
      <alignment vertical="center"/>
    </xf>
    <xf numFmtId="0" fontId="5" fillId="3" borderId="1" xfId="1" applyFont="1" applyFill="1" applyBorder="1" applyAlignment="1" applyProtection="1">
      <alignment horizontal="center" vertical="center"/>
    </xf>
    <xf numFmtId="0" fontId="0" fillId="3" borderId="1" xfId="0" applyFill="1" applyBorder="1" applyProtection="1"/>
    <xf numFmtId="0" fontId="5" fillId="3" borderId="5" xfId="1" applyFont="1" applyFill="1" applyBorder="1" applyAlignment="1" applyProtection="1">
      <alignment vertical="center"/>
    </xf>
    <xf numFmtId="0" fontId="0" fillId="3" borderId="5" xfId="0" applyFill="1" applyBorder="1" applyProtection="1"/>
    <xf numFmtId="0" fontId="9" fillId="6" borderId="1" xfId="3" applyFont="1" applyFill="1" applyBorder="1" applyAlignment="1" applyProtection="1">
      <alignment horizontal="center" vertical="center" wrapText="1"/>
    </xf>
    <xf numFmtId="0" fontId="0" fillId="0" borderId="0" xfId="0" applyAlignment="1" applyProtection="1">
      <alignment horizontal="left" vertical="top"/>
    </xf>
    <xf numFmtId="4" fontId="8" fillId="0" borderId="1" xfId="3" applyNumberFormat="1" applyFont="1" applyBorder="1" applyAlignment="1" applyProtection="1">
      <alignment horizontal="right" vertical="center"/>
    </xf>
    <xf numFmtId="0" fontId="0" fillId="0" borderId="0" xfId="0" applyBorder="1" applyProtection="1"/>
    <xf numFmtId="0" fontId="0" fillId="0" borderId="0" xfId="0" applyBorder="1" applyAlignment="1" applyProtection="1">
      <alignment horizontal="center"/>
    </xf>
    <xf numFmtId="0" fontId="9" fillId="0" borderId="0" xfId="3" applyFont="1" applyBorder="1" applyAlignment="1" applyProtection="1">
      <alignment horizontal="left" wrapText="1"/>
    </xf>
    <xf numFmtId="0" fontId="9" fillId="0" borderId="0" xfId="3" applyFont="1" applyFill="1" applyBorder="1" applyAlignment="1" applyProtection="1">
      <alignment horizontal="center"/>
    </xf>
    <xf numFmtId="0" fontId="9" fillId="0" borderId="0" xfId="3" applyFont="1" applyFill="1" applyBorder="1" applyAlignment="1" applyProtection="1">
      <alignment horizontal="left"/>
    </xf>
    <xf numFmtId="4" fontId="9" fillId="0" borderId="0" xfId="3" applyNumberFormat="1" applyFont="1" applyFill="1" applyBorder="1" applyProtection="1"/>
    <xf numFmtId="10" fontId="9" fillId="0" borderId="0" xfId="3" applyNumberFormat="1" applyFont="1" applyFill="1" applyBorder="1" applyProtection="1"/>
    <xf numFmtId="0" fontId="3" fillId="3" borderId="1" xfId="0" applyFont="1" applyFill="1" applyBorder="1" applyProtection="1"/>
    <xf numFmtId="0" fontId="7" fillId="5" borderId="15" xfId="2" applyFont="1" applyFill="1" applyBorder="1" applyAlignment="1" applyProtection="1">
      <alignment horizontal="center" wrapText="1"/>
    </xf>
    <xf numFmtId="14" fontId="7" fillId="5" borderId="15" xfId="2" applyNumberFormat="1" applyFont="1" applyFill="1" applyBorder="1" applyAlignment="1" applyProtection="1">
      <alignment horizontal="center" vertical="top" wrapText="1"/>
    </xf>
    <xf numFmtId="14" fontId="7" fillId="5" borderId="2" xfId="2" applyNumberFormat="1" applyFont="1" applyFill="1" applyBorder="1" applyAlignment="1" applyProtection="1">
      <alignment horizontal="center" vertical="center" wrapText="1"/>
    </xf>
    <xf numFmtId="0" fontId="15" fillId="0" borderId="0" xfId="0" applyFont="1" applyAlignment="1" applyProtection="1">
      <alignment horizontal="center"/>
    </xf>
    <xf numFmtId="0" fontId="18" fillId="0" borderId="0" xfId="0" applyFont="1" applyAlignment="1" applyProtection="1">
      <alignment horizontal="right" vertical="center"/>
    </xf>
    <xf numFmtId="0" fontId="15" fillId="0" borderId="10" xfId="0" applyFont="1" applyBorder="1" applyProtection="1"/>
    <xf numFmtId="0" fontId="15" fillId="0" borderId="0" xfId="0" applyFont="1" applyAlignment="1" applyProtection="1">
      <alignment wrapText="1"/>
    </xf>
    <xf numFmtId="0" fontId="19" fillId="0" borderId="0" xfId="0" applyFont="1" applyAlignment="1" applyProtection="1">
      <alignment horizontal="justify" vertical="center"/>
    </xf>
    <xf numFmtId="0" fontId="15" fillId="0" borderId="0" xfId="0" applyFont="1" applyAlignment="1" applyProtection="1">
      <alignment vertical="center"/>
    </xf>
    <xf numFmtId="0" fontId="15" fillId="0" borderId="0" xfId="0" applyFont="1" applyBorder="1" applyProtection="1"/>
    <xf numFmtId="0" fontId="18" fillId="0" borderId="0" xfId="0" applyFont="1" applyAlignment="1" applyProtection="1">
      <alignment vertical="center"/>
    </xf>
    <xf numFmtId="0" fontId="17" fillId="0" borderId="0" xfId="0" applyFont="1" applyAlignment="1" applyProtection="1">
      <alignment vertical="center"/>
    </xf>
    <xf numFmtId="0" fontId="20" fillId="0" borderId="0" xfId="0" applyFont="1" applyAlignment="1" applyProtection="1">
      <alignment vertical="top"/>
    </xf>
    <xf numFmtId="0" fontId="9" fillId="0" borderId="0" xfId="3" applyFont="1" applyAlignment="1" applyProtection="1">
      <alignment horizontal="center"/>
    </xf>
    <xf numFmtId="0" fontId="9" fillId="0" borderId="0" xfId="3" applyFont="1" applyProtection="1"/>
    <xf numFmtId="4" fontId="9" fillId="0" borderId="0" xfId="3" applyNumberFormat="1" applyFont="1" applyProtection="1"/>
    <xf numFmtId="4" fontId="9" fillId="8" borderId="0" xfId="3" applyNumberFormat="1" applyFont="1" applyFill="1" applyProtection="1"/>
    <xf numFmtId="0" fontId="20" fillId="0" borderId="0" xfId="0" applyFont="1" applyAlignment="1" applyProtection="1">
      <alignment wrapText="1"/>
    </xf>
    <xf numFmtId="0" fontId="20" fillId="0" borderId="0" xfId="0" applyFont="1" applyAlignment="1" applyProtection="1">
      <alignment vertical="top" wrapText="1"/>
    </xf>
    <xf numFmtId="0" fontId="16" fillId="0" borderId="0" xfId="0" applyFont="1" applyProtection="1"/>
    <xf numFmtId="0" fontId="20" fillId="0" borderId="0" xfId="0" applyFont="1" applyProtection="1"/>
    <xf numFmtId="0" fontId="13" fillId="0" borderId="0" xfId="1" applyFont="1" applyAlignment="1" applyProtection="1">
      <alignment horizontal="center" vertical="center"/>
    </xf>
    <xf numFmtId="0" fontId="0" fillId="0" borderId="0" xfId="0" applyAlignment="1" applyProtection="1">
      <alignment horizontal="center"/>
    </xf>
    <xf numFmtId="0" fontId="14" fillId="0" borderId="0" xfId="1" applyFont="1" applyAlignment="1" applyProtection="1">
      <alignment horizontal="center" vertical="center" wrapText="1"/>
    </xf>
    <xf numFmtId="0" fontId="12" fillId="7" borderId="1" xfId="0" applyFont="1" applyFill="1" applyBorder="1" applyProtection="1">
      <protection hidden="1"/>
    </xf>
    <xf numFmtId="0" fontId="12" fillId="7" borderId="1" xfId="0" applyFont="1" applyFill="1" applyBorder="1" applyAlignment="1" applyProtection="1">
      <alignment horizontal="center" wrapText="1"/>
      <protection hidden="1"/>
    </xf>
    <xf numFmtId="0" fontId="12" fillId="7" borderId="6" xfId="0" applyFont="1" applyFill="1" applyBorder="1" applyProtection="1">
      <protection hidden="1"/>
    </xf>
    <xf numFmtId="0" fontId="12" fillId="7" borderId="6" xfId="0" applyFont="1" applyFill="1" applyBorder="1" applyAlignment="1" applyProtection="1">
      <alignment wrapText="1"/>
      <protection hidden="1"/>
    </xf>
    <xf numFmtId="0" fontId="12" fillId="7" borderId="6" xfId="0" applyFont="1" applyFill="1" applyBorder="1" applyAlignment="1" applyProtection="1">
      <alignment horizontal="center" wrapText="1"/>
      <protection hidden="1"/>
    </xf>
    <xf numFmtId="0" fontId="0" fillId="0" borderId="7" xfId="0" applyBorder="1" applyProtection="1">
      <protection hidden="1"/>
    </xf>
    <xf numFmtId="0" fontId="0" fillId="0" borderId="13" xfId="0"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1" xfId="0" applyBorder="1" applyProtection="1">
      <protection hidden="1"/>
    </xf>
    <xf numFmtId="14" fontId="0" fillId="0" borderId="1" xfId="0" applyNumberFormat="1" applyBorder="1" applyProtection="1">
      <protection hidden="1"/>
    </xf>
    <xf numFmtId="0" fontId="0" fillId="0" borderId="1" xfId="0" applyBorder="1" applyAlignment="1" applyProtection="1">
      <alignment horizontal="left"/>
      <protection hidden="1"/>
    </xf>
    <xf numFmtId="3" fontId="0" fillId="0" borderId="1" xfId="0" applyNumberFormat="1" applyBorder="1" applyAlignment="1" applyProtection="1">
      <alignment horizontal="left"/>
      <protection hidden="1"/>
    </xf>
    <xf numFmtId="0" fontId="0" fillId="0" borderId="1" xfId="0" applyBorder="1" applyAlignment="1" applyProtection="1">
      <alignment horizontal="center"/>
      <protection hidden="1"/>
    </xf>
    <xf numFmtId="0" fontId="0" fillId="0" borderId="1" xfId="0" applyBorder="1" applyAlignment="1" applyProtection="1">
      <alignment horizontal="center" vertical="center"/>
      <protection hidden="1"/>
    </xf>
    <xf numFmtId="0" fontId="0" fillId="0" borderId="3" xfId="0" applyBorder="1" applyProtection="1">
      <protection hidden="1"/>
    </xf>
    <xf numFmtId="166" fontId="0" fillId="0" borderId="1" xfId="0" applyNumberFormat="1" applyBorder="1" applyAlignment="1" applyProtection="1">
      <alignment horizontal="left"/>
      <protection hidden="1"/>
    </xf>
    <xf numFmtId="14" fontId="0" fillId="0" borderId="0" xfId="0" applyNumberFormat="1" applyAlignment="1" applyProtection="1">
      <alignment horizontal="left"/>
      <protection hidden="1"/>
    </xf>
    <xf numFmtId="0" fontId="0" fillId="0" borderId="1" xfId="0" applyBorder="1" applyAlignment="1" applyProtection="1">
      <alignment wrapText="1"/>
      <protection hidden="1"/>
    </xf>
    <xf numFmtId="0" fontId="0" fillId="0" borderId="3" xfId="0" applyBorder="1" applyAlignment="1" applyProtection="1">
      <alignment wrapText="1"/>
      <protection hidden="1"/>
    </xf>
    <xf numFmtId="2" fontId="0" fillId="0" borderId="1" xfId="0" applyNumberFormat="1" applyBorder="1" applyAlignment="1" applyProtection="1">
      <alignment shrinkToFit="1"/>
      <protection hidden="1"/>
    </xf>
    <xf numFmtId="0" fontId="0" fillId="0" borderId="0" xfId="0" applyBorder="1" applyProtection="1">
      <protection hidden="1"/>
    </xf>
    <xf numFmtId="0" fontId="0" fillId="0" borderId="1" xfId="0" applyBorder="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25" fillId="0" borderId="0" xfId="0" applyFont="1"/>
    <xf numFmtId="0" fontId="26" fillId="0" borderId="0" xfId="0" applyFont="1"/>
    <xf numFmtId="0" fontId="0" fillId="0" borderId="16" xfId="0" applyBorder="1"/>
    <xf numFmtId="0" fontId="26" fillId="0" borderId="17" xfId="0" applyFont="1" applyBorder="1" applyProtection="1">
      <protection hidden="1"/>
    </xf>
    <xf numFmtId="3" fontId="0" fillId="0" borderId="17" xfId="0" applyNumberFormat="1" applyBorder="1"/>
    <xf numFmtId="0" fontId="0" fillId="0" borderId="17" xfId="0" applyBorder="1" applyProtection="1">
      <protection hidden="1"/>
    </xf>
    <xf numFmtId="3" fontId="28" fillId="7" borderId="1" xfId="0" applyNumberFormat="1" applyFont="1" applyFill="1" applyBorder="1" applyProtection="1">
      <protection locked="0"/>
    </xf>
    <xf numFmtId="0" fontId="26" fillId="9" borderId="17" xfId="0" applyFont="1" applyFill="1" applyBorder="1" applyProtection="1">
      <protection hidden="1"/>
    </xf>
    <xf numFmtId="3" fontId="26" fillId="9" borderId="17" xfId="0" applyNumberFormat="1" applyFont="1" applyFill="1" applyBorder="1" applyProtection="1">
      <protection hidden="1"/>
    </xf>
    <xf numFmtId="0" fontId="26" fillId="10" borderId="17" xfId="0" applyFont="1" applyFill="1" applyBorder="1" applyProtection="1">
      <protection hidden="1"/>
    </xf>
    <xf numFmtId="3" fontId="26" fillId="10" borderId="17" xfId="0" applyNumberFormat="1" applyFont="1" applyFill="1" applyBorder="1" applyProtection="1">
      <protection hidden="1"/>
    </xf>
    <xf numFmtId="3" fontId="0" fillId="7" borderId="17" xfId="0" applyNumberFormat="1" applyFill="1" applyBorder="1" applyProtection="1">
      <protection locked="0"/>
    </xf>
    <xf numFmtId="0" fontId="27" fillId="0" borderId="0" xfId="0" applyFont="1"/>
    <xf numFmtId="0" fontId="0" fillId="0" borderId="1" xfId="0" applyBorder="1"/>
    <xf numFmtId="3" fontId="0" fillId="7" borderId="1" xfId="0" applyNumberFormat="1" applyFill="1" applyBorder="1" applyProtection="1">
      <protection locked="0"/>
    </xf>
    <xf numFmtId="0" fontId="26" fillId="11" borderId="17" xfId="0" applyFont="1" applyFill="1" applyBorder="1" applyProtection="1">
      <protection hidden="1"/>
    </xf>
    <xf numFmtId="3" fontId="26" fillId="11" borderId="17" xfId="0" applyNumberFormat="1" applyFont="1" applyFill="1" applyBorder="1" applyProtection="1">
      <protection hidden="1"/>
    </xf>
    <xf numFmtId="0" fontId="27" fillId="12" borderId="17" xfId="0" applyFont="1" applyFill="1" applyBorder="1" applyProtection="1">
      <protection hidden="1"/>
    </xf>
    <xf numFmtId="3" fontId="27" fillId="13" borderId="17" xfId="0" applyNumberFormat="1" applyFont="1" applyFill="1" applyBorder="1" applyProtection="1">
      <protection locked="0"/>
    </xf>
    <xf numFmtId="3" fontId="26" fillId="0" borderId="1" xfId="0" applyNumberFormat="1" applyFont="1" applyBorder="1" applyAlignment="1">
      <alignment horizontal="center"/>
    </xf>
    <xf numFmtId="0" fontId="26" fillId="0" borderId="1" xfId="0" applyFont="1" applyBorder="1"/>
    <xf numFmtId="3" fontId="0" fillId="0" borderId="1" xfId="0" applyNumberFormat="1" applyBorder="1"/>
    <xf numFmtId="0" fontId="0" fillId="0" borderId="1" xfId="0" applyBorder="1" applyAlignment="1">
      <alignment wrapText="1"/>
    </xf>
    <xf numFmtId="3" fontId="0" fillId="0" borderId="0" xfId="0" applyNumberFormat="1"/>
    <xf numFmtId="0" fontId="3" fillId="0" borderId="0" xfId="0" applyFont="1" applyFill="1" applyAlignment="1" applyProtection="1">
      <alignment wrapText="1"/>
      <protection locked="0"/>
    </xf>
    <xf numFmtId="0" fontId="22" fillId="0" borderId="0" xfId="0" applyFont="1" applyFill="1" applyAlignment="1" applyProtection="1">
      <alignment wrapText="1"/>
    </xf>
    <xf numFmtId="0" fontId="3" fillId="0" borderId="0" xfId="0" applyFont="1" applyFill="1" applyAlignment="1" applyProtection="1">
      <alignment vertical="center" wrapText="1"/>
    </xf>
    <xf numFmtId="0" fontId="3" fillId="0" borderId="0" xfId="0" applyFont="1" applyFill="1" applyAlignment="1" applyProtection="1">
      <alignment horizontal="left" vertical="top" wrapText="1"/>
    </xf>
    <xf numFmtId="0" fontId="23" fillId="0" borderId="0" xfId="0" applyFont="1" applyFill="1" applyAlignment="1" applyProtection="1">
      <alignment wrapText="1"/>
    </xf>
    <xf numFmtId="0" fontId="24" fillId="0" borderId="0" xfId="0" applyFont="1" applyFill="1" applyAlignment="1" applyProtection="1">
      <alignment wrapText="1"/>
    </xf>
    <xf numFmtId="0" fontId="0" fillId="0" borderId="0" xfId="0" applyAlignment="1">
      <alignment wrapText="1"/>
    </xf>
    <xf numFmtId="0" fontId="26" fillId="0" borderId="17" xfId="0" applyFont="1" applyBorder="1" applyAlignment="1">
      <alignment wrapText="1"/>
    </xf>
    <xf numFmtId="3" fontId="33" fillId="0" borderId="17" xfId="0" applyNumberFormat="1" applyFont="1" applyBorder="1"/>
    <xf numFmtId="1" fontId="35" fillId="8" borderId="17" xfId="7" applyNumberFormat="1" applyFont="1" applyFill="1" applyBorder="1" applyProtection="1"/>
    <xf numFmtId="0" fontId="0" fillId="0" borderId="17" xfId="0" applyBorder="1" applyAlignment="1">
      <alignment wrapText="1"/>
    </xf>
    <xf numFmtId="3" fontId="26" fillId="0" borderId="17" xfId="0" applyNumberFormat="1" applyFont="1" applyBorder="1"/>
    <xf numFmtId="0" fontId="38" fillId="0" borderId="17" xfId="0" applyFont="1" applyBorder="1" applyAlignment="1">
      <alignment wrapText="1"/>
    </xf>
    <xf numFmtId="3" fontId="38" fillId="0" borderId="17" xfId="0" applyNumberFormat="1" applyFont="1" applyBorder="1"/>
    <xf numFmtId="0" fontId="26" fillId="10" borderId="22" xfId="0" applyFont="1" applyFill="1" applyBorder="1" applyAlignment="1">
      <alignment wrapText="1"/>
    </xf>
    <xf numFmtId="3" fontId="26" fillId="10" borderId="22" xfId="0" applyNumberFormat="1" applyFont="1" applyFill="1" applyBorder="1"/>
    <xf numFmtId="0" fontId="0" fillId="16" borderId="1" xfId="0" applyFill="1" applyBorder="1" applyAlignment="1">
      <alignment wrapText="1"/>
    </xf>
    <xf numFmtId="3" fontId="26" fillId="16" borderId="1" xfId="0" applyNumberFormat="1" applyFont="1" applyFill="1" applyBorder="1"/>
    <xf numFmtId="0" fontId="0" fillId="17" borderId="18" xfId="0" applyFill="1" applyBorder="1" applyAlignment="1">
      <alignment wrapText="1"/>
    </xf>
    <xf numFmtId="3" fontId="0" fillId="17" borderId="18" xfId="0" applyNumberFormat="1" applyFill="1" applyBorder="1"/>
    <xf numFmtId="0" fontId="0" fillId="0" borderId="18" xfId="0" applyBorder="1" applyAlignment="1">
      <alignment wrapText="1"/>
    </xf>
    <xf numFmtId="0" fontId="26" fillId="18" borderId="17" xfId="0" applyFont="1" applyFill="1" applyBorder="1" applyAlignment="1">
      <alignment wrapText="1"/>
    </xf>
    <xf numFmtId="3" fontId="26" fillId="18" borderId="17" xfId="0" applyNumberFormat="1" applyFont="1" applyFill="1" applyBorder="1" applyAlignment="1">
      <alignment wrapText="1"/>
    </xf>
    <xf numFmtId="0" fontId="33" fillId="19" borderId="23" xfId="0" applyFont="1" applyFill="1" applyBorder="1" applyAlignment="1">
      <alignment horizontal="center"/>
    </xf>
    <xf numFmtId="168" fontId="33" fillId="19" borderId="23" xfId="0" applyNumberFormat="1" applyFont="1" applyFill="1" applyBorder="1"/>
    <xf numFmtId="0" fontId="39" fillId="19" borderId="17" xfId="0" applyFont="1" applyFill="1" applyBorder="1" applyAlignment="1">
      <alignment horizontal="center"/>
    </xf>
    <xf numFmtId="3" fontId="39" fillId="19" borderId="17" xfId="0" applyNumberFormat="1" applyFont="1" applyFill="1" applyBorder="1"/>
    <xf numFmtId="0" fontId="39" fillId="19" borderId="17" xfId="0" applyFont="1" applyFill="1" applyBorder="1" applyAlignment="1">
      <alignment horizontal="center" wrapText="1"/>
    </xf>
    <xf numFmtId="168" fontId="39" fillId="19" borderId="17" xfId="0" applyNumberFormat="1" applyFont="1" applyFill="1" applyBorder="1"/>
    <xf numFmtId="0" fontId="40" fillId="0" borderId="2" xfId="0" applyFont="1" applyBorder="1" applyAlignment="1">
      <alignment vertical="top" wrapText="1"/>
    </xf>
    <xf numFmtId="0" fontId="40" fillId="0" borderId="1" xfId="0" applyFont="1" applyBorder="1" applyAlignment="1">
      <alignment vertical="top" wrapText="1"/>
    </xf>
    <xf numFmtId="0" fontId="40" fillId="0" borderId="0" xfId="0" applyFont="1" applyAlignment="1">
      <alignment vertical="top" wrapText="1"/>
    </xf>
    <xf numFmtId="0" fontId="26" fillId="0" borderId="22" xfId="0" applyFont="1" applyBorder="1" applyAlignment="1">
      <alignment horizontal="center"/>
    </xf>
    <xf numFmtId="9" fontId="29" fillId="0" borderId="1" xfId="4" applyFont="1" applyBorder="1" applyAlignment="1" applyProtection="1">
      <protection hidden="1"/>
    </xf>
    <xf numFmtId="43" fontId="29" fillId="0" borderId="1" xfId="6" applyFont="1" applyBorder="1" applyAlignment="1" applyProtection="1">
      <protection hidden="1"/>
    </xf>
    <xf numFmtId="169" fontId="29" fillId="0" borderId="1" xfId="6" applyNumberFormat="1" applyFont="1" applyBorder="1" applyAlignment="1" applyProtection="1">
      <protection hidden="1"/>
    </xf>
    <xf numFmtId="170" fontId="0" fillId="0" borderId="1" xfId="0" applyNumberFormat="1" applyBorder="1" applyProtection="1">
      <protection hidden="1"/>
    </xf>
    <xf numFmtId="10" fontId="29" fillId="0" borderId="1" xfId="4" applyNumberFormat="1" applyFont="1" applyBorder="1"/>
    <xf numFmtId="0" fontId="0" fillId="0" borderId="6" xfId="0" applyBorder="1" applyProtection="1">
      <protection hidden="1"/>
    </xf>
    <xf numFmtId="43" fontId="29" fillId="0" borderId="1" xfId="6" applyFont="1" applyBorder="1"/>
    <xf numFmtId="0" fontId="0" fillId="0" borderId="24" xfId="0" applyBorder="1"/>
    <xf numFmtId="0" fontId="26" fillId="0" borderId="25" xfId="0" applyFont="1" applyBorder="1"/>
    <xf numFmtId="0" fontId="26" fillId="0" borderId="26" xfId="0" applyFont="1" applyBorder="1"/>
    <xf numFmtId="9" fontId="0" fillId="7" borderId="1" xfId="0" applyNumberFormat="1" applyFill="1" applyBorder="1" applyProtection="1">
      <protection locked="0"/>
    </xf>
    <xf numFmtId="168" fontId="0" fillId="0" borderId="28" xfId="0" applyNumberFormat="1" applyBorder="1"/>
    <xf numFmtId="0" fontId="0" fillId="0" borderId="30" xfId="0" applyBorder="1"/>
    <xf numFmtId="9" fontId="0" fillId="7" borderId="30" xfId="0" applyNumberFormat="1" applyFill="1" applyBorder="1" applyProtection="1">
      <protection locked="0"/>
    </xf>
    <xf numFmtId="3" fontId="0" fillId="0" borderId="30" xfId="0" applyNumberFormat="1" applyBorder="1"/>
    <xf numFmtId="168" fontId="0" fillId="0" borderId="31" xfId="0" applyNumberFormat="1" applyBorder="1"/>
    <xf numFmtId="0" fontId="26" fillId="0" borderId="17" xfId="0" applyFont="1" applyBorder="1"/>
    <xf numFmtId="3" fontId="0" fillId="0" borderId="17" xfId="0" applyNumberFormat="1" applyBorder="1" applyAlignment="1">
      <alignment horizontal="center"/>
    </xf>
    <xf numFmtId="169" fontId="26" fillId="0" borderId="1" xfId="6" applyNumberFormat="1" applyFont="1" applyBorder="1"/>
    <xf numFmtId="169" fontId="29" fillId="0" borderId="1" xfId="6" applyNumberFormat="1" applyFont="1" applyBorder="1"/>
    <xf numFmtId="3" fontId="0" fillId="8" borderId="1" xfId="0" applyNumberFormat="1" applyFill="1" applyBorder="1" applyAlignment="1" applyProtection="1">
      <alignment wrapText="1"/>
      <protection locked="0"/>
    </xf>
    <xf numFmtId="3" fontId="2" fillId="8" borderId="1" xfId="0" applyNumberFormat="1" applyFont="1" applyFill="1" applyBorder="1" applyAlignment="1" applyProtection="1">
      <alignment horizontal="center" wrapText="1"/>
      <protection locked="0"/>
    </xf>
    <xf numFmtId="3" fontId="29" fillId="0" borderId="17" xfId="0" applyNumberFormat="1" applyFont="1" applyFill="1" applyBorder="1" applyProtection="1">
      <protection hidden="1"/>
    </xf>
    <xf numFmtId="0" fontId="13" fillId="0" borderId="0" xfId="1" applyFont="1" applyAlignment="1" applyProtection="1">
      <alignment horizontal="right" vertical="center" wrapText="1"/>
    </xf>
    <xf numFmtId="4" fontId="8" fillId="2" borderId="7" xfId="3" applyNumberFormat="1" applyFont="1" applyFill="1" applyBorder="1" applyAlignment="1" applyProtection="1">
      <alignment horizontal="right" vertical="center"/>
      <protection locked="0"/>
    </xf>
    <xf numFmtId="4" fontId="8" fillId="2" borderId="7" xfId="3" applyNumberFormat="1" applyFont="1" applyFill="1" applyBorder="1" applyAlignment="1" applyProtection="1">
      <alignment vertical="center"/>
      <protection locked="0"/>
    </xf>
    <xf numFmtId="14" fontId="14" fillId="0" borderId="0" xfId="1" applyNumberFormat="1" applyFont="1" applyFill="1" applyAlignment="1" applyProtection="1">
      <alignment horizontal="left" vertical="center" shrinkToFit="1"/>
      <protection locked="0"/>
    </xf>
    <xf numFmtId="0" fontId="15" fillId="0" borderId="0" xfId="0" applyFont="1" applyFill="1" applyProtection="1"/>
    <xf numFmtId="0" fontId="3" fillId="0" borderId="0" xfId="0" applyFont="1" applyFill="1" applyBorder="1" applyAlignment="1" applyProtection="1">
      <alignment wrapText="1"/>
    </xf>
    <xf numFmtId="0" fontId="3" fillId="0" borderId="0" xfId="0" applyFont="1" applyFill="1" applyBorder="1" applyProtection="1"/>
    <xf numFmtId="0" fontId="7" fillId="0" borderId="0" xfId="2"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xf>
    <xf numFmtId="0" fontId="3" fillId="3" borderId="0" xfId="0" applyFont="1" applyFill="1" applyBorder="1" applyProtection="1"/>
    <xf numFmtId="9" fontId="14" fillId="0" borderId="0" xfId="0" applyNumberFormat="1" applyFont="1" applyFill="1" applyAlignment="1" applyProtection="1">
      <alignment horizontal="center" vertical="center" wrapText="1"/>
    </xf>
    <xf numFmtId="0" fontId="9" fillId="0" borderId="1" xfId="3" applyFont="1" applyFill="1" applyBorder="1" applyAlignment="1" applyProtection="1">
      <alignment horizontal="center" vertical="center"/>
    </xf>
    <xf numFmtId="0" fontId="9" fillId="0" borderId="1" xfId="3" applyFont="1" applyFill="1" applyBorder="1" applyAlignment="1" applyProtection="1">
      <alignment horizontal="left" vertical="center"/>
    </xf>
    <xf numFmtId="4" fontId="9" fillId="0" borderId="1" xfId="3" applyNumberFormat="1" applyFont="1" applyFill="1" applyBorder="1" applyAlignment="1" applyProtection="1">
      <alignment vertical="center"/>
    </xf>
    <xf numFmtId="0" fontId="0" fillId="3" borderId="2" xfId="0" applyFill="1" applyBorder="1" applyProtection="1"/>
    <xf numFmtId="0" fontId="5" fillId="3" borderId="9" xfId="1" applyFont="1" applyFill="1" applyBorder="1" applyAlignment="1" applyProtection="1">
      <alignment vertical="center"/>
    </xf>
    <xf numFmtId="0" fontId="8" fillId="2" borderId="4" xfId="3" applyFont="1" applyFill="1" applyBorder="1" applyAlignment="1" applyProtection="1">
      <alignment horizontal="center" vertical="center" wrapText="1"/>
      <protection locked="0"/>
    </xf>
    <xf numFmtId="4" fontId="9" fillId="0" borderId="4" xfId="3" applyNumberFormat="1" applyFont="1" applyFill="1" applyBorder="1" applyAlignment="1" applyProtection="1">
      <alignment vertical="center"/>
    </xf>
    <xf numFmtId="0" fontId="5" fillId="3" borderId="4" xfId="1" applyFont="1" applyFill="1" applyBorder="1" applyAlignment="1" applyProtection="1">
      <alignment vertical="center"/>
    </xf>
    <xf numFmtId="0" fontId="0" fillId="3" borderId="0" xfId="0" applyFill="1" applyBorder="1" applyProtection="1"/>
    <xf numFmtId="0" fontId="7" fillId="21" borderId="0" xfId="2" applyFont="1" applyFill="1" applyBorder="1" applyAlignment="1" applyProtection="1">
      <alignment horizontal="center" vertical="center" wrapText="1"/>
    </xf>
    <xf numFmtId="0" fontId="9" fillId="21" borderId="0" xfId="3" applyFont="1" applyFill="1" applyBorder="1" applyAlignment="1" applyProtection="1">
      <alignment horizontal="center" vertical="center" wrapText="1"/>
    </xf>
    <xf numFmtId="165" fontId="0" fillId="21" borderId="0" xfId="0" applyNumberFormat="1" applyFill="1" applyBorder="1" applyAlignment="1" applyProtection="1">
      <alignment horizontal="center" vertical="center"/>
    </xf>
    <xf numFmtId="10" fontId="9" fillId="21" borderId="0" xfId="3" applyNumberFormat="1" applyFont="1" applyFill="1" applyBorder="1" applyAlignment="1" applyProtection="1">
      <alignment vertical="center"/>
    </xf>
    <xf numFmtId="0" fontId="3" fillId="3" borderId="2" xfId="0" applyFont="1" applyFill="1" applyBorder="1" applyProtection="1"/>
    <xf numFmtId="0" fontId="3" fillId="3" borderId="4" xfId="0" applyFont="1" applyFill="1" applyBorder="1" applyProtection="1"/>
    <xf numFmtId="0" fontId="13" fillId="0" borderId="0" xfId="1" applyFont="1" applyBorder="1" applyAlignment="1" applyProtection="1">
      <alignment vertical="center" wrapText="1"/>
    </xf>
    <xf numFmtId="0" fontId="1" fillId="0" borderId="0" xfId="0" applyFont="1" applyBorder="1" applyAlignment="1" applyProtection="1">
      <alignment vertical="center"/>
    </xf>
    <xf numFmtId="0" fontId="13" fillId="0" borderId="0" xfId="0" applyFont="1" applyBorder="1" applyAlignment="1" applyProtection="1">
      <alignment vertical="center"/>
    </xf>
    <xf numFmtId="3" fontId="14" fillId="0" borderId="0" xfId="0" applyNumberFormat="1" applyFont="1" applyFill="1" applyBorder="1" applyAlignment="1" applyProtection="1">
      <alignment vertical="center" wrapText="1"/>
    </xf>
    <xf numFmtId="0" fontId="1" fillId="0" borderId="0" xfId="0" applyFont="1" applyBorder="1" applyProtection="1"/>
    <xf numFmtId="165" fontId="2" fillId="21" borderId="0" xfId="0" applyNumberFormat="1" applyFont="1" applyFill="1" applyBorder="1" applyAlignment="1" applyProtection="1">
      <alignment horizontal="center" vertical="center"/>
    </xf>
    <xf numFmtId="0" fontId="9" fillId="0" borderId="0" xfId="3" applyFont="1" applyBorder="1" applyProtection="1"/>
    <xf numFmtId="0" fontId="20" fillId="0" borderId="0" xfId="0" applyFont="1" applyBorder="1" applyAlignment="1" applyProtection="1">
      <alignment wrapText="1"/>
    </xf>
    <xf numFmtId="0" fontId="20" fillId="0" borderId="0" xfId="0" applyFont="1" applyBorder="1" applyAlignment="1" applyProtection="1">
      <alignment vertical="top" wrapText="1"/>
    </xf>
    <xf numFmtId="14" fontId="14" fillId="2" borderId="0" xfId="1" applyNumberFormat="1" applyFont="1" applyFill="1" applyAlignment="1" applyProtection="1">
      <alignment horizontal="center" vertical="center"/>
      <protection locked="0"/>
    </xf>
    <xf numFmtId="9" fontId="0" fillId="0" borderId="2" xfId="0" applyNumberFormat="1" applyBorder="1" applyAlignment="1" applyProtection="1">
      <alignment horizontal="center" vertical="center"/>
    </xf>
    <xf numFmtId="9" fontId="9" fillId="0" borderId="2" xfId="3" applyNumberFormat="1" applyFont="1" applyFill="1" applyBorder="1" applyAlignment="1" applyProtection="1">
      <alignment vertical="center"/>
    </xf>
    <xf numFmtId="9" fontId="0" fillId="0" borderId="1" xfId="0" applyNumberFormat="1" applyBorder="1" applyAlignment="1" applyProtection="1">
      <alignment horizontal="center" vertical="center"/>
    </xf>
    <xf numFmtId="9" fontId="9" fillId="0" borderId="1" xfId="3" applyNumberFormat="1" applyFont="1" applyFill="1" applyBorder="1" applyAlignment="1" applyProtection="1">
      <alignment vertical="center"/>
    </xf>
    <xf numFmtId="9" fontId="2" fillId="0" borderId="2" xfId="0" applyNumberFormat="1" applyFont="1" applyBorder="1" applyAlignment="1" applyProtection="1">
      <alignment horizontal="center" vertical="center"/>
    </xf>
    <xf numFmtId="9" fontId="2" fillId="0" borderId="1" xfId="0" applyNumberFormat="1" applyFont="1" applyBorder="1" applyAlignment="1" applyProtection="1">
      <alignment horizontal="center" vertical="center"/>
    </xf>
    <xf numFmtId="0" fontId="43" fillId="0" borderId="0" xfId="0" applyFont="1" applyFill="1" applyAlignment="1" applyProtection="1">
      <alignment horizontal="center" vertical="center"/>
    </xf>
    <xf numFmtId="4" fontId="8" fillId="0" borderId="1" xfId="3" applyNumberFormat="1" applyFont="1" applyFill="1" applyBorder="1" applyAlignment="1" applyProtection="1">
      <alignment horizontal="right" vertical="center"/>
    </xf>
    <xf numFmtId="4" fontId="8" fillId="0" borderId="1" xfId="3" applyNumberFormat="1" applyFont="1" applyFill="1" applyBorder="1" applyAlignment="1" applyProtection="1">
      <alignment vertical="center"/>
    </xf>
    <xf numFmtId="0" fontId="0" fillId="0" borderId="17" xfId="0" applyBorder="1"/>
    <xf numFmtId="1" fontId="28" fillId="7" borderId="1" xfId="0" applyNumberFormat="1" applyFont="1" applyFill="1" applyBorder="1" applyProtection="1">
      <protection locked="0"/>
    </xf>
    <xf numFmtId="0" fontId="0" fillId="0" borderId="18" xfId="0" applyBorder="1" applyProtection="1">
      <protection hidden="1"/>
    </xf>
    <xf numFmtId="3" fontId="0" fillId="7" borderId="7" xfId="0" applyNumberFormat="1" applyFill="1" applyBorder="1" applyProtection="1">
      <protection locked="0"/>
    </xf>
    <xf numFmtId="0" fontId="0" fillId="0" borderId="1" xfId="0" applyBorder="1" applyAlignment="1">
      <alignment horizontal="left" vertical="top"/>
    </xf>
    <xf numFmtId="0" fontId="0" fillId="0" borderId="4" xfId="0" applyBorder="1" applyAlignment="1">
      <alignment vertical="top" wrapText="1"/>
    </xf>
    <xf numFmtId="0" fontId="0" fillId="0" borderId="1" xfId="0" applyBorder="1" applyAlignment="1">
      <alignment horizontal="center" vertical="top"/>
    </xf>
    <xf numFmtId="0" fontId="0" fillId="0" borderId="0" xfId="0" applyAlignment="1">
      <alignment horizontal="left" wrapText="1"/>
    </xf>
    <xf numFmtId="0" fontId="0" fillId="0" borderId="0" xfId="0" applyAlignment="1">
      <alignment horizontal="right"/>
    </xf>
    <xf numFmtId="0" fontId="0" fillId="0" borderId="0" xfId="0" applyAlignment="1">
      <alignment vertical="center"/>
    </xf>
    <xf numFmtId="0" fontId="0" fillId="0" borderId="1" xfId="0" applyBorder="1" applyAlignment="1">
      <alignment vertical="center"/>
    </xf>
    <xf numFmtId="3" fontId="46"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169" fontId="27" fillId="0" borderId="1" xfId="6" applyNumberFormat="1" applyFont="1" applyBorder="1"/>
    <xf numFmtId="169" fontId="0" fillId="7" borderId="1" xfId="6" applyNumberFormat="1" applyFont="1" applyFill="1" applyBorder="1" applyProtection="1">
      <protection locked="0"/>
    </xf>
    <xf numFmtId="3" fontId="0" fillId="8" borderId="1" xfId="0" applyNumberFormat="1" applyFill="1" applyBorder="1" applyAlignment="1" applyProtection="1">
      <alignment horizontal="left" wrapText="1"/>
      <protection locked="0"/>
    </xf>
    <xf numFmtId="3" fontId="46" fillId="0" borderId="1" xfId="0" applyNumberFormat="1" applyFont="1" applyBorder="1" applyAlignment="1">
      <alignment horizontal="center" wrapText="1"/>
    </xf>
    <xf numFmtId="3" fontId="26" fillId="0" borderId="1" xfId="0" applyNumberFormat="1" applyFont="1" applyBorder="1" applyAlignment="1">
      <alignment horizontal="center" wrapText="1"/>
    </xf>
    <xf numFmtId="0" fontId="0" fillId="0" borderId="0" xfId="0" applyAlignment="1">
      <alignment horizontal="right" vertical="top"/>
    </xf>
    <xf numFmtId="0" fontId="30" fillId="15" borderId="1" xfId="0" applyFont="1" applyFill="1" applyBorder="1"/>
    <xf numFmtId="0" fontId="30" fillId="15" borderId="1" xfId="0" applyFont="1" applyFill="1" applyBorder="1" applyAlignment="1">
      <alignment wrapText="1"/>
    </xf>
    <xf numFmtId="169" fontId="27" fillId="8" borderId="1" xfId="6" applyNumberFormat="1" applyFont="1" applyFill="1" applyBorder="1"/>
    <xf numFmtId="0" fontId="0" fillId="0" borderId="20" xfId="0" applyBorder="1" applyAlignment="1">
      <alignment vertical="top"/>
    </xf>
    <xf numFmtId="0" fontId="0" fillId="8" borderId="1" xfId="0" applyFill="1" applyBorder="1" applyAlignment="1">
      <alignment wrapText="1"/>
    </xf>
    <xf numFmtId="0" fontId="2" fillId="16" borderId="1" xfId="0" applyFont="1" applyFill="1" applyBorder="1"/>
    <xf numFmtId="0" fontId="2" fillId="0" borderId="0" xfId="0" applyFont="1"/>
    <xf numFmtId="164" fontId="0" fillId="0" borderId="0" xfId="0" applyNumberFormat="1"/>
    <xf numFmtId="0" fontId="2" fillId="22" borderId="1" xfId="0" applyFont="1" applyFill="1" applyBorder="1" applyAlignment="1" applyProtection="1">
      <alignment horizontal="left" vertical="top"/>
      <protection hidden="1"/>
    </xf>
    <xf numFmtId="1" fontId="35" fillId="8" borderId="1" xfId="7" applyNumberFormat="1" applyFont="1" applyFill="1" applyBorder="1" applyProtection="1"/>
    <xf numFmtId="1" fontId="35" fillId="0" borderId="1" xfId="7" applyNumberFormat="1" applyFont="1" applyBorder="1" applyProtection="1"/>
    <xf numFmtId="0" fontId="0" fillId="22" borderId="1" xfId="0" applyFill="1" applyBorder="1" applyAlignment="1" applyProtection="1">
      <alignment horizontal="center" vertical="top"/>
      <protection locked="0"/>
    </xf>
    <xf numFmtId="169" fontId="30" fillId="7" borderId="1" xfId="6" applyNumberFormat="1" applyFont="1" applyFill="1" applyBorder="1" applyProtection="1">
      <protection locked="0"/>
    </xf>
    <xf numFmtId="0" fontId="0" fillId="8" borderId="1" xfId="0" applyFill="1" applyBorder="1" applyProtection="1">
      <protection locked="0"/>
    </xf>
    <xf numFmtId="0" fontId="30" fillId="8" borderId="1" xfId="0" applyFont="1" applyFill="1" applyBorder="1" applyProtection="1">
      <protection locked="0"/>
    </xf>
    <xf numFmtId="169" fontId="27" fillId="7" borderId="1" xfId="6" applyNumberFormat="1" applyFont="1" applyFill="1" applyBorder="1" applyProtection="1">
      <protection locked="0"/>
    </xf>
    <xf numFmtId="0" fontId="26" fillId="0" borderId="1" xfId="0" applyFont="1" applyBorder="1" applyAlignment="1" applyProtection="1">
      <alignment wrapText="1"/>
    </xf>
    <xf numFmtId="0" fontId="2" fillId="14" borderId="1" xfId="0" applyFont="1" applyFill="1" applyBorder="1" applyProtection="1"/>
    <xf numFmtId="0" fontId="0" fillId="0" borderId="1" xfId="0" applyBorder="1" applyProtection="1"/>
    <xf numFmtId="0" fontId="30" fillId="14" borderId="1" xfId="0" applyFont="1" applyFill="1" applyBorder="1" applyAlignment="1" applyProtection="1">
      <alignment wrapText="1"/>
    </xf>
    <xf numFmtId="169" fontId="0" fillId="0" borderId="1" xfId="6" applyNumberFormat="1" applyFont="1" applyFill="1" applyBorder="1" applyProtection="1"/>
    <xf numFmtId="169" fontId="0" fillId="0" borderId="1" xfId="6" applyNumberFormat="1" applyFont="1" applyBorder="1" applyProtection="1"/>
    <xf numFmtId="0" fontId="2" fillId="17" borderId="1" xfId="0" applyFont="1" applyFill="1" applyBorder="1" applyProtection="1"/>
    <xf numFmtId="3" fontId="0" fillId="0" borderId="1" xfId="0" applyNumberFormat="1" applyBorder="1" applyProtection="1"/>
    <xf numFmtId="169" fontId="0" fillId="24" borderId="1" xfId="6" applyNumberFormat="1" applyFont="1" applyFill="1" applyBorder="1" applyProtection="1"/>
    <xf numFmtId="0" fontId="0" fillId="17" borderId="1" xfId="0" applyFill="1" applyBorder="1" applyProtection="1"/>
    <xf numFmtId="169" fontId="47" fillId="17" borderId="1" xfId="6" applyNumberFormat="1" applyFont="1" applyFill="1" applyBorder="1" applyAlignment="1" applyProtection="1">
      <alignment horizontal="right"/>
    </xf>
    <xf numFmtId="0" fontId="25" fillId="0" borderId="0" xfId="0" applyFont="1" applyProtection="1"/>
    <xf numFmtId="0" fontId="26" fillId="0" borderId="1" xfId="0" applyFont="1" applyBorder="1" applyProtection="1"/>
    <xf numFmtId="0" fontId="26" fillId="0" borderId="0" xfId="0" applyFont="1" applyProtection="1"/>
    <xf numFmtId="3" fontId="0" fillId="0" borderId="1" xfId="0" applyNumberFormat="1" applyBorder="1" applyAlignment="1" applyProtection="1">
      <alignment horizontal="center"/>
    </xf>
    <xf numFmtId="0" fontId="26" fillId="0" borderId="17" xfId="0" applyFont="1" applyBorder="1" applyAlignment="1" applyProtection="1">
      <alignment wrapText="1"/>
    </xf>
    <xf numFmtId="3" fontId="0" fillId="0" borderId="18" xfId="0" applyNumberFormat="1" applyBorder="1" applyProtection="1"/>
    <xf numFmtId="3" fontId="33" fillId="0" borderId="18" xfId="0" applyNumberFormat="1" applyFont="1" applyBorder="1" applyProtection="1"/>
    <xf numFmtId="0" fontId="36" fillId="0" borderId="21" xfId="0" applyFont="1" applyBorder="1" applyProtection="1"/>
    <xf numFmtId="0" fontId="0" fillId="0" borderId="17" xfId="0" applyBorder="1" applyAlignment="1" applyProtection="1">
      <alignment wrapText="1"/>
    </xf>
    <xf numFmtId="3" fontId="0" fillId="0" borderId="17" xfId="0" applyNumberFormat="1" applyBorder="1" applyProtection="1"/>
    <xf numFmtId="0" fontId="26" fillId="10" borderId="22" xfId="0" applyFont="1" applyFill="1" applyBorder="1" applyAlignment="1" applyProtection="1">
      <alignment wrapText="1"/>
    </xf>
    <xf numFmtId="3" fontId="26" fillId="10" borderId="22" xfId="0" applyNumberFormat="1" applyFont="1" applyFill="1" applyBorder="1" applyProtection="1"/>
    <xf numFmtId="0" fontId="0" fillId="20" borderId="18" xfId="0" applyFill="1" applyBorder="1" applyAlignment="1" applyProtection="1">
      <alignment wrapText="1"/>
    </xf>
    <xf numFmtId="3" fontId="38" fillId="0" borderId="17" xfId="0" applyNumberFormat="1" applyFont="1" applyBorder="1" applyProtection="1"/>
    <xf numFmtId="0" fontId="26" fillId="18" borderId="17" xfId="0" applyFont="1" applyFill="1" applyBorder="1" applyAlignment="1" applyProtection="1">
      <alignment wrapText="1"/>
    </xf>
    <xf numFmtId="3" fontId="26" fillId="18" borderId="17" xfId="0" applyNumberFormat="1" applyFont="1" applyFill="1" applyBorder="1" applyAlignment="1" applyProtection="1">
      <alignment wrapText="1"/>
    </xf>
    <xf numFmtId="3" fontId="0" fillId="0" borderId="0" xfId="0" applyNumberFormat="1" applyProtection="1"/>
    <xf numFmtId="0" fontId="33" fillId="19" borderId="23" xfId="0" applyFont="1" applyFill="1" applyBorder="1" applyAlignment="1" applyProtection="1">
      <alignment horizontal="center"/>
    </xf>
    <xf numFmtId="168" fontId="33" fillId="25" borderId="23" xfId="0" applyNumberFormat="1" applyFont="1" applyFill="1" applyBorder="1" applyProtection="1"/>
    <xf numFmtId="0" fontId="39" fillId="19" borderId="17" xfId="0" applyFont="1" applyFill="1" applyBorder="1" applyAlignment="1" applyProtection="1">
      <alignment horizontal="center"/>
    </xf>
    <xf numFmtId="3" fontId="39" fillId="19" borderId="17" xfId="0" applyNumberFormat="1" applyFont="1" applyFill="1" applyBorder="1" applyProtection="1"/>
    <xf numFmtId="169" fontId="0" fillId="0" borderId="0" xfId="6" applyNumberFormat="1" applyFont="1" applyProtection="1"/>
    <xf numFmtId="0" fontId="39" fillId="19" borderId="17" xfId="0" applyFont="1" applyFill="1" applyBorder="1" applyAlignment="1" applyProtection="1">
      <alignment horizontal="center" wrapText="1"/>
    </xf>
    <xf numFmtId="168" fontId="39" fillId="19" borderId="17" xfId="0" applyNumberFormat="1" applyFont="1" applyFill="1" applyBorder="1" applyProtection="1"/>
    <xf numFmtId="0" fontId="26" fillId="0" borderId="19" xfId="0" applyFont="1" applyBorder="1" applyAlignment="1" applyProtection="1">
      <alignment wrapText="1"/>
    </xf>
    <xf numFmtId="0" fontId="26" fillId="10" borderId="18" xfId="0" applyFont="1" applyFill="1" applyBorder="1" applyAlignment="1" applyProtection="1">
      <alignment wrapText="1"/>
    </xf>
    <xf numFmtId="3" fontId="26" fillId="10" borderId="18" xfId="0" applyNumberFormat="1" applyFont="1" applyFill="1" applyBorder="1" applyProtection="1"/>
    <xf numFmtId="0" fontId="0" fillId="0" borderId="18" xfId="0" applyBorder="1" applyAlignment="1" applyProtection="1">
      <alignment wrapText="1"/>
    </xf>
    <xf numFmtId="1" fontId="26" fillId="18" borderId="17" xfId="0" applyNumberFormat="1" applyFont="1" applyFill="1" applyBorder="1" applyAlignment="1" applyProtection="1">
      <alignment wrapText="1"/>
    </xf>
    <xf numFmtId="9" fontId="0" fillId="0" borderId="0" xfId="0" applyNumberFormat="1" applyProtection="1"/>
    <xf numFmtId="0" fontId="48" fillId="0" borderId="1" xfId="0" applyFont="1" applyFill="1" applyBorder="1" applyAlignment="1" applyProtection="1">
      <alignment horizontal="left" vertical="top" wrapText="1"/>
      <protection locked="0"/>
    </xf>
    <xf numFmtId="0" fontId="26" fillId="0" borderId="1" xfId="0" applyFont="1" applyBorder="1" applyAlignment="1">
      <alignment horizontal="right"/>
    </xf>
    <xf numFmtId="169" fontId="0" fillId="0" borderId="1" xfId="6" applyNumberFormat="1" applyFont="1" applyBorder="1"/>
    <xf numFmtId="0" fontId="2" fillId="17" borderId="1" xfId="0" applyFont="1" applyFill="1" applyBorder="1"/>
    <xf numFmtId="169" fontId="0" fillId="24" borderId="1" xfId="6" applyNumberFormat="1" applyFont="1" applyFill="1" applyBorder="1"/>
    <xf numFmtId="0" fontId="0" fillId="17" borderId="1" xfId="0" applyFill="1" applyBorder="1"/>
    <xf numFmtId="169" fontId="47" fillId="17" borderId="1" xfId="6" applyNumberFormat="1" applyFont="1" applyFill="1" applyBorder="1" applyAlignment="1">
      <alignment horizontal="right"/>
    </xf>
    <xf numFmtId="0" fontId="44" fillId="0" borderId="1" xfId="0" applyFont="1" applyBorder="1" applyAlignment="1" applyProtection="1">
      <alignment wrapText="1"/>
      <protection hidden="1"/>
    </xf>
    <xf numFmtId="3" fontId="9" fillId="0" borderId="2" xfId="3" applyNumberFormat="1" applyFont="1" applyBorder="1" applyAlignment="1" applyProtection="1">
      <alignment horizontal="center" vertical="center"/>
    </xf>
    <xf numFmtId="3" fontId="9" fillId="0" borderId="1" xfId="3" applyNumberFormat="1" applyFont="1" applyBorder="1" applyAlignment="1" applyProtection="1">
      <alignment horizontal="center" vertical="center"/>
    </xf>
    <xf numFmtId="0" fontId="7" fillId="5" borderId="2" xfId="2" applyFont="1" applyFill="1" applyBorder="1" applyAlignment="1" applyProtection="1">
      <alignment horizontal="center" vertical="center" wrapText="1"/>
    </xf>
    <xf numFmtId="0" fontId="7" fillId="5" borderId="1" xfId="2" applyFont="1" applyFill="1" applyBorder="1" applyAlignment="1" applyProtection="1">
      <alignment horizontal="center" vertical="center" wrapText="1"/>
    </xf>
    <xf numFmtId="0" fontId="9" fillId="6" borderId="2" xfId="3" applyFont="1" applyFill="1" applyBorder="1" applyAlignment="1" applyProtection="1">
      <alignment horizontal="center" vertical="center" wrapText="1"/>
    </xf>
    <xf numFmtId="0" fontId="9" fillId="6" borderId="4" xfId="3" applyFont="1" applyFill="1" applyBorder="1" applyAlignment="1" applyProtection="1">
      <alignment horizontal="center" vertical="center" wrapText="1"/>
    </xf>
    <xf numFmtId="3" fontId="14" fillId="0" borderId="0" xfId="0" applyNumberFormat="1" applyFont="1" applyFill="1" applyAlignment="1" applyProtection="1">
      <alignment horizontal="center" vertical="center" wrapText="1"/>
    </xf>
    <xf numFmtId="14" fontId="7" fillId="5" borderId="1" xfId="2" applyNumberFormat="1" applyFont="1" applyFill="1" applyBorder="1" applyAlignment="1" applyProtection="1">
      <alignment horizontal="center" vertical="center" wrapText="1"/>
    </xf>
    <xf numFmtId="0" fontId="26" fillId="0" borderId="0" xfId="0" applyFont="1" applyAlignment="1">
      <alignment horizontal="center"/>
    </xf>
    <xf numFmtId="0" fontId="31" fillId="0" borderId="0" xfId="0" applyFont="1" applyAlignment="1" applyProtection="1">
      <alignment horizontal="center" wrapText="1"/>
    </xf>
    <xf numFmtId="0" fontId="16" fillId="0" borderId="0" xfId="0" applyFont="1" applyAlignment="1" applyProtection="1">
      <alignment horizontal="right" vertical="center"/>
    </xf>
    <xf numFmtId="0" fontId="45" fillId="0" borderId="1" xfId="0" applyFont="1" applyBorder="1" applyAlignment="1">
      <alignment horizontal="center" vertical="top" wrapText="1"/>
    </xf>
    <xf numFmtId="3" fontId="2" fillId="17" borderId="1" xfId="0" applyNumberFormat="1" applyFont="1" applyFill="1" applyBorder="1" applyAlignment="1" applyProtection="1">
      <alignment horizontal="center" wrapText="1"/>
    </xf>
    <xf numFmtId="9" fontId="2" fillId="0" borderId="0" xfId="0" applyNumberFormat="1" applyFont="1"/>
    <xf numFmtId="169" fontId="2" fillId="0" borderId="0" xfId="6" applyNumberFormat="1" applyFont="1"/>
    <xf numFmtId="0" fontId="49" fillId="0" borderId="0" xfId="0" applyFont="1" applyAlignment="1" applyProtection="1">
      <alignment horizontal="center" vertical="center"/>
    </xf>
    <xf numFmtId="0" fontId="15" fillId="0" borderId="0" xfId="0" applyFont="1" applyAlignment="1" applyProtection="1">
      <alignment horizontal="center" vertical="center"/>
    </xf>
    <xf numFmtId="14" fontId="14" fillId="2" borderId="0" xfId="1" applyNumberFormat="1" applyFont="1" applyFill="1" applyAlignment="1" applyProtection="1">
      <alignment horizontal="left" vertical="center" shrinkToFit="1"/>
      <protection locked="0"/>
    </xf>
    <xf numFmtId="165" fontId="0" fillId="0" borderId="2" xfId="0" applyNumberFormat="1" applyBorder="1" applyAlignment="1" applyProtection="1">
      <alignment horizontal="center" vertical="center"/>
    </xf>
    <xf numFmtId="165" fontId="0" fillId="0" borderId="3" xfId="0" applyNumberFormat="1" applyBorder="1" applyAlignment="1" applyProtection="1">
      <alignment horizontal="center" vertical="center"/>
    </xf>
    <xf numFmtId="165" fontId="0" fillId="0" borderId="4" xfId="0" applyNumberFormat="1" applyBorder="1" applyAlignment="1" applyProtection="1">
      <alignment horizontal="center" vertical="center"/>
    </xf>
    <xf numFmtId="0" fontId="8" fillId="2" borderId="2" xfId="3" applyFont="1" applyFill="1" applyBorder="1" applyAlignment="1" applyProtection="1">
      <alignment horizontal="center" vertical="top" wrapText="1"/>
      <protection locked="0"/>
    </xf>
    <xf numFmtId="0" fontId="8" fillId="2" borderId="4" xfId="3" applyFont="1" applyFill="1" applyBorder="1" applyAlignment="1" applyProtection="1">
      <alignment horizontal="center" vertical="top" wrapText="1"/>
      <protection locked="0"/>
    </xf>
    <xf numFmtId="0" fontId="7" fillId="5" borderId="12" xfId="2" applyFont="1" applyFill="1" applyBorder="1" applyAlignment="1" applyProtection="1">
      <alignment horizontal="center" wrapText="1"/>
    </xf>
    <xf numFmtId="0" fontId="7" fillId="5" borderId="9" xfId="2" applyFont="1" applyFill="1" applyBorder="1" applyAlignment="1" applyProtection="1">
      <alignment horizontal="center" wrapText="1"/>
    </xf>
    <xf numFmtId="14" fontId="7" fillId="5" borderId="8" xfId="2" applyNumberFormat="1" applyFont="1" applyFill="1" applyBorder="1" applyAlignment="1" applyProtection="1">
      <alignment horizontal="center" vertical="top" wrapText="1"/>
    </xf>
    <xf numFmtId="14" fontId="7" fillId="5" borderId="14" xfId="2" applyNumberFormat="1" applyFont="1" applyFill="1" applyBorder="1" applyAlignment="1" applyProtection="1">
      <alignment horizontal="center" vertical="top" wrapText="1"/>
    </xf>
    <xf numFmtId="0" fontId="9" fillId="6" borderId="2" xfId="3" applyFont="1" applyFill="1" applyBorder="1" applyAlignment="1" applyProtection="1">
      <alignment horizontal="center" vertical="center" wrapText="1"/>
    </xf>
    <xf numFmtId="0" fontId="9" fillId="6" borderId="4" xfId="3" applyFont="1" applyFill="1" applyBorder="1" applyAlignment="1" applyProtection="1">
      <alignment horizontal="center" vertical="center" wrapText="1"/>
    </xf>
    <xf numFmtId="0" fontId="7" fillId="5" borderId="12" xfId="2" applyFont="1" applyFill="1" applyBorder="1" applyAlignment="1" applyProtection="1">
      <alignment horizontal="center" vertical="center" wrapText="1"/>
    </xf>
    <xf numFmtId="0" fontId="7" fillId="5" borderId="11" xfId="2" applyFont="1" applyFill="1" applyBorder="1" applyAlignment="1" applyProtection="1">
      <alignment horizontal="center" vertical="center" wrapText="1"/>
    </xf>
    <xf numFmtId="0" fontId="7" fillId="5" borderId="9" xfId="2" applyFont="1" applyFill="1" applyBorder="1" applyAlignment="1" applyProtection="1">
      <alignment horizontal="center" vertical="center" wrapText="1"/>
    </xf>
    <xf numFmtId="0" fontId="7" fillId="5" borderId="8" xfId="2" applyFont="1" applyFill="1" applyBorder="1" applyAlignment="1" applyProtection="1">
      <alignment horizontal="center" vertical="center" wrapText="1"/>
    </xf>
    <xf numFmtId="0" fontId="7" fillId="5" borderId="13" xfId="2" applyFont="1" applyFill="1" applyBorder="1" applyAlignment="1" applyProtection="1">
      <alignment horizontal="center" vertical="center" wrapText="1"/>
    </xf>
    <xf numFmtId="0" fontId="7" fillId="5" borderId="14" xfId="2" applyFont="1" applyFill="1" applyBorder="1" applyAlignment="1" applyProtection="1">
      <alignment horizontal="center" vertical="center" wrapText="1"/>
    </xf>
    <xf numFmtId="0" fontId="9" fillId="6" borderId="2" xfId="3" applyFont="1" applyFill="1" applyBorder="1" applyAlignment="1" applyProtection="1">
      <alignment horizontal="center" vertical="center" wrapText="1" shrinkToFit="1"/>
    </xf>
    <xf numFmtId="0" fontId="9" fillId="6" borderId="4" xfId="3" applyFont="1" applyFill="1" applyBorder="1" applyAlignment="1" applyProtection="1">
      <alignment horizontal="center" vertical="center" wrapText="1" shrinkToFit="1"/>
    </xf>
    <xf numFmtId="0" fontId="9" fillId="6" borderId="3" xfId="3" applyFont="1" applyFill="1" applyBorder="1" applyAlignment="1" applyProtection="1">
      <alignment horizontal="center" vertical="center" wrapText="1"/>
    </xf>
    <xf numFmtId="0" fontId="8" fillId="2" borderId="2" xfId="3" applyFont="1" applyFill="1" applyBorder="1" applyAlignment="1" applyProtection="1">
      <alignment horizontal="left" vertical="top" wrapText="1"/>
      <protection locked="0"/>
    </xf>
    <xf numFmtId="0" fontId="8" fillId="2" borderId="4" xfId="3" applyFont="1" applyFill="1" applyBorder="1" applyAlignment="1" applyProtection="1">
      <alignment horizontal="left" vertical="top" wrapText="1"/>
      <protection locked="0"/>
    </xf>
    <xf numFmtId="10" fontId="9" fillId="0" borderId="2" xfId="3" applyNumberFormat="1" applyFont="1" applyFill="1" applyBorder="1" applyAlignment="1" applyProtection="1">
      <alignment horizontal="center" vertical="center"/>
    </xf>
    <xf numFmtId="10" fontId="9" fillId="0" borderId="3" xfId="3" applyNumberFormat="1" applyFont="1" applyFill="1" applyBorder="1" applyAlignment="1" applyProtection="1">
      <alignment horizontal="center" vertical="center"/>
    </xf>
    <xf numFmtId="10" fontId="9" fillId="0" borderId="4" xfId="3" applyNumberFormat="1" applyFont="1" applyFill="1" applyBorder="1" applyAlignment="1" applyProtection="1">
      <alignment horizontal="center" vertical="center"/>
    </xf>
    <xf numFmtId="14" fontId="7" fillId="5" borderId="8" xfId="2" applyNumberFormat="1" applyFont="1" applyFill="1" applyBorder="1" applyAlignment="1" applyProtection="1">
      <alignment horizontal="center" vertical="top" wrapText="1"/>
      <protection locked="0"/>
    </xf>
    <xf numFmtId="14" fontId="7" fillId="5" borderId="14" xfId="2" applyNumberFormat="1" applyFont="1" applyFill="1" applyBorder="1" applyAlignment="1" applyProtection="1">
      <alignment horizontal="center" vertical="top" wrapText="1"/>
      <protection locked="0"/>
    </xf>
    <xf numFmtId="0" fontId="9" fillId="6" borderId="3" xfId="3" applyFont="1" applyFill="1" applyBorder="1" applyAlignment="1" applyProtection="1">
      <alignment horizontal="center" vertical="center" wrapText="1" shrinkToFit="1"/>
    </xf>
    <xf numFmtId="0" fontId="7" fillId="5" borderId="1" xfId="2" applyFont="1"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49" fontId="8" fillId="2" borderId="2" xfId="3" applyNumberFormat="1" applyFont="1" applyFill="1" applyBorder="1" applyAlignment="1" applyProtection="1">
      <alignment horizontal="left" vertical="top" wrapText="1"/>
      <protection locked="0"/>
    </xf>
    <xf numFmtId="49" fontId="8" fillId="2" borderId="4" xfId="3" applyNumberFormat="1" applyFont="1" applyFill="1" applyBorder="1" applyAlignment="1" applyProtection="1">
      <alignment horizontal="left" vertical="top" wrapText="1"/>
      <protection locked="0"/>
    </xf>
    <xf numFmtId="0" fontId="15" fillId="0" borderId="0" xfId="0" applyFont="1" applyAlignment="1" applyProtection="1">
      <alignment horizontal="center" vertical="center" wrapText="1"/>
    </xf>
    <xf numFmtId="3" fontId="14" fillId="0" borderId="0" xfId="0" applyNumberFormat="1" applyFont="1" applyFill="1" applyAlignment="1" applyProtection="1">
      <alignment horizontal="center" vertical="center" wrapText="1"/>
    </xf>
    <xf numFmtId="0" fontId="42"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0" borderId="0" xfId="1" applyFont="1" applyAlignment="1" applyProtection="1">
      <alignment horizontal="center" vertical="center" wrapText="1"/>
    </xf>
    <xf numFmtId="0" fontId="7" fillId="5" borderId="5" xfId="2" applyFont="1" applyFill="1" applyBorder="1" applyAlignment="1" applyProtection="1">
      <alignment horizontal="center" vertical="center" wrapText="1"/>
    </xf>
    <xf numFmtId="0" fontId="7" fillId="5" borderId="0" xfId="2" applyFont="1" applyFill="1" applyBorder="1" applyAlignment="1" applyProtection="1">
      <alignment horizontal="center" vertical="center" wrapText="1"/>
    </xf>
    <xf numFmtId="0" fontId="21" fillId="0" borderId="0" xfId="0" applyFont="1" applyAlignment="1" applyProtection="1">
      <alignment horizontal="center" wrapText="1"/>
    </xf>
    <xf numFmtId="0" fontId="21" fillId="0" borderId="0" xfId="0" applyFont="1" applyAlignment="1" applyProtection="1">
      <alignment horizontal="center" vertical="center" wrapText="1"/>
    </xf>
    <xf numFmtId="3" fontId="9" fillId="0" borderId="2" xfId="3" applyNumberFormat="1" applyFont="1" applyBorder="1" applyAlignment="1" applyProtection="1">
      <alignment horizontal="center" vertical="center"/>
    </xf>
    <xf numFmtId="3" fontId="9" fillId="0" borderId="4" xfId="3" applyNumberFormat="1" applyFont="1" applyBorder="1" applyAlignment="1" applyProtection="1">
      <alignment horizontal="center" vertical="center"/>
    </xf>
    <xf numFmtId="3" fontId="9" fillId="0" borderId="1" xfId="3" applyNumberFormat="1" applyFont="1" applyBorder="1" applyAlignment="1" applyProtection="1">
      <alignment horizontal="center" vertical="center"/>
    </xf>
    <xf numFmtId="14" fontId="7" fillId="5" borderId="1" xfId="2" applyNumberFormat="1" applyFont="1" applyFill="1" applyBorder="1" applyAlignment="1" applyProtection="1">
      <alignment horizontal="center" vertical="center" wrapText="1"/>
    </xf>
    <xf numFmtId="0" fontId="7" fillId="5" borderId="4" xfId="2" applyFont="1" applyFill="1" applyBorder="1" applyAlignment="1" applyProtection="1">
      <alignment horizontal="center" vertical="center" wrapText="1"/>
    </xf>
    <xf numFmtId="14" fontId="10" fillId="2" borderId="0" xfId="1" applyNumberFormat="1" applyFont="1" applyFill="1" applyAlignment="1" applyProtection="1">
      <alignment horizontal="left" vertical="center" wrapText="1" shrinkToFit="1"/>
      <protection locked="0"/>
    </xf>
    <xf numFmtId="0" fontId="16" fillId="0" borderId="0" xfId="0" applyFont="1" applyAlignment="1" applyProtection="1">
      <alignment horizontal="right" vertical="center"/>
    </xf>
    <xf numFmtId="14" fontId="14" fillId="2" borderId="0" xfId="1" applyNumberFormat="1" applyFont="1" applyFill="1" applyAlignment="1" applyProtection="1">
      <alignment horizontal="left" vertical="center"/>
      <protection locked="0"/>
    </xf>
    <xf numFmtId="0" fontId="13" fillId="0" borderId="0" xfId="0" applyFont="1" applyAlignment="1" applyProtection="1">
      <alignment horizontal="center" vertical="center"/>
    </xf>
    <xf numFmtId="14" fontId="7" fillId="5" borderId="2" xfId="2" applyNumberFormat="1" applyFont="1" applyFill="1" applyBorder="1" applyAlignment="1" applyProtection="1">
      <alignment horizontal="center" vertical="center" wrapText="1"/>
    </xf>
    <xf numFmtId="0" fontId="9" fillId="0" borderId="2" xfId="3" applyFont="1" applyBorder="1" applyAlignment="1" applyProtection="1">
      <alignment horizontal="center" vertical="center" wrapText="1"/>
    </xf>
    <xf numFmtId="0" fontId="9" fillId="0" borderId="4" xfId="3" applyFont="1" applyBorder="1" applyAlignment="1" applyProtection="1">
      <alignment horizontal="center" vertical="center" wrapText="1"/>
    </xf>
    <xf numFmtId="0" fontId="7" fillId="5" borderId="3" xfId="2" applyFont="1" applyFill="1" applyBorder="1" applyAlignment="1" applyProtection="1">
      <alignment horizontal="center" vertical="center" wrapText="1"/>
    </xf>
    <xf numFmtId="3" fontId="2" fillId="0" borderId="2" xfId="0" applyNumberFormat="1" applyFont="1" applyBorder="1" applyAlignment="1" applyProtection="1">
      <alignment horizontal="center" vertical="center"/>
    </xf>
    <xf numFmtId="3" fontId="2" fillId="0" borderId="4" xfId="0" applyNumberFormat="1" applyFont="1" applyBorder="1" applyAlignment="1" applyProtection="1">
      <alignment horizontal="center" vertical="center"/>
    </xf>
    <xf numFmtId="0" fontId="26" fillId="0" borderId="0" xfId="0" applyFont="1" applyAlignment="1">
      <alignment horizontal="center"/>
    </xf>
    <xf numFmtId="0" fontId="27" fillId="0" borderId="1" xfId="0" applyFont="1" applyBorder="1" applyAlignment="1">
      <alignment horizontal="center" wrapText="1"/>
    </xf>
    <xf numFmtId="0" fontId="26" fillId="0" borderId="1" xfId="0" applyFont="1" applyBorder="1" applyAlignment="1">
      <alignment horizontal="center"/>
    </xf>
    <xf numFmtId="0" fontId="0" fillId="0" borderId="0" xfId="0" applyAlignment="1">
      <alignment horizontal="center"/>
    </xf>
    <xf numFmtId="0" fontId="0" fillId="0" borderId="20" xfId="0" applyBorder="1" applyAlignment="1">
      <alignment horizontal="center"/>
    </xf>
    <xf numFmtId="0" fontId="26" fillId="0" borderId="0"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47" fillId="0" borderId="1"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26" fillId="14" borderId="0" xfId="0" applyFont="1" applyFill="1" applyAlignment="1">
      <alignment horizontal="center"/>
    </xf>
    <xf numFmtId="0" fontId="26" fillId="15" borderId="0" xfId="0" applyFont="1" applyFill="1" applyAlignment="1">
      <alignment horizontal="center"/>
    </xf>
    <xf numFmtId="0" fontId="43" fillId="23" borderId="1" xfId="0" applyFont="1" applyFill="1" applyBorder="1" applyAlignment="1">
      <alignment horizontal="center" wrapText="1"/>
    </xf>
    <xf numFmtId="0" fontId="12" fillId="23" borderId="1" xfId="0" applyFont="1" applyFill="1" applyBorder="1" applyAlignment="1">
      <alignment horizontal="center" wrapText="1"/>
    </xf>
    <xf numFmtId="0" fontId="26" fillId="0" borderId="13" xfId="0" applyFont="1" applyBorder="1" applyAlignment="1">
      <alignment horizontal="center"/>
    </xf>
    <xf numFmtId="0" fontId="32" fillId="0" borderId="21" xfId="0" applyFont="1" applyBorder="1" applyAlignment="1" applyProtection="1">
      <alignment horizontal="center" wrapText="1"/>
    </xf>
    <xf numFmtId="0" fontId="31" fillId="0" borderId="0" xfId="0" applyFont="1" applyAlignment="1" applyProtection="1">
      <alignment horizontal="center" wrapText="1"/>
    </xf>
    <xf numFmtId="0" fontId="0" fillId="0" borderId="19" xfId="0" applyBorder="1" applyAlignment="1" applyProtection="1"/>
    <xf numFmtId="0" fontId="26" fillId="0" borderId="2" xfId="0" applyFont="1" applyBorder="1" applyAlignment="1" applyProtection="1">
      <alignment horizontal="center"/>
    </xf>
    <xf numFmtId="0" fontId="26" fillId="0" borderId="3" xfId="0" applyFont="1" applyBorder="1" applyAlignment="1" applyProtection="1">
      <alignment horizontal="center"/>
    </xf>
    <xf numFmtId="0" fontId="26" fillId="0" borderId="4" xfId="0" applyFont="1" applyBorder="1" applyAlignment="1" applyProtection="1">
      <alignment horizontal="center"/>
    </xf>
    <xf numFmtId="0" fontId="26" fillId="0" borderId="1" xfId="0" applyFont="1" applyBorder="1" applyAlignment="1" applyProtection="1">
      <alignment horizontal="center"/>
    </xf>
    <xf numFmtId="0" fontId="41" fillId="0" borderId="1" xfId="0" applyFont="1" applyBorder="1" applyAlignment="1">
      <alignment horizontal="center" vertical="top" wrapText="1"/>
    </xf>
    <xf numFmtId="0" fontId="0" fillId="0" borderId="17" xfId="0" applyBorder="1" applyAlignment="1"/>
    <xf numFmtId="0" fontId="26" fillId="0" borderId="27" xfId="0" applyFont="1" applyBorder="1" applyAlignment="1">
      <alignment horizontal="center" vertical="center" wrapText="1"/>
    </xf>
    <xf numFmtId="0" fontId="26" fillId="0" borderId="27" xfId="0" applyFont="1" applyBorder="1" applyAlignment="1">
      <alignment horizontal="center" vertical="center"/>
    </xf>
    <xf numFmtId="0" fontId="26" fillId="0" borderId="29" xfId="0" applyFont="1" applyBorder="1" applyAlignment="1">
      <alignment horizontal="center" vertical="center"/>
    </xf>
  </cellXfs>
  <cellStyles count="8">
    <cellStyle name="Akzent4" xfId="2" xr:uid="{00000000-0005-0000-0000-000000000000}"/>
    <cellStyle name="Comma" xfId="6" builtinId="3"/>
    <cellStyle name="Comma 2 2" xfId="5" xr:uid="{C51291C4-3261-42DE-A90A-D54119DF7FDF}"/>
    <cellStyle name="Normal" xfId="0" builtinId="0"/>
    <cellStyle name="Normal 2" xfId="7" xr:uid="{CDFC09A9-7514-4A60-9981-7CDE801E4101}"/>
    <cellStyle name="Percent" xfId="4" builtinId="5"/>
    <cellStyle name="Βασικό_Φύλλο1" xfId="1" xr:uid="{00000000-0005-0000-0000-000002000000}"/>
    <cellStyle name="Нормален_Лист1" xfId="3" xr:uid="{00000000-0005-0000-0000-000003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solid">
          <bgColor theme="0"/>
        </patternFill>
      </fill>
      <border>
        <left/>
        <right/>
        <top/>
        <bottom/>
        <vertical/>
        <horizontal/>
      </border>
    </dxf>
    <dxf>
      <fill>
        <patternFill>
          <bgColor rgb="FFC00000"/>
        </patternFill>
      </fill>
    </dxf>
    <dxf>
      <font>
        <color rgb="FF9C0006"/>
      </font>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10</xdr:col>
      <xdr:colOff>1001941</xdr:colOff>
      <xdr:row>21</xdr:row>
      <xdr:rowOff>154215</xdr:rowOff>
    </xdr:from>
    <xdr:to>
      <xdr:col>23</xdr:col>
      <xdr:colOff>639991</xdr:colOff>
      <xdr:row>45</xdr:row>
      <xdr:rowOff>72571</xdr:rowOff>
    </xdr:to>
    <xdr:sp macro="" textlink="" fLocksText="0">
      <xdr:nvSpPr>
        <xdr:cNvPr id="4" name="TextBox 7">
          <a:extLst>
            <a:ext uri="{FF2B5EF4-FFF2-40B4-BE49-F238E27FC236}">
              <a16:creationId xmlns:a16="http://schemas.microsoft.com/office/drawing/2014/main" id="{D8034608-19B1-4F9E-8691-7D4E97DBD0A0}"/>
            </a:ext>
          </a:extLst>
        </xdr:cNvPr>
        <xdr:cNvSpPr txBox="1"/>
      </xdr:nvSpPr>
      <xdr:spPr>
        <a:xfrm>
          <a:off x="9193441" y="5451929"/>
          <a:ext cx="7920264" cy="5515428"/>
        </a:xfrm>
        <a:prstGeom prst="rect">
          <a:avLst/>
        </a:prstGeom>
        <a:solidFill>
          <a:schemeClr val="bg1"/>
        </a:solidFill>
        <a:ln w="63500" cap="rnd">
          <a:solidFill>
            <a:srgbClr val="00B0F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l"/>
          <a:r>
            <a:rPr lang="en-GB" sz="1400" b="0" i="0" baseline="0">
              <a:solidFill>
                <a:schemeClr val="tx1">
                  <a:lumMod val="50000"/>
                  <a:lumOff val="50000"/>
                </a:schemeClr>
              </a:solidFill>
              <a:latin typeface="+mn-lt"/>
              <a:ea typeface="+mn-ea"/>
              <a:cs typeface="+mn-cs"/>
            </a:rPr>
            <a:t>Read before filling </a:t>
          </a:r>
          <a:r>
            <a:rPr lang="pl-PL" sz="1400" b="0" i="0" baseline="0">
              <a:solidFill>
                <a:schemeClr val="tx1">
                  <a:lumMod val="50000"/>
                  <a:lumOff val="50000"/>
                </a:schemeClr>
              </a:solidFill>
              <a:latin typeface="+mn-lt"/>
              <a:ea typeface="+mn-ea"/>
              <a:cs typeface="+mn-cs"/>
            </a:rPr>
            <a:t>in</a:t>
          </a:r>
          <a:r>
            <a:rPr lang="en-GB" sz="1400" b="0" i="0" baseline="0">
              <a:solidFill>
                <a:schemeClr val="tx1">
                  <a:lumMod val="50000"/>
                  <a:lumOff val="50000"/>
                </a:schemeClr>
              </a:solidFill>
              <a:latin typeface="+mn-lt"/>
              <a:ea typeface="+mn-ea"/>
              <a:cs typeface="+mn-cs"/>
            </a:rPr>
            <a:t> the form:</a:t>
          </a:r>
        </a:p>
        <a:p>
          <a:pPr eaLnBrk="1" fontAlgn="auto" latinLnBrk="0" hangingPunct="1"/>
          <a:r>
            <a:rPr lang="en-GB" sz="1200" b="0" i="0" baseline="0">
              <a:solidFill>
                <a:schemeClr val="tx1">
                  <a:lumMod val="65000"/>
                  <a:lumOff val="35000"/>
                </a:schemeClr>
              </a:solidFill>
              <a:latin typeface="+mn-lt"/>
              <a:ea typeface="+mn-ea"/>
              <a:cs typeface="+mn-cs"/>
            </a:rPr>
            <a:t>1) Only fields marked in yellow are to be filled in</a:t>
          </a:r>
          <a:r>
            <a:rPr lang="nb-NO" sz="1200" b="0" i="0" baseline="0">
              <a:solidFill>
                <a:schemeClr val="tx1">
                  <a:lumMod val="65000"/>
                  <a:lumOff val="35000"/>
                </a:schemeClr>
              </a:solidFill>
              <a:latin typeface="+mn-lt"/>
              <a:ea typeface="+mn-ea"/>
              <a:cs typeface="+mn-cs"/>
            </a:rPr>
            <a:t>.</a:t>
          </a:r>
          <a:endParaRPr lang="en-GB" sz="1200" b="0" i="0" baseline="0">
            <a:solidFill>
              <a:schemeClr val="tx1">
                <a:lumMod val="65000"/>
                <a:lumOff val="35000"/>
              </a:schemeClr>
            </a:solidFill>
            <a:latin typeface="+mn-lt"/>
            <a:ea typeface="+mn-ea"/>
            <a:cs typeface="+mn-cs"/>
          </a:endParaRPr>
        </a:p>
        <a:p>
          <a:pPr eaLnBrk="1" fontAlgn="auto" latinLnBrk="0" hangingPunct="1"/>
          <a:r>
            <a:rPr lang="en-GB" sz="1200" b="0" i="0" baseline="0">
              <a:solidFill>
                <a:schemeClr val="tx1">
                  <a:lumMod val="65000"/>
                  <a:lumOff val="35000"/>
                </a:schemeClr>
              </a:solidFill>
              <a:latin typeface="+mn-lt"/>
              <a:ea typeface="+mn-ea"/>
              <a:cs typeface="+mn-cs"/>
            </a:rPr>
            <a:t>2) When applying for Project Modification choose YES in the drop down menu of cell </a:t>
          </a:r>
          <a:r>
            <a:rPr lang="pl-PL" sz="1200" b="0" i="0" baseline="0">
              <a:solidFill>
                <a:schemeClr val="tx1">
                  <a:lumMod val="65000"/>
                  <a:lumOff val="35000"/>
                </a:schemeClr>
              </a:solidFill>
              <a:latin typeface="+mn-lt"/>
              <a:ea typeface="+mn-ea"/>
              <a:cs typeface="+mn-cs"/>
            </a:rPr>
            <a:t>J11</a:t>
          </a:r>
          <a:r>
            <a:rPr lang="en-GB" sz="1200" b="0" i="0" baseline="0">
              <a:solidFill>
                <a:schemeClr val="tx1">
                  <a:lumMod val="65000"/>
                  <a:lumOff val="35000"/>
                </a:schemeClr>
              </a:solidFill>
              <a:latin typeface="+mn-lt"/>
              <a:ea typeface="+mn-ea"/>
              <a:cs typeface="+mn-cs"/>
            </a:rPr>
            <a:t>. Otherwise select NO.</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solidFill>
                <a:schemeClr val="tx1">
                  <a:lumMod val="65000"/>
                  <a:lumOff val="35000"/>
                </a:schemeClr>
              </a:solidFill>
              <a:latin typeface="+mn-lt"/>
              <a:ea typeface="+mn-ea"/>
              <a:cs typeface="+mn-cs"/>
            </a:rPr>
            <a:t>3) Figures in cells with white background are calculated automatically based on the data inserted in the form. </a:t>
          </a:r>
          <a:endParaRPr lang="pl-PL" sz="1200" b="0" i="0" baseline="0">
            <a:solidFill>
              <a:schemeClr val="tx1">
                <a:lumMod val="65000"/>
                <a:lumOff val="35000"/>
              </a:schemeClr>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200" b="0" i="0" baseline="0">
              <a:solidFill>
                <a:schemeClr val="tx1">
                  <a:lumMod val="65000"/>
                  <a:lumOff val="35000"/>
                </a:schemeClr>
              </a:solidFill>
              <a:latin typeface="+mn-lt"/>
              <a:ea typeface="+mn-ea"/>
              <a:cs typeface="+mn-cs"/>
            </a:rPr>
            <a:t>4) Select state aid category for the activity from drop down menu. Use only categories mentioned in the call text. Apply grant level according to the state aid category. </a:t>
          </a:r>
          <a:endParaRPr lang="en-GB" sz="1200" b="0" i="0" baseline="0">
            <a:solidFill>
              <a:schemeClr val="tx1">
                <a:lumMod val="65000"/>
                <a:lumOff val="35000"/>
              </a:schemeClr>
            </a:solidFill>
            <a:latin typeface="+mn-lt"/>
            <a:ea typeface="+mn-ea"/>
            <a:cs typeface="+mn-cs"/>
          </a:endParaRPr>
        </a:p>
        <a:p>
          <a:pPr eaLnBrk="1" fontAlgn="auto" latinLnBrk="0" hangingPunct="1"/>
          <a:r>
            <a:rPr lang="pl-PL" sz="1200" b="0" i="0" baseline="0">
              <a:solidFill>
                <a:schemeClr val="tx1">
                  <a:lumMod val="65000"/>
                  <a:lumOff val="35000"/>
                </a:schemeClr>
              </a:solidFill>
              <a:latin typeface="+mn-lt"/>
              <a:ea typeface="+mn-ea"/>
              <a:cs typeface="+mn-cs"/>
            </a:rPr>
            <a:t>5</a:t>
          </a:r>
          <a:r>
            <a:rPr lang="en-GB" sz="1200" b="0" i="0" baseline="0">
              <a:solidFill>
                <a:schemeClr val="tx1">
                  <a:lumMod val="65000"/>
                  <a:lumOff val="35000"/>
                </a:schemeClr>
              </a:solidFill>
              <a:latin typeface="+mn-lt"/>
              <a:ea typeface="+mn-ea"/>
              <a:cs typeface="+mn-cs"/>
            </a:rPr>
            <a:t>) Enter only the eligible amount of expenses. For entities that are not VAT payers this means an amount including the VAT.</a:t>
          </a:r>
        </a:p>
        <a:p>
          <a:pPr eaLnBrk="1" fontAlgn="auto" latinLnBrk="0" hangingPunct="1"/>
          <a:r>
            <a:rPr lang="pl-PL" sz="1200" b="0" i="0" baseline="0">
              <a:solidFill>
                <a:schemeClr val="tx1">
                  <a:lumMod val="65000"/>
                  <a:lumOff val="35000"/>
                </a:schemeClr>
              </a:solidFill>
              <a:latin typeface="+mn-lt"/>
              <a:ea typeface="+mn-ea"/>
              <a:cs typeface="+mn-cs"/>
            </a:rPr>
            <a:t>6) It is obligatory to select the organization responsible for particular cost from the drop-down menu. PP - stands for Project Promoter, P1 - First Project Partner etc. </a:t>
          </a:r>
          <a:br>
            <a:rPr lang="pl-PL" sz="1200" b="0" i="0" baseline="0">
              <a:solidFill>
                <a:schemeClr val="tx1">
                  <a:lumMod val="65000"/>
                  <a:lumOff val="35000"/>
                </a:schemeClr>
              </a:solidFill>
              <a:latin typeface="+mn-lt"/>
              <a:ea typeface="+mn-ea"/>
              <a:cs typeface="+mn-cs"/>
            </a:rPr>
          </a:br>
          <a:r>
            <a:rPr lang="pl-PL" sz="1200" b="0" i="0" baseline="0">
              <a:solidFill>
                <a:schemeClr val="tx1">
                  <a:lumMod val="65000"/>
                  <a:lumOff val="35000"/>
                </a:schemeClr>
              </a:solidFill>
              <a:latin typeface="+mn-lt"/>
              <a:ea typeface="+mn-ea"/>
              <a:cs typeface="+mn-cs"/>
            </a:rPr>
            <a:t>7) Use filter in cell Y1 to hide/unhide empty budget lines for easier overview/printing.</a:t>
          </a:r>
          <a:endParaRPr lang="en-GB" sz="1200" b="0" i="0" baseline="0">
            <a:solidFill>
              <a:schemeClr val="tx1">
                <a:lumMod val="65000"/>
                <a:lumOff val="35000"/>
              </a:schemeClr>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GB" sz="2800" b="1" i="1" baseline="0">
              <a:solidFill>
                <a:schemeClr val="tx1">
                  <a:lumMod val="65000"/>
                  <a:lumOff val="35000"/>
                </a:schemeClr>
              </a:solidFill>
              <a:effectLst/>
              <a:latin typeface="+mn-lt"/>
              <a:ea typeface="+mn-ea"/>
              <a:cs typeface="+mn-cs"/>
            </a:rPr>
            <a:t>Delete this frame before using the form</a:t>
          </a:r>
        </a:p>
        <a:p>
          <a:pPr rtl="0"/>
          <a:r>
            <a:rPr lang="vi-VN" sz="1100" b="0" i="0" baseline="0">
              <a:solidFill>
                <a:schemeClr val="dk1"/>
              </a:solidFill>
              <a:effectLst/>
              <a:latin typeface="+mn-lt"/>
              <a:ea typeface="+mn-ea"/>
              <a:cs typeface="+mn-cs"/>
            </a:rPr>
            <a:t>Cititți înainte de a completa formularul :</a:t>
          </a:r>
          <a:endParaRPr lang="en-GB" sz="6000">
            <a:effectLst/>
          </a:endParaRPr>
        </a:p>
        <a:p>
          <a:pPr rtl="0"/>
          <a:r>
            <a:rPr lang="vi-VN" sz="1100" b="0" i="0" baseline="0">
              <a:solidFill>
                <a:schemeClr val="dk1"/>
              </a:solidFill>
              <a:effectLst/>
              <a:latin typeface="+mn-lt"/>
              <a:ea typeface="+mn-ea"/>
              <a:cs typeface="+mn-cs"/>
            </a:rPr>
            <a:t>1) Numai câmpurile marcate cu galben trebuie să fie completate.</a:t>
          </a:r>
          <a:endParaRPr lang="en-GB" sz="6000">
            <a:effectLst/>
          </a:endParaRPr>
        </a:p>
        <a:p>
          <a:pPr rtl="0"/>
          <a:r>
            <a:rPr lang="vi-VN" sz="1100" b="0" i="0" baseline="0">
              <a:solidFill>
                <a:schemeClr val="dk1"/>
              </a:solidFill>
              <a:effectLst/>
              <a:latin typeface="+mn-lt"/>
              <a:ea typeface="+mn-ea"/>
              <a:cs typeface="+mn-cs"/>
            </a:rPr>
            <a:t>2) Când aplicați pentru Modificarea Proiectului alegeți DA din meniul derulant al celulei  J11. În caz contrar selectați  NU.</a:t>
          </a:r>
          <a:endParaRPr lang="en-GB" sz="6000">
            <a:effectLst/>
          </a:endParaRPr>
        </a:p>
        <a:p>
          <a:pPr rtl="0"/>
          <a:r>
            <a:rPr lang="vi-VN" sz="1100" b="0" i="0" baseline="0">
              <a:solidFill>
                <a:schemeClr val="dk1"/>
              </a:solidFill>
              <a:effectLst/>
              <a:latin typeface="+mn-lt"/>
              <a:ea typeface="+mn-ea"/>
              <a:cs typeface="+mn-cs"/>
            </a:rPr>
            <a:t>3) Cifrele din celulele cu fundal alb se calculează automat în funcție de dartele introduse în formular. </a:t>
          </a:r>
          <a:endParaRPr lang="en-GB" sz="6000">
            <a:effectLst/>
          </a:endParaRPr>
        </a:p>
        <a:p>
          <a:pPr rtl="0"/>
          <a:r>
            <a:rPr lang="vi-VN" sz="1100" b="0" i="0" baseline="0">
              <a:solidFill>
                <a:schemeClr val="dk1"/>
              </a:solidFill>
              <a:effectLst/>
              <a:latin typeface="+mn-lt"/>
              <a:ea typeface="+mn-ea"/>
              <a:cs typeface="+mn-cs"/>
            </a:rPr>
            <a:t>4) Selectați categoria ajutorului de stat pentru activitatea din meniul derulant. Folosiți numai categoriile menționate în textul cererii. Aplicați nivelul de grant conform categoriei ajutorului de stat.  </a:t>
          </a:r>
          <a:endParaRPr lang="en-GB" sz="6000">
            <a:effectLst/>
          </a:endParaRPr>
        </a:p>
        <a:p>
          <a:pPr rtl="0"/>
          <a:r>
            <a:rPr lang="vi-VN" sz="1100" b="0" i="0" baseline="0">
              <a:solidFill>
                <a:schemeClr val="dk1"/>
              </a:solidFill>
              <a:effectLst/>
              <a:latin typeface="+mn-lt"/>
              <a:ea typeface="+mn-ea"/>
              <a:cs typeface="+mn-cs"/>
            </a:rPr>
            <a:t>5) Introduceți numai suma  cheltuielilor eligibile. Pentru entități care nu sunt plătitoare de TVA aceasta înseamnă o sumă cu TVA inclus.</a:t>
          </a:r>
          <a:endParaRPr lang="en-GB" sz="6000">
            <a:effectLst/>
          </a:endParaRPr>
        </a:p>
        <a:p>
          <a:pPr rtl="0"/>
          <a:r>
            <a:rPr lang="vi-VN" sz="1100" b="0" i="0" baseline="0">
              <a:solidFill>
                <a:schemeClr val="dk1"/>
              </a:solidFill>
              <a:effectLst/>
              <a:latin typeface="+mn-lt"/>
              <a:ea typeface="+mn-ea"/>
              <a:cs typeface="+mn-cs"/>
            </a:rPr>
            <a:t>6) Este obligatoriu să selectați organizația responsabilă pentru anumite costuri din meniul derulant. PP - înseamnă Promotor Proiect, P1 - Primul Partener de proiect etc. </a:t>
          </a:r>
          <a:endParaRPr lang="en-GB" sz="6000">
            <a:effectLst/>
          </a:endParaRPr>
        </a:p>
        <a:p>
          <a:pPr rtl="0"/>
          <a:r>
            <a:rPr lang="vi-VN" sz="1100" b="0" i="0" baseline="0">
              <a:solidFill>
                <a:schemeClr val="dk1"/>
              </a:solidFill>
              <a:effectLst/>
              <a:latin typeface="+mn-lt"/>
              <a:ea typeface="+mn-ea"/>
              <a:cs typeface="+mn-cs"/>
            </a:rPr>
            <a:t>7) Utilizați filtrul din celula Y1 pentru a ascunde/ dezvălui liniile goale de buget pentru o prezentare / imprimare mai ușoară.</a:t>
          </a:r>
          <a:endParaRPr lang="en-GB" sz="6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vi-VN" sz="2800" b="1" i="1" baseline="0">
              <a:solidFill>
                <a:schemeClr val="tx1">
                  <a:lumMod val="65000"/>
                  <a:lumOff val="35000"/>
                </a:schemeClr>
              </a:solidFill>
              <a:effectLst/>
              <a:latin typeface="+mn-lt"/>
              <a:ea typeface="+mn-ea"/>
              <a:cs typeface="+mn-cs"/>
            </a:rPr>
            <a:t>Ștergeți acest cadru înainte de a folosi formularul </a:t>
          </a:r>
          <a:endParaRPr lang="en-GB" sz="2800" b="1" i="1" baseline="0">
            <a:solidFill>
              <a:schemeClr val="tx1">
                <a:lumMod val="65000"/>
                <a:lumOff val="35000"/>
              </a:schemeClr>
            </a:solidFill>
            <a:effectLst/>
            <a:latin typeface="+mn-lt"/>
            <a:ea typeface="+mn-ea"/>
            <a:cs typeface="+mn-cs"/>
          </a:endParaRPr>
        </a:p>
      </xdr:txBody>
    </xdr:sp>
    <xdr:clientData fLocksWithSheet="0" fPrintsWithSheet="0"/>
  </xdr:twoCellAnchor>
  <xdr:twoCellAnchor>
    <xdr:from>
      <xdr:col>13</xdr:col>
      <xdr:colOff>458259</xdr:colOff>
      <xdr:row>8</xdr:row>
      <xdr:rowOff>224368</xdr:rowOff>
    </xdr:from>
    <xdr:to>
      <xdr:col>19</xdr:col>
      <xdr:colOff>420159</xdr:colOff>
      <xdr:row>11</xdr:row>
      <xdr:rowOff>85725</xdr:rowOff>
    </xdr:to>
    <xdr:grpSp>
      <xdr:nvGrpSpPr>
        <xdr:cNvPr id="6" name="Group 5">
          <a:extLst>
            <a:ext uri="{FF2B5EF4-FFF2-40B4-BE49-F238E27FC236}">
              <a16:creationId xmlns:a16="http://schemas.microsoft.com/office/drawing/2014/main" id="{EA36DF03-266C-47DB-9BCF-58914EBF5CAB}"/>
            </a:ext>
          </a:extLst>
        </xdr:cNvPr>
        <xdr:cNvGrpSpPr/>
      </xdr:nvGrpSpPr>
      <xdr:grpSpPr>
        <a:xfrm>
          <a:off x="10338859" y="2218268"/>
          <a:ext cx="4051300" cy="718607"/>
          <a:chOff x="8867775" y="1094356"/>
          <a:chExt cx="4495800" cy="802359"/>
        </a:xfrm>
      </xdr:grpSpPr>
      <xdr:pic>
        <xdr:nvPicPr>
          <xdr:cNvPr id="7" name="Picture 6">
            <a:extLst>
              <a:ext uri="{FF2B5EF4-FFF2-40B4-BE49-F238E27FC236}">
                <a16:creationId xmlns:a16="http://schemas.microsoft.com/office/drawing/2014/main" id="{A2292242-537E-41B6-935A-BDB44695E4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10975" y="1207275"/>
            <a:ext cx="1752600" cy="674077"/>
          </a:xfrm>
          <a:prstGeom prst="rect">
            <a:avLst/>
          </a:prstGeom>
        </xdr:spPr>
      </xdr:pic>
      <xdr:pic>
        <xdr:nvPicPr>
          <xdr:cNvPr id="10" name="Picture 9">
            <a:extLst>
              <a:ext uri="{FF2B5EF4-FFF2-40B4-BE49-F238E27FC236}">
                <a16:creationId xmlns:a16="http://schemas.microsoft.com/office/drawing/2014/main" id="{168264C6-C4EB-42F0-B167-E2907D9660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67775" y="1094356"/>
            <a:ext cx="1904999" cy="802359"/>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nnovationnorway.sharepoint.com/sites/brandnorway/Shared%20Documents/Business%20Partnerships/EEA%20Norway%20Grants/_RO_Energy/Calls_and_supporting%20documents/Renewable/2020%20RES%20Application%20Package/Mandatory%20attachments/02_Detailed_activity_budget_%20v.1.11%20-%20Copy.xlsx?E6F237D2" TargetMode="External"/><Relationship Id="rId1" Type="http://schemas.openxmlformats.org/officeDocument/2006/relationships/externalLinkPath" Target="file:///\\E6F237D2\02_Detailed_activity_budget_%20v.1.1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udget_1"/>
      <sheetName val="Balance_sheet_Historical data"/>
      <sheetName val="P&amp;L_historic "/>
      <sheetName val="Project costs and revenues"/>
      <sheetName val="Project_profitability"/>
      <sheetName val="Financial Analysis company "/>
      <sheetName val="Sensitivity analysis project"/>
      <sheetName val="Undertaking in difficulty"/>
      <sheetName val="Admin1"/>
    </sheetNames>
    <sheetDataSet>
      <sheetData sheetId="0" refreshError="1"/>
      <sheetData sheetId="1" refreshError="1"/>
      <sheetData sheetId="2" refreshError="1"/>
      <sheetData sheetId="3" refreshError="1"/>
      <sheetData sheetId="4">
        <row r="17">
          <cell r="D17">
            <v>41860</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4EFC-CC34-4FAB-B485-A5E0B2D309EB}">
  <sheetPr codeName="Sheet1">
    <pageSetUpPr fitToPage="1"/>
  </sheetPr>
  <dimension ref="A1:Y271"/>
  <sheetViews>
    <sheetView showGridLines="0" showZeros="0" tabSelected="1" zoomScale="70" zoomScaleNormal="70" workbookViewId="0">
      <selection activeCell="J12" sqref="J12"/>
    </sheetView>
  </sheetViews>
  <sheetFormatPr defaultColWidth="9.1796875" defaultRowHeight="14.5" x14ac:dyDescent="0.35"/>
  <cols>
    <col min="1" max="1" width="18.54296875" style="6" customWidth="1"/>
    <col min="2" max="2" width="17.1796875" style="6" customWidth="1"/>
    <col min="3" max="3" width="8.54296875" style="7" customWidth="1"/>
    <col min="4" max="4" width="7.1796875" style="7" customWidth="1"/>
    <col min="5" max="5" width="14.36328125" style="8" customWidth="1"/>
    <col min="6" max="6" width="4.26953125" style="8" customWidth="1"/>
    <col min="7" max="7" width="14.26953125" style="8" customWidth="1"/>
    <col min="8" max="8" width="4.26953125" style="8" customWidth="1"/>
    <col min="9" max="10" width="14.26953125" style="8" customWidth="1"/>
    <col min="11" max="11" width="15.36328125" style="8" customWidth="1"/>
    <col min="12" max="12" width="0.36328125" style="34" customWidth="1"/>
    <col min="13" max="13" width="8.54296875" style="8" customWidth="1"/>
    <col min="14" max="14" width="7.1796875" style="8" customWidth="1"/>
    <col min="15" max="15" width="14.26953125" style="8" customWidth="1"/>
    <col min="16" max="16" width="4.26953125" style="8" customWidth="1"/>
    <col min="17" max="17" width="14.26953125" style="8" customWidth="1"/>
    <col min="18" max="18" width="4.26953125" style="8" customWidth="1"/>
    <col min="19" max="20" width="14.26953125" style="8" customWidth="1"/>
    <col min="21" max="23" width="7.1796875" style="8" customWidth="1"/>
    <col min="24" max="24" width="17.1796875" style="8" customWidth="1"/>
    <col min="25" max="25" width="2.54296875" style="23" customWidth="1"/>
    <col min="26" max="16384" width="9.1796875" style="8"/>
  </cols>
  <sheetData>
    <row r="1" spans="1:25" ht="29.5" customHeight="1" x14ac:dyDescent="0.35">
      <c r="A1" s="315" t="str">
        <f>IF($C$1="English","Language","Limba")</f>
        <v>Language</v>
      </c>
      <c r="B1" s="315"/>
      <c r="C1" s="317" t="s">
        <v>198</v>
      </c>
      <c r="D1" s="317"/>
      <c r="E1" s="317"/>
      <c r="F1" s="317"/>
      <c r="G1" s="317"/>
      <c r="H1" s="317"/>
      <c r="I1" s="317"/>
      <c r="J1" s="317"/>
      <c r="S1" s="365" t="s">
        <v>0</v>
      </c>
      <c r="T1" s="365"/>
      <c r="U1" s="365"/>
      <c r="V1" s="365"/>
      <c r="W1" s="365"/>
      <c r="X1" s="365"/>
      <c r="Y1" s="115"/>
    </row>
    <row r="2" spans="1:25" ht="15" customHeight="1" x14ac:dyDescent="0.35">
      <c r="A2" s="316"/>
      <c r="B2" s="316"/>
      <c r="C2" s="64"/>
      <c r="D2" s="64"/>
      <c r="S2" s="310"/>
      <c r="T2" s="310"/>
      <c r="U2" s="310"/>
      <c r="V2" s="310"/>
      <c r="W2" s="310"/>
      <c r="X2" s="310"/>
      <c r="Y2" s="115"/>
    </row>
    <row r="3" spans="1:25" s="9" customFormat="1" ht="22.5" customHeight="1" x14ac:dyDescent="0.45">
      <c r="A3" s="316" t="str">
        <f>IF($C$1="English","Programme name 1:","Denumirea Programului 1:")</f>
        <v>Programme name 1:</v>
      </c>
      <c r="B3" s="316"/>
      <c r="C3" s="317" t="s">
        <v>1</v>
      </c>
      <c r="D3" s="317"/>
      <c r="E3" s="317"/>
      <c r="F3" s="317"/>
      <c r="G3" s="317"/>
      <c r="H3" s="317"/>
      <c r="I3" s="317"/>
      <c r="J3" s="317"/>
      <c r="L3" s="51"/>
      <c r="N3" s="10" t="str">
        <f>IF($C$1="English","Project focus area:","Domenii de finantare:")</f>
        <v>Project focus area:</v>
      </c>
      <c r="O3" s="317" t="s">
        <v>2</v>
      </c>
      <c r="P3" s="317"/>
      <c r="Q3" s="317"/>
      <c r="R3" s="317"/>
      <c r="S3" s="317"/>
      <c r="T3" s="317"/>
      <c r="U3" s="317"/>
      <c r="V3" s="174"/>
      <c r="W3" s="174"/>
      <c r="X3" s="174"/>
      <c r="Y3" s="116"/>
    </row>
    <row r="4" spans="1:25" s="9" customFormat="1" ht="15" customHeight="1" x14ac:dyDescent="0.45">
      <c r="A4" s="171"/>
      <c r="B4" s="171"/>
      <c r="C4" s="171"/>
      <c r="D4" s="171"/>
      <c r="E4" s="171"/>
      <c r="F4" s="171"/>
      <c r="G4" s="171"/>
      <c r="H4" s="171"/>
      <c r="I4" s="171"/>
      <c r="J4" s="171"/>
      <c r="L4" s="51"/>
      <c r="Q4" s="11"/>
      <c r="R4" s="11"/>
      <c r="S4" s="11"/>
      <c r="V4" s="175"/>
      <c r="W4" s="175"/>
      <c r="X4" s="175"/>
      <c r="Y4" s="116"/>
    </row>
    <row r="5" spans="1:25" s="9" customFormat="1" ht="22.5" customHeight="1" x14ac:dyDescent="0.45">
      <c r="A5" s="354" t="str">
        <f>IF($C$1="English","Project Promoter:","Numele Promotorului")</f>
        <v>Project Promoter:</v>
      </c>
      <c r="B5" s="354"/>
      <c r="C5" s="317" t="s">
        <v>1</v>
      </c>
      <c r="D5" s="317"/>
      <c r="E5" s="317"/>
      <c r="F5" s="317"/>
      <c r="G5" s="317"/>
      <c r="H5" s="317"/>
      <c r="I5" s="317"/>
      <c r="J5" s="317"/>
      <c r="K5" s="13"/>
      <c r="L5" s="197"/>
      <c r="N5" s="14" t="str">
        <f>IF($C$1="English","1st Project Partner: ","Partener no. 1:")</f>
        <v xml:space="preserve">1st Project Partner: </v>
      </c>
      <c r="O5" s="317"/>
      <c r="P5" s="317"/>
      <c r="Q5" s="317"/>
      <c r="R5" s="317"/>
      <c r="S5" s="317"/>
      <c r="T5" s="317"/>
      <c r="U5" s="317"/>
      <c r="V5" s="174"/>
      <c r="W5" s="174"/>
      <c r="X5" s="174"/>
      <c r="Y5" s="116"/>
    </row>
    <row r="6" spans="1:25" s="9" customFormat="1" ht="15" customHeight="1" x14ac:dyDescent="0.45">
      <c r="A6" s="171"/>
      <c r="B6" s="171"/>
      <c r="C6" s="171"/>
      <c r="D6" s="171"/>
      <c r="E6" s="171"/>
      <c r="F6" s="171"/>
      <c r="G6" s="171"/>
      <c r="H6" s="171"/>
      <c r="I6" s="171"/>
      <c r="J6" s="171"/>
      <c r="L6" s="51"/>
      <c r="Q6" s="11"/>
      <c r="R6" s="11"/>
      <c r="S6" s="11"/>
      <c r="V6" s="175"/>
      <c r="W6" s="175"/>
      <c r="X6" s="175"/>
      <c r="Y6" s="116"/>
    </row>
    <row r="7" spans="1:25" s="9" customFormat="1" ht="22.5" customHeight="1" x14ac:dyDescent="0.45">
      <c r="A7" s="354" t="str">
        <f>IF($C$1="English","2nd Project Partner:","Partener no. 2:")</f>
        <v>2nd Project Partner:</v>
      </c>
      <c r="B7" s="354"/>
      <c r="C7" s="317"/>
      <c r="D7" s="317"/>
      <c r="E7" s="317"/>
      <c r="F7" s="317"/>
      <c r="G7" s="317"/>
      <c r="H7" s="317"/>
      <c r="I7" s="317"/>
      <c r="J7" s="317"/>
      <c r="L7" s="51"/>
      <c r="N7" s="12" t="str">
        <f>IF($C$1="English","3rd Project Partner:", "Partener no. 3:")</f>
        <v>3rd Project Partner:</v>
      </c>
      <c r="O7" s="317"/>
      <c r="P7" s="317"/>
      <c r="Q7" s="317"/>
      <c r="R7" s="317"/>
      <c r="S7" s="317"/>
      <c r="T7" s="317"/>
      <c r="U7" s="317"/>
      <c r="V7" s="174"/>
      <c r="W7" s="174"/>
      <c r="X7" s="174"/>
      <c r="Y7" s="116"/>
    </row>
    <row r="8" spans="1:25" s="9" customFormat="1" ht="15" customHeight="1" x14ac:dyDescent="0.45">
      <c r="A8" s="171"/>
      <c r="B8" s="171"/>
      <c r="C8" s="171"/>
      <c r="D8" s="171"/>
      <c r="E8" s="171"/>
      <c r="F8" s="171"/>
      <c r="G8" s="171"/>
      <c r="H8" s="171"/>
      <c r="I8" s="171"/>
      <c r="J8" s="171"/>
      <c r="L8" s="51"/>
      <c r="Q8" s="11"/>
      <c r="R8" s="11"/>
      <c r="S8" s="11"/>
      <c r="V8" s="175"/>
      <c r="X8" s="175"/>
      <c r="Y8" s="116"/>
    </row>
    <row r="9" spans="1:25" s="9" customFormat="1" ht="22.5" customHeight="1" x14ac:dyDescent="0.45">
      <c r="A9" s="354" t="str">
        <f>IF($C$1="English","Project name:","Denumirea Proiectului:")</f>
        <v>Project name:</v>
      </c>
      <c r="B9" s="354"/>
      <c r="C9" s="364"/>
      <c r="D9" s="364"/>
      <c r="E9" s="364"/>
      <c r="F9" s="364"/>
      <c r="G9" s="364"/>
      <c r="H9" s="364"/>
      <c r="I9" s="364"/>
      <c r="J9" s="364"/>
      <c r="L9" s="51"/>
      <c r="Q9" s="11"/>
      <c r="R9" s="11"/>
      <c r="S9" s="11"/>
      <c r="X9" s="175"/>
      <c r="Y9" s="116"/>
    </row>
    <row r="10" spans="1:25" s="9" customFormat="1" ht="22.5" customHeight="1" x14ac:dyDescent="0.45">
      <c r="A10" s="354"/>
      <c r="B10" s="354"/>
      <c r="C10" s="364"/>
      <c r="D10" s="364"/>
      <c r="E10" s="364"/>
      <c r="F10" s="364"/>
      <c r="G10" s="364"/>
      <c r="H10" s="364"/>
      <c r="I10" s="364"/>
      <c r="J10" s="364"/>
      <c r="L10" s="51"/>
      <c r="Q10" s="11"/>
      <c r="R10" s="11"/>
      <c r="S10" s="11"/>
      <c r="X10" s="175"/>
      <c r="Y10" s="116"/>
    </row>
    <row r="11" spans="1:25" s="9" customFormat="1" ht="22.5" customHeight="1" x14ac:dyDescent="0.45">
      <c r="A11" s="171"/>
      <c r="B11" s="171"/>
      <c r="C11" s="171"/>
      <c r="D11" s="171"/>
      <c r="E11" s="171"/>
      <c r="F11" s="171"/>
      <c r="G11" s="171"/>
      <c r="H11" s="171"/>
      <c r="I11" s="171"/>
      <c r="J11" s="171"/>
      <c r="L11" s="51"/>
      <c r="Q11" s="11"/>
      <c r="R11" s="11"/>
      <c r="S11" s="11"/>
      <c r="Y11" s="116"/>
    </row>
    <row r="12" spans="1:25" s="9" customFormat="1" ht="22.5" customHeight="1" x14ac:dyDescent="0.45">
      <c r="A12" s="354" t="str">
        <f>IF($C$1="English","Project number:","Numarul proiectului:")</f>
        <v>Project number:</v>
      </c>
      <c r="B12" s="354"/>
      <c r="C12" s="366" t="s">
        <v>3</v>
      </c>
      <c r="D12" s="366"/>
      <c r="E12" s="366"/>
      <c r="F12" s="13"/>
      <c r="I12" s="14" t="str">
        <f>IF($C$1="English","Budget modification 2 :","Modificari de buget:")</f>
        <v>Budget modification 2 :</v>
      </c>
      <c r="J12" s="206" t="s">
        <v>2</v>
      </c>
      <c r="L12" s="51"/>
      <c r="M12" s="12"/>
      <c r="N12" s="10"/>
      <c r="O12" s="213"/>
      <c r="P12" s="12"/>
      <c r="Q12" s="12"/>
      <c r="R12" s="12"/>
      <c r="S12" s="12"/>
      <c r="Y12" s="116"/>
    </row>
    <row r="13" spans="1:25" s="9" customFormat="1" ht="15" customHeight="1" x14ac:dyDescent="0.45">
      <c r="A13" s="13"/>
      <c r="B13" s="13"/>
      <c r="D13" s="65"/>
      <c r="E13" s="11"/>
      <c r="F13" s="11"/>
      <c r="G13" s="11"/>
      <c r="H13" s="11"/>
      <c r="J13" s="15"/>
      <c r="L13" s="51"/>
      <c r="Q13" s="11"/>
      <c r="R13" s="11"/>
      <c r="S13" s="11"/>
      <c r="Y13" s="116"/>
    </row>
    <row r="14" spans="1:25" s="9" customFormat="1" ht="1.5" customHeight="1" x14ac:dyDescent="0.45">
      <c r="A14" s="13"/>
      <c r="B14" s="13"/>
      <c r="D14" s="65"/>
      <c r="E14" s="11"/>
      <c r="F14" s="11"/>
      <c r="G14" s="11"/>
      <c r="H14" s="11"/>
      <c r="J14" s="15"/>
      <c r="L14" s="51"/>
      <c r="Q14" s="11"/>
      <c r="R14" s="11"/>
      <c r="S14" s="11"/>
      <c r="Y14" s="116"/>
    </row>
    <row r="15" spans="1:25" s="16" customFormat="1" ht="22.5" customHeight="1" x14ac:dyDescent="0.35">
      <c r="D15" s="63"/>
      <c r="E15" s="63" t="str">
        <f>IF($C$1="English","Recapitulation of expenses from Project Application / Contract 3","Recapitularea costurilor Proiectului / Contractului")</f>
        <v>Recapitulation of expenses from Project Application / Contract 3</v>
      </c>
      <c r="F15" s="17"/>
      <c r="G15" s="17"/>
      <c r="H15" s="17"/>
      <c r="I15" s="15"/>
      <c r="J15" s="15"/>
      <c r="L15" s="198"/>
      <c r="M15" s="18"/>
      <c r="N15" s="20" t="s">
        <v>4</v>
      </c>
      <c r="O15" s="20"/>
      <c r="P15" s="19"/>
      <c r="Q15" s="19"/>
      <c r="R15" s="19"/>
      <c r="S15" s="17"/>
      <c r="Y15" s="117"/>
    </row>
    <row r="16" spans="1:25" s="16" customFormat="1" ht="22.5" customHeight="1" x14ac:dyDescent="0.35">
      <c r="A16" s="350" t="str">
        <f>IF($C$1="English","Total costs","Costuri Totale")</f>
        <v>Total costs</v>
      </c>
      <c r="B16" s="350" t="str">
        <f>IF($C$1="English","Promoter's costs","Costurile Promotorului")</f>
        <v>Promoter's costs</v>
      </c>
      <c r="C16" s="357" t="str">
        <f>IF($C$1="English","Partner(s) costs","Costurile Partnerului (ilor)")</f>
        <v>Partner(s) costs</v>
      </c>
      <c r="D16" s="357"/>
      <c r="E16" s="358" t="str">
        <f>IF($C$1="English","Promoter's  contribution","Contributia Promotorului")</f>
        <v>Promoter's  contribution</v>
      </c>
      <c r="F16" s="358" t="str">
        <f>IF($C$1="English","Partner(s) contribution","Contributia Partenerului")</f>
        <v>Partner(s) contribution</v>
      </c>
      <c r="G16" s="358"/>
      <c r="H16" s="316" t="str">
        <f>IF($C$1="English","Grant","Valoare Grant")</f>
        <v>Grant</v>
      </c>
      <c r="I16" s="316"/>
      <c r="J16" s="316" t="s">
        <v>10</v>
      </c>
      <c r="L16" s="199"/>
      <c r="M16" s="367" t="s">
        <v>5</v>
      </c>
      <c r="N16" s="367"/>
      <c r="O16" s="357" t="s">
        <v>11</v>
      </c>
      <c r="P16" s="357"/>
      <c r="Q16" s="357" t="s">
        <v>6</v>
      </c>
      <c r="R16" s="352" t="s">
        <v>7</v>
      </c>
      <c r="S16" s="352"/>
      <c r="T16" s="352" t="s">
        <v>8</v>
      </c>
      <c r="U16" s="352"/>
      <c r="V16" s="353" t="s">
        <v>9</v>
      </c>
      <c r="W16" s="352"/>
      <c r="X16" s="367" t="s">
        <v>10</v>
      </c>
      <c r="Y16" s="117"/>
    </row>
    <row r="17" spans="1:25" s="21" customFormat="1" ht="15" customHeight="1" x14ac:dyDescent="0.35">
      <c r="A17" s="350"/>
      <c r="B17" s="350"/>
      <c r="C17" s="357"/>
      <c r="D17" s="357"/>
      <c r="E17" s="358"/>
      <c r="F17" s="358"/>
      <c r="G17" s="358"/>
      <c r="H17" s="316"/>
      <c r="I17" s="316"/>
      <c r="J17" s="316"/>
      <c r="L17" s="199"/>
      <c r="M17" s="367"/>
      <c r="N17" s="367"/>
      <c r="O17" s="357"/>
      <c r="P17" s="357"/>
      <c r="Q17" s="357"/>
      <c r="R17" s="352"/>
      <c r="S17" s="352"/>
      <c r="T17" s="352"/>
      <c r="U17" s="352"/>
      <c r="V17" s="352"/>
      <c r="W17" s="352"/>
      <c r="X17" s="367"/>
      <c r="Y17" s="23"/>
    </row>
    <row r="18" spans="1:25" s="22" customFormat="1" ht="22.5" customHeight="1" x14ac:dyDescent="0.35">
      <c r="A18" s="306">
        <f>B243</f>
        <v>0</v>
      </c>
      <c r="B18" s="306">
        <f>C243</f>
        <v>0</v>
      </c>
      <c r="C18" s="351">
        <f>E243</f>
        <v>0</v>
      </c>
      <c r="D18" s="351"/>
      <c r="E18" s="306">
        <f>G243</f>
        <v>0</v>
      </c>
      <c r="F18" s="351">
        <f>I243</f>
        <v>0</v>
      </c>
      <c r="G18" s="351"/>
      <c r="H18" s="351">
        <f>J243</f>
        <v>0</v>
      </c>
      <c r="I18" s="351"/>
      <c r="J18" s="181">
        <f>K243</f>
        <v>0</v>
      </c>
      <c r="L18" s="200"/>
      <c r="M18" s="351">
        <f>M243</f>
        <v>0</v>
      </c>
      <c r="N18" s="351"/>
      <c r="O18" s="351">
        <f>O243</f>
        <v>0</v>
      </c>
      <c r="P18" s="351"/>
      <c r="Q18" s="306">
        <f>Q243</f>
        <v>0</v>
      </c>
      <c r="R18" s="351">
        <f>S243</f>
        <v>0</v>
      </c>
      <c r="S18" s="351"/>
      <c r="T18" s="351">
        <f>T243</f>
        <v>0</v>
      </c>
      <c r="U18" s="351"/>
      <c r="V18" s="351">
        <f>U243</f>
        <v>0</v>
      </c>
      <c r="W18" s="351"/>
      <c r="X18" s="181">
        <f>W243</f>
        <v>0</v>
      </c>
      <c r="Y18" s="23"/>
    </row>
    <row r="19" spans="1:25" s="21" customFormat="1" ht="15" customHeight="1" x14ac:dyDescent="0.35">
      <c r="C19" s="24"/>
      <c r="D19" s="24"/>
      <c r="E19" s="17"/>
      <c r="F19" s="17"/>
      <c r="G19" s="17"/>
      <c r="H19" s="17"/>
      <c r="I19" s="17"/>
      <c r="J19" s="17"/>
      <c r="L19" s="201"/>
      <c r="M19" s="25"/>
      <c r="N19" s="25"/>
      <c r="O19" s="25"/>
      <c r="T19" s="17"/>
      <c r="U19" s="17"/>
      <c r="V19" s="17"/>
      <c r="W19" s="17"/>
      <c r="X19" s="17"/>
      <c r="Y19" s="23"/>
    </row>
    <row r="20" spans="1:25" ht="30" customHeight="1" x14ac:dyDescent="0.35">
      <c r="A20" s="26" t="str">
        <f>IF($C$1="English","ELIGIBLE COSTS IN EURO","COSTURI ELIGIBILE IN EURO")</f>
        <v>ELIGIBLE COSTS IN EURO</v>
      </c>
      <c r="B20" s="26"/>
      <c r="C20" s="27"/>
      <c r="D20" s="27"/>
      <c r="E20" s="26"/>
      <c r="F20" s="26"/>
      <c r="G20" s="26"/>
      <c r="H20" s="26"/>
      <c r="I20" s="26"/>
      <c r="J20" s="28"/>
      <c r="K20" s="185"/>
      <c r="L20" s="190"/>
      <c r="M20" s="186"/>
      <c r="N20" s="29"/>
      <c r="O20" s="29"/>
      <c r="P20" s="29"/>
      <c r="Q20" s="29"/>
      <c r="R20" s="29"/>
      <c r="S20" s="29"/>
      <c r="T20" s="30"/>
      <c r="U20" s="30"/>
      <c r="V20" s="30"/>
      <c r="W20" s="30"/>
      <c r="X20" s="28"/>
    </row>
    <row r="21" spans="1:25" ht="22.5" customHeight="1" x14ac:dyDescent="0.35">
      <c r="A21" s="323" t="str">
        <f>IF($C$1="English","Activity 1. 4","Activitatea 1. 4")</f>
        <v>Activity 1. 4</v>
      </c>
      <c r="B21" s="324"/>
      <c r="C21" s="346" t="str">
        <f>IF($C$1="English","Eligible costs in the Project Application / Project Contract 5","Costuri eligibile conform Aplicatiei/conform Contractului 5")</f>
        <v>Eligible costs in the Project Application / Project Contract 5</v>
      </c>
      <c r="D21" s="346"/>
      <c r="E21" s="346"/>
      <c r="F21" s="346"/>
      <c r="G21" s="346"/>
      <c r="H21" s="346"/>
      <c r="I21" s="346"/>
      <c r="J21" s="346"/>
      <c r="K21" s="347"/>
      <c r="L21" s="191"/>
      <c r="M21" s="330" t="str">
        <f>IF($C$1="English","Eligible costs in the latest Project Modification","Costurile eligibile conform ultimei modificari in bugetul proiectului")</f>
        <v>Eligible costs in the latest Project Modification</v>
      </c>
      <c r="N21" s="330"/>
      <c r="O21" s="330"/>
      <c r="P21" s="330"/>
      <c r="Q21" s="330"/>
      <c r="R21" s="330"/>
      <c r="S21" s="330"/>
      <c r="T21" s="330"/>
      <c r="U21" s="331"/>
      <c r="V21" s="329" t="str">
        <f>IF($C$1="English","Comments","Comentarii")</f>
        <v>Comments</v>
      </c>
      <c r="W21" s="330"/>
      <c r="X21" s="331"/>
    </row>
    <row r="22" spans="1:25" ht="37.5" customHeight="1" x14ac:dyDescent="0.35">
      <c r="A22" s="343" t="s">
        <v>2</v>
      </c>
      <c r="B22" s="344"/>
      <c r="C22" s="346"/>
      <c r="D22" s="346"/>
      <c r="E22" s="346"/>
      <c r="F22" s="346"/>
      <c r="G22" s="346"/>
      <c r="H22" s="355"/>
      <c r="I22" s="355"/>
      <c r="J22" s="346"/>
      <c r="K22" s="347"/>
      <c r="L22" s="191"/>
      <c r="M22" s="333"/>
      <c r="N22" s="333"/>
      <c r="O22" s="333"/>
      <c r="P22" s="333"/>
      <c r="Q22" s="333"/>
      <c r="R22" s="356"/>
      <c r="S22" s="356"/>
      <c r="T22" s="333"/>
      <c r="U22" s="334"/>
      <c r="V22" s="332"/>
      <c r="W22" s="333"/>
      <c r="X22" s="334"/>
      <c r="Y22" s="176"/>
    </row>
    <row r="23" spans="1:25" s="32" customFormat="1" ht="44.5" customHeight="1" x14ac:dyDescent="0.35">
      <c r="A23" s="327" t="str">
        <f>IF($C$1="English","Short description","Scurta descriere")</f>
        <v>Short description</v>
      </c>
      <c r="B23" s="328"/>
      <c r="C23" s="31" t="str">
        <f>IF($C$1="English","Unit type","Unitatea de masura")</f>
        <v>Unit type</v>
      </c>
      <c r="D23" s="31" t="str">
        <f>IF($C$1="English","No of units","Numar de unitati")</f>
        <v>No of units</v>
      </c>
      <c r="E23" s="31" t="str">
        <f>IF($C$1="English","Unit cost","Costul unitar")</f>
        <v>Unit cost</v>
      </c>
      <c r="F23" s="335" t="str">
        <f>IF($C$1="English","Costs by (select) 6 amount","Valoarea costurilor aferente (selectati)")</f>
        <v>Costs by (select) 6 amount</v>
      </c>
      <c r="G23" s="345"/>
      <c r="H23" s="335" t="str">
        <f>IF($C$1="English","Own contribution by (select) 6 amount","Valoarea contributiei (Selectati)")</f>
        <v>Own contribution by (select) 6 amount</v>
      </c>
      <c r="I23" s="336"/>
      <c r="J23" s="305" t="s">
        <v>9</v>
      </c>
      <c r="K23" s="304" t="s">
        <v>10</v>
      </c>
      <c r="L23" s="192"/>
      <c r="M23" s="305" t="str">
        <f>C23</f>
        <v>Unit type</v>
      </c>
      <c r="N23" s="31" t="str">
        <f>D23</f>
        <v>No of units</v>
      </c>
      <c r="O23" s="31" t="str">
        <f>E23</f>
        <v>Unit cost</v>
      </c>
      <c r="P23" s="335" t="str">
        <f>F23</f>
        <v>Costs by (select) 6 amount</v>
      </c>
      <c r="Q23" s="345"/>
      <c r="R23" s="335" t="str">
        <f>H23</f>
        <v>Own contribution by (select) 6 amount</v>
      </c>
      <c r="S23" s="336"/>
      <c r="T23" s="305" t="str">
        <f>J23</f>
        <v>Grant</v>
      </c>
      <c r="U23" s="31" t="s">
        <v>10</v>
      </c>
      <c r="V23" s="327" t="str">
        <f>V21</f>
        <v>Comments</v>
      </c>
      <c r="W23" s="337"/>
      <c r="X23" s="328"/>
      <c r="Y23" s="118"/>
    </row>
    <row r="24" spans="1:25" ht="30" customHeight="1" x14ac:dyDescent="0.35">
      <c r="A24" s="348" t="s">
        <v>199</v>
      </c>
      <c r="B24" s="349"/>
      <c r="C24" s="1" t="s">
        <v>201</v>
      </c>
      <c r="D24" s="1"/>
      <c r="E24" s="3"/>
      <c r="F24" s="5" t="s">
        <v>12</v>
      </c>
      <c r="G24" s="214">
        <f>D24*E24</f>
        <v>0</v>
      </c>
      <c r="H24" s="5" t="s">
        <v>12</v>
      </c>
      <c r="I24" s="172">
        <f>G24*0.5</f>
        <v>0</v>
      </c>
      <c r="J24" s="33">
        <f>G24-I24</f>
        <v>0</v>
      </c>
      <c r="K24" s="207">
        <f>IFERROR(J24/G24,0)</f>
        <v>0</v>
      </c>
      <c r="L24" s="193"/>
      <c r="M24" s="187"/>
      <c r="N24" s="1"/>
      <c r="O24" s="3"/>
      <c r="P24" s="5" t="s">
        <v>12</v>
      </c>
      <c r="Q24" s="215">
        <f>N24*O24</f>
        <v>0</v>
      </c>
      <c r="R24" s="5" t="s">
        <v>12</v>
      </c>
      <c r="S24" s="173"/>
      <c r="T24" s="33">
        <f>Q24-S24</f>
        <v>0</v>
      </c>
      <c r="U24" s="209">
        <f>IFERROR(T24/Q24,0)</f>
        <v>0</v>
      </c>
      <c r="V24" s="318"/>
      <c r="W24" s="319"/>
      <c r="X24" s="320"/>
      <c r="Y24" s="119" t="str">
        <f>IF((AND(F24="…", P24="…")), "Empty budget line", "")</f>
        <v>Empty budget line</v>
      </c>
    </row>
    <row r="25" spans="1:25" ht="43" customHeight="1" x14ac:dyDescent="0.35">
      <c r="A25" s="348" t="s">
        <v>200</v>
      </c>
      <c r="B25" s="349"/>
      <c r="C25" s="1" t="s">
        <v>202</v>
      </c>
      <c r="D25" s="1"/>
      <c r="E25" s="3"/>
      <c r="F25" s="5" t="s">
        <v>12</v>
      </c>
      <c r="G25" s="214">
        <f t="shared" ref="G25:G83" si="0">D25*E25</f>
        <v>0</v>
      </c>
      <c r="H25" s="5" t="s">
        <v>12</v>
      </c>
      <c r="I25" s="4"/>
      <c r="J25" s="33">
        <f t="shared" ref="J25:J28" si="1">G25-I25</f>
        <v>0</v>
      </c>
      <c r="K25" s="207">
        <f>IFERROR(J25/G25,0)</f>
        <v>0</v>
      </c>
      <c r="L25" s="193"/>
      <c r="M25" s="187"/>
      <c r="N25" s="1"/>
      <c r="O25" s="3"/>
      <c r="P25" s="5" t="s">
        <v>12</v>
      </c>
      <c r="Q25" s="215">
        <f t="shared" ref="Q25:Q82" si="2">N25*O25</f>
        <v>0</v>
      </c>
      <c r="R25" s="5" t="s">
        <v>12</v>
      </c>
      <c r="S25" s="3"/>
      <c r="T25" s="33">
        <f t="shared" ref="T25:T28" si="3">Q25-S25</f>
        <v>0</v>
      </c>
      <c r="U25" s="209">
        <f t="shared" ref="U25:U28" si="4">IFERROR(T25/Q25,0)</f>
        <v>0</v>
      </c>
      <c r="V25" s="318"/>
      <c r="W25" s="319"/>
      <c r="X25" s="320"/>
      <c r="Y25" s="119" t="str">
        <f t="shared" ref="Y25:Y88" si="5">IF((AND(F25="…", P25="…")), "Empty budget line", "")</f>
        <v>Empty budget line</v>
      </c>
    </row>
    <row r="26" spans="1:25" x14ac:dyDescent="0.35">
      <c r="A26" s="348"/>
      <c r="B26" s="349"/>
      <c r="C26" s="1"/>
      <c r="D26" s="1"/>
      <c r="E26" s="3"/>
      <c r="F26" s="5" t="s">
        <v>12</v>
      </c>
      <c r="G26" s="214">
        <f t="shared" si="0"/>
        <v>0</v>
      </c>
      <c r="H26" s="5" t="s">
        <v>12</v>
      </c>
      <c r="I26" s="172"/>
      <c r="J26" s="33">
        <f t="shared" si="1"/>
        <v>0</v>
      </c>
      <c r="K26" s="207">
        <f t="shared" ref="K26:K28" si="6">IFERROR(J26/G26,0)</f>
        <v>0</v>
      </c>
      <c r="L26" s="193"/>
      <c r="M26" s="187"/>
      <c r="N26" s="1"/>
      <c r="O26" s="3"/>
      <c r="P26" s="5" t="s">
        <v>12</v>
      </c>
      <c r="Q26" s="215">
        <f t="shared" si="2"/>
        <v>0</v>
      </c>
      <c r="R26" s="5" t="s">
        <v>12</v>
      </c>
      <c r="S26" s="3"/>
      <c r="T26" s="33">
        <f t="shared" si="3"/>
        <v>0</v>
      </c>
      <c r="U26" s="209">
        <f t="shared" si="4"/>
        <v>0</v>
      </c>
      <c r="V26" s="318"/>
      <c r="W26" s="319"/>
      <c r="X26" s="320"/>
      <c r="Y26" s="119" t="str">
        <f t="shared" si="5"/>
        <v>Empty budget line</v>
      </c>
    </row>
    <row r="27" spans="1:25" x14ac:dyDescent="0.35">
      <c r="A27" s="348"/>
      <c r="B27" s="349"/>
      <c r="C27" s="1"/>
      <c r="D27" s="1"/>
      <c r="E27" s="3"/>
      <c r="F27" s="5" t="s">
        <v>12</v>
      </c>
      <c r="G27" s="214">
        <f t="shared" si="0"/>
        <v>0</v>
      </c>
      <c r="H27" s="5" t="s">
        <v>12</v>
      </c>
      <c r="I27" s="4"/>
      <c r="J27" s="33">
        <f t="shared" si="1"/>
        <v>0</v>
      </c>
      <c r="K27" s="207">
        <f t="shared" si="6"/>
        <v>0</v>
      </c>
      <c r="L27" s="193"/>
      <c r="M27" s="187"/>
      <c r="N27" s="1"/>
      <c r="O27" s="3"/>
      <c r="P27" s="5" t="s">
        <v>12</v>
      </c>
      <c r="Q27" s="215">
        <f t="shared" si="2"/>
        <v>0</v>
      </c>
      <c r="R27" s="5" t="s">
        <v>12</v>
      </c>
      <c r="S27" s="3"/>
      <c r="T27" s="33">
        <f t="shared" si="3"/>
        <v>0</v>
      </c>
      <c r="U27" s="209">
        <f t="shared" si="4"/>
        <v>0</v>
      </c>
      <c r="V27" s="318"/>
      <c r="W27" s="319"/>
      <c r="X27" s="320"/>
      <c r="Y27" s="119" t="str">
        <f t="shared" si="5"/>
        <v>Empty budget line</v>
      </c>
    </row>
    <row r="28" spans="1:25" x14ac:dyDescent="0.35">
      <c r="A28" s="348"/>
      <c r="B28" s="349"/>
      <c r="C28" s="1"/>
      <c r="D28" s="1"/>
      <c r="E28" s="3"/>
      <c r="F28" s="5" t="s">
        <v>12</v>
      </c>
      <c r="G28" s="214">
        <f t="shared" si="0"/>
        <v>0</v>
      </c>
      <c r="H28" s="5" t="s">
        <v>12</v>
      </c>
      <c r="I28" s="172"/>
      <c r="J28" s="33">
        <f t="shared" si="1"/>
        <v>0</v>
      </c>
      <c r="K28" s="207">
        <f t="shared" si="6"/>
        <v>0</v>
      </c>
      <c r="L28" s="193"/>
      <c r="M28" s="187"/>
      <c r="N28" s="1"/>
      <c r="O28" s="3"/>
      <c r="P28" s="5" t="s">
        <v>12</v>
      </c>
      <c r="Q28" s="215">
        <f t="shared" si="2"/>
        <v>0</v>
      </c>
      <c r="R28" s="5" t="s">
        <v>12</v>
      </c>
      <c r="S28" s="3"/>
      <c r="T28" s="33">
        <f t="shared" si="3"/>
        <v>0</v>
      </c>
      <c r="U28" s="209">
        <f t="shared" si="4"/>
        <v>0</v>
      </c>
      <c r="V28" s="318"/>
      <c r="W28" s="319"/>
      <c r="X28" s="320"/>
      <c r="Y28" s="119" t="str">
        <f t="shared" si="5"/>
        <v>Empty budget line</v>
      </c>
    </row>
    <row r="29" spans="1:25" x14ac:dyDescent="0.35">
      <c r="A29" s="348"/>
      <c r="B29" s="349"/>
      <c r="C29" s="1"/>
      <c r="D29" s="1"/>
      <c r="E29" s="3"/>
      <c r="F29" s="5" t="s">
        <v>12</v>
      </c>
      <c r="G29" s="214">
        <f t="shared" si="0"/>
        <v>0</v>
      </c>
      <c r="H29" s="5" t="s">
        <v>12</v>
      </c>
      <c r="I29" s="4"/>
      <c r="J29" s="33">
        <f>G29-I29</f>
        <v>0</v>
      </c>
      <c r="K29" s="207">
        <f>IFERROR(J29/G29,0)</f>
        <v>0</v>
      </c>
      <c r="L29" s="193"/>
      <c r="M29" s="187"/>
      <c r="N29" s="1"/>
      <c r="O29" s="3"/>
      <c r="P29" s="5" t="s">
        <v>12</v>
      </c>
      <c r="Q29" s="215">
        <f t="shared" si="2"/>
        <v>0</v>
      </c>
      <c r="R29" s="5" t="s">
        <v>12</v>
      </c>
      <c r="S29" s="3"/>
      <c r="T29" s="33">
        <f>Q29-S29</f>
        <v>0</v>
      </c>
      <c r="U29" s="209">
        <f>IFERROR(T29/Q29,0)</f>
        <v>0</v>
      </c>
      <c r="V29" s="318"/>
      <c r="W29" s="319"/>
      <c r="X29" s="320"/>
      <c r="Y29" s="119" t="str">
        <f t="shared" si="5"/>
        <v>Empty budget line</v>
      </c>
    </row>
    <row r="30" spans="1:25" x14ac:dyDescent="0.35">
      <c r="A30" s="348"/>
      <c r="B30" s="349"/>
      <c r="C30" s="1"/>
      <c r="D30" s="1"/>
      <c r="E30" s="3"/>
      <c r="F30" s="5" t="s">
        <v>12</v>
      </c>
      <c r="G30" s="214">
        <f t="shared" si="0"/>
        <v>0</v>
      </c>
      <c r="H30" s="5" t="s">
        <v>12</v>
      </c>
      <c r="I30" s="172"/>
      <c r="J30" s="33">
        <f t="shared" ref="J30:J33" si="7">G30-I30</f>
        <v>0</v>
      </c>
      <c r="K30" s="207">
        <f t="shared" ref="K30:K33" si="8">IFERROR(J30/G30,0)</f>
        <v>0</v>
      </c>
      <c r="L30" s="193"/>
      <c r="M30" s="187"/>
      <c r="N30" s="1"/>
      <c r="O30" s="3"/>
      <c r="P30" s="5" t="s">
        <v>12</v>
      </c>
      <c r="Q30" s="215">
        <f t="shared" si="2"/>
        <v>0</v>
      </c>
      <c r="R30" s="5" t="s">
        <v>12</v>
      </c>
      <c r="S30" s="3"/>
      <c r="T30" s="33">
        <f t="shared" ref="T30:T33" si="9">Q30-S30</f>
        <v>0</v>
      </c>
      <c r="U30" s="209">
        <f t="shared" ref="U30:U33" si="10">IFERROR(T30/Q30,0)</f>
        <v>0</v>
      </c>
      <c r="V30" s="318"/>
      <c r="W30" s="319"/>
      <c r="X30" s="320"/>
      <c r="Y30" s="119" t="str">
        <f t="shared" si="5"/>
        <v>Empty budget line</v>
      </c>
    </row>
    <row r="31" spans="1:25" x14ac:dyDescent="0.35">
      <c r="A31" s="348"/>
      <c r="B31" s="349"/>
      <c r="C31" s="1"/>
      <c r="D31" s="1"/>
      <c r="E31" s="3"/>
      <c r="F31" s="5" t="s">
        <v>12</v>
      </c>
      <c r="G31" s="214">
        <f t="shared" si="0"/>
        <v>0</v>
      </c>
      <c r="H31" s="5" t="s">
        <v>12</v>
      </c>
      <c r="I31" s="4"/>
      <c r="J31" s="33">
        <f t="shared" si="7"/>
        <v>0</v>
      </c>
      <c r="K31" s="207">
        <f t="shared" si="8"/>
        <v>0</v>
      </c>
      <c r="L31" s="193"/>
      <c r="M31" s="187"/>
      <c r="N31" s="1"/>
      <c r="O31" s="3"/>
      <c r="P31" s="5" t="s">
        <v>12</v>
      </c>
      <c r="Q31" s="215">
        <f t="shared" si="2"/>
        <v>0</v>
      </c>
      <c r="R31" s="5" t="s">
        <v>12</v>
      </c>
      <c r="S31" s="3"/>
      <c r="T31" s="33">
        <f t="shared" si="9"/>
        <v>0</v>
      </c>
      <c r="U31" s="209">
        <f t="shared" si="10"/>
        <v>0</v>
      </c>
      <c r="V31" s="318"/>
      <c r="W31" s="319"/>
      <c r="X31" s="320"/>
      <c r="Y31" s="119" t="str">
        <f t="shared" si="5"/>
        <v>Empty budget line</v>
      </c>
    </row>
    <row r="32" spans="1:25" x14ac:dyDescent="0.35">
      <c r="A32" s="348"/>
      <c r="B32" s="349"/>
      <c r="C32" s="1"/>
      <c r="D32" s="1"/>
      <c r="E32" s="3"/>
      <c r="F32" s="5" t="s">
        <v>12</v>
      </c>
      <c r="G32" s="214">
        <f t="shared" si="0"/>
        <v>0</v>
      </c>
      <c r="H32" s="5" t="s">
        <v>12</v>
      </c>
      <c r="I32" s="172"/>
      <c r="J32" s="33">
        <f t="shared" si="7"/>
        <v>0</v>
      </c>
      <c r="K32" s="207">
        <f t="shared" si="8"/>
        <v>0</v>
      </c>
      <c r="L32" s="193"/>
      <c r="M32" s="187"/>
      <c r="N32" s="1"/>
      <c r="O32" s="3"/>
      <c r="P32" s="5" t="s">
        <v>12</v>
      </c>
      <c r="Q32" s="215">
        <f t="shared" si="2"/>
        <v>0</v>
      </c>
      <c r="R32" s="5" t="s">
        <v>12</v>
      </c>
      <c r="S32" s="3"/>
      <c r="T32" s="33">
        <f t="shared" si="9"/>
        <v>0</v>
      </c>
      <c r="U32" s="209">
        <f t="shared" si="10"/>
        <v>0</v>
      </c>
      <c r="V32" s="318"/>
      <c r="W32" s="319"/>
      <c r="X32" s="320"/>
      <c r="Y32" s="119" t="str">
        <f t="shared" si="5"/>
        <v>Empty budget line</v>
      </c>
    </row>
    <row r="33" spans="1:25" x14ac:dyDescent="0.35">
      <c r="A33" s="348"/>
      <c r="B33" s="349"/>
      <c r="C33" s="1"/>
      <c r="D33" s="1"/>
      <c r="E33" s="3"/>
      <c r="F33" s="5" t="s">
        <v>12</v>
      </c>
      <c r="G33" s="214">
        <f t="shared" si="0"/>
        <v>0</v>
      </c>
      <c r="H33" s="5" t="s">
        <v>12</v>
      </c>
      <c r="I33" s="4"/>
      <c r="J33" s="33">
        <f t="shared" si="7"/>
        <v>0</v>
      </c>
      <c r="K33" s="207">
        <f t="shared" si="8"/>
        <v>0</v>
      </c>
      <c r="L33" s="193"/>
      <c r="M33" s="187"/>
      <c r="N33" s="1"/>
      <c r="O33" s="3"/>
      <c r="P33" s="5" t="s">
        <v>12</v>
      </c>
      <c r="Q33" s="215">
        <f t="shared" si="2"/>
        <v>0</v>
      </c>
      <c r="R33" s="5" t="s">
        <v>12</v>
      </c>
      <c r="S33" s="3"/>
      <c r="T33" s="33">
        <f t="shared" si="9"/>
        <v>0</v>
      </c>
      <c r="U33" s="209">
        <f t="shared" si="10"/>
        <v>0</v>
      </c>
      <c r="V33" s="318"/>
      <c r="W33" s="319"/>
      <c r="X33" s="320"/>
      <c r="Y33" s="119" t="str">
        <f t="shared" si="5"/>
        <v>Empty budget line</v>
      </c>
    </row>
    <row r="34" spans="1:25" x14ac:dyDescent="0.35">
      <c r="A34" s="348"/>
      <c r="B34" s="349"/>
      <c r="C34" s="1"/>
      <c r="D34" s="1"/>
      <c r="E34" s="3"/>
      <c r="F34" s="5" t="s">
        <v>12</v>
      </c>
      <c r="G34" s="214">
        <f t="shared" si="0"/>
        <v>0</v>
      </c>
      <c r="H34" s="5" t="s">
        <v>12</v>
      </c>
      <c r="I34" s="172"/>
      <c r="J34" s="33">
        <f>G34-I34</f>
        <v>0</v>
      </c>
      <c r="K34" s="207">
        <f>IFERROR(J34/G34,0)</f>
        <v>0</v>
      </c>
      <c r="L34" s="193"/>
      <c r="M34" s="187"/>
      <c r="N34" s="1"/>
      <c r="O34" s="3"/>
      <c r="P34" s="5" t="s">
        <v>12</v>
      </c>
      <c r="Q34" s="215">
        <f t="shared" si="2"/>
        <v>0</v>
      </c>
      <c r="R34" s="5" t="s">
        <v>12</v>
      </c>
      <c r="S34" s="3"/>
      <c r="T34" s="33">
        <f>Q34-S34</f>
        <v>0</v>
      </c>
      <c r="U34" s="209">
        <f>IFERROR(T34/Q34,0)</f>
        <v>0</v>
      </c>
      <c r="V34" s="318"/>
      <c r="W34" s="319"/>
      <c r="X34" s="320"/>
      <c r="Y34" s="119" t="str">
        <f t="shared" si="5"/>
        <v>Empty budget line</v>
      </c>
    </row>
    <row r="35" spans="1:25" x14ac:dyDescent="0.35">
      <c r="A35" s="348"/>
      <c r="B35" s="349"/>
      <c r="C35" s="1"/>
      <c r="D35" s="1"/>
      <c r="E35" s="3"/>
      <c r="F35" s="5" t="s">
        <v>12</v>
      </c>
      <c r="G35" s="214">
        <f t="shared" si="0"/>
        <v>0</v>
      </c>
      <c r="H35" s="5" t="s">
        <v>12</v>
      </c>
      <c r="I35" s="4"/>
      <c r="J35" s="33">
        <f t="shared" ref="J35:J38" si="11">G35-I35</f>
        <v>0</v>
      </c>
      <c r="K35" s="207">
        <f t="shared" ref="K35:K38" si="12">IFERROR(J35/G35,0)</f>
        <v>0</v>
      </c>
      <c r="L35" s="193"/>
      <c r="M35" s="187"/>
      <c r="N35" s="1"/>
      <c r="O35" s="3"/>
      <c r="P35" s="5" t="s">
        <v>12</v>
      </c>
      <c r="Q35" s="215">
        <f t="shared" si="2"/>
        <v>0</v>
      </c>
      <c r="R35" s="5" t="s">
        <v>12</v>
      </c>
      <c r="S35" s="3"/>
      <c r="T35" s="33">
        <f t="shared" ref="T35:T38" si="13">Q35-S35</f>
        <v>0</v>
      </c>
      <c r="U35" s="209">
        <f t="shared" ref="U35:U38" si="14">IFERROR(T35/Q35,0)</f>
        <v>0</v>
      </c>
      <c r="V35" s="318"/>
      <c r="W35" s="319"/>
      <c r="X35" s="320"/>
      <c r="Y35" s="119" t="str">
        <f t="shared" si="5"/>
        <v>Empty budget line</v>
      </c>
    </row>
    <row r="36" spans="1:25" x14ac:dyDescent="0.35">
      <c r="A36" s="348"/>
      <c r="B36" s="349"/>
      <c r="C36" s="1"/>
      <c r="D36" s="1"/>
      <c r="E36" s="3"/>
      <c r="F36" s="5" t="s">
        <v>12</v>
      </c>
      <c r="G36" s="214">
        <f t="shared" si="0"/>
        <v>0</v>
      </c>
      <c r="H36" s="5" t="s">
        <v>12</v>
      </c>
      <c r="I36" s="172"/>
      <c r="J36" s="33">
        <f t="shared" si="11"/>
        <v>0</v>
      </c>
      <c r="K36" s="207">
        <f t="shared" si="12"/>
        <v>0</v>
      </c>
      <c r="L36" s="193"/>
      <c r="M36" s="187"/>
      <c r="N36" s="1"/>
      <c r="O36" s="3"/>
      <c r="P36" s="5" t="s">
        <v>12</v>
      </c>
      <c r="Q36" s="215">
        <f t="shared" si="2"/>
        <v>0</v>
      </c>
      <c r="R36" s="5" t="s">
        <v>12</v>
      </c>
      <c r="S36" s="3"/>
      <c r="T36" s="33">
        <f t="shared" si="13"/>
        <v>0</v>
      </c>
      <c r="U36" s="209">
        <f t="shared" si="14"/>
        <v>0</v>
      </c>
      <c r="V36" s="318"/>
      <c r="W36" s="319"/>
      <c r="X36" s="320"/>
      <c r="Y36" s="119" t="str">
        <f t="shared" si="5"/>
        <v>Empty budget line</v>
      </c>
    </row>
    <row r="37" spans="1:25" x14ac:dyDescent="0.35">
      <c r="A37" s="348"/>
      <c r="B37" s="349"/>
      <c r="C37" s="1"/>
      <c r="D37" s="1"/>
      <c r="E37" s="3"/>
      <c r="F37" s="5" t="s">
        <v>12</v>
      </c>
      <c r="G37" s="214">
        <f t="shared" si="0"/>
        <v>0</v>
      </c>
      <c r="H37" s="5" t="s">
        <v>12</v>
      </c>
      <c r="I37" s="4"/>
      <c r="J37" s="33">
        <f t="shared" si="11"/>
        <v>0</v>
      </c>
      <c r="K37" s="207">
        <f t="shared" si="12"/>
        <v>0</v>
      </c>
      <c r="L37" s="193"/>
      <c r="M37" s="187"/>
      <c r="N37" s="1"/>
      <c r="O37" s="3"/>
      <c r="P37" s="5" t="s">
        <v>12</v>
      </c>
      <c r="Q37" s="215">
        <f t="shared" si="2"/>
        <v>0</v>
      </c>
      <c r="R37" s="5" t="s">
        <v>12</v>
      </c>
      <c r="S37" s="3"/>
      <c r="T37" s="33">
        <f t="shared" si="13"/>
        <v>0</v>
      </c>
      <c r="U37" s="209">
        <f t="shared" si="14"/>
        <v>0</v>
      </c>
      <c r="V37" s="318"/>
      <c r="W37" s="319"/>
      <c r="X37" s="320"/>
      <c r="Y37" s="119" t="str">
        <f t="shared" si="5"/>
        <v>Empty budget line</v>
      </c>
    </row>
    <row r="38" spans="1:25" x14ac:dyDescent="0.35">
      <c r="A38" s="348"/>
      <c r="B38" s="349"/>
      <c r="C38" s="1"/>
      <c r="D38" s="1"/>
      <c r="E38" s="3"/>
      <c r="F38" s="5" t="s">
        <v>12</v>
      </c>
      <c r="G38" s="214">
        <f t="shared" si="0"/>
        <v>0</v>
      </c>
      <c r="H38" s="5" t="s">
        <v>12</v>
      </c>
      <c r="I38" s="172"/>
      <c r="J38" s="33">
        <f t="shared" si="11"/>
        <v>0</v>
      </c>
      <c r="K38" s="207">
        <f t="shared" si="12"/>
        <v>0</v>
      </c>
      <c r="L38" s="193"/>
      <c r="M38" s="187"/>
      <c r="N38" s="1"/>
      <c r="O38" s="3"/>
      <c r="P38" s="5" t="s">
        <v>12</v>
      </c>
      <c r="Q38" s="215">
        <f t="shared" si="2"/>
        <v>0</v>
      </c>
      <c r="R38" s="5" t="s">
        <v>12</v>
      </c>
      <c r="S38" s="3"/>
      <c r="T38" s="33">
        <f t="shared" si="13"/>
        <v>0</v>
      </c>
      <c r="U38" s="209">
        <f t="shared" si="14"/>
        <v>0</v>
      </c>
      <c r="V38" s="318"/>
      <c r="W38" s="319"/>
      <c r="X38" s="320"/>
      <c r="Y38" s="119" t="str">
        <f t="shared" si="5"/>
        <v>Empty budget line</v>
      </c>
    </row>
    <row r="39" spans="1:25" x14ac:dyDescent="0.35">
      <c r="A39" s="348"/>
      <c r="B39" s="349"/>
      <c r="C39" s="1"/>
      <c r="D39" s="1"/>
      <c r="E39" s="3"/>
      <c r="F39" s="5" t="s">
        <v>12</v>
      </c>
      <c r="G39" s="214">
        <f t="shared" si="0"/>
        <v>0</v>
      </c>
      <c r="H39" s="5" t="s">
        <v>12</v>
      </c>
      <c r="I39" s="4"/>
      <c r="J39" s="33">
        <f>G39-I39</f>
        <v>0</v>
      </c>
      <c r="K39" s="207">
        <f>IFERROR(J39/G39,0)</f>
        <v>0</v>
      </c>
      <c r="L39" s="193"/>
      <c r="M39" s="187"/>
      <c r="N39" s="1"/>
      <c r="O39" s="3"/>
      <c r="P39" s="5" t="s">
        <v>12</v>
      </c>
      <c r="Q39" s="215">
        <f t="shared" si="2"/>
        <v>0</v>
      </c>
      <c r="R39" s="5" t="s">
        <v>12</v>
      </c>
      <c r="S39" s="3"/>
      <c r="T39" s="33">
        <f>Q39-S39</f>
        <v>0</v>
      </c>
      <c r="U39" s="209">
        <f>IFERROR(T39/Q39,0)</f>
        <v>0</v>
      </c>
      <c r="V39" s="318"/>
      <c r="W39" s="319"/>
      <c r="X39" s="320"/>
      <c r="Y39" s="119" t="str">
        <f t="shared" si="5"/>
        <v>Empty budget line</v>
      </c>
    </row>
    <row r="40" spans="1:25" x14ac:dyDescent="0.35">
      <c r="A40" s="348"/>
      <c r="B40" s="349"/>
      <c r="C40" s="1"/>
      <c r="D40" s="1"/>
      <c r="E40" s="3"/>
      <c r="F40" s="5" t="s">
        <v>12</v>
      </c>
      <c r="G40" s="214">
        <f t="shared" si="0"/>
        <v>0</v>
      </c>
      <c r="H40" s="5" t="s">
        <v>12</v>
      </c>
      <c r="I40" s="172"/>
      <c r="J40" s="33">
        <f t="shared" ref="J40:J43" si="15">G40-I40</f>
        <v>0</v>
      </c>
      <c r="K40" s="207">
        <f t="shared" ref="K40:K43" si="16">IFERROR(J40/G40,0)</f>
        <v>0</v>
      </c>
      <c r="L40" s="193"/>
      <c r="M40" s="187"/>
      <c r="N40" s="1"/>
      <c r="O40" s="3"/>
      <c r="P40" s="5" t="s">
        <v>12</v>
      </c>
      <c r="Q40" s="215">
        <f t="shared" si="2"/>
        <v>0</v>
      </c>
      <c r="R40" s="5" t="s">
        <v>12</v>
      </c>
      <c r="S40" s="3"/>
      <c r="T40" s="33">
        <f t="shared" ref="T40:T43" si="17">Q40-S40</f>
        <v>0</v>
      </c>
      <c r="U40" s="209">
        <f t="shared" ref="U40:U43" si="18">IFERROR(T40/Q40,0)</f>
        <v>0</v>
      </c>
      <c r="V40" s="318"/>
      <c r="W40" s="319"/>
      <c r="X40" s="320"/>
      <c r="Y40" s="119" t="str">
        <f t="shared" si="5"/>
        <v>Empty budget line</v>
      </c>
    </row>
    <row r="41" spans="1:25" x14ac:dyDescent="0.35">
      <c r="A41" s="348"/>
      <c r="B41" s="349"/>
      <c r="C41" s="1"/>
      <c r="D41" s="1"/>
      <c r="E41" s="3"/>
      <c r="F41" s="5" t="s">
        <v>12</v>
      </c>
      <c r="G41" s="214">
        <f t="shared" si="0"/>
        <v>0</v>
      </c>
      <c r="H41" s="5" t="s">
        <v>12</v>
      </c>
      <c r="I41" s="4"/>
      <c r="J41" s="33">
        <f t="shared" si="15"/>
        <v>0</v>
      </c>
      <c r="K41" s="207">
        <f t="shared" si="16"/>
        <v>0</v>
      </c>
      <c r="L41" s="193"/>
      <c r="M41" s="187"/>
      <c r="N41" s="1"/>
      <c r="O41" s="3"/>
      <c r="P41" s="5" t="s">
        <v>12</v>
      </c>
      <c r="Q41" s="215">
        <f t="shared" si="2"/>
        <v>0</v>
      </c>
      <c r="R41" s="5" t="s">
        <v>12</v>
      </c>
      <c r="S41" s="3"/>
      <c r="T41" s="33">
        <f t="shared" si="17"/>
        <v>0</v>
      </c>
      <c r="U41" s="209">
        <f t="shared" si="18"/>
        <v>0</v>
      </c>
      <c r="V41" s="318"/>
      <c r="W41" s="319"/>
      <c r="X41" s="320"/>
      <c r="Y41" s="119" t="str">
        <f t="shared" si="5"/>
        <v>Empty budget line</v>
      </c>
    </row>
    <row r="42" spans="1:25" x14ac:dyDescent="0.35">
      <c r="A42" s="348"/>
      <c r="B42" s="349"/>
      <c r="C42" s="1"/>
      <c r="D42" s="1"/>
      <c r="E42" s="3"/>
      <c r="F42" s="5" t="s">
        <v>12</v>
      </c>
      <c r="G42" s="214">
        <f t="shared" si="0"/>
        <v>0</v>
      </c>
      <c r="H42" s="5" t="s">
        <v>12</v>
      </c>
      <c r="I42" s="172"/>
      <c r="J42" s="33">
        <f t="shared" si="15"/>
        <v>0</v>
      </c>
      <c r="K42" s="207">
        <f t="shared" si="16"/>
        <v>0</v>
      </c>
      <c r="L42" s="193"/>
      <c r="M42" s="187"/>
      <c r="N42" s="1"/>
      <c r="O42" s="3"/>
      <c r="P42" s="5" t="s">
        <v>12</v>
      </c>
      <c r="Q42" s="215">
        <f t="shared" si="2"/>
        <v>0</v>
      </c>
      <c r="R42" s="5" t="s">
        <v>12</v>
      </c>
      <c r="S42" s="3"/>
      <c r="T42" s="33">
        <f t="shared" si="17"/>
        <v>0</v>
      </c>
      <c r="U42" s="209">
        <f t="shared" si="18"/>
        <v>0</v>
      </c>
      <c r="V42" s="318"/>
      <c r="W42" s="319"/>
      <c r="X42" s="320"/>
      <c r="Y42" s="119" t="str">
        <f t="shared" si="5"/>
        <v>Empty budget line</v>
      </c>
    </row>
    <row r="43" spans="1:25" x14ac:dyDescent="0.35">
      <c r="A43" s="348"/>
      <c r="B43" s="349"/>
      <c r="C43" s="1"/>
      <c r="D43" s="1"/>
      <c r="E43" s="3"/>
      <c r="F43" s="5" t="s">
        <v>12</v>
      </c>
      <c r="G43" s="214">
        <f t="shared" si="0"/>
        <v>0</v>
      </c>
      <c r="H43" s="5" t="s">
        <v>12</v>
      </c>
      <c r="I43" s="4"/>
      <c r="J43" s="33">
        <f t="shared" si="15"/>
        <v>0</v>
      </c>
      <c r="K43" s="207">
        <f t="shared" si="16"/>
        <v>0</v>
      </c>
      <c r="L43" s="193"/>
      <c r="M43" s="187"/>
      <c r="N43" s="1"/>
      <c r="O43" s="3"/>
      <c r="P43" s="5" t="s">
        <v>12</v>
      </c>
      <c r="Q43" s="215">
        <f t="shared" si="2"/>
        <v>0</v>
      </c>
      <c r="R43" s="5" t="s">
        <v>12</v>
      </c>
      <c r="S43" s="3"/>
      <c r="T43" s="33">
        <f t="shared" si="17"/>
        <v>0</v>
      </c>
      <c r="U43" s="209">
        <f t="shared" si="18"/>
        <v>0</v>
      </c>
      <c r="V43" s="318"/>
      <c r="W43" s="319"/>
      <c r="X43" s="320"/>
      <c r="Y43" s="119" t="str">
        <f t="shared" si="5"/>
        <v>Empty budget line</v>
      </c>
    </row>
    <row r="44" spans="1:25" x14ac:dyDescent="0.35">
      <c r="A44" s="348"/>
      <c r="B44" s="349"/>
      <c r="C44" s="1"/>
      <c r="D44" s="1"/>
      <c r="E44" s="3"/>
      <c r="F44" s="5" t="s">
        <v>12</v>
      </c>
      <c r="G44" s="214">
        <f t="shared" si="0"/>
        <v>0</v>
      </c>
      <c r="H44" s="5" t="s">
        <v>12</v>
      </c>
      <c r="I44" s="172"/>
      <c r="J44" s="33">
        <f>G44-I44</f>
        <v>0</v>
      </c>
      <c r="K44" s="207">
        <f>IFERROR(J44/G44,0)</f>
        <v>0</v>
      </c>
      <c r="L44" s="193"/>
      <c r="M44" s="187"/>
      <c r="N44" s="1"/>
      <c r="O44" s="3"/>
      <c r="P44" s="5" t="s">
        <v>12</v>
      </c>
      <c r="Q44" s="215">
        <f t="shared" si="2"/>
        <v>0</v>
      </c>
      <c r="R44" s="5" t="s">
        <v>12</v>
      </c>
      <c r="S44" s="3"/>
      <c r="T44" s="33">
        <f>Q44-S44</f>
        <v>0</v>
      </c>
      <c r="U44" s="209">
        <f>IFERROR(T44/Q44,0)</f>
        <v>0</v>
      </c>
      <c r="V44" s="318"/>
      <c r="W44" s="319"/>
      <c r="X44" s="320"/>
      <c r="Y44" s="119" t="str">
        <f t="shared" si="5"/>
        <v>Empty budget line</v>
      </c>
    </row>
    <row r="45" spans="1:25" x14ac:dyDescent="0.35">
      <c r="A45" s="348"/>
      <c r="B45" s="349"/>
      <c r="C45" s="1"/>
      <c r="D45" s="1"/>
      <c r="E45" s="3"/>
      <c r="F45" s="5" t="s">
        <v>12</v>
      </c>
      <c r="G45" s="214">
        <f t="shared" si="0"/>
        <v>0</v>
      </c>
      <c r="H45" s="5" t="s">
        <v>12</v>
      </c>
      <c r="I45" s="4"/>
      <c r="J45" s="33">
        <f t="shared" ref="J45:J48" si="19">G45-I45</f>
        <v>0</v>
      </c>
      <c r="K45" s="207">
        <f t="shared" ref="K45:K48" si="20">IFERROR(J45/G45,0)</f>
        <v>0</v>
      </c>
      <c r="L45" s="193"/>
      <c r="M45" s="187"/>
      <c r="N45" s="1"/>
      <c r="O45" s="3"/>
      <c r="P45" s="5" t="s">
        <v>12</v>
      </c>
      <c r="Q45" s="215">
        <f t="shared" si="2"/>
        <v>0</v>
      </c>
      <c r="R45" s="5" t="s">
        <v>12</v>
      </c>
      <c r="S45" s="3"/>
      <c r="T45" s="33">
        <f t="shared" ref="T45:T48" si="21">Q45-S45</f>
        <v>0</v>
      </c>
      <c r="U45" s="209">
        <f t="shared" ref="U45:U48" si="22">IFERROR(T45/Q45,0)</f>
        <v>0</v>
      </c>
      <c r="V45" s="318"/>
      <c r="W45" s="319"/>
      <c r="X45" s="320"/>
      <c r="Y45" s="119" t="str">
        <f t="shared" si="5"/>
        <v>Empty budget line</v>
      </c>
    </row>
    <row r="46" spans="1:25" x14ac:dyDescent="0.35">
      <c r="A46" s="348"/>
      <c r="B46" s="349"/>
      <c r="C46" s="1"/>
      <c r="D46" s="1"/>
      <c r="E46" s="3"/>
      <c r="F46" s="5" t="s">
        <v>12</v>
      </c>
      <c r="G46" s="214">
        <f t="shared" si="0"/>
        <v>0</v>
      </c>
      <c r="H46" s="5" t="s">
        <v>12</v>
      </c>
      <c r="I46" s="172"/>
      <c r="J46" s="33">
        <f t="shared" si="19"/>
        <v>0</v>
      </c>
      <c r="K46" s="207">
        <f t="shared" si="20"/>
        <v>0</v>
      </c>
      <c r="L46" s="193"/>
      <c r="M46" s="187"/>
      <c r="N46" s="1"/>
      <c r="O46" s="3"/>
      <c r="P46" s="5" t="s">
        <v>12</v>
      </c>
      <c r="Q46" s="215">
        <f t="shared" si="2"/>
        <v>0</v>
      </c>
      <c r="R46" s="5" t="s">
        <v>12</v>
      </c>
      <c r="S46" s="3"/>
      <c r="T46" s="33">
        <f t="shared" si="21"/>
        <v>0</v>
      </c>
      <c r="U46" s="209">
        <f t="shared" si="22"/>
        <v>0</v>
      </c>
      <c r="V46" s="318"/>
      <c r="W46" s="319"/>
      <c r="X46" s="320"/>
      <c r="Y46" s="119" t="str">
        <f t="shared" si="5"/>
        <v>Empty budget line</v>
      </c>
    </row>
    <row r="47" spans="1:25" x14ac:dyDescent="0.35">
      <c r="A47" s="348"/>
      <c r="B47" s="349"/>
      <c r="C47" s="1"/>
      <c r="D47" s="1"/>
      <c r="E47" s="3"/>
      <c r="F47" s="5" t="s">
        <v>12</v>
      </c>
      <c r="G47" s="214">
        <f t="shared" si="0"/>
        <v>0</v>
      </c>
      <c r="H47" s="5" t="s">
        <v>12</v>
      </c>
      <c r="I47" s="4"/>
      <c r="J47" s="33">
        <f t="shared" si="19"/>
        <v>0</v>
      </c>
      <c r="K47" s="207">
        <f t="shared" si="20"/>
        <v>0</v>
      </c>
      <c r="L47" s="193"/>
      <c r="M47" s="187"/>
      <c r="N47" s="1"/>
      <c r="O47" s="3"/>
      <c r="P47" s="5" t="s">
        <v>12</v>
      </c>
      <c r="Q47" s="215">
        <f t="shared" si="2"/>
        <v>0</v>
      </c>
      <c r="R47" s="5" t="s">
        <v>12</v>
      </c>
      <c r="S47" s="3"/>
      <c r="T47" s="33">
        <f t="shared" si="21"/>
        <v>0</v>
      </c>
      <c r="U47" s="209">
        <f t="shared" si="22"/>
        <v>0</v>
      </c>
      <c r="V47" s="318"/>
      <c r="W47" s="319"/>
      <c r="X47" s="320"/>
      <c r="Y47" s="119" t="str">
        <f t="shared" si="5"/>
        <v>Empty budget line</v>
      </c>
    </row>
    <row r="48" spans="1:25" x14ac:dyDescent="0.35">
      <c r="A48" s="348"/>
      <c r="B48" s="349"/>
      <c r="C48" s="1"/>
      <c r="D48" s="1"/>
      <c r="E48" s="3"/>
      <c r="F48" s="5" t="s">
        <v>12</v>
      </c>
      <c r="G48" s="214">
        <f t="shared" si="0"/>
        <v>0</v>
      </c>
      <c r="H48" s="5" t="s">
        <v>12</v>
      </c>
      <c r="I48" s="172"/>
      <c r="J48" s="33">
        <f t="shared" si="19"/>
        <v>0</v>
      </c>
      <c r="K48" s="207">
        <f t="shared" si="20"/>
        <v>0</v>
      </c>
      <c r="L48" s="193"/>
      <c r="M48" s="187"/>
      <c r="N48" s="1"/>
      <c r="O48" s="3"/>
      <c r="P48" s="5" t="s">
        <v>12</v>
      </c>
      <c r="Q48" s="215">
        <f t="shared" si="2"/>
        <v>0</v>
      </c>
      <c r="R48" s="5" t="s">
        <v>12</v>
      </c>
      <c r="S48" s="3"/>
      <c r="T48" s="33">
        <f t="shared" si="21"/>
        <v>0</v>
      </c>
      <c r="U48" s="209">
        <f t="shared" si="22"/>
        <v>0</v>
      </c>
      <c r="V48" s="318"/>
      <c r="W48" s="319"/>
      <c r="X48" s="320"/>
      <c r="Y48" s="119" t="str">
        <f t="shared" si="5"/>
        <v>Empty budget line</v>
      </c>
    </row>
    <row r="49" spans="1:25" x14ac:dyDescent="0.35">
      <c r="A49" s="348"/>
      <c r="B49" s="349"/>
      <c r="C49" s="1"/>
      <c r="D49" s="1"/>
      <c r="E49" s="3"/>
      <c r="F49" s="5" t="s">
        <v>12</v>
      </c>
      <c r="G49" s="214">
        <f t="shared" si="0"/>
        <v>0</v>
      </c>
      <c r="H49" s="5" t="s">
        <v>12</v>
      </c>
      <c r="I49" s="4"/>
      <c r="J49" s="33">
        <f>G49-I49</f>
        <v>0</v>
      </c>
      <c r="K49" s="207">
        <f>IFERROR(J49/G49,0)</f>
        <v>0</v>
      </c>
      <c r="L49" s="193"/>
      <c r="M49" s="187"/>
      <c r="N49" s="1"/>
      <c r="O49" s="3"/>
      <c r="P49" s="5" t="s">
        <v>12</v>
      </c>
      <c r="Q49" s="215">
        <f t="shared" si="2"/>
        <v>0</v>
      </c>
      <c r="R49" s="5" t="s">
        <v>12</v>
      </c>
      <c r="S49" s="3"/>
      <c r="T49" s="33">
        <f>Q49-S49</f>
        <v>0</v>
      </c>
      <c r="U49" s="209">
        <f>IFERROR(T49/Q49,0)</f>
        <v>0</v>
      </c>
      <c r="V49" s="318"/>
      <c r="W49" s="319"/>
      <c r="X49" s="320"/>
      <c r="Y49" s="119" t="str">
        <f t="shared" si="5"/>
        <v>Empty budget line</v>
      </c>
    </row>
    <row r="50" spans="1:25" x14ac:dyDescent="0.35">
      <c r="A50" s="348"/>
      <c r="B50" s="349"/>
      <c r="C50" s="1"/>
      <c r="D50" s="1"/>
      <c r="E50" s="3"/>
      <c r="F50" s="5" t="s">
        <v>12</v>
      </c>
      <c r="G50" s="214">
        <f t="shared" si="0"/>
        <v>0</v>
      </c>
      <c r="H50" s="5" t="s">
        <v>12</v>
      </c>
      <c r="I50" s="172"/>
      <c r="J50" s="33">
        <f t="shared" ref="J50:J53" si="23">G50-I50</f>
        <v>0</v>
      </c>
      <c r="K50" s="207">
        <f t="shared" ref="K50:K53" si="24">IFERROR(J50/G50,0)</f>
        <v>0</v>
      </c>
      <c r="L50" s="193"/>
      <c r="M50" s="187"/>
      <c r="N50" s="1"/>
      <c r="O50" s="3"/>
      <c r="P50" s="5" t="s">
        <v>12</v>
      </c>
      <c r="Q50" s="215">
        <f t="shared" si="2"/>
        <v>0</v>
      </c>
      <c r="R50" s="5" t="s">
        <v>12</v>
      </c>
      <c r="S50" s="3"/>
      <c r="T50" s="33">
        <f t="shared" ref="T50:T53" si="25">Q50-S50</f>
        <v>0</v>
      </c>
      <c r="U50" s="209">
        <f t="shared" ref="U50:U53" si="26">IFERROR(T50/Q50,0)</f>
        <v>0</v>
      </c>
      <c r="V50" s="318"/>
      <c r="W50" s="319"/>
      <c r="X50" s="320"/>
      <c r="Y50" s="119" t="str">
        <f t="shared" si="5"/>
        <v>Empty budget line</v>
      </c>
    </row>
    <row r="51" spans="1:25" x14ac:dyDescent="0.35">
      <c r="A51" s="348"/>
      <c r="B51" s="349"/>
      <c r="C51" s="1"/>
      <c r="D51" s="1"/>
      <c r="E51" s="3"/>
      <c r="F51" s="5" t="s">
        <v>12</v>
      </c>
      <c r="G51" s="214">
        <f t="shared" si="0"/>
        <v>0</v>
      </c>
      <c r="H51" s="5" t="s">
        <v>12</v>
      </c>
      <c r="I51" s="4"/>
      <c r="J51" s="33">
        <f t="shared" si="23"/>
        <v>0</v>
      </c>
      <c r="K51" s="207">
        <f t="shared" si="24"/>
        <v>0</v>
      </c>
      <c r="L51" s="193"/>
      <c r="M51" s="187"/>
      <c r="N51" s="1"/>
      <c r="O51" s="3"/>
      <c r="P51" s="5" t="s">
        <v>12</v>
      </c>
      <c r="Q51" s="215">
        <f t="shared" si="2"/>
        <v>0</v>
      </c>
      <c r="R51" s="5" t="s">
        <v>12</v>
      </c>
      <c r="S51" s="3"/>
      <c r="T51" s="33">
        <f t="shared" si="25"/>
        <v>0</v>
      </c>
      <c r="U51" s="209">
        <f t="shared" si="26"/>
        <v>0</v>
      </c>
      <c r="V51" s="318"/>
      <c r="W51" s="319"/>
      <c r="X51" s="320"/>
      <c r="Y51" s="119" t="str">
        <f t="shared" si="5"/>
        <v>Empty budget line</v>
      </c>
    </row>
    <row r="52" spans="1:25" x14ac:dyDescent="0.35">
      <c r="A52" s="348"/>
      <c r="B52" s="349"/>
      <c r="C52" s="1"/>
      <c r="D52" s="1"/>
      <c r="E52" s="3"/>
      <c r="F52" s="5" t="s">
        <v>12</v>
      </c>
      <c r="G52" s="214">
        <f t="shared" si="0"/>
        <v>0</v>
      </c>
      <c r="H52" s="5" t="s">
        <v>12</v>
      </c>
      <c r="I52" s="172"/>
      <c r="J52" s="33">
        <f t="shared" si="23"/>
        <v>0</v>
      </c>
      <c r="K52" s="207">
        <f t="shared" si="24"/>
        <v>0</v>
      </c>
      <c r="L52" s="193"/>
      <c r="M52" s="187"/>
      <c r="N52" s="1"/>
      <c r="O52" s="3"/>
      <c r="P52" s="5" t="s">
        <v>12</v>
      </c>
      <c r="Q52" s="215">
        <f t="shared" si="2"/>
        <v>0</v>
      </c>
      <c r="R52" s="5" t="s">
        <v>12</v>
      </c>
      <c r="S52" s="3"/>
      <c r="T52" s="33">
        <f t="shared" si="25"/>
        <v>0</v>
      </c>
      <c r="U52" s="209">
        <f t="shared" si="26"/>
        <v>0</v>
      </c>
      <c r="V52" s="318"/>
      <c r="W52" s="319"/>
      <c r="X52" s="320"/>
      <c r="Y52" s="119" t="str">
        <f t="shared" si="5"/>
        <v>Empty budget line</v>
      </c>
    </row>
    <row r="53" spans="1:25" x14ac:dyDescent="0.35">
      <c r="A53" s="348"/>
      <c r="B53" s="349"/>
      <c r="C53" s="1"/>
      <c r="D53" s="1"/>
      <c r="E53" s="3"/>
      <c r="F53" s="5" t="s">
        <v>12</v>
      </c>
      <c r="G53" s="214">
        <f t="shared" si="0"/>
        <v>0</v>
      </c>
      <c r="H53" s="5" t="s">
        <v>12</v>
      </c>
      <c r="I53" s="4"/>
      <c r="J53" s="33">
        <f t="shared" si="23"/>
        <v>0</v>
      </c>
      <c r="K53" s="207">
        <f t="shared" si="24"/>
        <v>0</v>
      </c>
      <c r="L53" s="193"/>
      <c r="M53" s="187"/>
      <c r="N53" s="1"/>
      <c r="O53" s="3"/>
      <c r="P53" s="5" t="s">
        <v>12</v>
      </c>
      <c r="Q53" s="215">
        <f t="shared" si="2"/>
        <v>0</v>
      </c>
      <c r="R53" s="5" t="s">
        <v>12</v>
      </c>
      <c r="S53" s="3"/>
      <c r="T53" s="33">
        <f t="shared" si="25"/>
        <v>0</v>
      </c>
      <c r="U53" s="209">
        <f t="shared" si="26"/>
        <v>0</v>
      </c>
      <c r="V53" s="318"/>
      <c r="W53" s="319"/>
      <c r="X53" s="320"/>
      <c r="Y53" s="119" t="str">
        <f t="shared" si="5"/>
        <v>Empty budget line</v>
      </c>
    </row>
    <row r="54" spans="1:25" x14ac:dyDescent="0.35">
      <c r="A54" s="348"/>
      <c r="B54" s="349"/>
      <c r="C54" s="1"/>
      <c r="D54" s="1"/>
      <c r="E54" s="3"/>
      <c r="F54" s="5" t="s">
        <v>12</v>
      </c>
      <c r="G54" s="214">
        <f t="shared" si="0"/>
        <v>0</v>
      </c>
      <c r="H54" s="5" t="s">
        <v>12</v>
      </c>
      <c r="I54" s="172"/>
      <c r="J54" s="33">
        <f>G54-I54</f>
        <v>0</v>
      </c>
      <c r="K54" s="207">
        <f>IFERROR(J54/G54,0)</f>
        <v>0</v>
      </c>
      <c r="L54" s="193"/>
      <c r="M54" s="187"/>
      <c r="N54" s="1"/>
      <c r="O54" s="3"/>
      <c r="P54" s="5" t="s">
        <v>12</v>
      </c>
      <c r="Q54" s="215">
        <f t="shared" si="2"/>
        <v>0</v>
      </c>
      <c r="R54" s="5" t="s">
        <v>12</v>
      </c>
      <c r="S54" s="3"/>
      <c r="T54" s="33">
        <f>Q54-S54</f>
        <v>0</v>
      </c>
      <c r="U54" s="209">
        <f>IFERROR(T54/Q54,0)</f>
        <v>0</v>
      </c>
      <c r="V54" s="318"/>
      <c r="W54" s="319"/>
      <c r="X54" s="320"/>
      <c r="Y54" s="119" t="str">
        <f t="shared" si="5"/>
        <v>Empty budget line</v>
      </c>
    </row>
    <row r="55" spans="1:25" x14ac:dyDescent="0.35">
      <c r="A55" s="348"/>
      <c r="B55" s="349"/>
      <c r="C55" s="1"/>
      <c r="D55" s="1"/>
      <c r="E55" s="3"/>
      <c r="F55" s="5" t="s">
        <v>12</v>
      </c>
      <c r="G55" s="214">
        <f t="shared" si="0"/>
        <v>0</v>
      </c>
      <c r="H55" s="5" t="s">
        <v>12</v>
      </c>
      <c r="I55" s="4"/>
      <c r="J55" s="33">
        <f t="shared" ref="J55:J58" si="27">G55-I55</f>
        <v>0</v>
      </c>
      <c r="K55" s="207">
        <f t="shared" ref="K55:K58" si="28">IFERROR(J55/G55,0)</f>
        <v>0</v>
      </c>
      <c r="L55" s="193"/>
      <c r="M55" s="187"/>
      <c r="N55" s="1"/>
      <c r="O55" s="3"/>
      <c r="P55" s="5" t="s">
        <v>12</v>
      </c>
      <c r="Q55" s="215">
        <f t="shared" si="2"/>
        <v>0</v>
      </c>
      <c r="R55" s="5" t="s">
        <v>12</v>
      </c>
      <c r="S55" s="3"/>
      <c r="T55" s="33">
        <f t="shared" ref="T55:T58" si="29">Q55-S55</f>
        <v>0</v>
      </c>
      <c r="U55" s="209">
        <f t="shared" ref="U55:U58" si="30">IFERROR(T55/Q55,0)</f>
        <v>0</v>
      </c>
      <c r="V55" s="318"/>
      <c r="W55" s="319"/>
      <c r="X55" s="320"/>
      <c r="Y55" s="119" t="str">
        <f t="shared" si="5"/>
        <v>Empty budget line</v>
      </c>
    </row>
    <row r="56" spans="1:25" x14ac:dyDescent="0.35">
      <c r="A56" s="348"/>
      <c r="B56" s="349"/>
      <c r="C56" s="1"/>
      <c r="D56" s="1"/>
      <c r="E56" s="3"/>
      <c r="F56" s="5" t="s">
        <v>12</v>
      </c>
      <c r="G56" s="214">
        <f t="shared" si="0"/>
        <v>0</v>
      </c>
      <c r="H56" s="5" t="s">
        <v>12</v>
      </c>
      <c r="I56" s="172"/>
      <c r="J56" s="33">
        <f t="shared" si="27"/>
        <v>0</v>
      </c>
      <c r="K56" s="207">
        <f t="shared" si="28"/>
        <v>0</v>
      </c>
      <c r="L56" s="193"/>
      <c r="M56" s="187"/>
      <c r="N56" s="1"/>
      <c r="O56" s="3"/>
      <c r="P56" s="5" t="s">
        <v>12</v>
      </c>
      <c r="Q56" s="215">
        <f t="shared" si="2"/>
        <v>0</v>
      </c>
      <c r="R56" s="5" t="s">
        <v>12</v>
      </c>
      <c r="S56" s="3"/>
      <c r="T56" s="33">
        <f t="shared" si="29"/>
        <v>0</v>
      </c>
      <c r="U56" s="209">
        <f t="shared" si="30"/>
        <v>0</v>
      </c>
      <c r="V56" s="318"/>
      <c r="W56" s="319"/>
      <c r="X56" s="320"/>
      <c r="Y56" s="119" t="str">
        <f t="shared" si="5"/>
        <v>Empty budget line</v>
      </c>
    </row>
    <row r="57" spans="1:25" x14ac:dyDescent="0.35">
      <c r="A57" s="348"/>
      <c r="B57" s="349"/>
      <c r="C57" s="1"/>
      <c r="D57" s="1"/>
      <c r="E57" s="3"/>
      <c r="F57" s="5" t="s">
        <v>12</v>
      </c>
      <c r="G57" s="214">
        <f t="shared" si="0"/>
        <v>0</v>
      </c>
      <c r="H57" s="5" t="s">
        <v>12</v>
      </c>
      <c r="I57" s="4"/>
      <c r="J57" s="33">
        <f t="shared" si="27"/>
        <v>0</v>
      </c>
      <c r="K57" s="207">
        <f t="shared" si="28"/>
        <v>0</v>
      </c>
      <c r="L57" s="193"/>
      <c r="M57" s="187"/>
      <c r="N57" s="1"/>
      <c r="O57" s="3"/>
      <c r="P57" s="5" t="s">
        <v>12</v>
      </c>
      <c r="Q57" s="215">
        <f t="shared" si="2"/>
        <v>0</v>
      </c>
      <c r="R57" s="5" t="s">
        <v>12</v>
      </c>
      <c r="S57" s="3"/>
      <c r="T57" s="33">
        <f t="shared" si="29"/>
        <v>0</v>
      </c>
      <c r="U57" s="209">
        <f t="shared" si="30"/>
        <v>0</v>
      </c>
      <c r="V57" s="318"/>
      <c r="W57" s="319"/>
      <c r="X57" s="320"/>
      <c r="Y57" s="119" t="str">
        <f t="shared" si="5"/>
        <v>Empty budget line</v>
      </c>
    </row>
    <row r="58" spans="1:25" x14ac:dyDescent="0.35">
      <c r="A58" s="348"/>
      <c r="B58" s="349"/>
      <c r="C58" s="1"/>
      <c r="D58" s="1"/>
      <c r="E58" s="3"/>
      <c r="F58" s="5" t="s">
        <v>12</v>
      </c>
      <c r="G58" s="214">
        <f t="shared" si="0"/>
        <v>0</v>
      </c>
      <c r="H58" s="5" t="s">
        <v>12</v>
      </c>
      <c r="I58" s="172"/>
      <c r="J58" s="33">
        <f t="shared" si="27"/>
        <v>0</v>
      </c>
      <c r="K58" s="207">
        <f t="shared" si="28"/>
        <v>0</v>
      </c>
      <c r="L58" s="193"/>
      <c r="M58" s="187"/>
      <c r="N58" s="1"/>
      <c r="O58" s="3"/>
      <c r="P58" s="5" t="s">
        <v>12</v>
      </c>
      <c r="Q58" s="215">
        <f t="shared" si="2"/>
        <v>0</v>
      </c>
      <c r="R58" s="5" t="s">
        <v>12</v>
      </c>
      <c r="S58" s="3"/>
      <c r="T58" s="33">
        <f t="shared" si="29"/>
        <v>0</v>
      </c>
      <c r="U58" s="209">
        <f t="shared" si="30"/>
        <v>0</v>
      </c>
      <c r="V58" s="318"/>
      <c r="W58" s="319"/>
      <c r="X58" s="320"/>
      <c r="Y58" s="119" t="str">
        <f t="shared" si="5"/>
        <v>Empty budget line</v>
      </c>
    </row>
    <row r="59" spans="1:25" x14ac:dyDescent="0.35">
      <c r="A59" s="348"/>
      <c r="B59" s="349"/>
      <c r="C59" s="1"/>
      <c r="D59" s="1"/>
      <c r="E59" s="3"/>
      <c r="F59" s="5" t="s">
        <v>12</v>
      </c>
      <c r="G59" s="214">
        <f t="shared" si="0"/>
        <v>0</v>
      </c>
      <c r="H59" s="5" t="s">
        <v>12</v>
      </c>
      <c r="I59" s="4"/>
      <c r="J59" s="33">
        <f>G59-I59</f>
        <v>0</v>
      </c>
      <c r="K59" s="207">
        <f>IFERROR(J59/G59,0)</f>
        <v>0</v>
      </c>
      <c r="L59" s="193"/>
      <c r="M59" s="187"/>
      <c r="N59" s="1"/>
      <c r="O59" s="3"/>
      <c r="P59" s="5" t="s">
        <v>12</v>
      </c>
      <c r="Q59" s="215">
        <f t="shared" si="2"/>
        <v>0</v>
      </c>
      <c r="R59" s="5" t="s">
        <v>12</v>
      </c>
      <c r="S59" s="3"/>
      <c r="T59" s="33">
        <f>Q59-S59</f>
        <v>0</v>
      </c>
      <c r="U59" s="209">
        <f>IFERROR(T59/Q59,0)</f>
        <v>0</v>
      </c>
      <c r="V59" s="318"/>
      <c r="W59" s="319"/>
      <c r="X59" s="320"/>
      <c r="Y59" s="119" t="str">
        <f t="shared" si="5"/>
        <v>Empty budget line</v>
      </c>
    </row>
    <row r="60" spans="1:25" x14ac:dyDescent="0.35">
      <c r="A60" s="348"/>
      <c r="B60" s="349"/>
      <c r="C60" s="1"/>
      <c r="D60" s="1"/>
      <c r="E60" s="3"/>
      <c r="F60" s="5" t="s">
        <v>12</v>
      </c>
      <c r="G60" s="214">
        <f t="shared" si="0"/>
        <v>0</v>
      </c>
      <c r="H60" s="5" t="s">
        <v>12</v>
      </c>
      <c r="I60" s="172"/>
      <c r="J60" s="33">
        <f t="shared" ref="J60:J63" si="31">G60-I60</f>
        <v>0</v>
      </c>
      <c r="K60" s="207">
        <f t="shared" ref="K60:K63" si="32">IFERROR(J60/G60,0)</f>
        <v>0</v>
      </c>
      <c r="L60" s="193"/>
      <c r="M60" s="187"/>
      <c r="N60" s="1"/>
      <c r="O60" s="3"/>
      <c r="P60" s="5" t="s">
        <v>12</v>
      </c>
      <c r="Q60" s="215">
        <f t="shared" si="2"/>
        <v>0</v>
      </c>
      <c r="R60" s="5" t="s">
        <v>12</v>
      </c>
      <c r="S60" s="3"/>
      <c r="T60" s="33">
        <f t="shared" ref="T60:T63" si="33">Q60-S60</f>
        <v>0</v>
      </c>
      <c r="U60" s="209">
        <f t="shared" ref="U60:U63" si="34">IFERROR(T60/Q60,0)</f>
        <v>0</v>
      </c>
      <c r="V60" s="318"/>
      <c r="W60" s="319"/>
      <c r="X60" s="320"/>
      <c r="Y60" s="119" t="str">
        <f t="shared" si="5"/>
        <v>Empty budget line</v>
      </c>
    </row>
    <row r="61" spans="1:25" x14ac:dyDescent="0.35">
      <c r="A61" s="348"/>
      <c r="B61" s="349"/>
      <c r="C61" s="1"/>
      <c r="D61" s="1"/>
      <c r="E61" s="3"/>
      <c r="F61" s="5" t="s">
        <v>12</v>
      </c>
      <c r="G61" s="214">
        <f t="shared" si="0"/>
        <v>0</v>
      </c>
      <c r="H61" s="5" t="s">
        <v>12</v>
      </c>
      <c r="I61" s="4"/>
      <c r="J61" s="33">
        <f t="shared" si="31"/>
        <v>0</v>
      </c>
      <c r="K61" s="207">
        <f t="shared" si="32"/>
        <v>0</v>
      </c>
      <c r="L61" s="193"/>
      <c r="M61" s="187"/>
      <c r="N61" s="1"/>
      <c r="O61" s="3"/>
      <c r="P61" s="5" t="s">
        <v>12</v>
      </c>
      <c r="Q61" s="215">
        <f t="shared" si="2"/>
        <v>0</v>
      </c>
      <c r="R61" s="5" t="s">
        <v>12</v>
      </c>
      <c r="S61" s="3"/>
      <c r="T61" s="33">
        <f t="shared" si="33"/>
        <v>0</v>
      </c>
      <c r="U61" s="209">
        <f t="shared" si="34"/>
        <v>0</v>
      </c>
      <c r="V61" s="318"/>
      <c r="W61" s="319"/>
      <c r="X61" s="320"/>
      <c r="Y61" s="119" t="str">
        <f t="shared" si="5"/>
        <v>Empty budget line</v>
      </c>
    </row>
    <row r="62" spans="1:25" x14ac:dyDescent="0.35">
      <c r="A62" s="348"/>
      <c r="B62" s="349"/>
      <c r="C62" s="1"/>
      <c r="D62" s="1"/>
      <c r="E62" s="3"/>
      <c r="F62" s="5" t="s">
        <v>12</v>
      </c>
      <c r="G62" s="214">
        <f t="shared" si="0"/>
        <v>0</v>
      </c>
      <c r="H62" s="5" t="s">
        <v>12</v>
      </c>
      <c r="I62" s="172"/>
      <c r="J62" s="33">
        <f t="shared" si="31"/>
        <v>0</v>
      </c>
      <c r="K62" s="207">
        <f t="shared" si="32"/>
        <v>0</v>
      </c>
      <c r="L62" s="193"/>
      <c r="M62" s="187"/>
      <c r="N62" s="1"/>
      <c r="O62" s="3"/>
      <c r="P62" s="5" t="s">
        <v>12</v>
      </c>
      <c r="Q62" s="215">
        <f t="shared" si="2"/>
        <v>0</v>
      </c>
      <c r="R62" s="5" t="s">
        <v>12</v>
      </c>
      <c r="S62" s="3"/>
      <c r="T62" s="33">
        <f t="shared" si="33"/>
        <v>0</v>
      </c>
      <c r="U62" s="209">
        <f t="shared" si="34"/>
        <v>0</v>
      </c>
      <c r="V62" s="318"/>
      <c r="W62" s="319"/>
      <c r="X62" s="320"/>
      <c r="Y62" s="119" t="str">
        <f t="shared" si="5"/>
        <v>Empty budget line</v>
      </c>
    </row>
    <row r="63" spans="1:25" x14ac:dyDescent="0.35">
      <c r="A63" s="348"/>
      <c r="B63" s="349"/>
      <c r="C63" s="1"/>
      <c r="D63" s="1"/>
      <c r="E63" s="3"/>
      <c r="F63" s="5" t="s">
        <v>12</v>
      </c>
      <c r="G63" s="214">
        <f t="shared" si="0"/>
        <v>0</v>
      </c>
      <c r="H63" s="5" t="s">
        <v>12</v>
      </c>
      <c r="I63" s="4"/>
      <c r="J63" s="33">
        <f t="shared" si="31"/>
        <v>0</v>
      </c>
      <c r="K63" s="207">
        <f t="shared" si="32"/>
        <v>0</v>
      </c>
      <c r="L63" s="193"/>
      <c r="M63" s="187"/>
      <c r="N63" s="1"/>
      <c r="O63" s="3"/>
      <c r="P63" s="5" t="s">
        <v>12</v>
      </c>
      <c r="Q63" s="215">
        <f t="shared" si="2"/>
        <v>0</v>
      </c>
      <c r="R63" s="5" t="s">
        <v>12</v>
      </c>
      <c r="S63" s="3"/>
      <c r="T63" s="33">
        <f t="shared" si="33"/>
        <v>0</v>
      </c>
      <c r="U63" s="209">
        <f t="shared" si="34"/>
        <v>0</v>
      </c>
      <c r="V63" s="318"/>
      <c r="W63" s="319"/>
      <c r="X63" s="320"/>
      <c r="Y63" s="119" t="str">
        <f t="shared" si="5"/>
        <v>Empty budget line</v>
      </c>
    </row>
    <row r="64" spans="1:25" x14ac:dyDescent="0.35">
      <c r="A64" s="348"/>
      <c r="B64" s="349"/>
      <c r="C64" s="1"/>
      <c r="D64" s="1"/>
      <c r="E64" s="3"/>
      <c r="F64" s="5" t="s">
        <v>12</v>
      </c>
      <c r="G64" s="214">
        <f t="shared" si="0"/>
        <v>0</v>
      </c>
      <c r="H64" s="5" t="s">
        <v>12</v>
      </c>
      <c r="I64" s="172"/>
      <c r="J64" s="33">
        <f>G64-I64</f>
        <v>0</v>
      </c>
      <c r="K64" s="207">
        <f>IFERROR(J64/G64,0)</f>
        <v>0</v>
      </c>
      <c r="L64" s="193"/>
      <c r="M64" s="187"/>
      <c r="N64" s="1"/>
      <c r="O64" s="3"/>
      <c r="P64" s="5" t="s">
        <v>12</v>
      </c>
      <c r="Q64" s="215">
        <f t="shared" si="2"/>
        <v>0</v>
      </c>
      <c r="R64" s="5" t="s">
        <v>12</v>
      </c>
      <c r="S64" s="3"/>
      <c r="T64" s="33">
        <f>Q64-S64</f>
        <v>0</v>
      </c>
      <c r="U64" s="209">
        <f>IFERROR(T64/Q64,0)</f>
        <v>0</v>
      </c>
      <c r="V64" s="318"/>
      <c r="W64" s="319"/>
      <c r="X64" s="320"/>
      <c r="Y64" s="119" t="str">
        <f t="shared" si="5"/>
        <v>Empty budget line</v>
      </c>
    </row>
    <row r="65" spans="1:25" x14ac:dyDescent="0.35">
      <c r="A65" s="348"/>
      <c r="B65" s="349"/>
      <c r="C65" s="1"/>
      <c r="D65" s="1"/>
      <c r="E65" s="3"/>
      <c r="F65" s="5" t="s">
        <v>12</v>
      </c>
      <c r="G65" s="214">
        <f t="shared" si="0"/>
        <v>0</v>
      </c>
      <c r="H65" s="5" t="s">
        <v>12</v>
      </c>
      <c r="I65" s="4"/>
      <c r="J65" s="33">
        <f t="shared" ref="J65:J68" si="35">G65-I65</f>
        <v>0</v>
      </c>
      <c r="K65" s="207">
        <f t="shared" ref="K65:K68" si="36">IFERROR(J65/G65,0)</f>
        <v>0</v>
      </c>
      <c r="L65" s="193"/>
      <c r="M65" s="187"/>
      <c r="N65" s="1"/>
      <c r="O65" s="3"/>
      <c r="P65" s="5" t="s">
        <v>12</v>
      </c>
      <c r="Q65" s="215">
        <f t="shared" si="2"/>
        <v>0</v>
      </c>
      <c r="R65" s="5" t="s">
        <v>12</v>
      </c>
      <c r="S65" s="3"/>
      <c r="T65" s="33">
        <f t="shared" ref="T65:T68" si="37">Q65-S65</f>
        <v>0</v>
      </c>
      <c r="U65" s="209">
        <f t="shared" ref="U65:U68" si="38">IFERROR(T65/Q65,0)</f>
        <v>0</v>
      </c>
      <c r="V65" s="318"/>
      <c r="W65" s="319"/>
      <c r="X65" s="320"/>
      <c r="Y65" s="119" t="str">
        <f t="shared" si="5"/>
        <v>Empty budget line</v>
      </c>
    </row>
    <row r="66" spans="1:25" x14ac:dyDescent="0.35">
      <c r="A66" s="348"/>
      <c r="B66" s="349"/>
      <c r="C66" s="1"/>
      <c r="D66" s="1"/>
      <c r="E66" s="3"/>
      <c r="F66" s="5" t="s">
        <v>12</v>
      </c>
      <c r="G66" s="214">
        <f t="shared" si="0"/>
        <v>0</v>
      </c>
      <c r="H66" s="5" t="s">
        <v>12</v>
      </c>
      <c r="I66" s="172"/>
      <c r="J66" s="33">
        <f t="shared" si="35"/>
        <v>0</v>
      </c>
      <c r="K66" s="207">
        <f t="shared" si="36"/>
        <v>0</v>
      </c>
      <c r="L66" s="193"/>
      <c r="M66" s="187"/>
      <c r="N66" s="1"/>
      <c r="O66" s="3"/>
      <c r="P66" s="5" t="s">
        <v>12</v>
      </c>
      <c r="Q66" s="215">
        <f t="shared" si="2"/>
        <v>0</v>
      </c>
      <c r="R66" s="5" t="s">
        <v>12</v>
      </c>
      <c r="S66" s="3"/>
      <c r="T66" s="33">
        <f t="shared" si="37"/>
        <v>0</v>
      </c>
      <c r="U66" s="209">
        <f t="shared" si="38"/>
        <v>0</v>
      </c>
      <c r="V66" s="318"/>
      <c r="W66" s="319"/>
      <c r="X66" s="320"/>
      <c r="Y66" s="119" t="str">
        <f t="shared" si="5"/>
        <v>Empty budget line</v>
      </c>
    </row>
    <row r="67" spans="1:25" x14ac:dyDescent="0.35">
      <c r="A67" s="348"/>
      <c r="B67" s="349"/>
      <c r="C67" s="1"/>
      <c r="D67" s="1"/>
      <c r="E67" s="3"/>
      <c r="F67" s="5" t="s">
        <v>12</v>
      </c>
      <c r="G67" s="214">
        <f t="shared" si="0"/>
        <v>0</v>
      </c>
      <c r="H67" s="5" t="s">
        <v>12</v>
      </c>
      <c r="I67" s="4"/>
      <c r="J67" s="33">
        <f t="shared" si="35"/>
        <v>0</v>
      </c>
      <c r="K67" s="207">
        <f t="shared" si="36"/>
        <v>0</v>
      </c>
      <c r="L67" s="193"/>
      <c r="M67" s="187"/>
      <c r="N67" s="1"/>
      <c r="O67" s="3"/>
      <c r="P67" s="5" t="s">
        <v>12</v>
      </c>
      <c r="Q67" s="215">
        <f t="shared" si="2"/>
        <v>0</v>
      </c>
      <c r="R67" s="5" t="s">
        <v>12</v>
      </c>
      <c r="S67" s="3"/>
      <c r="T67" s="33">
        <f t="shared" si="37"/>
        <v>0</v>
      </c>
      <c r="U67" s="209">
        <f t="shared" si="38"/>
        <v>0</v>
      </c>
      <c r="V67" s="318"/>
      <c r="W67" s="319"/>
      <c r="X67" s="320"/>
      <c r="Y67" s="119" t="str">
        <f t="shared" si="5"/>
        <v>Empty budget line</v>
      </c>
    </row>
    <row r="68" spans="1:25" x14ac:dyDescent="0.35">
      <c r="A68" s="348"/>
      <c r="B68" s="349"/>
      <c r="C68" s="1"/>
      <c r="D68" s="1"/>
      <c r="E68" s="3"/>
      <c r="F68" s="5" t="s">
        <v>12</v>
      </c>
      <c r="G68" s="214">
        <f t="shared" si="0"/>
        <v>0</v>
      </c>
      <c r="H68" s="5" t="s">
        <v>12</v>
      </c>
      <c r="I68" s="172"/>
      <c r="J68" s="33">
        <f t="shared" si="35"/>
        <v>0</v>
      </c>
      <c r="K68" s="207">
        <f t="shared" si="36"/>
        <v>0</v>
      </c>
      <c r="L68" s="193"/>
      <c r="M68" s="187"/>
      <c r="N68" s="1"/>
      <c r="O68" s="3"/>
      <c r="P68" s="5" t="s">
        <v>12</v>
      </c>
      <c r="Q68" s="215">
        <f t="shared" si="2"/>
        <v>0</v>
      </c>
      <c r="R68" s="5" t="s">
        <v>12</v>
      </c>
      <c r="S68" s="3"/>
      <c r="T68" s="33">
        <f t="shared" si="37"/>
        <v>0</v>
      </c>
      <c r="U68" s="209">
        <f t="shared" si="38"/>
        <v>0</v>
      </c>
      <c r="V68" s="318"/>
      <c r="W68" s="319"/>
      <c r="X68" s="320"/>
      <c r="Y68" s="119" t="str">
        <f t="shared" si="5"/>
        <v>Empty budget line</v>
      </c>
    </row>
    <row r="69" spans="1:25" x14ac:dyDescent="0.35">
      <c r="A69" s="348"/>
      <c r="B69" s="349"/>
      <c r="C69" s="1"/>
      <c r="D69" s="1"/>
      <c r="E69" s="3"/>
      <c r="F69" s="5" t="s">
        <v>12</v>
      </c>
      <c r="G69" s="214">
        <f t="shared" si="0"/>
        <v>0</v>
      </c>
      <c r="H69" s="5" t="s">
        <v>12</v>
      </c>
      <c r="I69" s="4"/>
      <c r="J69" s="33">
        <f>G69-I69</f>
        <v>0</v>
      </c>
      <c r="K69" s="207">
        <f>IFERROR(J69/G69,0)</f>
        <v>0</v>
      </c>
      <c r="L69" s="193"/>
      <c r="M69" s="187"/>
      <c r="N69" s="1"/>
      <c r="O69" s="3"/>
      <c r="P69" s="5" t="s">
        <v>12</v>
      </c>
      <c r="Q69" s="215">
        <f t="shared" si="2"/>
        <v>0</v>
      </c>
      <c r="R69" s="5" t="s">
        <v>12</v>
      </c>
      <c r="S69" s="3"/>
      <c r="T69" s="33">
        <f>Q69-S69</f>
        <v>0</v>
      </c>
      <c r="U69" s="209">
        <f>IFERROR(T69/Q69,0)</f>
        <v>0</v>
      </c>
      <c r="V69" s="318"/>
      <c r="W69" s="319"/>
      <c r="X69" s="320"/>
      <c r="Y69" s="119" t="str">
        <f t="shared" si="5"/>
        <v>Empty budget line</v>
      </c>
    </row>
    <row r="70" spans="1:25" x14ac:dyDescent="0.35">
      <c r="A70" s="348"/>
      <c r="B70" s="349"/>
      <c r="C70" s="1"/>
      <c r="D70" s="1"/>
      <c r="E70" s="3"/>
      <c r="F70" s="5" t="s">
        <v>12</v>
      </c>
      <c r="G70" s="214">
        <f t="shared" si="0"/>
        <v>0</v>
      </c>
      <c r="H70" s="5" t="s">
        <v>12</v>
      </c>
      <c r="I70" s="172"/>
      <c r="J70" s="33">
        <f t="shared" ref="J70:J73" si="39">G70-I70</f>
        <v>0</v>
      </c>
      <c r="K70" s="207">
        <f t="shared" ref="K70:K73" si="40">IFERROR(J70/G70,0)</f>
        <v>0</v>
      </c>
      <c r="L70" s="193"/>
      <c r="M70" s="187"/>
      <c r="N70" s="1"/>
      <c r="O70" s="3"/>
      <c r="P70" s="5" t="s">
        <v>12</v>
      </c>
      <c r="Q70" s="215">
        <f t="shared" si="2"/>
        <v>0</v>
      </c>
      <c r="R70" s="5" t="s">
        <v>12</v>
      </c>
      <c r="S70" s="3"/>
      <c r="T70" s="33">
        <f t="shared" ref="T70:T73" si="41">Q70-S70</f>
        <v>0</v>
      </c>
      <c r="U70" s="209">
        <f t="shared" ref="U70:U73" si="42">IFERROR(T70/Q70,0)</f>
        <v>0</v>
      </c>
      <c r="V70" s="318"/>
      <c r="W70" s="319"/>
      <c r="X70" s="320"/>
      <c r="Y70" s="119" t="str">
        <f t="shared" si="5"/>
        <v>Empty budget line</v>
      </c>
    </row>
    <row r="71" spans="1:25" x14ac:dyDescent="0.35">
      <c r="A71" s="348"/>
      <c r="B71" s="349"/>
      <c r="C71" s="1"/>
      <c r="D71" s="1"/>
      <c r="E71" s="3"/>
      <c r="F71" s="5" t="s">
        <v>12</v>
      </c>
      <c r="G71" s="214">
        <f t="shared" si="0"/>
        <v>0</v>
      </c>
      <c r="H71" s="5" t="s">
        <v>12</v>
      </c>
      <c r="I71" s="4"/>
      <c r="J71" s="33">
        <f t="shared" si="39"/>
        <v>0</v>
      </c>
      <c r="K71" s="207">
        <f t="shared" si="40"/>
        <v>0</v>
      </c>
      <c r="L71" s="193"/>
      <c r="M71" s="187"/>
      <c r="N71" s="1"/>
      <c r="O71" s="3"/>
      <c r="P71" s="5" t="s">
        <v>12</v>
      </c>
      <c r="Q71" s="215">
        <f t="shared" si="2"/>
        <v>0</v>
      </c>
      <c r="R71" s="5" t="s">
        <v>12</v>
      </c>
      <c r="S71" s="3"/>
      <c r="T71" s="33">
        <f t="shared" si="41"/>
        <v>0</v>
      </c>
      <c r="U71" s="209">
        <f t="shared" si="42"/>
        <v>0</v>
      </c>
      <c r="V71" s="318"/>
      <c r="W71" s="319"/>
      <c r="X71" s="320"/>
      <c r="Y71" s="119" t="str">
        <f t="shared" si="5"/>
        <v>Empty budget line</v>
      </c>
    </row>
    <row r="72" spans="1:25" x14ac:dyDescent="0.35">
      <c r="A72" s="348"/>
      <c r="B72" s="349"/>
      <c r="C72" s="1"/>
      <c r="D72" s="1"/>
      <c r="E72" s="3"/>
      <c r="F72" s="5" t="s">
        <v>12</v>
      </c>
      <c r="G72" s="214">
        <f t="shared" si="0"/>
        <v>0</v>
      </c>
      <c r="H72" s="5" t="s">
        <v>12</v>
      </c>
      <c r="I72" s="172"/>
      <c r="J72" s="33">
        <f t="shared" si="39"/>
        <v>0</v>
      </c>
      <c r="K72" s="207">
        <f t="shared" si="40"/>
        <v>0</v>
      </c>
      <c r="L72" s="193"/>
      <c r="M72" s="187"/>
      <c r="N72" s="1"/>
      <c r="O72" s="3"/>
      <c r="P72" s="5" t="s">
        <v>12</v>
      </c>
      <c r="Q72" s="215">
        <f t="shared" si="2"/>
        <v>0</v>
      </c>
      <c r="R72" s="5" t="s">
        <v>12</v>
      </c>
      <c r="S72" s="3"/>
      <c r="T72" s="33">
        <f t="shared" si="41"/>
        <v>0</v>
      </c>
      <c r="U72" s="209">
        <f t="shared" si="42"/>
        <v>0</v>
      </c>
      <c r="V72" s="318"/>
      <c r="W72" s="319"/>
      <c r="X72" s="320"/>
      <c r="Y72" s="119" t="str">
        <f t="shared" si="5"/>
        <v>Empty budget line</v>
      </c>
    </row>
    <row r="73" spans="1:25" x14ac:dyDescent="0.35">
      <c r="A73" s="348"/>
      <c r="B73" s="349"/>
      <c r="C73" s="1"/>
      <c r="D73" s="1"/>
      <c r="E73" s="3"/>
      <c r="F73" s="5" t="s">
        <v>12</v>
      </c>
      <c r="G73" s="214">
        <f t="shared" si="0"/>
        <v>0</v>
      </c>
      <c r="H73" s="5" t="s">
        <v>12</v>
      </c>
      <c r="I73" s="4"/>
      <c r="J73" s="33">
        <f t="shared" si="39"/>
        <v>0</v>
      </c>
      <c r="K73" s="207">
        <f t="shared" si="40"/>
        <v>0</v>
      </c>
      <c r="L73" s="193"/>
      <c r="M73" s="187"/>
      <c r="N73" s="1"/>
      <c r="O73" s="3"/>
      <c r="P73" s="5" t="s">
        <v>12</v>
      </c>
      <c r="Q73" s="215">
        <f t="shared" si="2"/>
        <v>0</v>
      </c>
      <c r="R73" s="5" t="s">
        <v>12</v>
      </c>
      <c r="S73" s="3"/>
      <c r="T73" s="33">
        <f t="shared" si="41"/>
        <v>0</v>
      </c>
      <c r="U73" s="209">
        <f t="shared" si="42"/>
        <v>0</v>
      </c>
      <c r="V73" s="318"/>
      <c r="W73" s="319"/>
      <c r="X73" s="320"/>
      <c r="Y73" s="119" t="str">
        <f t="shared" si="5"/>
        <v>Empty budget line</v>
      </c>
    </row>
    <row r="74" spans="1:25" x14ac:dyDescent="0.35">
      <c r="A74" s="348"/>
      <c r="B74" s="349"/>
      <c r="C74" s="1"/>
      <c r="D74" s="1"/>
      <c r="E74" s="3"/>
      <c r="F74" s="5" t="s">
        <v>12</v>
      </c>
      <c r="G74" s="214">
        <f t="shared" si="0"/>
        <v>0</v>
      </c>
      <c r="H74" s="5" t="s">
        <v>12</v>
      </c>
      <c r="I74" s="172"/>
      <c r="J74" s="33">
        <f>G74-I74</f>
        <v>0</v>
      </c>
      <c r="K74" s="207">
        <f>IFERROR(J74/G74,0)</f>
        <v>0</v>
      </c>
      <c r="L74" s="193"/>
      <c r="M74" s="187"/>
      <c r="N74" s="1"/>
      <c r="O74" s="3"/>
      <c r="P74" s="5" t="s">
        <v>12</v>
      </c>
      <c r="Q74" s="215">
        <f t="shared" si="2"/>
        <v>0</v>
      </c>
      <c r="R74" s="5" t="s">
        <v>12</v>
      </c>
      <c r="S74" s="3"/>
      <c r="T74" s="33">
        <f>Q74-S74</f>
        <v>0</v>
      </c>
      <c r="U74" s="209">
        <f>IFERROR(T74/Q74,0)</f>
        <v>0</v>
      </c>
      <c r="V74" s="318"/>
      <c r="W74" s="319"/>
      <c r="X74" s="320"/>
      <c r="Y74" s="119" t="str">
        <f t="shared" si="5"/>
        <v>Empty budget line</v>
      </c>
    </row>
    <row r="75" spans="1:25" x14ac:dyDescent="0.35">
      <c r="A75" s="348"/>
      <c r="B75" s="349"/>
      <c r="C75" s="1"/>
      <c r="D75" s="1"/>
      <c r="E75" s="3"/>
      <c r="F75" s="5" t="s">
        <v>12</v>
      </c>
      <c r="G75" s="214">
        <f t="shared" si="0"/>
        <v>0</v>
      </c>
      <c r="H75" s="5" t="s">
        <v>12</v>
      </c>
      <c r="I75" s="4"/>
      <c r="J75" s="33">
        <f t="shared" ref="J75:J78" si="43">G75-I75</f>
        <v>0</v>
      </c>
      <c r="K75" s="207">
        <f t="shared" ref="K75:K78" si="44">IFERROR(J75/G75,0)</f>
        <v>0</v>
      </c>
      <c r="L75" s="193"/>
      <c r="M75" s="187"/>
      <c r="N75" s="1"/>
      <c r="O75" s="3"/>
      <c r="P75" s="5" t="s">
        <v>12</v>
      </c>
      <c r="Q75" s="215">
        <f t="shared" si="2"/>
        <v>0</v>
      </c>
      <c r="R75" s="5" t="s">
        <v>12</v>
      </c>
      <c r="S75" s="3"/>
      <c r="T75" s="33">
        <f t="shared" ref="T75:T78" si="45">Q75-S75</f>
        <v>0</v>
      </c>
      <c r="U75" s="209">
        <f t="shared" ref="U75:U78" si="46">IFERROR(T75/Q75,0)</f>
        <v>0</v>
      </c>
      <c r="V75" s="318"/>
      <c r="W75" s="319"/>
      <c r="X75" s="320"/>
      <c r="Y75" s="119" t="str">
        <f t="shared" si="5"/>
        <v>Empty budget line</v>
      </c>
    </row>
    <row r="76" spans="1:25" x14ac:dyDescent="0.35">
      <c r="A76" s="348"/>
      <c r="B76" s="349"/>
      <c r="C76" s="1"/>
      <c r="D76" s="1"/>
      <c r="E76" s="3"/>
      <c r="F76" s="5" t="s">
        <v>12</v>
      </c>
      <c r="G76" s="214">
        <f t="shared" si="0"/>
        <v>0</v>
      </c>
      <c r="H76" s="5" t="s">
        <v>12</v>
      </c>
      <c r="I76" s="172"/>
      <c r="J76" s="33">
        <f t="shared" si="43"/>
        <v>0</v>
      </c>
      <c r="K76" s="207">
        <f t="shared" si="44"/>
        <v>0</v>
      </c>
      <c r="L76" s="193"/>
      <c r="M76" s="187"/>
      <c r="N76" s="1"/>
      <c r="O76" s="3"/>
      <c r="P76" s="5" t="s">
        <v>12</v>
      </c>
      <c r="Q76" s="215">
        <f t="shared" si="2"/>
        <v>0</v>
      </c>
      <c r="R76" s="5" t="s">
        <v>12</v>
      </c>
      <c r="S76" s="3"/>
      <c r="T76" s="33">
        <f t="shared" si="45"/>
        <v>0</v>
      </c>
      <c r="U76" s="209">
        <f t="shared" si="46"/>
        <v>0</v>
      </c>
      <c r="V76" s="318"/>
      <c r="W76" s="319"/>
      <c r="X76" s="320"/>
      <c r="Y76" s="119" t="str">
        <f t="shared" si="5"/>
        <v>Empty budget line</v>
      </c>
    </row>
    <row r="77" spans="1:25" x14ac:dyDescent="0.35">
      <c r="A77" s="348"/>
      <c r="B77" s="349"/>
      <c r="C77" s="1"/>
      <c r="D77" s="1"/>
      <c r="E77" s="3"/>
      <c r="F77" s="5" t="s">
        <v>12</v>
      </c>
      <c r="G77" s="214">
        <f t="shared" si="0"/>
        <v>0</v>
      </c>
      <c r="H77" s="5" t="s">
        <v>12</v>
      </c>
      <c r="I77" s="4"/>
      <c r="J77" s="33">
        <f t="shared" si="43"/>
        <v>0</v>
      </c>
      <c r="K77" s="207">
        <f t="shared" si="44"/>
        <v>0</v>
      </c>
      <c r="L77" s="193"/>
      <c r="M77" s="187"/>
      <c r="N77" s="1"/>
      <c r="O77" s="3"/>
      <c r="P77" s="5" t="s">
        <v>12</v>
      </c>
      <c r="Q77" s="215">
        <f t="shared" si="2"/>
        <v>0</v>
      </c>
      <c r="R77" s="5" t="s">
        <v>12</v>
      </c>
      <c r="S77" s="3"/>
      <c r="T77" s="33">
        <f t="shared" si="45"/>
        <v>0</v>
      </c>
      <c r="U77" s="209">
        <f t="shared" si="46"/>
        <v>0</v>
      </c>
      <c r="V77" s="318"/>
      <c r="W77" s="319"/>
      <c r="X77" s="320"/>
      <c r="Y77" s="119" t="str">
        <f t="shared" si="5"/>
        <v>Empty budget line</v>
      </c>
    </row>
    <row r="78" spans="1:25" x14ac:dyDescent="0.35">
      <c r="A78" s="348"/>
      <c r="B78" s="349"/>
      <c r="C78" s="1"/>
      <c r="D78" s="1"/>
      <c r="E78" s="3"/>
      <c r="F78" s="5" t="s">
        <v>12</v>
      </c>
      <c r="G78" s="214">
        <f t="shared" si="0"/>
        <v>0</v>
      </c>
      <c r="H78" s="5" t="s">
        <v>12</v>
      </c>
      <c r="I78" s="172"/>
      <c r="J78" s="33">
        <f t="shared" si="43"/>
        <v>0</v>
      </c>
      <c r="K78" s="207">
        <f t="shared" si="44"/>
        <v>0</v>
      </c>
      <c r="L78" s="193"/>
      <c r="M78" s="187"/>
      <c r="N78" s="1"/>
      <c r="O78" s="3"/>
      <c r="P78" s="5" t="s">
        <v>12</v>
      </c>
      <c r="Q78" s="215">
        <f t="shared" si="2"/>
        <v>0</v>
      </c>
      <c r="R78" s="5" t="s">
        <v>12</v>
      </c>
      <c r="S78" s="3"/>
      <c r="T78" s="33">
        <f t="shared" si="45"/>
        <v>0</v>
      </c>
      <c r="U78" s="209">
        <f t="shared" si="46"/>
        <v>0</v>
      </c>
      <c r="V78" s="318"/>
      <c r="W78" s="319"/>
      <c r="X78" s="320"/>
      <c r="Y78" s="119" t="str">
        <f t="shared" si="5"/>
        <v>Empty budget line</v>
      </c>
    </row>
    <row r="79" spans="1:25" x14ac:dyDescent="0.35">
      <c r="A79" s="348"/>
      <c r="B79" s="349"/>
      <c r="C79" s="1"/>
      <c r="D79" s="1"/>
      <c r="E79" s="3"/>
      <c r="F79" s="5" t="s">
        <v>12</v>
      </c>
      <c r="G79" s="214">
        <f t="shared" si="0"/>
        <v>0</v>
      </c>
      <c r="H79" s="5" t="s">
        <v>12</v>
      </c>
      <c r="I79" s="4"/>
      <c r="J79" s="33">
        <f>G79-I79</f>
        <v>0</v>
      </c>
      <c r="K79" s="207">
        <f>IFERROR(J79/G79,0)</f>
        <v>0</v>
      </c>
      <c r="L79" s="193"/>
      <c r="M79" s="187"/>
      <c r="N79" s="1"/>
      <c r="O79" s="3"/>
      <c r="P79" s="5" t="s">
        <v>12</v>
      </c>
      <c r="Q79" s="215">
        <f t="shared" si="2"/>
        <v>0</v>
      </c>
      <c r="R79" s="5" t="s">
        <v>12</v>
      </c>
      <c r="S79" s="3"/>
      <c r="T79" s="33">
        <f>Q79-S79</f>
        <v>0</v>
      </c>
      <c r="U79" s="209">
        <f>IFERROR(T79/Q79,0)</f>
        <v>0</v>
      </c>
      <c r="V79" s="318"/>
      <c r="W79" s="319"/>
      <c r="X79" s="320"/>
      <c r="Y79" s="119" t="str">
        <f t="shared" si="5"/>
        <v>Empty budget line</v>
      </c>
    </row>
    <row r="80" spans="1:25" x14ac:dyDescent="0.35">
      <c r="A80" s="348"/>
      <c r="B80" s="349"/>
      <c r="C80" s="1"/>
      <c r="D80" s="1"/>
      <c r="E80" s="3"/>
      <c r="F80" s="5" t="s">
        <v>12</v>
      </c>
      <c r="G80" s="214">
        <f t="shared" si="0"/>
        <v>0</v>
      </c>
      <c r="H80" s="5" t="s">
        <v>12</v>
      </c>
      <c r="I80" s="172"/>
      <c r="J80" s="33">
        <f t="shared" ref="J80:J83" si="47">G80-I80</f>
        <v>0</v>
      </c>
      <c r="K80" s="207">
        <f t="shared" ref="K80:K83" si="48">IFERROR(J80/G80,0)</f>
        <v>0</v>
      </c>
      <c r="L80" s="193"/>
      <c r="M80" s="187"/>
      <c r="N80" s="1"/>
      <c r="O80" s="3"/>
      <c r="P80" s="5" t="s">
        <v>12</v>
      </c>
      <c r="Q80" s="215">
        <f t="shared" si="2"/>
        <v>0</v>
      </c>
      <c r="R80" s="5" t="s">
        <v>12</v>
      </c>
      <c r="S80" s="3"/>
      <c r="T80" s="33">
        <f t="shared" ref="T80:T83" si="49">Q80-S80</f>
        <v>0</v>
      </c>
      <c r="U80" s="209">
        <f t="shared" ref="U80:U83" si="50">IFERROR(T80/Q80,0)</f>
        <v>0</v>
      </c>
      <c r="V80" s="318"/>
      <c r="W80" s="319"/>
      <c r="X80" s="320"/>
      <c r="Y80" s="119" t="str">
        <f t="shared" si="5"/>
        <v>Empty budget line</v>
      </c>
    </row>
    <row r="81" spans="1:25" x14ac:dyDescent="0.35">
      <c r="A81" s="348"/>
      <c r="B81" s="349"/>
      <c r="C81" s="1"/>
      <c r="D81" s="1"/>
      <c r="E81" s="3"/>
      <c r="F81" s="5" t="s">
        <v>12</v>
      </c>
      <c r="G81" s="214">
        <f t="shared" si="0"/>
        <v>0</v>
      </c>
      <c r="H81" s="5" t="s">
        <v>12</v>
      </c>
      <c r="I81" s="4"/>
      <c r="J81" s="33">
        <f t="shared" si="47"/>
        <v>0</v>
      </c>
      <c r="K81" s="207">
        <f t="shared" si="48"/>
        <v>0</v>
      </c>
      <c r="L81" s="193"/>
      <c r="M81" s="187"/>
      <c r="N81" s="1"/>
      <c r="O81" s="3"/>
      <c r="P81" s="5" t="s">
        <v>12</v>
      </c>
      <c r="Q81" s="215">
        <f t="shared" si="2"/>
        <v>0</v>
      </c>
      <c r="R81" s="5" t="s">
        <v>12</v>
      </c>
      <c r="S81" s="3"/>
      <c r="T81" s="33">
        <f t="shared" si="49"/>
        <v>0</v>
      </c>
      <c r="U81" s="209">
        <f t="shared" si="50"/>
        <v>0</v>
      </c>
      <c r="V81" s="318"/>
      <c r="W81" s="319"/>
      <c r="X81" s="320"/>
      <c r="Y81" s="119" t="str">
        <f t="shared" si="5"/>
        <v>Empty budget line</v>
      </c>
    </row>
    <row r="82" spans="1:25" x14ac:dyDescent="0.35">
      <c r="A82" s="348"/>
      <c r="B82" s="349"/>
      <c r="C82" s="1"/>
      <c r="D82" s="1"/>
      <c r="E82" s="3"/>
      <c r="F82" s="5" t="s">
        <v>12</v>
      </c>
      <c r="G82" s="214">
        <f t="shared" si="0"/>
        <v>0</v>
      </c>
      <c r="H82" s="5" t="s">
        <v>12</v>
      </c>
      <c r="I82" s="172"/>
      <c r="J82" s="33">
        <f t="shared" si="47"/>
        <v>0</v>
      </c>
      <c r="K82" s="207">
        <f t="shared" si="48"/>
        <v>0</v>
      </c>
      <c r="L82" s="193"/>
      <c r="M82" s="187"/>
      <c r="N82" s="1"/>
      <c r="O82" s="3"/>
      <c r="P82" s="5" t="s">
        <v>12</v>
      </c>
      <c r="Q82" s="215">
        <f t="shared" si="2"/>
        <v>0</v>
      </c>
      <c r="R82" s="5" t="s">
        <v>12</v>
      </c>
      <c r="S82" s="3"/>
      <c r="T82" s="33">
        <f t="shared" si="49"/>
        <v>0</v>
      </c>
      <c r="U82" s="209">
        <f t="shared" si="50"/>
        <v>0</v>
      </c>
      <c r="V82" s="318"/>
      <c r="W82" s="319"/>
      <c r="X82" s="320"/>
      <c r="Y82" s="119" t="str">
        <f t="shared" si="5"/>
        <v>Empty budget line</v>
      </c>
    </row>
    <row r="83" spans="1:25" x14ac:dyDescent="0.35">
      <c r="A83" s="348"/>
      <c r="B83" s="349"/>
      <c r="C83" s="1"/>
      <c r="D83" s="1"/>
      <c r="E83" s="3"/>
      <c r="F83" s="5" t="s">
        <v>12</v>
      </c>
      <c r="G83" s="214">
        <f t="shared" si="0"/>
        <v>0</v>
      </c>
      <c r="H83" s="5" t="s">
        <v>12</v>
      </c>
      <c r="I83" s="4"/>
      <c r="J83" s="33">
        <f t="shared" si="47"/>
        <v>0</v>
      </c>
      <c r="K83" s="207">
        <f t="shared" si="48"/>
        <v>0</v>
      </c>
      <c r="L83" s="193"/>
      <c r="M83" s="187"/>
      <c r="N83" s="1"/>
      <c r="O83" s="3"/>
      <c r="P83" s="5" t="s">
        <v>12</v>
      </c>
      <c r="Q83" s="215">
        <f>N83*O83</f>
        <v>0</v>
      </c>
      <c r="R83" s="5" t="s">
        <v>12</v>
      </c>
      <c r="S83" s="3"/>
      <c r="T83" s="33">
        <f t="shared" si="49"/>
        <v>0</v>
      </c>
      <c r="U83" s="209">
        <f t="shared" si="50"/>
        <v>0</v>
      </c>
      <c r="V83" s="318"/>
      <c r="W83" s="319"/>
      <c r="X83" s="320"/>
      <c r="Y83" s="119" t="str">
        <f t="shared" si="5"/>
        <v>Empty budget line</v>
      </c>
    </row>
    <row r="84" spans="1:25" ht="30" customHeight="1" x14ac:dyDescent="0.35">
      <c r="A84" s="369" t="str">
        <f>IF($C$1="English","Total costs of activity 1","Costuri Total activitatea 1")</f>
        <v>Total costs of activity 1</v>
      </c>
      <c r="B84" s="370"/>
      <c r="C84" s="182"/>
      <c r="D84" s="182"/>
      <c r="E84" s="183"/>
      <c r="F84" s="184"/>
      <c r="G84" s="184">
        <f>SUM(G24:G83)</f>
        <v>0</v>
      </c>
      <c r="H84" s="184"/>
      <c r="I84" s="184">
        <f>SUM(I24:I83)</f>
        <v>0</v>
      </c>
      <c r="J84" s="184">
        <f>SUM(J24:J83)</f>
        <v>0</v>
      </c>
      <c r="K84" s="208">
        <f>IFERROR(J84/G84,0)</f>
        <v>0</v>
      </c>
      <c r="L84" s="194"/>
      <c r="M84" s="188"/>
      <c r="N84" s="184"/>
      <c r="O84" s="184"/>
      <c r="P84" s="184"/>
      <c r="Q84" s="184">
        <f>SUM(Q24:Q83)</f>
        <v>0</v>
      </c>
      <c r="R84" s="184"/>
      <c r="S84" s="184">
        <f>SUM(S24:S83)</f>
        <v>0</v>
      </c>
      <c r="T84" s="184">
        <f>SUM(T24:T83)</f>
        <v>0</v>
      </c>
      <c r="U84" s="210">
        <f>IFERROR(T84/Q84,0)</f>
        <v>0</v>
      </c>
      <c r="V84" s="340"/>
      <c r="W84" s="341"/>
      <c r="X84" s="342"/>
      <c r="Y84" s="119" t="str">
        <f t="shared" si="5"/>
        <v/>
      </c>
    </row>
    <row r="85" spans="1:25" x14ac:dyDescent="0.35">
      <c r="A85" s="34"/>
      <c r="B85" s="34"/>
      <c r="C85" s="35"/>
      <c r="D85" s="35"/>
      <c r="E85" s="34"/>
      <c r="F85" s="34"/>
      <c r="G85" s="34"/>
      <c r="H85" s="34"/>
      <c r="I85" s="34"/>
      <c r="J85" s="34"/>
      <c r="K85" s="34"/>
      <c r="M85" s="34"/>
      <c r="N85" s="34"/>
      <c r="O85" s="34"/>
      <c r="P85" s="34"/>
      <c r="Q85" s="34"/>
      <c r="R85" s="34"/>
      <c r="S85" s="34"/>
      <c r="T85" s="34"/>
      <c r="U85" s="34"/>
      <c r="V85" s="34"/>
      <c r="W85" s="34"/>
      <c r="X85" s="34"/>
      <c r="Y85" s="119" t="str">
        <f t="shared" si="5"/>
        <v/>
      </c>
    </row>
    <row r="86" spans="1:25" ht="22.5" customHeight="1" x14ac:dyDescent="0.35">
      <c r="A86" s="323" t="str">
        <f>IF($C$1="English","Activity 2. 4","Activitatea 2.")</f>
        <v>Activity 2. 4</v>
      </c>
      <c r="B86" s="324"/>
      <c r="C86" s="346" t="str">
        <f>C21</f>
        <v>Eligible costs in the Project Application / Project Contract 5</v>
      </c>
      <c r="D86" s="346"/>
      <c r="E86" s="346"/>
      <c r="F86" s="346"/>
      <c r="G86" s="346"/>
      <c r="H86" s="346"/>
      <c r="I86" s="346"/>
      <c r="J86" s="346"/>
      <c r="K86" s="347"/>
      <c r="L86" s="191"/>
      <c r="M86" s="330" t="str">
        <f>M21</f>
        <v>Eligible costs in the latest Project Modification</v>
      </c>
      <c r="N86" s="330"/>
      <c r="O86" s="330"/>
      <c r="P86" s="330"/>
      <c r="Q86" s="330"/>
      <c r="R86" s="330"/>
      <c r="S86" s="330"/>
      <c r="T86" s="330"/>
      <c r="U86" s="331"/>
      <c r="V86" s="329" t="str">
        <f>V21</f>
        <v>Comments</v>
      </c>
      <c r="W86" s="330"/>
      <c r="X86" s="331"/>
      <c r="Y86" s="119" t="str">
        <f t="shared" si="5"/>
        <v/>
      </c>
    </row>
    <row r="87" spans="1:25" ht="37.5" customHeight="1" x14ac:dyDescent="0.35">
      <c r="A87" s="343" t="s">
        <v>2</v>
      </c>
      <c r="B87" s="344"/>
      <c r="C87" s="346"/>
      <c r="D87" s="346"/>
      <c r="E87" s="346"/>
      <c r="F87" s="346"/>
      <c r="G87" s="346"/>
      <c r="H87" s="346"/>
      <c r="I87" s="346"/>
      <c r="J87" s="346"/>
      <c r="K87" s="347"/>
      <c r="L87" s="191"/>
      <c r="M87" s="333"/>
      <c r="N87" s="333"/>
      <c r="O87" s="333"/>
      <c r="P87" s="333"/>
      <c r="Q87" s="333"/>
      <c r="R87" s="333"/>
      <c r="S87" s="333"/>
      <c r="T87" s="333"/>
      <c r="U87" s="334"/>
      <c r="V87" s="332"/>
      <c r="W87" s="333"/>
      <c r="X87" s="334"/>
      <c r="Y87" s="119" t="str">
        <f t="shared" si="5"/>
        <v/>
      </c>
    </row>
    <row r="88" spans="1:25" s="32" customFormat="1" ht="45.5" customHeight="1" x14ac:dyDescent="0.15">
      <c r="A88" s="327" t="str">
        <f>A23</f>
        <v>Short description</v>
      </c>
      <c r="B88" s="328"/>
      <c r="C88" s="31" t="str">
        <f>C23</f>
        <v>Unit type</v>
      </c>
      <c r="D88" s="31" t="str">
        <f>D23</f>
        <v>No of units</v>
      </c>
      <c r="E88" s="31" t="str">
        <f>E23</f>
        <v>Unit cost</v>
      </c>
      <c r="F88" s="335" t="str">
        <f>F23</f>
        <v>Costs by (select) 6 amount</v>
      </c>
      <c r="G88" s="345"/>
      <c r="H88" s="335" t="str">
        <f>H23</f>
        <v>Own contribution by (select) 6 amount</v>
      </c>
      <c r="I88" s="336"/>
      <c r="J88" s="31" t="s">
        <v>9</v>
      </c>
      <c r="K88" s="304" t="s">
        <v>10</v>
      </c>
      <c r="L88" s="192"/>
      <c r="M88" s="305" t="str">
        <f>M23</f>
        <v>Unit type</v>
      </c>
      <c r="N88" s="31" t="str">
        <f>N23</f>
        <v>No of units</v>
      </c>
      <c r="O88" s="31" t="str">
        <f>O23</f>
        <v>Unit cost</v>
      </c>
      <c r="P88" s="335" t="str">
        <f>P23</f>
        <v>Costs by (select) 6 amount</v>
      </c>
      <c r="Q88" s="345"/>
      <c r="R88" s="335" t="str">
        <f>R23</f>
        <v>Own contribution by (select) 6 amount</v>
      </c>
      <c r="S88" s="336"/>
      <c r="T88" s="31" t="s">
        <v>9</v>
      </c>
      <c r="U88" s="31" t="s">
        <v>10</v>
      </c>
      <c r="V88" s="327" t="str">
        <f>V23</f>
        <v>Comments</v>
      </c>
      <c r="W88" s="337"/>
      <c r="X88" s="328"/>
      <c r="Y88" s="119" t="str">
        <f t="shared" si="5"/>
        <v/>
      </c>
    </row>
    <row r="89" spans="1:25" x14ac:dyDescent="0.35">
      <c r="A89" s="338"/>
      <c r="B89" s="339"/>
      <c r="C89" s="1"/>
      <c r="D89" s="1"/>
      <c r="E89" s="1"/>
      <c r="F89" s="5" t="s">
        <v>12</v>
      </c>
      <c r="G89" s="214">
        <f>E89*D89</f>
        <v>0</v>
      </c>
      <c r="H89" s="5" t="s">
        <v>12</v>
      </c>
      <c r="I89" s="4"/>
      <c r="J89" s="33">
        <f>G89-I89</f>
        <v>0</v>
      </c>
      <c r="K89" s="207">
        <f>IFERROR(J89/G89,0)</f>
        <v>0</v>
      </c>
      <c r="L89" s="193"/>
      <c r="M89" s="187"/>
      <c r="N89" s="1"/>
      <c r="O89" s="3"/>
      <c r="P89" s="5" t="s">
        <v>12</v>
      </c>
      <c r="Q89" s="215">
        <f>N89*O89</f>
        <v>0</v>
      </c>
      <c r="R89" s="5" t="s">
        <v>12</v>
      </c>
      <c r="S89" s="3"/>
      <c r="T89" s="33">
        <f>Q89-S89</f>
        <v>0</v>
      </c>
      <c r="U89" s="209">
        <f>IFERROR(T89/Q89,0)</f>
        <v>0</v>
      </c>
      <c r="V89" s="318"/>
      <c r="W89" s="319"/>
      <c r="X89" s="320"/>
      <c r="Y89" s="119" t="str">
        <f t="shared" ref="Y89:Y152" si="51">IF((AND(F89="…", P89="…")), "Empty budget line", "")</f>
        <v>Empty budget line</v>
      </c>
    </row>
    <row r="90" spans="1:25" x14ac:dyDescent="0.35">
      <c r="A90" s="338"/>
      <c r="B90" s="339"/>
      <c r="C90" s="1"/>
      <c r="D90" s="1"/>
      <c r="E90" s="3"/>
      <c r="F90" s="5" t="s">
        <v>12</v>
      </c>
      <c r="G90" s="214">
        <f t="shared" ref="G90:G128" si="52">E90*D90</f>
        <v>0</v>
      </c>
      <c r="H90" s="5" t="s">
        <v>12</v>
      </c>
      <c r="I90" s="4"/>
      <c r="J90" s="33">
        <f t="shared" ref="J90:J93" si="53">G90-I90</f>
        <v>0</v>
      </c>
      <c r="K90" s="207">
        <f t="shared" ref="K90:K93" si="54">IFERROR(J90/G90,0)</f>
        <v>0</v>
      </c>
      <c r="L90" s="193"/>
      <c r="M90" s="187"/>
      <c r="N90" s="1"/>
      <c r="O90" s="3"/>
      <c r="P90" s="5" t="s">
        <v>12</v>
      </c>
      <c r="Q90" s="215">
        <f t="shared" ref="Q90:Q128" si="55">N90*O90</f>
        <v>0</v>
      </c>
      <c r="R90" s="5" t="s">
        <v>12</v>
      </c>
      <c r="S90" s="3"/>
      <c r="T90" s="33">
        <f t="shared" ref="T90:T93" si="56">Q90-S90</f>
        <v>0</v>
      </c>
      <c r="U90" s="209">
        <f t="shared" ref="U90:U93" si="57">IFERROR(T90/Q90,0)</f>
        <v>0</v>
      </c>
      <c r="V90" s="318"/>
      <c r="W90" s="319"/>
      <c r="X90" s="320"/>
      <c r="Y90" s="119" t="str">
        <f t="shared" si="51"/>
        <v>Empty budget line</v>
      </c>
    </row>
    <row r="91" spans="1:25" x14ac:dyDescent="0.35">
      <c r="A91" s="338"/>
      <c r="B91" s="339"/>
      <c r="C91" s="1"/>
      <c r="D91" s="1"/>
      <c r="E91" s="3"/>
      <c r="F91" s="5" t="s">
        <v>12</v>
      </c>
      <c r="G91" s="214">
        <f t="shared" si="52"/>
        <v>0</v>
      </c>
      <c r="H91" s="5" t="s">
        <v>12</v>
      </c>
      <c r="I91" s="4"/>
      <c r="J91" s="33">
        <f t="shared" si="53"/>
        <v>0</v>
      </c>
      <c r="K91" s="207">
        <f t="shared" si="54"/>
        <v>0</v>
      </c>
      <c r="L91" s="193"/>
      <c r="M91" s="187"/>
      <c r="N91" s="1"/>
      <c r="O91" s="3"/>
      <c r="P91" s="5" t="s">
        <v>12</v>
      </c>
      <c r="Q91" s="215">
        <f t="shared" si="55"/>
        <v>0</v>
      </c>
      <c r="R91" s="5" t="s">
        <v>12</v>
      </c>
      <c r="S91" s="3"/>
      <c r="T91" s="33">
        <f t="shared" si="56"/>
        <v>0</v>
      </c>
      <c r="U91" s="209">
        <f t="shared" si="57"/>
        <v>0</v>
      </c>
      <c r="V91" s="318"/>
      <c r="W91" s="319"/>
      <c r="X91" s="320"/>
      <c r="Y91" s="119" t="str">
        <f t="shared" si="51"/>
        <v>Empty budget line</v>
      </c>
    </row>
    <row r="92" spans="1:25" x14ac:dyDescent="0.35">
      <c r="A92" s="338"/>
      <c r="B92" s="339"/>
      <c r="C92" s="1"/>
      <c r="D92" s="1"/>
      <c r="E92" s="3"/>
      <c r="F92" s="5" t="s">
        <v>12</v>
      </c>
      <c r="G92" s="214">
        <f t="shared" si="52"/>
        <v>0</v>
      </c>
      <c r="H92" s="5" t="s">
        <v>12</v>
      </c>
      <c r="I92" s="4"/>
      <c r="J92" s="33">
        <f t="shared" si="53"/>
        <v>0</v>
      </c>
      <c r="K92" s="207">
        <f t="shared" si="54"/>
        <v>0</v>
      </c>
      <c r="L92" s="193"/>
      <c r="M92" s="187"/>
      <c r="N92" s="1"/>
      <c r="O92" s="3"/>
      <c r="P92" s="5" t="s">
        <v>12</v>
      </c>
      <c r="Q92" s="215">
        <f t="shared" si="55"/>
        <v>0</v>
      </c>
      <c r="R92" s="5" t="s">
        <v>12</v>
      </c>
      <c r="S92" s="3"/>
      <c r="T92" s="33">
        <f t="shared" si="56"/>
        <v>0</v>
      </c>
      <c r="U92" s="209">
        <f t="shared" si="57"/>
        <v>0</v>
      </c>
      <c r="V92" s="318"/>
      <c r="W92" s="319"/>
      <c r="X92" s="320"/>
      <c r="Y92" s="119" t="str">
        <f t="shared" si="51"/>
        <v>Empty budget line</v>
      </c>
    </row>
    <row r="93" spans="1:25" x14ac:dyDescent="0.35">
      <c r="A93" s="338"/>
      <c r="B93" s="339"/>
      <c r="C93" s="1"/>
      <c r="D93" s="1"/>
      <c r="E93" s="3"/>
      <c r="F93" s="5" t="s">
        <v>12</v>
      </c>
      <c r="G93" s="214">
        <f t="shared" si="52"/>
        <v>0</v>
      </c>
      <c r="H93" s="5" t="s">
        <v>12</v>
      </c>
      <c r="I93" s="4"/>
      <c r="J93" s="33">
        <f t="shared" si="53"/>
        <v>0</v>
      </c>
      <c r="K93" s="207">
        <f t="shared" si="54"/>
        <v>0</v>
      </c>
      <c r="L93" s="193"/>
      <c r="M93" s="187"/>
      <c r="N93" s="1"/>
      <c r="O93" s="3"/>
      <c r="P93" s="5" t="s">
        <v>12</v>
      </c>
      <c r="Q93" s="215">
        <f t="shared" si="55"/>
        <v>0</v>
      </c>
      <c r="R93" s="5" t="s">
        <v>12</v>
      </c>
      <c r="S93" s="3"/>
      <c r="T93" s="33">
        <f t="shared" si="56"/>
        <v>0</v>
      </c>
      <c r="U93" s="209">
        <f t="shared" si="57"/>
        <v>0</v>
      </c>
      <c r="V93" s="318"/>
      <c r="W93" s="319"/>
      <c r="X93" s="320"/>
      <c r="Y93" s="119" t="str">
        <f t="shared" si="51"/>
        <v>Empty budget line</v>
      </c>
    </row>
    <row r="94" spans="1:25" x14ac:dyDescent="0.35">
      <c r="A94" s="338"/>
      <c r="B94" s="339"/>
      <c r="C94" s="1"/>
      <c r="D94" s="1"/>
      <c r="E94" s="3"/>
      <c r="F94" s="5" t="s">
        <v>12</v>
      </c>
      <c r="G94" s="214">
        <f t="shared" si="52"/>
        <v>0</v>
      </c>
      <c r="H94" s="5" t="s">
        <v>12</v>
      </c>
      <c r="I94" s="4"/>
      <c r="J94" s="33">
        <f>G94-I94</f>
        <v>0</v>
      </c>
      <c r="K94" s="207">
        <f>IFERROR(J94/G94,0)</f>
        <v>0</v>
      </c>
      <c r="L94" s="193"/>
      <c r="M94" s="187"/>
      <c r="N94" s="1"/>
      <c r="O94" s="3"/>
      <c r="P94" s="5" t="s">
        <v>12</v>
      </c>
      <c r="Q94" s="215">
        <f t="shared" si="55"/>
        <v>0</v>
      </c>
      <c r="R94" s="5" t="s">
        <v>12</v>
      </c>
      <c r="S94" s="3"/>
      <c r="T94" s="33">
        <f>Q94-S94</f>
        <v>0</v>
      </c>
      <c r="U94" s="209">
        <f>IFERROR(T94/Q94,0)</f>
        <v>0</v>
      </c>
      <c r="V94" s="318"/>
      <c r="W94" s="319"/>
      <c r="X94" s="320"/>
      <c r="Y94" s="119" t="str">
        <f t="shared" si="51"/>
        <v>Empty budget line</v>
      </c>
    </row>
    <row r="95" spans="1:25" x14ac:dyDescent="0.35">
      <c r="A95" s="338"/>
      <c r="B95" s="339"/>
      <c r="C95" s="1"/>
      <c r="D95" s="1"/>
      <c r="E95" s="3"/>
      <c r="F95" s="5" t="s">
        <v>12</v>
      </c>
      <c r="G95" s="214">
        <f t="shared" si="52"/>
        <v>0</v>
      </c>
      <c r="H95" s="5" t="s">
        <v>12</v>
      </c>
      <c r="I95" s="4"/>
      <c r="J95" s="33">
        <f t="shared" ref="J95:J98" si="58">G95-I95</f>
        <v>0</v>
      </c>
      <c r="K95" s="207">
        <f t="shared" ref="K95:K98" si="59">IFERROR(J95/G95,0)</f>
        <v>0</v>
      </c>
      <c r="L95" s="193"/>
      <c r="M95" s="187"/>
      <c r="N95" s="1"/>
      <c r="O95" s="3"/>
      <c r="P95" s="5" t="s">
        <v>12</v>
      </c>
      <c r="Q95" s="215">
        <f t="shared" si="55"/>
        <v>0</v>
      </c>
      <c r="R95" s="5" t="s">
        <v>12</v>
      </c>
      <c r="S95" s="3"/>
      <c r="T95" s="33">
        <f t="shared" ref="T95:T98" si="60">Q95-S95</f>
        <v>0</v>
      </c>
      <c r="U95" s="209">
        <f t="shared" ref="U95:U98" si="61">IFERROR(T95/Q95,0)</f>
        <v>0</v>
      </c>
      <c r="V95" s="318"/>
      <c r="W95" s="319"/>
      <c r="X95" s="320"/>
      <c r="Y95" s="119" t="str">
        <f t="shared" si="51"/>
        <v>Empty budget line</v>
      </c>
    </row>
    <row r="96" spans="1:25" x14ac:dyDescent="0.35">
      <c r="A96" s="338"/>
      <c r="B96" s="339"/>
      <c r="C96" s="1"/>
      <c r="D96" s="1"/>
      <c r="E96" s="3"/>
      <c r="F96" s="5" t="s">
        <v>12</v>
      </c>
      <c r="G96" s="214">
        <f t="shared" si="52"/>
        <v>0</v>
      </c>
      <c r="H96" s="5" t="s">
        <v>12</v>
      </c>
      <c r="I96" s="4"/>
      <c r="J96" s="33">
        <f t="shared" si="58"/>
        <v>0</v>
      </c>
      <c r="K96" s="207">
        <f t="shared" si="59"/>
        <v>0</v>
      </c>
      <c r="L96" s="193"/>
      <c r="M96" s="187"/>
      <c r="N96" s="1"/>
      <c r="O96" s="3"/>
      <c r="P96" s="5" t="s">
        <v>12</v>
      </c>
      <c r="Q96" s="215">
        <f t="shared" si="55"/>
        <v>0</v>
      </c>
      <c r="R96" s="5" t="s">
        <v>12</v>
      </c>
      <c r="S96" s="3"/>
      <c r="T96" s="33">
        <f t="shared" si="60"/>
        <v>0</v>
      </c>
      <c r="U96" s="209">
        <f t="shared" si="61"/>
        <v>0</v>
      </c>
      <c r="V96" s="318"/>
      <c r="W96" s="319"/>
      <c r="X96" s="320"/>
      <c r="Y96" s="119" t="str">
        <f t="shared" si="51"/>
        <v>Empty budget line</v>
      </c>
    </row>
    <row r="97" spans="1:25" x14ac:dyDescent="0.35">
      <c r="A97" s="338"/>
      <c r="B97" s="339"/>
      <c r="C97" s="1"/>
      <c r="D97" s="1"/>
      <c r="E97" s="3"/>
      <c r="F97" s="5" t="s">
        <v>12</v>
      </c>
      <c r="G97" s="214">
        <f t="shared" si="52"/>
        <v>0</v>
      </c>
      <c r="H97" s="5" t="s">
        <v>12</v>
      </c>
      <c r="I97" s="4"/>
      <c r="J97" s="33">
        <f t="shared" si="58"/>
        <v>0</v>
      </c>
      <c r="K97" s="207">
        <f t="shared" si="59"/>
        <v>0</v>
      </c>
      <c r="L97" s="193"/>
      <c r="M97" s="187"/>
      <c r="N97" s="1"/>
      <c r="O97" s="3"/>
      <c r="P97" s="5" t="s">
        <v>12</v>
      </c>
      <c r="Q97" s="215">
        <f t="shared" si="55"/>
        <v>0</v>
      </c>
      <c r="R97" s="5" t="s">
        <v>12</v>
      </c>
      <c r="S97" s="3"/>
      <c r="T97" s="33">
        <f t="shared" si="60"/>
        <v>0</v>
      </c>
      <c r="U97" s="209">
        <f t="shared" si="61"/>
        <v>0</v>
      </c>
      <c r="V97" s="318"/>
      <c r="W97" s="319"/>
      <c r="X97" s="320"/>
      <c r="Y97" s="119" t="str">
        <f t="shared" si="51"/>
        <v>Empty budget line</v>
      </c>
    </row>
    <row r="98" spans="1:25" x14ac:dyDescent="0.35">
      <c r="A98" s="338"/>
      <c r="B98" s="339"/>
      <c r="C98" s="1"/>
      <c r="D98" s="1"/>
      <c r="E98" s="3"/>
      <c r="F98" s="5" t="s">
        <v>12</v>
      </c>
      <c r="G98" s="214">
        <f t="shared" si="52"/>
        <v>0</v>
      </c>
      <c r="H98" s="5" t="s">
        <v>12</v>
      </c>
      <c r="I98" s="4"/>
      <c r="J98" s="33">
        <f t="shared" si="58"/>
        <v>0</v>
      </c>
      <c r="K98" s="207">
        <f t="shared" si="59"/>
        <v>0</v>
      </c>
      <c r="L98" s="193"/>
      <c r="M98" s="187"/>
      <c r="N98" s="1"/>
      <c r="O98" s="3"/>
      <c r="P98" s="5" t="s">
        <v>12</v>
      </c>
      <c r="Q98" s="215">
        <f t="shared" si="55"/>
        <v>0</v>
      </c>
      <c r="R98" s="5" t="s">
        <v>12</v>
      </c>
      <c r="S98" s="3"/>
      <c r="T98" s="33">
        <f t="shared" si="60"/>
        <v>0</v>
      </c>
      <c r="U98" s="209">
        <f t="shared" si="61"/>
        <v>0</v>
      </c>
      <c r="V98" s="318"/>
      <c r="W98" s="319"/>
      <c r="X98" s="320"/>
      <c r="Y98" s="119" t="str">
        <f t="shared" si="51"/>
        <v>Empty budget line</v>
      </c>
    </row>
    <row r="99" spans="1:25" x14ac:dyDescent="0.35">
      <c r="A99" s="338"/>
      <c r="B99" s="339"/>
      <c r="C99" s="1"/>
      <c r="D99" s="1"/>
      <c r="E99" s="3"/>
      <c r="F99" s="5" t="s">
        <v>12</v>
      </c>
      <c r="G99" s="214">
        <f t="shared" si="52"/>
        <v>0</v>
      </c>
      <c r="H99" s="5" t="s">
        <v>12</v>
      </c>
      <c r="I99" s="4"/>
      <c r="J99" s="33">
        <f>G99-I99</f>
        <v>0</v>
      </c>
      <c r="K99" s="207">
        <f>IFERROR(J99/G99,0)</f>
        <v>0</v>
      </c>
      <c r="L99" s="193"/>
      <c r="M99" s="187"/>
      <c r="N99" s="1"/>
      <c r="O99" s="3"/>
      <c r="P99" s="5" t="s">
        <v>12</v>
      </c>
      <c r="Q99" s="215">
        <f t="shared" si="55"/>
        <v>0</v>
      </c>
      <c r="R99" s="5" t="s">
        <v>12</v>
      </c>
      <c r="S99" s="3"/>
      <c r="T99" s="33">
        <f>Q99-S99</f>
        <v>0</v>
      </c>
      <c r="U99" s="209">
        <f>IFERROR(T99/Q99,0)</f>
        <v>0</v>
      </c>
      <c r="V99" s="318"/>
      <c r="W99" s="319"/>
      <c r="X99" s="320"/>
      <c r="Y99" s="119" t="str">
        <f t="shared" si="51"/>
        <v>Empty budget line</v>
      </c>
    </row>
    <row r="100" spans="1:25" x14ac:dyDescent="0.35">
      <c r="A100" s="338"/>
      <c r="B100" s="339"/>
      <c r="C100" s="1"/>
      <c r="D100" s="1"/>
      <c r="E100" s="3"/>
      <c r="F100" s="5" t="s">
        <v>12</v>
      </c>
      <c r="G100" s="214">
        <f t="shared" si="52"/>
        <v>0</v>
      </c>
      <c r="H100" s="5" t="s">
        <v>12</v>
      </c>
      <c r="I100" s="4"/>
      <c r="J100" s="33">
        <f t="shared" ref="J100:J103" si="62">G100-I100</f>
        <v>0</v>
      </c>
      <c r="K100" s="207">
        <f t="shared" ref="K100:K103" si="63">IFERROR(J100/G100,0)</f>
        <v>0</v>
      </c>
      <c r="L100" s="193"/>
      <c r="M100" s="187"/>
      <c r="N100" s="1"/>
      <c r="O100" s="3"/>
      <c r="P100" s="5" t="s">
        <v>12</v>
      </c>
      <c r="Q100" s="215">
        <f t="shared" si="55"/>
        <v>0</v>
      </c>
      <c r="R100" s="5" t="s">
        <v>12</v>
      </c>
      <c r="S100" s="3"/>
      <c r="T100" s="33">
        <f t="shared" ref="T100:T103" si="64">Q100-S100</f>
        <v>0</v>
      </c>
      <c r="U100" s="209">
        <f t="shared" ref="U100:U103" si="65">IFERROR(T100/Q100,0)</f>
        <v>0</v>
      </c>
      <c r="V100" s="318"/>
      <c r="W100" s="319"/>
      <c r="X100" s="320"/>
      <c r="Y100" s="119" t="str">
        <f t="shared" si="51"/>
        <v>Empty budget line</v>
      </c>
    </row>
    <row r="101" spans="1:25" x14ac:dyDescent="0.35">
      <c r="A101" s="338"/>
      <c r="B101" s="339"/>
      <c r="C101" s="1"/>
      <c r="D101" s="1"/>
      <c r="E101" s="3"/>
      <c r="F101" s="5" t="s">
        <v>12</v>
      </c>
      <c r="G101" s="214">
        <f t="shared" si="52"/>
        <v>0</v>
      </c>
      <c r="H101" s="5" t="s">
        <v>12</v>
      </c>
      <c r="I101" s="4"/>
      <c r="J101" s="33">
        <f t="shared" si="62"/>
        <v>0</v>
      </c>
      <c r="K101" s="207">
        <f t="shared" si="63"/>
        <v>0</v>
      </c>
      <c r="L101" s="193"/>
      <c r="M101" s="187"/>
      <c r="N101" s="1"/>
      <c r="O101" s="3"/>
      <c r="P101" s="5" t="s">
        <v>12</v>
      </c>
      <c r="Q101" s="215">
        <f t="shared" si="55"/>
        <v>0</v>
      </c>
      <c r="R101" s="5" t="s">
        <v>12</v>
      </c>
      <c r="S101" s="3"/>
      <c r="T101" s="33">
        <f t="shared" si="64"/>
        <v>0</v>
      </c>
      <c r="U101" s="209">
        <f t="shared" si="65"/>
        <v>0</v>
      </c>
      <c r="V101" s="318"/>
      <c r="W101" s="319"/>
      <c r="X101" s="320"/>
      <c r="Y101" s="119" t="str">
        <f t="shared" si="51"/>
        <v>Empty budget line</v>
      </c>
    </row>
    <row r="102" spans="1:25" x14ac:dyDescent="0.35">
      <c r="A102" s="338"/>
      <c r="B102" s="339"/>
      <c r="C102" s="1"/>
      <c r="D102" s="1"/>
      <c r="E102" s="3"/>
      <c r="F102" s="5" t="s">
        <v>12</v>
      </c>
      <c r="G102" s="214">
        <f t="shared" si="52"/>
        <v>0</v>
      </c>
      <c r="H102" s="5" t="s">
        <v>12</v>
      </c>
      <c r="I102" s="4"/>
      <c r="J102" s="33">
        <f t="shared" si="62"/>
        <v>0</v>
      </c>
      <c r="K102" s="207">
        <f t="shared" si="63"/>
        <v>0</v>
      </c>
      <c r="L102" s="193"/>
      <c r="M102" s="187"/>
      <c r="N102" s="1"/>
      <c r="O102" s="3"/>
      <c r="P102" s="5" t="s">
        <v>12</v>
      </c>
      <c r="Q102" s="215">
        <f t="shared" si="55"/>
        <v>0</v>
      </c>
      <c r="R102" s="5" t="s">
        <v>12</v>
      </c>
      <c r="S102" s="3"/>
      <c r="T102" s="33">
        <f t="shared" si="64"/>
        <v>0</v>
      </c>
      <c r="U102" s="209">
        <f t="shared" si="65"/>
        <v>0</v>
      </c>
      <c r="V102" s="318"/>
      <c r="W102" s="319"/>
      <c r="X102" s="320"/>
      <c r="Y102" s="119" t="str">
        <f t="shared" si="51"/>
        <v>Empty budget line</v>
      </c>
    </row>
    <row r="103" spans="1:25" x14ac:dyDescent="0.35">
      <c r="A103" s="338"/>
      <c r="B103" s="339"/>
      <c r="C103" s="1"/>
      <c r="D103" s="1"/>
      <c r="E103" s="3"/>
      <c r="F103" s="5" t="s">
        <v>12</v>
      </c>
      <c r="G103" s="214">
        <f t="shared" si="52"/>
        <v>0</v>
      </c>
      <c r="H103" s="5" t="s">
        <v>12</v>
      </c>
      <c r="I103" s="4"/>
      <c r="J103" s="33">
        <f t="shared" si="62"/>
        <v>0</v>
      </c>
      <c r="K103" s="207">
        <f t="shared" si="63"/>
        <v>0</v>
      </c>
      <c r="L103" s="193"/>
      <c r="M103" s="187"/>
      <c r="N103" s="1"/>
      <c r="O103" s="3"/>
      <c r="P103" s="5" t="s">
        <v>12</v>
      </c>
      <c r="Q103" s="215">
        <f t="shared" si="55"/>
        <v>0</v>
      </c>
      <c r="R103" s="5" t="s">
        <v>12</v>
      </c>
      <c r="S103" s="3"/>
      <c r="T103" s="33">
        <f t="shared" si="64"/>
        <v>0</v>
      </c>
      <c r="U103" s="209">
        <f t="shared" si="65"/>
        <v>0</v>
      </c>
      <c r="V103" s="318"/>
      <c r="W103" s="319"/>
      <c r="X103" s="320"/>
      <c r="Y103" s="119" t="str">
        <f t="shared" si="51"/>
        <v>Empty budget line</v>
      </c>
    </row>
    <row r="104" spans="1:25" x14ac:dyDescent="0.35">
      <c r="A104" s="338"/>
      <c r="B104" s="339"/>
      <c r="C104" s="1"/>
      <c r="D104" s="1"/>
      <c r="E104" s="3"/>
      <c r="F104" s="5" t="s">
        <v>12</v>
      </c>
      <c r="G104" s="214">
        <f t="shared" si="52"/>
        <v>0</v>
      </c>
      <c r="H104" s="5" t="s">
        <v>12</v>
      </c>
      <c r="I104" s="4"/>
      <c r="J104" s="33">
        <f>G104-I104</f>
        <v>0</v>
      </c>
      <c r="K104" s="207">
        <f>IFERROR(J104/G104,0)</f>
        <v>0</v>
      </c>
      <c r="L104" s="193"/>
      <c r="M104" s="187"/>
      <c r="N104" s="1"/>
      <c r="O104" s="3"/>
      <c r="P104" s="5" t="s">
        <v>12</v>
      </c>
      <c r="Q104" s="215">
        <f t="shared" si="55"/>
        <v>0</v>
      </c>
      <c r="R104" s="5" t="s">
        <v>12</v>
      </c>
      <c r="S104" s="3"/>
      <c r="T104" s="33">
        <f>Q104-S104</f>
        <v>0</v>
      </c>
      <c r="U104" s="209">
        <f>IFERROR(T104/Q104,0)</f>
        <v>0</v>
      </c>
      <c r="V104" s="318"/>
      <c r="W104" s="319"/>
      <c r="X104" s="320"/>
      <c r="Y104" s="119" t="str">
        <f t="shared" si="51"/>
        <v>Empty budget line</v>
      </c>
    </row>
    <row r="105" spans="1:25" x14ac:dyDescent="0.35">
      <c r="A105" s="338"/>
      <c r="B105" s="339"/>
      <c r="C105" s="1"/>
      <c r="D105" s="1"/>
      <c r="E105" s="3"/>
      <c r="F105" s="5" t="s">
        <v>12</v>
      </c>
      <c r="G105" s="214">
        <f t="shared" si="52"/>
        <v>0</v>
      </c>
      <c r="H105" s="5" t="s">
        <v>12</v>
      </c>
      <c r="I105" s="4"/>
      <c r="J105" s="33">
        <f t="shared" ref="J105:J108" si="66">G105-I105</f>
        <v>0</v>
      </c>
      <c r="K105" s="207">
        <f t="shared" ref="K105:K108" si="67">IFERROR(J105/G105,0)</f>
        <v>0</v>
      </c>
      <c r="L105" s="193"/>
      <c r="M105" s="187"/>
      <c r="N105" s="1"/>
      <c r="O105" s="3"/>
      <c r="P105" s="5" t="s">
        <v>12</v>
      </c>
      <c r="Q105" s="215">
        <f t="shared" si="55"/>
        <v>0</v>
      </c>
      <c r="R105" s="5" t="s">
        <v>12</v>
      </c>
      <c r="S105" s="3"/>
      <c r="T105" s="33">
        <f t="shared" ref="T105:T108" si="68">Q105-S105</f>
        <v>0</v>
      </c>
      <c r="U105" s="209">
        <f t="shared" ref="U105:U108" si="69">IFERROR(T105/Q105,0)</f>
        <v>0</v>
      </c>
      <c r="V105" s="318"/>
      <c r="W105" s="319"/>
      <c r="X105" s="320"/>
      <c r="Y105" s="119" t="str">
        <f t="shared" si="51"/>
        <v>Empty budget line</v>
      </c>
    </row>
    <row r="106" spans="1:25" x14ac:dyDescent="0.35">
      <c r="A106" s="338"/>
      <c r="B106" s="339"/>
      <c r="C106" s="1"/>
      <c r="D106" s="1"/>
      <c r="E106" s="3"/>
      <c r="F106" s="5" t="s">
        <v>12</v>
      </c>
      <c r="G106" s="214">
        <f t="shared" si="52"/>
        <v>0</v>
      </c>
      <c r="H106" s="5" t="s">
        <v>12</v>
      </c>
      <c r="I106" s="4"/>
      <c r="J106" s="33">
        <f t="shared" si="66"/>
        <v>0</v>
      </c>
      <c r="K106" s="207">
        <f t="shared" si="67"/>
        <v>0</v>
      </c>
      <c r="L106" s="193"/>
      <c r="M106" s="187"/>
      <c r="N106" s="1"/>
      <c r="O106" s="3"/>
      <c r="P106" s="5" t="s">
        <v>12</v>
      </c>
      <c r="Q106" s="215">
        <f t="shared" si="55"/>
        <v>0</v>
      </c>
      <c r="R106" s="5" t="s">
        <v>12</v>
      </c>
      <c r="S106" s="3"/>
      <c r="T106" s="33">
        <f t="shared" si="68"/>
        <v>0</v>
      </c>
      <c r="U106" s="209">
        <f t="shared" si="69"/>
        <v>0</v>
      </c>
      <c r="V106" s="318"/>
      <c r="W106" s="319"/>
      <c r="X106" s="320"/>
      <c r="Y106" s="119" t="str">
        <f t="shared" si="51"/>
        <v>Empty budget line</v>
      </c>
    </row>
    <row r="107" spans="1:25" x14ac:dyDescent="0.35">
      <c r="A107" s="338"/>
      <c r="B107" s="339"/>
      <c r="C107" s="1"/>
      <c r="D107" s="1"/>
      <c r="E107" s="3"/>
      <c r="F107" s="5" t="s">
        <v>12</v>
      </c>
      <c r="G107" s="214">
        <f t="shared" si="52"/>
        <v>0</v>
      </c>
      <c r="H107" s="5" t="s">
        <v>12</v>
      </c>
      <c r="I107" s="4"/>
      <c r="J107" s="33">
        <f t="shared" si="66"/>
        <v>0</v>
      </c>
      <c r="K107" s="207">
        <f t="shared" si="67"/>
        <v>0</v>
      </c>
      <c r="L107" s="193"/>
      <c r="M107" s="187"/>
      <c r="N107" s="1"/>
      <c r="O107" s="3"/>
      <c r="P107" s="5" t="s">
        <v>12</v>
      </c>
      <c r="Q107" s="215">
        <f t="shared" si="55"/>
        <v>0</v>
      </c>
      <c r="R107" s="5" t="s">
        <v>12</v>
      </c>
      <c r="S107" s="3"/>
      <c r="T107" s="33">
        <f t="shared" si="68"/>
        <v>0</v>
      </c>
      <c r="U107" s="209">
        <f t="shared" si="69"/>
        <v>0</v>
      </c>
      <c r="V107" s="318"/>
      <c r="W107" s="319"/>
      <c r="X107" s="320"/>
      <c r="Y107" s="119" t="str">
        <f t="shared" si="51"/>
        <v>Empty budget line</v>
      </c>
    </row>
    <row r="108" spans="1:25" x14ac:dyDescent="0.35">
      <c r="A108" s="338"/>
      <c r="B108" s="339"/>
      <c r="C108" s="1"/>
      <c r="D108" s="1"/>
      <c r="E108" s="3"/>
      <c r="F108" s="5" t="s">
        <v>12</v>
      </c>
      <c r="G108" s="214">
        <f t="shared" si="52"/>
        <v>0</v>
      </c>
      <c r="H108" s="5" t="s">
        <v>12</v>
      </c>
      <c r="I108" s="4"/>
      <c r="J108" s="33">
        <f t="shared" si="66"/>
        <v>0</v>
      </c>
      <c r="K108" s="207">
        <f t="shared" si="67"/>
        <v>0</v>
      </c>
      <c r="L108" s="193"/>
      <c r="M108" s="187"/>
      <c r="N108" s="1"/>
      <c r="O108" s="3"/>
      <c r="P108" s="5" t="s">
        <v>12</v>
      </c>
      <c r="Q108" s="215">
        <f t="shared" si="55"/>
        <v>0</v>
      </c>
      <c r="R108" s="5" t="s">
        <v>12</v>
      </c>
      <c r="S108" s="3"/>
      <c r="T108" s="33">
        <f t="shared" si="68"/>
        <v>0</v>
      </c>
      <c r="U108" s="209">
        <f t="shared" si="69"/>
        <v>0</v>
      </c>
      <c r="V108" s="318"/>
      <c r="W108" s="319"/>
      <c r="X108" s="320"/>
      <c r="Y108" s="119" t="str">
        <f t="shared" si="51"/>
        <v>Empty budget line</v>
      </c>
    </row>
    <row r="109" spans="1:25" x14ac:dyDescent="0.35">
      <c r="A109" s="338"/>
      <c r="B109" s="339"/>
      <c r="C109" s="1"/>
      <c r="D109" s="1"/>
      <c r="E109" s="3"/>
      <c r="F109" s="5" t="s">
        <v>12</v>
      </c>
      <c r="G109" s="214">
        <f t="shared" si="52"/>
        <v>0</v>
      </c>
      <c r="H109" s="5" t="s">
        <v>12</v>
      </c>
      <c r="I109" s="4"/>
      <c r="J109" s="33">
        <f>G109-I109</f>
        <v>0</v>
      </c>
      <c r="K109" s="207">
        <f>IFERROR(J109/G109,0)</f>
        <v>0</v>
      </c>
      <c r="L109" s="193"/>
      <c r="M109" s="187"/>
      <c r="N109" s="1"/>
      <c r="O109" s="3"/>
      <c r="P109" s="5" t="s">
        <v>12</v>
      </c>
      <c r="Q109" s="215">
        <f t="shared" si="55"/>
        <v>0</v>
      </c>
      <c r="R109" s="5" t="s">
        <v>12</v>
      </c>
      <c r="S109" s="3"/>
      <c r="T109" s="33">
        <f>Q109-S109</f>
        <v>0</v>
      </c>
      <c r="U109" s="209">
        <f>IFERROR(T109/Q109,0)</f>
        <v>0</v>
      </c>
      <c r="V109" s="318"/>
      <c r="W109" s="319"/>
      <c r="X109" s="320"/>
      <c r="Y109" s="119" t="str">
        <f t="shared" si="51"/>
        <v>Empty budget line</v>
      </c>
    </row>
    <row r="110" spans="1:25" x14ac:dyDescent="0.35">
      <c r="A110" s="338"/>
      <c r="B110" s="339"/>
      <c r="C110" s="1"/>
      <c r="D110" s="1"/>
      <c r="E110" s="3"/>
      <c r="F110" s="5" t="s">
        <v>12</v>
      </c>
      <c r="G110" s="214">
        <f t="shared" si="52"/>
        <v>0</v>
      </c>
      <c r="H110" s="5" t="s">
        <v>12</v>
      </c>
      <c r="I110" s="4"/>
      <c r="J110" s="33">
        <f t="shared" ref="J110:J113" si="70">G110-I110</f>
        <v>0</v>
      </c>
      <c r="K110" s="207">
        <f t="shared" ref="K110:K113" si="71">IFERROR(J110/G110,0)</f>
        <v>0</v>
      </c>
      <c r="L110" s="193"/>
      <c r="M110" s="187"/>
      <c r="N110" s="1"/>
      <c r="O110" s="3"/>
      <c r="P110" s="5" t="s">
        <v>12</v>
      </c>
      <c r="Q110" s="215">
        <f t="shared" si="55"/>
        <v>0</v>
      </c>
      <c r="R110" s="5" t="s">
        <v>12</v>
      </c>
      <c r="S110" s="3"/>
      <c r="T110" s="33">
        <f t="shared" ref="T110:T113" si="72">Q110-S110</f>
        <v>0</v>
      </c>
      <c r="U110" s="209">
        <f t="shared" ref="U110:U113" si="73">IFERROR(T110/Q110,0)</f>
        <v>0</v>
      </c>
      <c r="V110" s="318"/>
      <c r="W110" s="319"/>
      <c r="X110" s="320"/>
      <c r="Y110" s="119" t="str">
        <f t="shared" si="51"/>
        <v>Empty budget line</v>
      </c>
    </row>
    <row r="111" spans="1:25" x14ac:dyDescent="0.35">
      <c r="A111" s="338"/>
      <c r="B111" s="339"/>
      <c r="C111" s="1"/>
      <c r="D111" s="1"/>
      <c r="E111" s="3"/>
      <c r="F111" s="5" t="s">
        <v>12</v>
      </c>
      <c r="G111" s="214">
        <f t="shared" si="52"/>
        <v>0</v>
      </c>
      <c r="H111" s="5" t="s">
        <v>12</v>
      </c>
      <c r="I111" s="4"/>
      <c r="J111" s="33">
        <f t="shared" si="70"/>
        <v>0</v>
      </c>
      <c r="K111" s="207">
        <f t="shared" si="71"/>
        <v>0</v>
      </c>
      <c r="L111" s="193"/>
      <c r="M111" s="187"/>
      <c r="N111" s="1"/>
      <c r="O111" s="3"/>
      <c r="P111" s="5" t="s">
        <v>12</v>
      </c>
      <c r="Q111" s="215">
        <f t="shared" si="55"/>
        <v>0</v>
      </c>
      <c r="R111" s="5" t="s">
        <v>12</v>
      </c>
      <c r="S111" s="3"/>
      <c r="T111" s="33">
        <f t="shared" si="72"/>
        <v>0</v>
      </c>
      <c r="U111" s="209">
        <f t="shared" si="73"/>
        <v>0</v>
      </c>
      <c r="V111" s="318"/>
      <c r="W111" s="319"/>
      <c r="X111" s="320"/>
      <c r="Y111" s="119" t="str">
        <f t="shared" si="51"/>
        <v>Empty budget line</v>
      </c>
    </row>
    <row r="112" spans="1:25" x14ac:dyDescent="0.35">
      <c r="A112" s="338"/>
      <c r="B112" s="339"/>
      <c r="C112" s="1"/>
      <c r="D112" s="1"/>
      <c r="E112" s="3"/>
      <c r="F112" s="5" t="s">
        <v>12</v>
      </c>
      <c r="G112" s="214">
        <f t="shared" si="52"/>
        <v>0</v>
      </c>
      <c r="H112" s="5" t="s">
        <v>12</v>
      </c>
      <c r="I112" s="4"/>
      <c r="J112" s="33">
        <f t="shared" si="70"/>
        <v>0</v>
      </c>
      <c r="K112" s="207">
        <f t="shared" si="71"/>
        <v>0</v>
      </c>
      <c r="L112" s="193"/>
      <c r="M112" s="187"/>
      <c r="N112" s="1"/>
      <c r="O112" s="3"/>
      <c r="P112" s="5" t="s">
        <v>12</v>
      </c>
      <c r="Q112" s="215">
        <f t="shared" si="55"/>
        <v>0</v>
      </c>
      <c r="R112" s="5" t="s">
        <v>12</v>
      </c>
      <c r="S112" s="3"/>
      <c r="T112" s="33">
        <f t="shared" si="72"/>
        <v>0</v>
      </c>
      <c r="U112" s="209">
        <f t="shared" si="73"/>
        <v>0</v>
      </c>
      <c r="V112" s="318"/>
      <c r="W112" s="319"/>
      <c r="X112" s="320"/>
      <c r="Y112" s="119" t="str">
        <f t="shared" si="51"/>
        <v>Empty budget line</v>
      </c>
    </row>
    <row r="113" spans="1:25" x14ac:dyDescent="0.35">
      <c r="A113" s="338"/>
      <c r="B113" s="339"/>
      <c r="C113" s="1"/>
      <c r="D113" s="1"/>
      <c r="E113" s="3"/>
      <c r="F113" s="5" t="s">
        <v>12</v>
      </c>
      <c r="G113" s="214">
        <f t="shared" si="52"/>
        <v>0</v>
      </c>
      <c r="H113" s="5" t="s">
        <v>12</v>
      </c>
      <c r="I113" s="4"/>
      <c r="J113" s="33">
        <f t="shared" si="70"/>
        <v>0</v>
      </c>
      <c r="K113" s="207">
        <f t="shared" si="71"/>
        <v>0</v>
      </c>
      <c r="L113" s="193"/>
      <c r="M113" s="187"/>
      <c r="N113" s="1"/>
      <c r="O113" s="3"/>
      <c r="P113" s="5" t="s">
        <v>12</v>
      </c>
      <c r="Q113" s="215">
        <f t="shared" si="55"/>
        <v>0</v>
      </c>
      <c r="R113" s="5" t="s">
        <v>12</v>
      </c>
      <c r="S113" s="3"/>
      <c r="T113" s="33">
        <f t="shared" si="72"/>
        <v>0</v>
      </c>
      <c r="U113" s="209">
        <f t="shared" si="73"/>
        <v>0</v>
      </c>
      <c r="V113" s="318"/>
      <c r="W113" s="319"/>
      <c r="X113" s="320"/>
      <c r="Y113" s="119" t="str">
        <f t="shared" si="51"/>
        <v>Empty budget line</v>
      </c>
    </row>
    <row r="114" spans="1:25" x14ac:dyDescent="0.35">
      <c r="A114" s="338"/>
      <c r="B114" s="339"/>
      <c r="C114" s="1"/>
      <c r="D114" s="1"/>
      <c r="E114" s="3"/>
      <c r="F114" s="5" t="s">
        <v>12</v>
      </c>
      <c r="G114" s="214">
        <f t="shared" si="52"/>
        <v>0</v>
      </c>
      <c r="H114" s="5" t="s">
        <v>12</v>
      </c>
      <c r="I114" s="4"/>
      <c r="J114" s="33">
        <f>G114-I114</f>
        <v>0</v>
      </c>
      <c r="K114" s="207">
        <f>IFERROR(J114/G114,0)</f>
        <v>0</v>
      </c>
      <c r="L114" s="193"/>
      <c r="M114" s="187"/>
      <c r="N114" s="1"/>
      <c r="O114" s="3"/>
      <c r="P114" s="5" t="s">
        <v>12</v>
      </c>
      <c r="Q114" s="215">
        <f t="shared" si="55"/>
        <v>0</v>
      </c>
      <c r="R114" s="5" t="s">
        <v>12</v>
      </c>
      <c r="S114" s="3"/>
      <c r="T114" s="33">
        <f>Q114-S114</f>
        <v>0</v>
      </c>
      <c r="U114" s="209">
        <f>IFERROR(T114/Q114,0)</f>
        <v>0</v>
      </c>
      <c r="V114" s="318"/>
      <c r="W114" s="319"/>
      <c r="X114" s="320"/>
      <c r="Y114" s="119" t="str">
        <f t="shared" si="51"/>
        <v>Empty budget line</v>
      </c>
    </row>
    <row r="115" spans="1:25" x14ac:dyDescent="0.35">
      <c r="A115" s="338"/>
      <c r="B115" s="339"/>
      <c r="C115" s="1"/>
      <c r="D115" s="1"/>
      <c r="E115" s="3"/>
      <c r="F115" s="5" t="s">
        <v>12</v>
      </c>
      <c r="G115" s="214">
        <f t="shared" si="52"/>
        <v>0</v>
      </c>
      <c r="H115" s="5" t="s">
        <v>12</v>
      </c>
      <c r="I115" s="4"/>
      <c r="J115" s="33">
        <f t="shared" ref="J115:J118" si="74">G115-I115</f>
        <v>0</v>
      </c>
      <c r="K115" s="207">
        <f t="shared" ref="K115:K118" si="75">IFERROR(J115/G115,0)</f>
        <v>0</v>
      </c>
      <c r="L115" s="193"/>
      <c r="M115" s="187"/>
      <c r="N115" s="1"/>
      <c r="O115" s="3"/>
      <c r="P115" s="5" t="s">
        <v>12</v>
      </c>
      <c r="Q115" s="215">
        <f t="shared" si="55"/>
        <v>0</v>
      </c>
      <c r="R115" s="5" t="s">
        <v>12</v>
      </c>
      <c r="S115" s="3"/>
      <c r="T115" s="33">
        <f t="shared" ref="T115:T118" si="76">Q115-S115</f>
        <v>0</v>
      </c>
      <c r="U115" s="209">
        <f t="shared" ref="U115:U118" si="77">IFERROR(T115/Q115,0)</f>
        <v>0</v>
      </c>
      <c r="V115" s="318"/>
      <c r="W115" s="319"/>
      <c r="X115" s="320"/>
      <c r="Y115" s="119" t="str">
        <f t="shared" si="51"/>
        <v>Empty budget line</v>
      </c>
    </row>
    <row r="116" spans="1:25" x14ac:dyDescent="0.35">
      <c r="A116" s="338"/>
      <c r="B116" s="339"/>
      <c r="C116" s="1"/>
      <c r="D116" s="1"/>
      <c r="E116" s="3"/>
      <c r="F116" s="5" t="s">
        <v>12</v>
      </c>
      <c r="G116" s="214">
        <f t="shared" si="52"/>
        <v>0</v>
      </c>
      <c r="H116" s="5" t="s">
        <v>12</v>
      </c>
      <c r="I116" s="4"/>
      <c r="J116" s="33">
        <f t="shared" si="74"/>
        <v>0</v>
      </c>
      <c r="K116" s="207">
        <f t="shared" si="75"/>
        <v>0</v>
      </c>
      <c r="L116" s="193"/>
      <c r="M116" s="187"/>
      <c r="N116" s="1"/>
      <c r="O116" s="3"/>
      <c r="P116" s="5" t="s">
        <v>12</v>
      </c>
      <c r="Q116" s="215">
        <f t="shared" si="55"/>
        <v>0</v>
      </c>
      <c r="R116" s="5" t="s">
        <v>12</v>
      </c>
      <c r="S116" s="3"/>
      <c r="T116" s="33">
        <f t="shared" si="76"/>
        <v>0</v>
      </c>
      <c r="U116" s="209">
        <f t="shared" si="77"/>
        <v>0</v>
      </c>
      <c r="V116" s="318"/>
      <c r="W116" s="319"/>
      <c r="X116" s="320"/>
      <c r="Y116" s="119" t="str">
        <f t="shared" si="51"/>
        <v>Empty budget line</v>
      </c>
    </row>
    <row r="117" spans="1:25" x14ac:dyDescent="0.35">
      <c r="A117" s="338"/>
      <c r="B117" s="339"/>
      <c r="C117" s="1"/>
      <c r="D117" s="1"/>
      <c r="E117" s="3"/>
      <c r="F117" s="5" t="s">
        <v>12</v>
      </c>
      <c r="G117" s="214">
        <f t="shared" si="52"/>
        <v>0</v>
      </c>
      <c r="H117" s="5" t="s">
        <v>12</v>
      </c>
      <c r="I117" s="4"/>
      <c r="J117" s="33">
        <f t="shared" si="74"/>
        <v>0</v>
      </c>
      <c r="K117" s="207">
        <f t="shared" si="75"/>
        <v>0</v>
      </c>
      <c r="L117" s="193"/>
      <c r="M117" s="187"/>
      <c r="N117" s="1"/>
      <c r="O117" s="3"/>
      <c r="P117" s="5" t="s">
        <v>12</v>
      </c>
      <c r="Q117" s="215">
        <f t="shared" si="55"/>
        <v>0</v>
      </c>
      <c r="R117" s="5" t="s">
        <v>12</v>
      </c>
      <c r="S117" s="3"/>
      <c r="T117" s="33">
        <f t="shared" si="76"/>
        <v>0</v>
      </c>
      <c r="U117" s="209">
        <f t="shared" si="77"/>
        <v>0</v>
      </c>
      <c r="V117" s="318"/>
      <c r="W117" s="319"/>
      <c r="X117" s="320"/>
      <c r="Y117" s="119" t="str">
        <f t="shared" si="51"/>
        <v>Empty budget line</v>
      </c>
    </row>
    <row r="118" spans="1:25" x14ac:dyDescent="0.35">
      <c r="A118" s="338"/>
      <c r="B118" s="339"/>
      <c r="C118" s="1"/>
      <c r="D118" s="1"/>
      <c r="E118" s="3"/>
      <c r="F118" s="5" t="s">
        <v>12</v>
      </c>
      <c r="G118" s="214">
        <f t="shared" si="52"/>
        <v>0</v>
      </c>
      <c r="H118" s="5" t="s">
        <v>12</v>
      </c>
      <c r="I118" s="4"/>
      <c r="J118" s="33">
        <f t="shared" si="74"/>
        <v>0</v>
      </c>
      <c r="K118" s="207">
        <f t="shared" si="75"/>
        <v>0</v>
      </c>
      <c r="L118" s="193"/>
      <c r="M118" s="187"/>
      <c r="N118" s="1"/>
      <c r="O118" s="3"/>
      <c r="P118" s="5" t="s">
        <v>12</v>
      </c>
      <c r="Q118" s="215">
        <f t="shared" si="55"/>
        <v>0</v>
      </c>
      <c r="R118" s="5" t="s">
        <v>12</v>
      </c>
      <c r="S118" s="3"/>
      <c r="T118" s="33">
        <f t="shared" si="76"/>
        <v>0</v>
      </c>
      <c r="U118" s="209">
        <f t="shared" si="77"/>
        <v>0</v>
      </c>
      <c r="V118" s="318"/>
      <c r="W118" s="319"/>
      <c r="X118" s="320"/>
      <c r="Y118" s="119" t="str">
        <f t="shared" si="51"/>
        <v>Empty budget line</v>
      </c>
    </row>
    <row r="119" spans="1:25" x14ac:dyDescent="0.35">
      <c r="A119" s="338"/>
      <c r="B119" s="339"/>
      <c r="C119" s="1"/>
      <c r="D119" s="1"/>
      <c r="E119" s="3"/>
      <c r="F119" s="5" t="s">
        <v>12</v>
      </c>
      <c r="G119" s="214">
        <f t="shared" si="52"/>
        <v>0</v>
      </c>
      <c r="H119" s="5" t="s">
        <v>12</v>
      </c>
      <c r="I119" s="4"/>
      <c r="J119" s="33">
        <f>G119-I119</f>
        <v>0</v>
      </c>
      <c r="K119" s="207">
        <f>IFERROR(J119/G119,0)</f>
        <v>0</v>
      </c>
      <c r="L119" s="193"/>
      <c r="M119" s="187"/>
      <c r="N119" s="1"/>
      <c r="O119" s="3"/>
      <c r="P119" s="5" t="s">
        <v>12</v>
      </c>
      <c r="Q119" s="215">
        <f t="shared" si="55"/>
        <v>0</v>
      </c>
      <c r="R119" s="5" t="s">
        <v>12</v>
      </c>
      <c r="S119" s="3"/>
      <c r="T119" s="33">
        <f>Q119-S119</f>
        <v>0</v>
      </c>
      <c r="U119" s="209">
        <f>IFERROR(T119/Q119,0)</f>
        <v>0</v>
      </c>
      <c r="V119" s="318"/>
      <c r="W119" s="319"/>
      <c r="X119" s="320"/>
      <c r="Y119" s="119" t="str">
        <f t="shared" si="51"/>
        <v>Empty budget line</v>
      </c>
    </row>
    <row r="120" spans="1:25" x14ac:dyDescent="0.35">
      <c r="A120" s="338"/>
      <c r="B120" s="339"/>
      <c r="C120" s="1"/>
      <c r="D120" s="1"/>
      <c r="E120" s="3"/>
      <c r="F120" s="5" t="s">
        <v>12</v>
      </c>
      <c r="G120" s="214">
        <f t="shared" si="52"/>
        <v>0</v>
      </c>
      <c r="H120" s="5" t="s">
        <v>12</v>
      </c>
      <c r="I120" s="4"/>
      <c r="J120" s="33">
        <f t="shared" ref="J120:J123" si="78">G120-I120</f>
        <v>0</v>
      </c>
      <c r="K120" s="207">
        <f t="shared" ref="K120:K123" si="79">IFERROR(J120/G120,0)</f>
        <v>0</v>
      </c>
      <c r="L120" s="193"/>
      <c r="M120" s="187"/>
      <c r="N120" s="1"/>
      <c r="O120" s="3"/>
      <c r="P120" s="5" t="s">
        <v>12</v>
      </c>
      <c r="Q120" s="215">
        <f t="shared" si="55"/>
        <v>0</v>
      </c>
      <c r="R120" s="5" t="s">
        <v>12</v>
      </c>
      <c r="S120" s="3"/>
      <c r="T120" s="33">
        <f t="shared" ref="T120:T123" si="80">Q120-S120</f>
        <v>0</v>
      </c>
      <c r="U120" s="209">
        <f t="shared" ref="U120:U123" si="81">IFERROR(T120/Q120,0)</f>
        <v>0</v>
      </c>
      <c r="V120" s="318"/>
      <c r="W120" s="319"/>
      <c r="X120" s="320"/>
      <c r="Y120" s="119" t="str">
        <f t="shared" si="51"/>
        <v>Empty budget line</v>
      </c>
    </row>
    <row r="121" spans="1:25" x14ac:dyDescent="0.35">
      <c r="A121" s="338"/>
      <c r="B121" s="339"/>
      <c r="C121" s="1"/>
      <c r="D121" s="1"/>
      <c r="E121" s="3"/>
      <c r="F121" s="5" t="s">
        <v>12</v>
      </c>
      <c r="G121" s="214">
        <f t="shared" si="52"/>
        <v>0</v>
      </c>
      <c r="H121" s="5" t="s">
        <v>12</v>
      </c>
      <c r="I121" s="4"/>
      <c r="J121" s="33">
        <f t="shared" si="78"/>
        <v>0</v>
      </c>
      <c r="K121" s="207">
        <f t="shared" si="79"/>
        <v>0</v>
      </c>
      <c r="L121" s="193"/>
      <c r="M121" s="187"/>
      <c r="N121" s="1"/>
      <c r="O121" s="3"/>
      <c r="P121" s="5" t="s">
        <v>12</v>
      </c>
      <c r="Q121" s="215">
        <f t="shared" si="55"/>
        <v>0</v>
      </c>
      <c r="R121" s="5" t="s">
        <v>12</v>
      </c>
      <c r="S121" s="3"/>
      <c r="T121" s="33">
        <f t="shared" si="80"/>
        <v>0</v>
      </c>
      <c r="U121" s="209">
        <f t="shared" si="81"/>
        <v>0</v>
      </c>
      <c r="V121" s="318"/>
      <c r="W121" s="319"/>
      <c r="X121" s="320"/>
      <c r="Y121" s="119" t="str">
        <f t="shared" si="51"/>
        <v>Empty budget line</v>
      </c>
    </row>
    <row r="122" spans="1:25" x14ac:dyDescent="0.35">
      <c r="A122" s="338"/>
      <c r="B122" s="339"/>
      <c r="C122" s="1"/>
      <c r="D122" s="1"/>
      <c r="E122" s="3"/>
      <c r="F122" s="5" t="s">
        <v>12</v>
      </c>
      <c r="G122" s="214">
        <f t="shared" si="52"/>
        <v>0</v>
      </c>
      <c r="H122" s="5" t="s">
        <v>12</v>
      </c>
      <c r="I122" s="4"/>
      <c r="J122" s="33">
        <f t="shared" si="78"/>
        <v>0</v>
      </c>
      <c r="K122" s="207">
        <f t="shared" si="79"/>
        <v>0</v>
      </c>
      <c r="L122" s="193"/>
      <c r="M122" s="187"/>
      <c r="N122" s="1"/>
      <c r="O122" s="3"/>
      <c r="P122" s="5" t="s">
        <v>12</v>
      </c>
      <c r="Q122" s="215">
        <f t="shared" si="55"/>
        <v>0</v>
      </c>
      <c r="R122" s="5" t="s">
        <v>12</v>
      </c>
      <c r="S122" s="3"/>
      <c r="T122" s="33">
        <f t="shared" si="80"/>
        <v>0</v>
      </c>
      <c r="U122" s="209">
        <f t="shared" si="81"/>
        <v>0</v>
      </c>
      <c r="V122" s="318"/>
      <c r="W122" s="319"/>
      <c r="X122" s="320"/>
      <c r="Y122" s="119" t="str">
        <f t="shared" si="51"/>
        <v>Empty budget line</v>
      </c>
    </row>
    <row r="123" spans="1:25" x14ac:dyDescent="0.35">
      <c r="A123" s="338"/>
      <c r="B123" s="339"/>
      <c r="C123" s="1"/>
      <c r="D123" s="1"/>
      <c r="E123" s="3"/>
      <c r="F123" s="5" t="s">
        <v>12</v>
      </c>
      <c r="G123" s="214">
        <f t="shared" si="52"/>
        <v>0</v>
      </c>
      <c r="H123" s="5" t="s">
        <v>12</v>
      </c>
      <c r="I123" s="4"/>
      <c r="J123" s="33">
        <f t="shared" si="78"/>
        <v>0</v>
      </c>
      <c r="K123" s="207">
        <f t="shared" si="79"/>
        <v>0</v>
      </c>
      <c r="L123" s="193"/>
      <c r="M123" s="187"/>
      <c r="N123" s="1"/>
      <c r="O123" s="3"/>
      <c r="P123" s="5" t="s">
        <v>12</v>
      </c>
      <c r="Q123" s="215">
        <f t="shared" si="55"/>
        <v>0</v>
      </c>
      <c r="R123" s="5" t="s">
        <v>12</v>
      </c>
      <c r="S123" s="3"/>
      <c r="T123" s="33">
        <f t="shared" si="80"/>
        <v>0</v>
      </c>
      <c r="U123" s="209">
        <f t="shared" si="81"/>
        <v>0</v>
      </c>
      <c r="V123" s="318"/>
      <c r="W123" s="319"/>
      <c r="X123" s="320"/>
      <c r="Y123" s="119" t="str">
        <f t="shared" si="51"/>
        <v>Empty budget line</v>
      </c>
    </row>
    <row r="124" spans="1:25" x14ac:dyDescent="0.35">
      <c r="A124" s="338"/>
      <c r="B124" s="339"/>
      <c r="C124" s="1"/>
      <c r="D124" s="1"/>
      <c r="E124" s="3"/>
      <c r="F124" s="5" t="s">
        <v>12</v>
      </c>
      <c r="G124" s="214">
        <f t="shared" si="52"/>
        <v>0</v>
      </c>
      <c r="H124" s="5" t="s">
        <v>12</v>
      </c>
      <c r="I124" s="4"/>
      <c r="J124" s="33">
        <f>G124-I124</f>
        <v>0</v>
      </c>
      <c r="K124" s="207">
        <f>IFERROR(J124/G124,0)</f>
        <v>0</v>
      </c>
      <c r="L124" s="193"/>
      <c r="M124" s="187"/>
      <c r="N124" s="1"/>
      <c r="O124" s="3"/>
      <c r="P124" s="5" t="s">
        <v>12</v>
      </c>
      <c r="Q124" s="215">
        <f t="shared" si="55"/>
        <v>0</v>
      </c>
      <c r="R124" s="5" t="s">
        <v>12</v>
      </c>
      <c r="S124" s="3"/>
      <c r="T124" s="33">
        <f>Q124-S124</f>
        <v>0</v>
      </c>
      <c r="U124" s="209">
        <f>IFERROR(T124/Q124,0)</f>
        <v>0</v>
      </c>
      <c r="V124" s="318"/>
      <c r="W124" s="319"/>
      <c r="X124" s="320"/>
      <c r="Y124" s="119" t="str">
        <f t="shared" si="51"/>
        <v>Empty budget line</v>
      </c>
    </row>
    <row r="125" spans="1:25" x14ac:dyDescent="0.35">
      <c r="A125" s="338"/>
      <c r="B125" s="339"/>
      <c r="C125" s="1"/>
      <c r="D125" s="1"/>
      <c r="E125" s="3"/>
      <c r="F125" s="5" t="s">
        <v>12</v>
      </c>
      <c r="G125" s="214">
        <f t="shared" si="52"/>
        <v>0</v>
      </c>
      <c r="H125" s="5" t="s">
        <v>12</v>
      </c>
      <c r="I125" s="4"/>
      <c r="J125" s="33">
        <f t="shared" ref="J125:J128" si="82">G125-I125</f>
        <v>0</v>
      </c>
      <c r="K125" s="207">
        <f t="shared" ref="K125:K128" si="83">IFERROR(J125/G125,0)</f>
        <v>0</v>
      </c>
      <c r="L125" s="193"/>
      <c r="M125" s="187"/>
      <c r="N125" s="1"/>
      <c r="O125" s="3"/>
      <c r="P125" s="5" t="s">
        <v>12</v>
      </c>
      <c r="Q125" s="215">
        <f t="shared" si="55"/>
        <v>0</v>
      </c>
      <c r="R125" s="5" t="s">
        <v>12</v>
      </c>
      <c r="S125" s="3"/>
      <c r="T125" s="33">
        <f t="shared" ref="T125:T128" si="84">Q125-S125</f>
        <v>0</v>
      </c>
      <c r="U125" s="209">
        <f t="shared" ref="U125:U128" si="85">IFERROR(T125/Q125,0)</f>
        <v>0</v>
      </c>
      <c r="V125" s="318"/>
      <c r="W125" s="319"/>
      <c r="X125" s="320"/>
      <c r="Y125" s="119" t="str">
        <f t="shared" si="51"/>
        <v>Empty budget line</v>
      </c>
    </row>
    <row r="126" spans="1:25" x14ac:dyDescent="0.35">
      <c r="A126" s="338"/>
      <c r="B126" s="339"/>
      <c r="C126" s="1"/>
      <c r="D126" s="1"/>
      <c r="E126" s="3"/>
      <c r="F126" s="5" t="s">
        <v>12</v>
      </c>
      <c r="G126" s="214">
        <f t="shared" si="52"/>
        <v>0</v>
      </c>
      <c r="H126" s="5" t="s">
        <v>12</v>
      </c>
      <c r="I126" s="4"/>
      <c r="J126" s="33">
        <f t="shared" si="82"/>
        <v>0</v>
      </c>
      <c r="K126" s="207">
        <f t="shared" si="83"/>
        <v>0</v>
      </c>
      <c r="L126" s="193"/>
      <c r="M126" s="187"/>
      <c r="N126" s="1"/>
      <c r="O126" s="3"/>
      <c r="P126" s="5" t="s">
        <v>12</v>
      </c>
      <c r="Q126" s="215">
        <f t="shared" si="55"/>
        <v>0</v>
      </c>
      <c r="R126" s="5" t="s">
        <v>12</v>
      </c>
      <c r="S126" s="3"/>
      <c r="T126" s="33">
        <f t="shared" si="84"/>
        <v>0</v>
      </c>
      <c r="U126" s="209">
        <f t="shared" si="85"/>
        <v>0</v>
      </c>
      <c r="V126" s="318"/>
      <c r="W126" s="319"/>
      <c r="X126" s="320"/>
      <c r="Y126" s="119" t="str">
        <f t="shared" si="51"/>
        <v>Empty budget line</v>
      </c>
    </row>
    <row r="127" spans="1:25" x14ac:dyDescent="0.35">
      <c r="A127" s="338"/>
      <c r="B127" s="339"/>
      <c r="C127" s="1"/>
      <c r="D127" s="1"/>
      <c r="E127" s="3"/>
      <c r="F127" s="5" t="s">
        <v>12</v>
      </c>
      <c r="G127" s="214">
        <f t="shared" si="52"/>
        <v>0</v>
      </c>
      <c r="H127" s="5" t="s">
        <v>12</v>
      </c>
      <c r="I127" s="4"/>
      <c r="J127" s="33">
        <f t="shared" si="82"/>
        <v>0</v>
      </c>
      <c r="K127" s="207">
        <f t="shared" si="83"/>
        <v>0</v>
      </c>
      <c r="L127" s="193"/>
      <c r="M127" s="187"/>
      <c r="N127" s="1"/>
      <c r="O127" s="3"/>
      <c r="P127" s="5" t="s">
        <v>12</v>
      </c>
      <c r="Q127" s="215">
        <f t="shared" si="55"/>
        <v>0</v>
      </c>
      <c r="R127" s="5" t="s">
        <v>12</v>
      </c>
      <c r="S127" s="3"/>
      <c r="T127" s="33">
        <f t="shared" si="84"/>
        <v>0</v>
      </c>
      <c r="U127" s="209">
        <f t="shared" si="85"/>
        <v>0</v>
      </c>
      <c r="V127" s="318"/>
      <c r="W127" s="319"/>
      <c r="X127" s="320"/>
      <c r="Y127" s="119" t="str">
        <f t="shared" si="51"/>
        <v>Empty budget line</v>
      </c>
    </row>
    <row r="128" spans="1:25" x14ac:dyDescent="0.35">
      <c r="A128" s="338"/>
      <c r="B128" s="339"/>
      <c r="C128" s="1"/>
      <c r="D128" s="1"/>
      <c r="E128" s="3"/>
      <c r="F128" s="5" t="s">
        <v>12</v>
      </c>
      <c r="G128" s="214">
        <f t="shared" si="52"/>
        <v>0</v>
      </c>
      <c r="H128" s="5" t="s">
        <v>12</v>
      </c>
      <c r="I128" s="4"/>
      <c r="J128" s="33">
        <f t="shared" si="82"/>
        <v>0</v>
      </c>
      <c r="K128" s="207">
        <f t="shared" si="83"/>
        <v>0</v>
      </c>
      <c r="L128" s="193"/>
      <c r="M128" s="187"/>
      <c r="N128" s="1"/>
      <c r="O128" s="3"/>
      <c r="P128" s="5" t="s">
        <v>12</v>
      </c>
      <c r="Q128" s="215">
        <f t="shared" si="55"/>
        <v>0</v>
      </c>
      <c r="R128" s="5" t="s">
        <v>12</v>
      </c>
      <c r="S128" s="3"/>
      <c r="T128" s="33">
        <f t="shared" si="84"/>
        <v>0</v>
      </c>
      <c r="U128" s="209">
        <f t="shared" si="85"/>
        <v>0</v>
      </c>
      <c r="V128" s="318"/>
      <c r="W128" s="319"/>
      <c r="X128" s="320"/>
      <c r="Y128" s="119" t="str">
        <f t="shared" si="51"/>
        <v>Empty budget line</v>
      </c>
    </row>
    <row r="129" spans="1:25" ht="30" customHeight="1" x14ac:dyDescent="0.35">
      <c r="A129" s="369" t="str">
        <f>IF('Detailed Budget'!$C$1="English","Total costs of activity 2","Costuri totale activitatea 2")</f>
        <v>Total costs of activity 2</v>
      </c>
      <c r="B129" s="370"/>
      <c r="C129" s="182"/>
      <c r="D129" s="182"/>
      <c r="E129" s="183"/>
      <c r="F129" s="184"/>
      <c r="G129" s="184">
        <f>SUM(G89:G128)</f>
        <v>0</v>
      </c>
      <c r="H129" s="184"/>
      <c r="I129" s="184">
        <f>SUM(I89:I128)</f>
        <v>0</v>
      </c>
      <c r="J129" s="184">
        <f>SUM(J89:J128)</f>
        <v>0</v>
      </c>
      <c r="K129" s="208">
        <f>IFERROR(J129/G129,0)</f>
        <v>0</v>
      </c>
      <c r="L129" s="194"/>
      <c r="M129" s="188"/>
      <c r="N129" s="184"/>
      <c r="O129" s="184"/>
      <c r="P129" s="184"/>
      <c r="Q129" s="184">
        <f>SUM(Q89:Q128)</f>
        <v>0</v>
      </c>
      <c r="R129" s="184"/>
      <c r="S129" s="184">
        <f>SUM(S89:S128)</f>
        <v>0</v>
      </c>
      <c r="T129" s="184">
        <f>SUM(T89:T128)</f>
        <v>0</v>
      </c>
      <c r="U129" s="210">
        <f>IFERROR(T129/Q129,0)</f>
        <v>0</v>
      </c>
      <c r="V129" s="340"/>
      <c r="W129" s="341"/>
      <c r="X129" s="342"/>
      <c r="Y129" s="119" t="str">
        <f t="shared" si="51"/>
        <v/>
      </c>
    </row>
    <row r="130" spans="1:25" x14ac:dyDescent="0.35">
      <c r="A130" s="34"/>
      <c r="B130" s="34"/>
      <c r="C130" s="35"/>
      <c r="D130" s="35"/>
      <c r="E130" s="34"/>
      <c r="F130" s="34"/>
      <c r="G130" s="34"/>
      <c r="H130" s="34"/>
      <c r="I130" s="34"/>
      <c r="J130" s="34"/>
      <c r="K130" s="34"/>
      <c r="M130" s="34"/>
      <c r="N130" s="34"/>
      <c r="O130" s="34"/>
      <c r="P130" s="34"/>
      <c r="Q130" s="34"/>
      <c r="R130" s="34"/>
      <c r="S130" s="34"/>
      <c r="T130" s="34"/>
      <c r="U130" s="34"/>
      <c r="V130" s="34"/>
      <c r="W130" s="34"/>
      <c r="X130" s="34"/>
      <c r="Y130" s="119" t="str">
        <f t="shared" si="51"/>
        <v/>
      </c>
    </row>
    <row r="131" spans="1:25" ht="22.5" customHeight="1" x14ac:dyDescent="0.35">
      <c r="A131" s="323" t="str">
        <f>IF('Detailed Budget'!$C$1="English","Activity 3. 4","Activitatea 3. 4")</f>
        <v>Activity 3. 4</v>
      </c>
      <c r="B131" s="324"/>
      <c r="C131" s="346" t="str">
        <f>C86</f>
        <v>Eligible costs in the Project Application / Project Contract 5</v>
      </c>
      <c r="D131" s="346"/>
      <c r="E131" s="346"/>
      <c r="F131" s="346"/>
      <c r="G131" s="346"/>
      <c r="H131" s="346"/>
      <c r="I131" s="346"/>
      <c r="J131" s="346"/>
      <c r="K131" s="347"/>
      <c r="L131" s="191"/>
      <c r="M131" s="330" t="str">
        <f>M86</f>
        <v>Eligible costs in the latest Project Modification</v>
      </c>
      <c r="N131" s="330"/>
      <c r="O131" s="330"/>
      <c r="P131" s="330"/>
      <c r="Q131" s="330"/>
      <c r="R131" s="330"/>
      <c r="S131" s="330"/>
      <c r="T131" s="330"/>
      <c r="U131" s="331"/>
      <c r="V131" s="329" t="str">
        <f>V86</f>
        <v>Comments</v>
      </c>
      <c r="W131" s="330"/>
      <c r="X131" s="331"/>
      <c r="Y131" s="119" t="str">
        <f t="shared" si="51"/>
        <v/>
      </c>
    </row>
    <row r="132" spans="1:25" ht="37.5" customHeight="1" x14ac:dyDescent="0.35">
      <c r="A132" s="343" t="s">
        <v>2</v>
      </c>
      <c r="B132" s="344"/>
      <c r="C132" s="346"/>
      <c r="D132" s="346"/>
      <c r="E132" s="346"/>
      <c r="F132" s="346"/>
      <c r="G132" s="346"/>
      <c r="H132" s="346"/>
      <c r="I132" s="346"/>
      <c r="J132" s="346"/>
      <c r="K132" s="347"/>
      <c r="L132" s="191"/>
      <c r="M132" s="333"/>
      <c r="N132" s="333"/>
      <c r="O132" s="333"/>
      <c r="P132" s="333"/>
      <c r="Q132" s="333"/>
      <c r="R132" s="333"/>
      <c r="S132" s="333"/>
      <c r="T132" s="333"/>
      <c r="U132" s="334"/>
      <c r="V132" s="332"/>
      <c r="W132" s="333"/>
      <c r="X132" s="334"/>
      <c r="Y132" s="119" t="str">
        <f t="shared" si="51"/>
        <v/>
      </c>
    </row>
    <row r="133" spans="1:25" s="32" customFormat="1" ht="39.5" customHeight="1" x14ac:dyDescent="0.15">
      <c r="A133" s="327" t="str">
        <f>A88</f>
        <v>Short description</v>
      </c>
      <c r="B133" s="328"/>
      <c r="C133" s="31" t="str">
        <f>C88</f>
        <v>Unit type</v>
      </c>
      <c r="D133" s="31" t="str">
        <f>D88</f>
        <v>No of units</v>
      </c>
      <c r="E133" s="31" t="str">
        <f>E88</f>
        <v>Unit cost</v>
      </c>
      <c r="F133" s="335" t="str">
        <f>F88</f>
        <v>Costs by (select) 6 amount</v>
      </c>
      <c r="G133" s="345"/>
      <c r="H133" s="335" t="str">
        <f>H88</f>
        <v>Own contribution by (select) 6 amount</v>
      </c>
      <c r="I133" s="336"/>
      <c r="J133" s="31" t="s">
        <v>9</v>
      </c>
      <c r="K133" s="304" t="s">
        <v>10</v>
      </c>
      <c r="L133" s="192"/>
      <c r="M133" s="305" t="str">
        <f>M88</f>
        <v>Unit type</v>
      </c>
      <c r="N133" s="31" t="str">
        <f>N88</f>
        <v>No of units</v>
      </c>
      <c r="O133" s="31" t="str">
        <f>O88</f>
        <v>Unit cost</v>
      </c>
      <c r="P133" s="335" t="str">
        <f>P88</f>
        <v>Costs by (select) 6 amount</v>
      </c>
      <c r="Q133" s="345"/>
      <c r="R133" s="335" t="str">
        <f>R88</f>
        <v>Own contribution by (select) 6 amount</v>
      </c>
      <c r="S133" s="336"/>
      <c r="T133" s="31" t="s">
        <v>9</v>
      </c>
      <c r="U133" s="31" t="s">
        <v>10</v>
      </c>
      <c r="V133" s="327" t="str">
        <f>V88</f>
        <v>Comments</v>
      </c>
      <c r="W133" s="337"/>
      <c r="X133" s="328"/>
      <c r="Y133" s="119" t="str">
        <f t="shared" si="51"/>
        <v/>
      </c>
    </row>
    <row r="134" spans="1:25" x14ac:dyDescent="0.35">
      <c r="A134" s="338"/>
      <c r="B134" s="339"/>
      <c r="C134" s="1"/>
      <c r="D134" s="1"/>
      <c r="E134" s="3"/>
      <c r="F134" s="5" t="s">
        <v>12</v>
      </c>
      <c r="G134" s="214">
        <f>D134*E134</f>
        <v>0</v>
      </c>
      <c r="H134" s="5" t="s">
        <v>12</v>
      </c>
      <c r="I134" s="4"/>
      <c r="J134" s="33">
        <f>G134-I134</f>
        <v>0</v>
      </c>
      <c r="K134" s="207">
        <f>IFERROR(J134/G134,0)</f>
        <v>0</v>
      </c>
      <c r="L134" s="193"/>
      <c r="M134" s="187"/>
      <c r="N134" s="1"/>
      <c r="O134" s="3"/>
      <c r="P134" s="5" t="s">
        <v>12</v>
      </c>
      <c r="Q134" s="215">
        <f t="shared" ref="Q134:Q153" si="86">N134*O134</f>
        <v>0</v>
      </c>
      <c r="R134" s="5" t="s">
        <v>12</v>
      </c>
      <c r="S134" s="3"/>
      <c r="T134" s="33">
        <f>Q134-S134</f>
        <v>0</v>
      </c>
      <c r="U134" s="209">
        <f>IFERROR(T134/Q134,0)</f>
        <v>0</v>
      </c>
      <c r="V134" s="318"/>
      <c r="W134" s="319"/>
      <c r="X134" s="320"/>
      <c r="Y134" s="119" t="str">
        <f t="shared" si="51"/>
        <v>Empty budget line</v>
      </c>
    </row>
    <row r="135" spans="1:25" x14ac:dyDescent="0.35">
      <c r="A135" s="338"/>
      <c r="B135" s="339"/>
      <c r="C135" s="1"/>
      <c r="D135" s="1"/>
      <c r="E135" s="3"/>
      <c r="F135" s="5" t="s">
        <v>12</v>
      </c>
      <c r="G135" s="214">
        <f t="shared" ref="G135:G153" si="87">D135*E135</f>
        <v>0</v>
      </c>
      <c r="H135" s="5" t="s">
        <v>12</v>
      </c>
      <c r="I135" s="4"/>
      <c r="J135" s="33">
        <f t="shared" ref="J135:J138" si="88">G135-I135</f>
        <v>0</v>
      </c>
      <c r="K135" s="207">
        <f t="shared" ref="K135:K138" si="89">IFERROR(J135/G135,0)</f>
        <v>0</v>
      </c>
      <c r="L135" s="193"/>
      <c r="M135" s="187"/>
      <c r="N135" s="1"/>
      <c r="O135" s="3"/>
      <c r="P135" s="5" t="s">
        <v>12</v>
      </c>
      <c r="Q135" s="215">
        <f t="shared" si="86"/>
        <v>0</v>
      </c>
      <c r="R135" s="5" t="s">
        <v>12</v>
      </c>
      <c r="S135" s="3"/>
      <c r="T135" s="33">
        <f t="shared" ref="T135:T138" si="90">Q135-S135</f>
        <v>0</v>
      </c>
      <c r="U135" s="209">
        <f t="shared" ref="U135:U138" si="91">IFERROR(T135/Q135,0)</f>
        <v>0</v>
      </c>
      <c r="V135" s="318"/>
      <c r="W135" s="319"/>
      <c r="X135" s="320"/>
      <c r="Y135" s="119" t="str">
        <f t="shared" si="51"/>
        <v>Empty budget line</v>
      </c>
    </row>
    <row r="136" spans="1:25" x14ac:dyDescent="0.35">
      <c r="A136" s="338"/>
      <c r="B136" s="339"/>
      <c r="C136" s="1"/>
      <c r="D136" s="1"/>
      <c r="E136" s="3"/>
      <c r="F136" s="5" t="s">
        <v>12</v>
      </c>
      <c r="G136" s="214">
        <f>D136*E136</f>
        <v>0</v>
      </c>
      <c r="H136" s="5" t="s">
        <v>12</v>
      </c>
      <c r="I136" s="4"/>
      <c r="J136" s="33">
        <f t="shared" si="88"/>
        <v>0</v>
      </c>
      <c r="K136" s="207">
        <f t="shared" si="89"/>
        <v>0</v>
      </c>
      <c r="L136" s="193"/>
      <c r="M136" s="187"/>
      <c r="N136" s="1"/>
      <c r="O136" s="3"/>
      <c r="P136" s="5" t="s">
        <v>12</v>
      </c>
      <c r="Q136" s="215">
        <f t="shared" si="86"/>
        <v>0</v>
      </c>
      <c r="R136" s="5" t="s">
        <v>12</v>
      </c>
      <c r="S136" s="3"/>
      <c r="T136" s="33">
        <f t="shared" si="90"/>
        <v>0</v>
      </c>
      <c r="U136" s="209">
        <f t="shared" si="91"/>
        <v>0</v>
      </c>
      <c r="V136" s="318"/>
      <c r="W136" s="319"/>
      <c r="X136" s="320"/>
      <c r="Y136" s="119" t="str">
        <f t="shared" si="51"/>
        <v>Empty budget line</v>
      </c>
    </row>
    <row r="137" spans="1:25" x14ac:dyDescent="0.35">
      <c r="A137" s="338"/>
      <c r="B137" s="339"/>
      <c r="C137" s="1"/>
      <c r="D137" s="1"/>
      <c r="E137" s="3"/>
      <c r="F137" s="5" t="s">
        <v>12</v>
      </c>
      <c r="G137" s="214">
        <f t="shared" si="87"/>
        <v>0</v>
      </c>
      <c r="H137" s="5" t="s">
        <v>12</v>
      </c>
      <c r="I137" s="4"/>
      <c r="J137" s="33">
        <f t="shared" si="88"/>
        <v>0</v>
      </c>
      <c r="K137" s="207">
        <f t="shared" si="89"/>
        <v>0</v>
      </c>
      <c r="L137" s="193"/>
      <c r="M137" s="187"/>
      <c r="N137" s="1"/>
      <c r="O137" s="3"/>
      <c r="P137" s="5" t="s">
        <v>12</v>
      </c>
      <c r="Q137" s="215">
        <f t="shared" si="86"/>
        <v>0</v>
      </c>
      <c r="R137" s="5" t="s">
        <v>12</v>
      </c>
      <c r="S137" s="3"/>
      <c r="T137" s="33">
        <f t="shared" si="90"/>
        <v>0</v>
      </c>
      <c r="U137" s="209">
        <f t="shared" si="91"/>
        <v>0</v>
      </c>
      <c r="V137" s="318"/>
      <c r="W137" s="319"/>
      <c r="X137" s="320"/>
      <c r="Y137" s="119" t="str">
        <f t="shared" si="51"/>
        <v>Empty budget line</v>
      </c>
    </row>
    <row r="138" spans="1:25" x14ac:dyDescent="0.35">
      <c r="A138" s="338"/>
      <c r="B138" s="339"/>
      <c r="C138" s="1"/>
      <c r="D138" s="1"/>
      <c r="E138" s="3"/>
      <c r="F138" s="5" t="s">
        <v>12</v>
      </c>
      <c r="G138" s="214">
        <f t="shared" si="87"/>
        <v>0</v>
      </c>
      <c r="H138" s="5" t="s">
        <v>12</v>
      </c>
      <c r="I138" s="4"/>
      <c r="J138" s="33">
        <f t="shared" si="88"/>
        <v>0</v>
      </c>
      <c r="K138" s="207">
        <f t="shared" si="89"/>
        <v>0</v>
      </c>
      <c r="L138" s="193"/>
      <c r="M138" s="187"/>
      <c r="N138" s="1"/>
      <c r="O138" s="3"/>
      <c r="P138" s="5" t="s">
        <v>12</v>
      </c>
      <c r="Q138" s="215">
        <f t="shared" si="86"/>
        <v>0</v>
      </c>
      <c r="R138" s="5" t="s">
        <v>12</v>
      </c>
      <c r="S138" s="3"/>
      <c r="T138" s="33">
        <f t="shared" si="90"/>
        <v>0</v>
      </c>
      <c r="U138" s="209">
        <f t="shared" si="91"/>
        <v>0</v>
      </c>
      <c r="V138" s="318"/>
      <c r="W138" s="319"/>
      <c r="X138" s="320"/>
      <c r="Y138" s="119" t="str">
        <f t="shared" si="51"/>
        <v>Empty budget line</v>
      </c>
    </row>
    <row r="139" spans="1:25" x14ac:dyDescent="0.35">
      <c r="A139" s="338"/>
      <c r="B139" s="339"/>
      <c r="C139" s="1"/>
      <c r="D139" s="1"/>
      <c r="E139" s="3"/>
      <c r="F139" s="5" t="s">
        <v>12</v>
      </c>
      <c r="G139" s="214">
        <f t="shared" si="87"/>
        <v>0</v>
      </c>
      <c r="H139" s="5" t="s">
        <v>12</v>
      </c>
      <c r="I139" s="4"/>
      <c r="J139" s="33">
        <f>G139-I139</f>
        <v>0</v>
      </c>
      <c r="K139" s="207">
        <f>IFERROR(J139/G139,0)</f>
        <v>0</v>
      </c>
      <c r="L139" s="193"/>
      <c r="M139" s="187"/>
      <c r="N139" s="1"/>
      <c r="O139" s="3"/>
      <c r="P139" s="5" t="s">
        <v>12</v>
      </c>
      <c r="Q139" s="215">
        <f t="shared" si="86"/>
        <v>0</v>
      </c>
      <c r="R139" s="5" t="s">
        <v>12</v>
      </c>
      <c r="S139" s="3"/>
      <c r="T139" s="33">
        <f>Q139-S139</f>
        <v>0</v>
      </c>
      <c r="U139" s="209">
        <f>IFERROR(T139/Q139,0)</f>
        <v>0</v>
      </c>
      <c r="V139" s="318"/>
      <c r="W139" s="319"/>
      <c r="X139" s="320"/>
      <c r="Y139" s="119" t="str">
        <f t="shared" si="51"/>
        <v>Empty budget line</v>
      </c>
    </row>
    <row r="140" spans="1:25" x14ac:dyDescent="0.35">
      <c r="A140" s="338"/>
      <c r="B140" s="339"/>
      <c r="C140" s="1"/>
      <c r="D140" s="1"/>
      <c r="E140" s="3"/>
      <c r="F140" s="5" t="s">
        <v>12</v>
      </c>
      <c r="G140" s="214">
        <f t="shared" si="87"/>
        <v>0</v>
      </c>
      <c r="H140" s="5" t="s">
        <v>12</v>
      </c>
      <c r="I140" s="4"/>
      <c r="J140" s="33">
        <f t="shared" ref="J140:J143" si="92">G140-I140</f>
        <v>0</v>
      </c>
      <c r="K140" s="207">
        <f t="shared" ref="K140:K143" si="93">IFERROR(J140/G140,0)</f>
        <v>0</v>
      </c>
      <c r="L140" s="193"/>
      <c r="M140" s="187"/>
      <c r="N140" s="1"/>
      <c r="O140" s="3"/>
      <c r="P140" s="5" t="s">
        <v>12</v>
      </c>
      <c r="Q140" s="215">
        <f t="shared" si="86"/>
        <v>0</v>
      </c>
      <c r="R140" s="5" t="s">
        <v>12</v>
      </c>
      <c r="S140" s="3"/>
      <c r="T140" s="33">
        <f t="shared" ref="T140:T143" si="94">Q140-S140</f>
        <v>0</v>
      </c>
      <c r="U140" s="209">
        <f t="shared" ref="U140:U143" si="95">IFERROR(T140/Q140,0)</f>
        <v>0</v>
      </c>
      <c r="V140" s="318"/>
      <c r="W140" s="319"/>
      <c r="X140" s="320"/>
      <c r="Y140" s="119" t="str">
        <f t="shared" si="51"/>
        <v>Empty budget line</v>
      </c>
    </row>
    <row r="141" spans="1:25" x14ac:dyDescent="0.35">
      <c r="A141" s="338"/>
      <c r="B141" s="339"/>
      <c r="C141" s="1"/>
      <c r="D141" s="1"/>
      <c r="E141" s="3"/>
      <c r="F141" s="5" t="s">
        <v>12</v>
      </c>
      <c r="G141" s="214">
        <f t="shared" si="87"/>
        <v>0</v>
      </c>
      <c r="H141" s="5" t="s">
        <v>12</v>
      </c>
      <c r="I141" s="4"/>
      <c r="J141" s="33">
        <f t="shared" si="92"/>
        <v>0</v>
      </c>
      <c r="K141" s="207">
        <f t="shared" si="93"/>
        <v>0</v>
      </c>
      <c r="L141" s="193"/>
      <c r="M141" s="187"/>
      <c r="N141" s="1"/>
      <c r="O141" s="3"/>
      <c r="P141" s="5" t="s">
        <v>12</v>
      </c>
      <c r="Q141" s="215">
        <f t="shared" si="86"/>
        <v>0</v>
      </c>
      <c r="R141" s="5" t="s">
        <v>12</v>
      </c>
      <c r="S141" s="3"/>
      <c r="T141" s="33">
        <f t="shared" si="94"/>
        <v>0</v>
      </c>
      <c r="U141" s="209">
        <f t="shared" si="95"/>
        <v>0</v>
      </c>
      <c r="V141" s="318"/>
      <c r="W141" s="319"/>
      <c r="X141" s="320"/>
      <c r="Y141" s="119" t="str">
        <f t="shared" si="51"/>
        <v>Empty budget line</v>
      </c>
    </row>
    <row r="142" spans="1:25" x14ac:dyDescent="0.35">
      <c r="A142" s="338"/>
      <c r="B142" s="339"/>
      <c r="C142" s="1"/>
      <c r="D142" s="1"/>
      <c r="E142" s="3"/>
      <c r="F142" s="5" t="s">
        <v>12</v>
      </c>
      <c r="G142" s="214">
        <f t="shared" si="87"/>
        <v>0</v>
      </c>
      <c r="H142" s="5" t="s">
        <v>12</v>
      </c>
      <c r="I142" s="4"/>
      <c r="J142" s="33">
        <f t="shared" si="92"/>
        <v>0</v>
      </c>
      <c r="K142" s="207">
        <f t="shared" si="93"/>
        <v>0</v>
      </c>
      <c r="L142" s="193"/>
      <c r="M142" s="187"/>
      <c r="N142" s="1"/>
      <c r="O142" s="3"/>
      <c r="P142" s="5" t="s">
        <v>12</v>
      </c>
      <c r="Q142" s="215">
        <f t="shared" si="86"/>
        <v>0</v>
      </c>
      <c r="R142" s="5" t="s">
        <v>12</v>
      </c>
      <c r="S142" s="3"/>
      <c r="T142" s="33">
        <f t="shared" si="94"/>
        <v>0</v>
      </c>
      <c r="U142" s="209">
        <f t="shared" si="95"/>
        <v>0</v>
      </c>
      <c r="V142" s="318"/>
      <c r="W142" s="319"/>
      <c r="X142" s="320"/>
      <c r="Y142" s="119" t="str">
        <f t="shared" si="51"/>
        <v>Empty budget line</v>
      </c>
    </row>
    <row r="143" spans="1:25" x14ac:dyDescent="0.35">
      <c r="A143" s="338"/>
      <c r="B143" s="339"/>
      <c r="C143" s="1"/>
      <c r="D143" s="1"/>
      <c r="E143" s="3"/>
      <c r="F143" s="5" t="s">
        <v>12</v>
      </c>
      <c r="G143" s="214">
        <f t="shared" si="87"/>
        <v>0</v>
      </c>
      <c r="H143" s="5" t="s">
        <v>12</v>
      </c>
      <c r="I143" s="4"/>
      <c r="J143" s="33">
        <f t="shared" si="92"/>
        <v>0</v>
      </c>
      <c r="K143" s="207">
        <f t="shared" si="93"/>
        <v>0</v>
      </c>
      <c r="L143" s="193"/>
      <c r="M143" s="187"/>
      <c r="N143" s="1"/>
      <c r="O143" s="3"/>
      <c r="P143" s="5" t="s">
        <v>12</v>
      </c>
      <c r="Q143" s="215">
        <f t="shared" si="86"/>
        <v>0</v>
      </c>
      <c r="R143" s="5" t="s">
        <v>12</v>
      </c>
      <c r="S143" s="3"/>
      <c r="T143" s="33">
        <f t="shared" si="94"/>
        <v>0</v>
      </c>
      <c r="U143" s="209">
        <f t="shared" si="95"/>
        <v>0</v>
      </c>
      <c r="V143" s="318"/>
      <c r="W143" s="319"/>
      <c r="X143" s="320"/>
      <c r="Y143" s="119" t="str">
        <f t="shared" si="51"/>
        <v>Empty budget line</v>
      </c>
    </row>
    <row r="144" spans="1:25" x14ac:dyDescent="0.35">
      <c r="A144" s="338"/>
      <c r="B144" s="339"/>
      <c r="C144" s="1"/>
      <c r="D144" s="1"/>
      <c r="E144" s="3"/>
      <c r="F144" s="5" t="s">
        <v>12</v>
      </c>
      <c r="G144" s="214">
        <f t="shared" si="87"/>
        <v>0</v>
      </c>
      <c r="H144" s="5" t="s">
        <v>12</v>
      </c>
      <c r="I144" s="4"/>
      <c r="J144" s="33">
        <f>G144-I144</f>
        <v>0</v>
      </c>
      <c r="K144" s="207">
        <f>IFERROR(J144/G144,0)</f>
        <v>0</v>
      </c>
      <c r="L144" s="193"/>
      <c r="M144" s="187"/>
      <c r="N144" s="1"/>
      <c r="O144" s="3"/>
      <c r="P144" s="5" t="s">
        <v>12</v>
      </c>
      <c r="Q144" s="215">
        <f t="shared" si="86"/>
        <v>0</v>
      </c>
      <c r="R144" s="5" t="s">
        <v>12</v>
      </c>
      <c r="S144" s="3"/>
      <c r="T144" s="33">
        <f>Q144-S144</f>
        <v>0</v>
      </c>
      <c r="U144" s="209">
        <f>IFERROR(T144/Q144,0)</f>
        <v>0</v>
      </c>
      <c r="V144" s="318"/>
      <c r="W144" s="319"/>
      <c r="X144" s="320"/>
      <c r="Y144" s="119" t="str">
        <f t="shared" si="51"/>
        <v>Empty budget line</v>
      </c>
    </row>
    <row r="145" spans="1:25" x14ac:dyDescent="0.35">
      <c r="A145" s="338"/>
      <c r="B145" s="339"/>
      <c r="C145" s="1"/>
      <c r="D145" s="1"/>
      <c r="E145" s="3"/>
      <c r="F145" s="5" t="s">
        <v>12</v>
      </c>
      <c r="G145" s="214">
        <f t="shared" si="87"/>
        <v>0</v>
      </c>
      <c r="H145" s="5" t="s">
        <v>12</v>
      </c>
      <c r="I145" s="4"/>
      <c r="J145" s="33">
        <f t="shared" ref="J145:J148" si="96">G145-I145</f>
        <v>0</v>
      </c>
      <c r="K145" s="207">
        <f t="shared" ref="K145:K148" si="97">IFERROR(J145/G145,0)</f>
        <v>0</v>
      </c>
      <c r="L145" s="193"/>
      <c r="M145" s="187"/>
      <c r="N145" s="1"/>
      <c r="O145" s="3"/>
      <c r="P145" s="5" t="s">
        <v>12</v>
      </c>
      <c r="Q145" s="215">
        <f t="shared" si="86"/>
        <v>0</v>
      </c>
      <c r="R145" s="5" t="s">
        <v>12</v>
      </c>
      <c r="S145" s="3"/>
      <c r="T145" s="33">
        <f t="shared" ref="T145:T148" si="98">Q145-S145</f>
        <v>0</v>
      </c>
      <c r="U145" s="209">
        <f t="shared" ref="U145:U148" si="99">IFERROR(T145/Q145,0)</f>
        <v>0</v>
      </c>
      <c r="V145" s="318"/>
      <c r="W145" s="319"/>
      <c r="X145" s="320"/>
      <c r="Y145" s="119" t="str">
        <f t="shared" si="51"/>
        <v>Empty budget line</v>
      </c>
    </row>
    <row r="146" spans="1:25" x14ac:dyDescent="0.35">
      <c r="A146" s="338"/>
      <c r="B146" s="339"/>
      <c r="C146" s="1"/>
      <c r="D146" s="1"/>
      <c r="E146" s="3"/>
      <c r="F146" s="5" t="s">
        <v>12</v>
      </c>
      <c r="G146" s="214">
        <f t="shared" si="87"/>
        <v>0</v>
      </c>
      <c r="H146" s="5" t="s">
        <v>12</v>
      </c>
      <c r="I146" s="4"/>
      <c r="J146" s="33">
        <f t="shared" si="96"/>
        <v>0</v>
      </c>
      <c r="K146" s="207">
        <f t="shared" si="97"/>
        <v>0</v>
      </c>
      <c r="L146" s="193"/>
      <c r="M146" s="187"/>
      <c r="N146" s="1"/>
      <c r="O146" s="3"/>
      <c r="P146" s="5" t="s">
        <v>12</v>
      </c>
      <c r="Q146" s="215">
        <f t="shared" si="86"/>
        <v>0</v>
      </c>
      <c r="R146" s="5" t="s">
        <v>12</v>
      </c>
      <c r="S146" s="3"/>
      <c r="T146" s="33">
        <f t="shared" si="98"/>
        <v>0</v>
      </c>
      <c r="U146" s="209">
        <f t="shared" si="99"/>
        <v>0</v>
      </c>
      <c r="V146" s="318"/>
      <c r="W146" s="319"/>
      <c r="X146" s="320"/>
      <c r="Y146" s="119" t="str">
        <f t="shared" si="51"/>
        <v>Empty budget line</v>
      </c>
    </row>
    <row r="147" spans="1:25" x14ac:dyDescent="0.35">
      <c r="A147" s="338"/>
      <c r="B147" s="339"/>
      <c r="C147" s="1"/>
      <c r="D147" s="1"/>
      <c r="E147" s="3"/>
      <c r="F147" s="5" t="s">
        <v>12</v>
      </c>
      <c r="G147" s="214">
        <f t="shared" si="87"/>
        <v>0</v>
      </c>
      <c r="H147" s="5" t="s">
        <v>12</v>
      </c>
      <c r="I147" s="4"/>
      <c r="J147" s="33">
        <f t="shared" si="96"/>
        <v>0</v>
      </c>
      <c r="K147" s="207">
        <f t="shared" si="97"/>
        <v>0</v>
      </c>
      <c r="L147" s="193"/>
      <c r="M147" s="187"/>
      <c r="N147" s="1"/>
      <c r="O147" s="3"/>
      <c r="P147" s="5" t="s">
        <v>12</v>
      </c>
      <c r="Q147" s="215">
        <f t="shared" si="86"/>
        <v>0</v>
      </c>
      <c r="R147" s="5" t="s">
        <v>12</v>
      </c>
      <c r="S147" s="3"/>
      <c r="T147" s="33">
        <f t="shared" si="98"/>
        <v>0</v>
      </c>
      <c r="U147" s="209">
        <f t="shared" si="99"/>
        <v>0</v>
      </c>
      <c r="V147" s="318"/>
      <c r="W147" s="319"/>
      <c r="X147" s="320"/>
      <c r="Y147" s="119" t="str">
        <f t="shared" si="51"/>
        <v>Empty budget line</v>
      </c>
    </row>
    <row r="148" spans="1:25" x14ac:dyDescent="0.35">
      <c r="A148" s="338"/>
      <c r="B148" s="339"/>
      <c r="C148" s="1"/>
      <c r="D148" s="1"/>
      <c r="E148" s="3"/>
      <c r="F148" s="5" t="s">
        <v>12</v>
      </c>
      <c r="G148" s="214">
        <f t="shared" si="87"/>
        <v>0</v>
      </c>
      <c r="H148" s="5" t="s">
        <v>12</v>
      </c>
      <c r="I148" s="4"/>
      <c r="J148" s="33">
        <f t="shared" si="96"/>
        <v>0</v>
      </c>
      <c r="K148" s="207">
        <f t="shared" si="97"/>
        <v>0</v>
      </c>
      <c r="L148" s="193"/>
      <c r="M148" s="187"/>
      <c r="N148" s="1"/>
      <c r="O148" s="3"/>
      <c r="P148" s="5" t="s">
        <v>12</v>
      </c>
      <c r="Q148" s="215">
        <f t="shared" si="86"/>
        <v>0</v>
      </c>
      <c r="R148" s="5" t="s">
        <v>12</v>
      </c>
      <c r="S148" s="3"/>
      <c r="T148" s="33">
        <f t="shared" si="98"/>
        <v>0</v>
      </c>
      <c r="U148" s="209">
        <f t="shared" si="99"/>
        <v>0</v>
      </c>
      <c r="V148" s="318"/>
      <c r="W148" s="319"/>
      <c r="X148" s="320"/>
      <c r="Y148" s="119" t="str">
        <f t="shared" si="51"/>
        <v>Empty budget line</v>
      </c>
    </row>
    <row r="149" spans="1:25" x14ac:dyDescent="0.35">
      <c r="A149" s="338"/>
      <c r="B149" s="339"/>
      <c r="C149" s="1"/>
      <c r="D149" s="1"/>
      <c r="E149" s="3"/>
      <c r="F149" s="5" t="s">
        <v>12</v>
      </c>
      <c r="G149" s="214">
        <f t="shared" si="87"/>
        <v>0</v>
      </c>
      <c r="H149" s="5" t="s">
        <v>12</v>
      </c>
      <c r="I149" s="4"/>
      <c r="J149" s="33">
        <f>G149-I149</f>
        <v>0</v>
      </c>
      <c r="K149" s="207">
        <f>IFERROR(J149/G149,0)</f>
        <v>0</v>
      </c>
      <c r="L149" s="193"/>
      <c r="M149" s="187"/>
      <c r="N149" s="1"/>
      <c r="O149" s="3"/>
      <c r="P149" s="5" t="s">
        <v>12</v>
      </c>
      <c r="Q149" s="215">
        <f t="shared" si="86"/>
        <v>0</v>
      </c>
      <c r="R149" s="5" t="s">
        <v>12</v>
      </c>
      <c r="S149" s="3"/>
      <c r="T149" s="33">
        <f>Q149-S149</f>
        <v>0</v>
      </c>
      <c r="U149" s="209">
        <f>IFERROR(T149/Q149,0)</f>
        <v>0</v>
      </c>
      <c r="V149" s="318"/>
      <c r="W149" s="319"/>
      <c r="X149" s="320"/>
      <c r="Y149" s="119" t="str">
        <f t="shared" si="51"/>
        <v>Empty budget line</v>
      </c>
    </row>
    <row r="150" spans="1:25" x14ac:dyDescent="0.35">
      <c r="A150" s="338"/>
      <c r="B150" s="339"/>
      <c r="C150" s="1"/>
      <c r="D150" s="1"/>
      <c r="E150" s="3"/>
      <c r="F150" s="5" t="s">
        <v>12</v>
      </c>
      <c r="G150" s="214">
        <f t="shared" si="87"/>
        <v>0</v>
      </c>
      <c r="H150" s="5" t="s">
        <v>12</v>
      </c>
      <c r="I150" s="4"/>
      <c r="J150" s="33">
        <f t="shared" ref="J150:J153" si="100">G150-I150</f>
        <v>0</v>
      </c>
      <c r="K150" s="207">
        <f t="shared" ref="K150:K153" si="101">IFERROR(J150/G150,0)</f>
        <v>0</v>
      </c>
      <c r="L150" s="193"/>
      <c r="M150" s="187"/>
      <c r="N150" s="1"/>
      <c r="O150" s="3"/>
      <c r="P150" s="5" t="s">
        <v>12</v>
      </c>
      <c r="Q150" s="215">
        <f t="shared" si="86"/>
        <v>0</v>
      </c>
      <c r="R150" s="5" t="s">
        <v>12</v>
      </c>
      <c r="S150" s="3"/>
      <c r="T150" s="33">
        <f t="shared" ref="T150:T153" si="102">Q150-S150</f>
        <v>0</v>
      </c>
      <c r="U150" s="209">
        <f t="shared" ref="U150:U153" si="103">IFERROR(T150/Q150,0)</f>
        <v>0</v>
      </c>
      <c r="V150" s="318"/>
      <c r="W150" s="319"/>
      <c r="X150" s="320"/>
      <c r="Y150" s="119" t="str">
        <f t="shared" si="51"/>
        <v>Empty budget line</v>
      </c>
    </row>
    <row r="151" spans="1:25" x14ac:dyDescent="0.35">
      <c r="A151" s="338"/>
      <c r="B151" s="339"/>
      <c r="C151" s="1"/>
      <c r="D151" s="1"/>
      <c r="E151" s="3"/>
      <c r="F151" s="5" t="s">
        <v>12</v>
      </c>
      <c r="G151" s="214">
        <f t="shared" si="87"/>
        <v>0</v>
      </c>
      <c r="H151" s="5" t="s">
        <v>12</v>
      </c>
      <c r="I151" s="4"/>
      <c r="J151" s="33">
        <f t="shared" si="100"/>
        <v>0</v>
      </c>
      <c r="K151" s="207">
        <f t="shared" si="101"/>
        <v>0</v>
      </c>
      <c r="L151" s="193"/>
      <c r="M151" s="187"/>
      <c r="N151" s="1"/>
      <c r="O151" s="3"/>
      <c r="P151" s="5" t="s">
        <v>12</v>
      </c>
      <c r="Q151" s="215">
        <f t="shared" si="86"/>
        <v>0</v>
      </c>
      <c r="R151" s="5" t="s">
        <v>12</v>
      </c>
      <c r="S151" s="3"/>
      <c r="T151" s="33">
        <f t="shared" si="102"/>
        <v>0</v>
      </c>
      <c r="U151" s="209">
        <f t="shared" si="103"/>
        <v>0</v>
      </c>
      <c r="V151" s="318"/>
      <c r="W151" s="319"/>
      <c r="X151" s="320"/>
      <c r="Y151" s="119" t="str">
        <f t="shared" si="51"/>
        <v>Empty budget line</v>
      </c>
    </row>
    <row r="152" spans="1:25" x14ac:dyDescent="0.35">
      <c r="A152" s="338"/>
      <c r="B152" s="339"/>
      <c r="C152" s="1"/>
      <c r="D152" s="1"/>
      <c r="E152" s="3"/>
      <c r="F152" s="5" t="s">
        <v>12</v>
      </c>
      <c r="G152" s="214">
        <f t="shared" si="87"/>
        <v>0</v>
      </c>
      <c r="H152" s="5" t="s">
        <v>12</v>
      </c>
      <c r="I152" s="4"/>
      <c r="J152" s="33">
        <f t="shared" si="100"/>
        <v>0</v>
      </c>
      <c r="K152" s="207">
        <f t="shared" si="101"/>
        <v>0</v>
      </c>
      <c r="L152" s="193"/>
      <c r="M152" s="187"/>
      <c r="N152" s="1"/>
      <c r="O152" s="3"/>
      <c r="P152" s="5" t="s">
        <v>12</v>
      </c>
      <c r="Q152" s="215">
        <f t="shared" si="86"/>
        <v>0</v>
      </c>
      <c r="R152" s="5" t="s">
        <v>12</v>
      </c>
      <c r="S152" s="3"/>
      <c r="T152" s="33">
        <f t="shared" si="102"/>
        <v>0</v>
      </c>
      <c r="U152" s="209">
        <f t="shared" si="103"/>
        <v>0</v>
      </c>
      <c r="V152" s="318"/>
      <c r="W152" s="319"/>
      <c r="X152" s="320"/>
      <c r="Y152" s="119" t="str">
        <f t="shared" si="51"/>
        <v>Empty budget line</v>
      </c>
    </row>
    <row r="153" spans="1:25" x14ac:dyDescent="0.35">
      <c r="A153" s="338"/>
      <c r="B153" s="339"/>
      <c r="C153" s="1"/>
      <c r="D153" s="1"/>
      <c r="E153" s="3"/>
      <c r="F153" s="5" t="s">
        <v>12</v>
      </c>
      <c r="G153" s="214">
        <f t="shared" si="87"/>
        <v>0</v>
      </c>
      <c r="H153" s="5" t="s">
        <v>12</v>
      </c>
      <c r="I153" s="4"/>
      <c r="J153" s="33">
        <f t="shared" si="100"/>
        <v>0</v>
      </c>
      <c r="K153" s="207">
        <f t="shared" si="101"/>
        <v>0</v>
      </c>
      <c r="L153" s="193"/>
      <c r="M153" s="187"/>
      <c r="N153" s="1"/>
      <c r="O153" s="3"/>
      <c r="P153" s="5" t="s">
        <v>12</v>
      </c>
      <c r="Q153" s="215">
        <f t="shared" si="86"/>
        <v>0</v>
      </c>
      <c r="R153" s="5" t="s">
        <v>12</v>
      </c>
      <c r="S153" s="3"/>
      <c r="T153" s="33">
        <f t="shared" si="102"/>
        <v>0</v>
      </c>
      <c r="U153" s="209">
        <f t="shared" si="103"/>
        <v>0</v>
      </c>
      <c r="V153" s="318"/>
      <c r="W153" s="319"/>
      <c r="X153" s="320"/>
      <c r="Y153" s="119" t="str">
        <f t="shared" ref="Y153:Y216" si="104">IF((AND(F153="…", P153="…")), "Empty budget line", "")</f>
        <v>Empty budget line</v>
      </c>
    </row>
    <row r="154" spans="1:25" ht="30" customHeight="1" x14ac:dyDescent="0.35">
      <c r="A154" s="369" t="str">
        <f>IF($C$1="English","Total costs of activity 3","Costuri totale activitatea 3")</f>
        <v>Total costs of activity 3</v>
      </c>
      <c r="B154" s="370"/>
      <c r="C154" s="182"/>
      <c r="D154" s="182"/>
      <c r="E154" s="183"/>
      <c r="F154" s="184"/>
      <c r="G154" s="184">
        <f>SUM(G134:G153)</f>
        <v>0</v>
      </c>
      <c r="H154" s="184"/>
      <c r="I154" s="184">
        <f>SUM(I134:I153)</f>
        <v>0</v>
      </c>
      <c r="J154" s="184">
        <f>SUM(J134:J153)</f>
        <v>0</v>
      </c>
      <c r="K154" s="208">
        <f>IFERROR(J154/G154,0)</f>
        <v>0</v>
      </c>
      <c r="L154" s="194"/>
      <c r="M154" s="188"/>
      <c r="N154" s="184"/>
      <c r="O154" s="184"/>
      <c r="P154" s="184"/>
      <c r="Q154" s="184">
        <f>SUM(Q134:Q153)</f>
        <v>0</v>
      </c>
      <c r="R154" s="184"/>
      <c r="S154" s="184">
        <f>SUM(S134:S153)</f>
        <v>0</v>
      </c>
      <c r="T154" s="184">
        <f>SUM(T134:T153)</f>
        <v>0</v>
      </c>
      <c r="U154" s="210">
        <f>IFERROR(T154/Q154,0)</f>
        <v>0</v>
      </c>
      <c r="V154" s="340"/>
      <c r="W154" s="341"/>
      <c r="X154" s="342"/>
      <c r="Y154" s="119" t="str">
        <f t="shared" si="104"/>
        <v/>
      </c>
    </row>
    <row r="155" spans="1:25" x14ac:dyDescent="0.35">
      <c r="A155" s="34"/>
      <c r="B155" s="34"/>
      <c r="C155" s="35"/>
      <c r="D155" s="35"/>
      <c r="E155" s="34"/>
      <c r="F155" s="34"/>
      <c r="G155" s="34"/>
      <c r="H155" s="34"/>
      <c r="I155" s="34"/>
      <c r="J155" s="34"/>
      <c r="K155" s="34"/>
      <c r="M155" s="34"/>
      <c r="N155" s="34"/>
      <c r="O155" s="34"/>
      <c r="P155" s="34"/>
      <c r="Q155" s="34"/>
      <c r="R155" s="34"/>
      <c r="S155" s="34"/>
      <c r="T155" s="34"/>
      <c r="U155" s="34"/>
      <c r="V155" s="34"/>
      <c r="W155" s="34"/>
      <c r="X155" s="34"/>
      <c r="Y155" s="119" t="str">
        <f t="shared" si="104"/>
        <v/>
      </c>
    </row>
    <row r="156" spans="1:25" ht="22.5" customHeight="1" x14ac:dyDescent="0.35">
      <c r="A156" s="323" t="str">
        <f>IF($C$1="English","Activity 4. 4","Activitatea 4")</f>
        <v>Activity 4. 4</v>
      </c>
      <c r="B156" s="324"/>
      <c r="C156" s="346" t="str">
        <f>C131</f>
        <v>Eligible costs in the Project Application / Project Contract 5</v>
      </c>
      <c r="D156" s="346"/>
      <c r="E156" s="346"/>
      <c r="F156" s="346"/>
      <c r="G156" s="346"/>
      <c r="H156" s="346"/>
      <c r="I156" s="346"/>
      <c r="J156" s="346"/>
      <c r="K156" s="347"/>
      <c r="L156" s="191"/>
      <c r="M156" s="330" t="str">
        <f>M131</f>
        <v>Eligible costs in the latest Project Modification</v>
      </c>
      <c r="N156" s="330"/>
      <c r="O156" s="330"/>
      <c r="P156" s="330"/>
      <c r="Q156" s="330"/>
      <c r="R156" s="330"/>
      <c r="S156" s="330"/>
      <c r="T156" s="330"/>
      <c r="U156" s="331"/>
      <c r="V156" s="329" t="str">
        <f>V131</f>
        <v>Comments</v>
      </c>
      <c r="W156" s="330"/>
      <c r="X156" s="331"/>
      <c r="Y156" s="119" t="str">
        <f t="shared" si="104"/>
        <v/>
      </c>
    </row>
    <row r="157" spans="1:25" ht="37.5" customHeight="1" x14ac:dyDescent="0.35">
      <c r="A157" s="343" t="s">
        <v>2</v>
      </c>
      <c r="B157" s="344"/>
      <c r="C157" s="346"/>
      <c r="D157" s="346"/>
      <c r="E157" s="346"/>
      <c r="F157" s="346"/>
      <c r="G157" s="346"/>
      <c r="H157" s="346"/>
      <c r="I157" s="346"/>
      <c r="J157" s="346"/>
      <c r="K157" s="347"/>
      <c r="L157" s="191"/>
      <c r="M157" s="333"/>
      <c r="N157" s="333"/>
      <c r="O157" s="333"/>
      <c r="P157" s="333"/>
      <c r="Q157" s="333"/>
      <c r="R157" s="333"/>
      <c r="S157" s="333"/>
      <c r="T157" s="333"/>
      <c r="U157" s="334"/>
      <c r="V157" s="332"/>
      <c r="W157" s="333"/>
      <c r="X157" s="334"/>
      <c r="Y157" s="119" t="str">
        <f t="shared" si="104"/>
        <v/>
      </c>
    </row>
    <row r="158" spans="1:25" s="32" customFormat="1" ht="45" customHeight="1" x14ac:dyDescent="0.15">
      <c r="A158" s="327" t="str">
        <f>A133</f>
        <v>Short description</v>
      </c>
      <c r="B158" s="328"/>
      <c r="C158" s="31" t="str">
        <f>C133</f>
        <v>Unit type</v>
      </c>
      <c r="D158" s="31" t="str">
        <f>D133</f>
        <v>No of units</v>
      </c>
      <c r="E158" s="31" t="str">
        <f>E133</f>
        <v>Unit cost</v>
      </c>
      <c r="F158" s="335" t="str">
        <f>F133</f>
        <v>Costs by (select) 6 amount</v>
      </c>
      <c r="G158" s="345"/>
      <c r="H158" s="335" t="str">
        <f>H133</f>
        <v>Own contribution by (select) 6 amount</v>
      </c>
      <c r="I158" s="336"/>
      <c r="J158" s="31" t="s">
        <v>9</v>
      </c>
      <c r="K158" s="304" t="s">
        <v>10</v>
      </c>
      <c r="L158" s="192"/>
      <c r="M158" s="305" t="str">
        <f>M133</f>
        <v>Unit type</v>
      </c>
      <c r="N158" s="31" t="str">
        <f>N133</f>
        <v>No of units</v>
      </c>
      <c r="O158" s="31" t="str">
        <f>O133</f>
        <v>Unit cost</v>
      </c>
      <c r="P158" s="335" t="str">
        <f>P133</f>
        <v>Costs by (select) 6 amount</v>
      </c>
      <c r="Q158" s="345"/>
      <c r="R158" s="335" t="str">
        <f>R133</f>
        <v>Own contribution by (select) 6 amount</v>
      </c>
      <c r="S158" s="336"/>
      <c r="T158" s="31" t="s">
        <v>9</v>
      </c>
      <c r="U158" s="31" t="s">
        <v>10</v>
      </c>
      <c r="V158" s="327" t="str">
        <f>V133</f>
        <v>Comments</v>
      </c>
      <c r="W158" s="337"/>
      <c r="X158" s="328"/>
      <c r="Y158" s="119" t="str">
        <f t="shared" si="104"/>
        <v/>
      </c>
    </row>
    <row r="159" spans="1:25" x14ac:dyDescent="0.35">
      <c r="A159" s="338"/>
      <c r="B159" s="339"/>
      <c r="C159" s="1"/>
      <c r="D159" s="1"/>
      <c r="E159" s="3"/>
      <c r="F159" s="5" t="s">
        <v>12</v>
      </c>
      <c r="G159" s="214">
        <f>D159*E159</f>
        <v>0</v>
      </c>
      <c r="H159" s="5" t="s">
        <v>12</v>
      </c>
      <c r="I159" s="4"/>
      <c r="J159" s="33">
        <f>G159-I159</f>
        <v>0</v>
      </c>
      <c r="K159" s="207">
        <f>IFERROR(J159/G159,0)</f>
        <v>0</v>
      </c>
      <c r="L159" s="193"/>
      <c r="M159" s="187"/>
      <c r="N159" s="1"/>
      <c r="O159" s="3"/>
      <c r="P159" s="5" t="s">
        <v>12</v>
      </c>
      <c r="Q159" s="215">
        <f t="shared" ref="Q159:Q178" si="105">N159*O159</f>
        <v>0</v>
      </c>
      <c r="R159" s="5" t="s">
        <v>12</v>
      </c>
      <c r="S159" s="3"/>
      <c r="T159" s="33">
        <f>Q159-S159</f>
        <v>0</v>
      </c>
      <c r="U159" s="209">
        <f>IFERROR(T159/Q159,0)</f>
        <v>0</v>
      </c>
      <c r="V159" s="318"/>
      <c r="W159" s="319"/>
      <c r="X159" s="320"/>
      <c r="Y159" s="119" t="str">
        <f t="shared" si="104"/>
        <v>Empty budget line</v>
      </c>
    </row>
    <row r="160" spans="1:25" x14ac:dyDescent="0.35">
      <c r="A160" s="338"/>
      <c r="B160" s="339"/>
      <c r="C160" s="1"/>
      <c r="D160" s="1"/>
      <c r="E160" s="3"/>
      <c r="F160" s="5" t="s">
        <v>12</v>
      </c>
      <c r="G160" s="214">
        <f t="shared" ref="G160:G178" si="106">D160*E160</f>
        <v>0</v>
      </c>
      <c r="H160" s="5" t="s">
        <v>12</v>
      </c>
      <c r="I160" s="4"/>
      <c r="J160" s="33">
        <f t="shared" ref="J160:J163" si="107">G160-I160</f>
        <v>0</v>
      </c>
      <c r="K160" s="207">
        <f t="shared" ref="K160:K163" si="108">IFERROR(J160/G160,0)</f>
        <v>0</v>
      </c>
      <c r="L160" s="193"/>
      <c r="M160" s="187"/>
      <c r="N160" s="1"/>
      <c r="O160" s="3"/>
      <c r="P160" s="5" t="s">
        <v>12</v>
      </c>
      <c r="Q160" s="215">
        <f t="shared" si="105"/>
        <v>0</v>
      </c>
      <c r="R160" s="5" t="s">
        <v>12</v>
      </c>
      <c r="S160" s="3"/>
      <c r="T160" s="33">
        <f t="shared" ref="T160:T163" si="109">Q160-S160</f>
        <v>0</v>
      </c>
      <c r="U160" s="209">
        <f t="shared" ref="U160:U163" si="110">IFERROR(T160/Q160,0)</f>
        <v>0</v>
      </c>
      <c r="V160" s="318"/>
      <c r="W160" s="319"/>
      <c r="X160" s="320"/>
      <c r="Y160" s="119" t="str">
        <f t="shared" si="104"/>
        <v>Empty budget line</v>
      </c>
    </row>
    <row r="161" spans="1:25" x14ac:dyDescent="0.35">
      <c r="A161" s="338"/>
      <c r="B161" s="339"/>
      <c r="C161" s="1"/>
      <c r="D161" s="1"/>
      <c r="E161" s="3"/>
      <c r="F161" s="5" t="s">
        <v>12</v>
      </c>
      <c r="G161" s="214">
        <f t="shared" si="106"/>
        <v>0</v>
      </c>
      <c r="H161" s="5" t="s">
        <v>12</v>
      </c>
      <c r="I161" s="4"/>
      <c r="J161" s="33">
        <f t="shared" si="107"/>
        <v>0</v>
      </c>
      <c r="K161" s="207">
        <f t="shared" si="108"/>
        <v>0</v>
      </c>
      <c r="L161" s="193"/>
      <c r="M161" s="187"/>
      <c r="N161" s="1"/>
      <c r="O161" s="3"/>
      <c r="P161" s="5" t="s">
        <v>12</v>
      </c>
      <c r="Q161" s="215">
        <f t="shared" si="105"/>
        <v>0</v>
      </c>
      <c r="R161" s="5" t="s">
        <v>12</v>
      </c>
      <c r="S161" s="3"/>
      <c r="T161" s="33">
        <f t="shared" si="109"/>
        <v>0</v>
      </c>
      <c r="U161" s="209">
        <f t="shared" si="110"/>
        <v>0</v>
      </c>
      <c r="V161" s="318"/>
      <c r="W161" s="319"/>
      <c r="X161" s="320"/>
      <c r="Y161" s="119" t="str">
        <f t="shared" si="104"/>
        <v>Empty budget line</v>
      </c>
    </row>
    <row r="162" spans="1:25" x14ac:dyDescent="0.35">
      <c r="A162" s="338"/>
      <c r="B162" s="339"/>
      <c r="C162" s="1"/>
      <c r="D162" s="1"/>
      <c r="E162" s="3"/>
      <c r="F162" s="5" t="s">
        <v>12</v>
      </c>
      <c r="G162" s="214">
        <f t="shared" si="106"/>
        <v>0</v>
      </c>
      <c r="H162" s="5" t="s">
        <v>12</v>
      </c>
      <c r="I162" s="4"/>
      <c r="J162" s="33">
        <f t="shared" si="107"/>
        <v>0</v>
      </c>
      <c r="K162" s="207">
        <f t="shared" si="108"/>
        <v>0</v>
      </c>
      <c r="L162" s="193"/>
      <c r="M162" s="187"/>
      <c r="N162" s="1"/>
      <c r="O162" s="3"/>
      <c r="P162" s="5" t="s">
        <v>12</v>
      </c>
      <c r="Q162" s="215">
        <f t="shared" si="105"/>
        <v>0</v>
      </c>
      <c r="R162" s="5" t="s">
        <v>12</v>
      </c>
      <c r="S162" s="3"/>
      <c r="T162" s="33">
        <f t="shared" si="109"/>
        <v>0</v>
      </c>
      <c r="U162" s="209">
        <f t="shared" si="110"/>
        <v>0</v>
      </c>
      <c r="V162" s="318"/>
      <c r="W162" s="319"/>
      <c r="X162" s="320"/>
      <c r="Y162" s="119" t="str">
        <f t="shared" si="104"/>
        <v>Empty budget line</v>
      </c>
    </row>
    <row r="163" spans="1:25" x14ac:dyDescent="0.35">
      <c r="A163" s="338"/>
      <c r="B163" s="339"/>
      <c r="C163" s="1"/>
      <c r="D163" s="1"/>
      <c r="E163" s="3"/>
      <c r="F163" s="5" t="s">
        <v>12</v>
      </c>
      <c r="G163" s="214">
        <f t="shared" si="106"/>
        <v>0</v>
      </c>
      <c r="H163" s="5" t="s">
        <v>12</v>
      </c>
      <c r="I163" s="4"/>
      <c r="J163" s="33">
        <f t="shared" si="107"/>
        <v>0</v>
      </c>
      <c r="K163" s="207">
        <f t="shared" si="108"/>
        <v>0</v>
      </c>
      <c r="L163" s="193"/>
      <c r="M163" s="187"/>
      <c r="N163" s="1"/>
      <c r="O163" s="3"/>
      <c r="P163" s="5" t="s">
        <v>12</v>
      </c>
      <c r="Q163" s="215">
        <f t="shared" si="105"/>
        <v>0</v>
      </c>
      <c r="R163" s="5" t="s">
        <v>12</v>
      </c>
      <c r="S163" s="3"/>
      <c r="T163" s="33">
        <f t="shared" si="109"/>
        <v>0</v>
      </c>
      <c r="U163" s="209">
        <f t="shared" si="110"/>
        <v>0</v>
      </c>
      <c r="V163" s="318"/>
      <c r="W163" s="319"/>
      <c r="X163" s="320"/>
      <c r="Y163" s="119" t="str">
        <f t="shared" si="104"/>
        <v>Empty budget line</v>
      </c>
    </row>
    <row r="164" spans="1:25" x14ac:dyDescent="0.35">
      <c r="A164" s="338"/>
      <c r="B164" s="339"/>
      <c r="C164" s="1"/>
      <c r="D164" s="1"/>
      <c r="E164" s="3"/>
      <c r="F164" s="5" t="s">
        <v>12</v>
      </c>
      <c r="G164" s="214">
        <f t="shared" si="106"/>
        <v>0</v>
      </c>
      <c r="H164" s="5" t="s">
        <v>12</v>
      </c>
      <c r="I164" s="4"/>
      <c r="J164" s="33">
        <f>G164-I164</f>
        <v>0</v>
      </c>
      <c r="K164" s="207">
        <f>IFERROR(J164/G164,0)</f>
        <v>0</v>
      </c>
      <c r="L164" s="193"/>
      <c r="M164" s="187"/>
      <c r="N164" s="1"/>
      <c r="O164" s="3"/>
      <c r="P164" s="5" t="s">
        <v>12</v>
      </c>
      <c r="Q164" s="215">
        <f t="shared" si="105"/>
        <v>0</v>
      </c>
      <c r="R164" s="5" t="s">
        <v>12</v>
      </c>
      <c r="S164" s="3"/>
      <c r="T164" s="33">
        <f>Q164-S164</f>
        <v>0</v>
      </c>
      <c r="U164" s="209">
        <f>IFERROR(T164/Q164,0)</f>
        <v>0</v>
      </c>
      <c r="V164" s="318"/>
      <c r="W164" s="319"/>
      <c r="X164" s="320"/>
      <c r="Y164" s="119" t="str">
        <f t="shared" si="104"/>
        <v>Empty budget line</v>
      </c>
    </row>
    <row r="165" spans="1:25" x14ac:dyDescent="0.35">
      <c r="A165" s="338"/>
      <c r="B165" s="339"/>
      <c r="C165" s="1"/>
      <c r="D165" s="1"/>
      <c r="E165" s="3"/>
      <c r="F165" s="5" t="s">
        <v>12</v>
      </c>
      <c r="G165" s="214">
        <f t="shared" si="106"/>
        <v>0</v>
      </c>
      <c r="H165" s="5" t="s">
        <v>12</v>
      </c>
      <c r="I165" s="4"/>
      <c r="J165" s="33">
        <f t="shared" ref="J165:J168" si="111">G165-I165</f>
        <v>0</v>
      </c>
      <c r="K165" s="207">
        <f t="shared" ref="K165:K168" si="112">IFERROR(J165/G165,0)</f>
        <v>0</v>
      </c>
      <c r="L165" s="193"/>
      <c r="M165" s="187"/>
      <c r="N165" s="1"/>
      <c r="O165" s="3"/>
      <c r="P165" s="5" t="s">
        <v>12</v>
      </c>
      <c r="Q165" s="215">
        <f t="shared" si="105"/>
        <v>0</v>
      </c>
      <c r="R165" s="5" t="s">
        <v>12</v>
      </c>
      <c r="S165" s="3"/>
      <c r="T165" s="33">
        <f t="shared" ref="T165:T168" si="113">Q165-S165</f>
        <v>0</v>
      </c>
      <c r="U165" s="209">
        <f t="shared" ref="U165:U168" si="114">IFERROR(T165/Q165,0)</f>
        <v>0</v>
      </c>
      <c r="V165" s="318"/>
      <c r="W165" s="319"/>
      <c r="X165" s="320"/>
      <c r="Y165" s="119" t="str">
        <f t="shared" si="104"/>
        <v>Empty budget line</v>
      </c>
    </row>
    <row r="166" spans="1:25" x14ac:dyDescent="0.35">
      <c r="A166" s="338"/>
      <c r="B166" s="339"/>
      <c r="C166" s="1"/>
      <c r="D166" s="1"/>
      <c r="E166" s="3"/>
      <c r="F166" s="5" t="s">
        <v>12</v>
      </c>
      <c r="G166" s="214">
        <f t="shared" si="106"/>
        <v>0</v>
      </c>
      <c r="H166" s="5" t="s">
        <v>12</v>
      </c>
      <c r="I166" s="4"/>
      <c r="J166" s="33">
        <f t="shared" si="111"/>
        <v>0</v>
      </c>
      <c r="K166" s="207">
        <f t="shared" si="112"/>
        <v>0</v>
      </c>
      <c r="L166" s="193"/>
      <c r="M166" s="187"/>
      <c r="N166" s="1"/>
      <c r="O166" s="3"/>
      <c r="P166" s="5" t="s">
        <v>12</v>
      </c>
      <c r="Q166" s="215">
        <f t="shared" si="105"/>
        <v>0</v>
      </c>
      <c r="R166" s="5" t="s">
        <v>12</v>
      </c>
      <c r="S166" s="3"/>
      <c r="T166" s="33">
        <f t="shared" si="113"/>
        <v>0</v>
      </c>
      <c r="U166" s="209">
        <f t="shared" si="114"/>
        <v>0</v>
      </c>
      <c r="V166" s="318"/>
      <c r="W166" s="319"/>
      <c r="X166" s="320"/>
      <c r="Y166" s="119" t="str">
        <f t="shared" si="104"/>
        <v>Empty budget line</v>
      </c>
    </row>
    <row r="167" spans="1:25" x14ac:dyDescent="0.35">
      <c r="A167" s="338"/>
      <c r="B167" s="339"/>
      <c r="C167" s="1"/>
      <c r="D167" s="1"/>
      <c r="E167" s="3"/>
      <c r="F167" s="5" t="s">
        <v>12</v>
      </c>
      <c r="G167" s="214">
        <f t="shared" si="106"/>
        <v>0</v>
      </c>
      <c r="H167" s="5" t="s">
        <v>12</v>
      </c>
      <c r="I167" s="4"/>
      <c r="J167" s="33">
        <f t="shared" si="111"/>
        <v>0</v>
      </c>
      <c r="K167" s="207">
        <f t="shared" si="112"/>
        <v>0</v>
      </c>
      <c r="L167" s="193"/>
      <c r="M167" s="187"/>
      <c r="N167" s="1"/>
      <c r="O167" s="3"/>
      <c r="P167" s="5" t="s">
        <v>12</v>
      </c>
      <c r="Q167" s="215">
        <f t="shared" si="105"/>
        <v>0</v>
      </c>
      <c r="R167" s="5" t="s">
        <v>12</v>
      </c>
      <c r="S167" s="3"/>
      <c r="T167" s="33">
        <f t="shared" si="113"/>
        <v>0</v>
      </c>
      <c r="U167" s="209">
        <f t="shared" si="114"/>
        <v>0</v>
      </c>
      <c r="V167" s="318"/>
      <c r="W167" s="319"/>
      <c r="X167" s="320"/>
      <c r="Y167" s="119" t="str">
        <f t="shared" si="104"/>
        <v>Empty budget line</v>
      </c>
    </row>
    <row r="168" spans="1:25" x14ac:dyDescent="0.35">
      <c r="A168" s="338"/>
      <c r="B168" s="339"/>
      <c r="C168" s="1"/>
      <c r="D168" s="1"/>
      <c r="E168" s="3"/>
      <c r="F168" s="5" t="s">
        <v>12</v>
      </c>
      <c r="G168" s="214">
        <f t="shared" si="106"/>
        <v>0</v>
      </c>
      <c r="H168" s="5" t="s">
        <v>12</v>
      </c>
      <c r="I168" s="4"/>
      <c r="J168" s="33">
        <f t="shared" si="111"/>
        <v>0</v>
      </c>
      <c r="K168" s="207">
        <f t="shared" si="112"/>
        <v>0</v>
      </c>
      <c r="L168" s="193"/>
      <c r="M168" s="187"/>
      <c r="N168" s="1"/>
      <c r="O168" s="3"/>
      <c r="P168" s="5" t="s">
        <v>12</v>
      </c>
      <c r="Q168" s="215">
        <f t="shared" si="105"/>
        <v>0</v>
      </c>
      <c r="R168" s="5" t="s">
        <v>12</v>
      </c>
      <c r="S168" s="3"/>
      <c r="T168" s="33">
        <f t="shared" si="113"/>
        <v>0</v>
      </c>
      <c r="U168" s="209">
        <f t="shared" si="114"/>
        <v>0</v>
      </c>
      <c r="V168" s="318"/>
      <c r="W168" s="319"/>
      <c r="X168" s="320"/>
      <c r="Y168" s="119" t="str">
        <f t="shared" si="104"/>
        <v>Empty budget line</v>
      </c>
    </row>
    <row r="169" spans="1:25" x14ac:dyDescent="0.35">
      <c r="A169" s="338"/>
      <c r="B169" s="339"/>
      <c r="C169" s="1"/>
      <c r="D169" s="1"/>
      <c r="E169" s="3"/>
      <c r="F169" s="5" t="s">
        <v>12</v>
      </c>
      <c r="G169" s="214">
        <f t="shared" si="106"/>
        <v>0</v>
      </c>
      <c r="H169" s="5" t="s">
        <v>12</v>
      </c>
      <c r="I169" s="4"/>
      <c r="J169" s="33">
        <f>G169-I169</f>
        <v>0</v>
      </c>
      <c r="K169" s="207">
        <f>IFERROR(J169/G169,0)</f>
        <v>0</v>
      </c>
      <c r="L169" s="193"/>
      <c r="M169" s="187"/>
      <c r="N169" s="1"/>
      <c r="O169" s="3"/>
      <c r="P169" s="5" t="s">
        <v>12</v>
      </c>
      <c r="Q169" s="215">
        <f t="shared" si="105"/>
        <v>0</v>
      </c>
      <c r="R169" s="5" t="s">
        <v>12</v>
      </c>
      <c r="S169" s="3"/>
      <c r="T169" s="33">
        <f>Q169-S169</f>
        <v>0</v>
      </c>
      <c r="U169" s="209">
        <f>IFERROR(T169/Q169,0)</f>
        <v>0</v>
      </c>
      <c r="V169" s="318"/>
      <c r="W169" s="319"/>
      <c r="X169" s="320"/>
      <c r="Y169" s="119" t="str">
        <f t="shared" si="104"/>
        <v>Empty budget line</v>
      </c>
    </row>
    <row r="170" spans="1:25" x14ac:dyDescent="0.35">
      <c r="A170" s="338"/>
      <c r="B170" s="339"/>
      <c r="C170" s="1"/>
      <c r="D170" s="1"/>
      <c r="E170" s="3"/>
      <c r="F170" s="5" t="s">
        <v>12</v>
      </c>
      <c r="G170" s="214">
        <f t="shared" si="106"/>
        <v>0</v>
      </c>
      <c r="H170" s="5" t="s">
        <v>12</v>
      </c>
      <c r="I170" s="4"/>
      <c r="J170" s="33">
        <f t="shared" ref="J170:J173" si="115">G170-I170</f>
        <v>0</v>
      </c>
      <c r="K170" s="207">
        <f t="shared" ref="K170:K173" si="116">IFERROR(J170/G170,0)</f>
        <v>0</v>
      </c>
      <c r="L170" s="193"/>
      <c r="M170" s="187"/>
      <c r="N170" s="1"/>
      <c r="O170" s="3"/>
      <c r="P170" s="5" t="s">
        <v>12</v>
      </c>
      <c r="Q170" s="215">
        <f t="shared" si="105"/>
        <v>0</v>
      </c>
      <c r="R170" s="5" t="s">
        <v>12</v>
      </c>
      <c r="S170" s="3"/>
      <c r="T170" s="33">
        <f t="shared" ref="T170:T173" si="117">Q170-S170</f>
        <v>0</v>
      </c>
      <c r="U170" s="209">
        <f t="shared" ref="U170:U173" si="118">IFERROR(T170/Q170,0)</f>
        <v>0</v>
      </c>
      <c r="V170" s="318"/>
      <c r="W170" s="319"/>
      <c r="X170" s="320"/>
      <c r="Y170" s="119" t="str">
        <f t="shared" si="104"/>
        <v>Empty budget line</v>
      </c>
    </row>
    <row r="171" spans="1:25" x14ac:dyDescent="0.35">
      <c r="A171" s="338"/>
      <c r="B171" s="339"/>
      <c r="C171" s="1"/>
      <c r="D171" s="1"/>
      <c r="E171" s="3"/>
      <c r="F171" s="5" t="s">
        <v>12</v>
      </c>
      <c r="G171" s="214">
        <f t="shared" si="106"/>
        <v>0</v>
      </c>
      <c r="H171" s="5" t="s">
        <v>12</v>
      </c>
      <c r="I171" s="4"/>
      <c r="J171" s="33">
        <f t="shared" si="115"/>
        <v>0</v>
      </c>
      <c r="K171" s="207">
        <f t="shared" si="116"/>
        <v>0</v>
      </c>
      <c r="L171" s="193"/>
      <c r="M171" s="187"/>
      <c r="N171" s="1"/>
      <c r="O171" s="3"/>
      <c r="P171" s="5" t="s">
        <v>12</v>
      </c>
      <c r="Q171" s="215">
        <f t="shared" si="105"/>
        <v>0</v>
      </c>
      <c r="R171" s="5" t="s">
        <v>12</v>
      </c>
      <c r="S171" s="3"/>
      <c r="T171" s="33">
        <f t="shared" si="117"/>
        <v>0</v>
      </c>
      <c r="U171" s="209">
        <f t="shared" si="118"/>
        <v>0</v>
      </c>
      <c r="V171" s="318"/>
      <c r="W171" s="319"/>
      <c r="X171" s="320"/>
      <c r="Y171" s="119" t="str">
        <f t="shared" si="104"/>
        <v>Empty budget line</v>
      </c>
    </row>
    <row r="172" spans="1:25" x14ac:dyDescent="0.35">
      <c r="A172" s="338"/>
      <c r="B172" s="339"/>
      <c r="C172" s="1"/>
      <c r="D172" s="1"/>
      <c r="E172" s="3"/>
      <c r="F172" s="5" t="s">
        <v>12</v>
      </c>
      <c r="G172" s="214">
        <f t="shared" si="106"/>
        <v>0</v>
      </c>
      <c r="H172" s="5" t="s">
        <v>12</v>
      </c>
      <c r="I172" s="4"/>
      <c r="J172" s="33">
        <f t="shared" si="115"/>
        <v>0</v>
      </c>
      <c r="K172" s="207">
        <f t="shared" si="116"/>
        <v>0</v>
      </c>
      <c r="L172" s="193"/>
      <c r="M172" s="187"/>
      <c r="N172" s="1"/>
      <c r="O172" s="3"/>
      <c r="P172" s="5" t="s">
        <v>12</v>
      </c>
      <c r="Q172" s="215">
        <f t="shared" si="105"/>
        <v>0</v>
      </c>
      <c r="R172" s="5" t="s">
        <v>12</v>
      </c>
      <c r="S172" s="3"/>
      <c r="T172" s="33">
        <f t="shared" si="117"/>
        <v>0</v>
      </c>
      <c r="U172" s="209">
        <f t="shared" si="118"/>
        <v>0</v>
      </c>
      <c r="V172" s="318"/>
      <c r="W172" s="319"/>
      <c r="X172" s="320"/>
      <c r="Y172" s="119" t="str">
        <f t="shared" si="104"/>
        <v>Empty budget line</v>
      </c>
    </row>
    <row r="173" spans="1:25" x14ac:dyDescent="0.35">
      <c r="A173" s="338"/>
      <c r="B173" s="339"/>
      <c r="C173" s="1"/>
      <c r="D173" s="1"/>
      <c r="E173" s="3"/>
      <c r="F173" s="5" t="s">
        <v>12</v>
      </c>
      <c r="G173" s="214">
        <f t="shared" si="106"/>
        <v>0</v>
      </c>
      <c r="H173" s="5" t="s">
        <v>12</v>
      </c>
      <c r="I173" s="4"/>
      <c r="J173" s="33">
        <f t="shared" si="115"/>
        <v>0</v>
      </c>
      <c r="K173" s="207">
        <f t="shared" si="116"/>
        <v>0</v>
      </c>
      <c r="L173" s="193"/>
      <c r="M173" s="187"/>
      <c r="N173" s="1"/>
      <c r="O173" s="3"/>
      <c r="P173" s="5" t="s">
        <v>12</v>
      </c>
      <c r="Q173" s="215">
        <f t="shared" si="105"/>
        <v>0</v>
      </c>
      <c r="R173" s="5" t="s">
        <v>12</v>
      </c>
      <c r="S173" s="3"/>
      <c r="T173" s="33">
        <f t="shared" si="117"/>
        <v>0</v>
      </c>
      <c r="U173" s="209">
        <f t="shared" si="118"/>
        <v>0</v>
      </c>
      <c r="V173" s="318"/>
      <c r="W173" s="319"/>
      <c r="X173" s="320"/>
      <c r="Y173" s="119" t="str">
        <f t="shared" si="104"/>
        <v>Empty budget line</v>
      </c>
    </row>
    <row r="174" spans="1:25" x14ac:dyDescent="0.35">
      <c r="A174" s="338"/>
      <c r="B174" s="339"/>
      <c r="C174" s="1"/>
      <c r="D174" s="1"/>
      <c r="E174" s="3"/>
      <c r="F174" s="5" t="s">
        <v>12</v>
      </c>
      <c r="G174" s="214">
        <f t="shared" si="106"/>
        <v>0</v>
      </c>
      <c r="H174" s="5" t="s">
        <v>12</v>
      </c>
      <c r="I174" s="4"/>
      <c r="J174" s="33">
        <f>G174-I174</f>
        <v>0</v>
      </c>
      <c r="K174" s="207">
        <f>IFERROR(J174/G174,0)</f>
        <v>0</v>
      </c>
      <c r="L174" s="193"/>
      <c r="M174" s="187"/>
      <c r="N174" s="1"/>
      <c r="O174" s="3"/>
      <c r="P174" s="5" t="s">
        <v>12</v>
      </c>
      <c r="Q174" s="215">
        <f t="shared" si="105"/>
        <v>0</v>
      </c>
      <c r="R174" s="5" t="s">
        <v>12</v>
      </c>
      <c r="S174" s="3"/>
      <c r="T174" s="33">
        <f>Q174-S174</f>
        <v>0</v>
      </c>
      <c r="U174" s="209">
        <f>IFERROR(T174/Q174,0)</f>
        <v>0</v>
      </c>
      <c r="V174" s="318"/>
      <c r="W174" s="319"/>
      <c r="X174" s="320"/>
      <c r="Y174" s="119" t="str">
        <f t="shared" si="104"/>
        <v>Empty budget line</v>
      </c>
    </row>
    <row r="175" spans="1:25" x14ac:dyDescent="0.35">
      <c r="A175" s="338"/>
      <c r="B175" s="339"/>
      <c r="C175" s="1"/>
      <c r="D175" s="1"/>
      <c r="E175" s="3"/>
      <c r="F175" s="5" t="s">
        <v>12</v>
      </c>
      <c r="G175" s="214">
        <f t="shared" si="106"/>
        <v>0</v>
      </c>
      <c r="H175" s="5" t="s">
        <v>12</v>
      </c>
      <c r="I175" s="4"/>
      <c r="J175" s="33">
        <f t="shared" ref="J175:J178" si="119">G175-I175</f>
        <v>0</v>
      </c>
      <c r="K175" s="207">
        <f t="shared" ref="K175:K178" si="120">IFERROR(J175/G175,0)</f>
        <v>0</v>
      </c>
      <c r="L175" s="193"/>
      <c r="M175" s="187"/>
      <c r="N175" s="1"/>
      <c r="O175" s="3"/>
      <c r="P175" s="5" t="s">
        <v>12</v>
      </c>
      <c r="Q175" s="215">
        <f t="shared" si="105"/>
        <v>0</v>
      </c>
      <c r="R175" s="5" t="s">
        <v>12</v>
      </c>
      <c r="S175" s="3"/>
      <c r="T175" s="33">
        <f t="shared" ref="T175:T178" si="121">Q175-S175</f>
        <v>0</v>
      </c>
      <c r="U175" s="209">
        <f t="shared" ref="U175:U178" si="122">IFERROR(T175/Q175,0)</f>
        <v>0</v>
      </c>
      <c r="V175" s="318"/>
      <c r="W175" s="319"/>
      <c r="X175" s="320"/>
      <c r="Y175" s="119" t="str">
        <f t="shared" si="104"/>
        <v>Empty budget line</v>
      </c>
    </row>
    <row r="176" spans="1:25" x14ac:dyDescent="0.35">
      <c r="A176" s="338"/>
      <c r="B176" s="339"/>
      <c r="C176" s="1"/>
      <c r="D176" s="1"/>
      <c r="E176" s="3"/>
      <c r="F176" s="5" t="s">
        <v>12</v>
      </c>
      <c r="G176" s="214">
        <f t="shared" si="106"/>
        <v>0</v>
      </c>
      <c r="H176" s="5" t="s">
        <v>12</v>
      </c>
      <c r="I176" s="4"/>
      <c r="J176" s="33">
        <f t="shared" si="119"/>
        <v>0</v>
      </c>
      <c r="K176" s="207">
        <f t="shared" si="120"/>
        <v>0</v>
      </c>
      <c r="L176" s="193"/>
      <c r="M176" s="187"/>
      <c r="N176" s="1"/>
      <c r="O176" s="3"/>
      <c r="P176" s="5" t="s">
        <v>12</v>
      </c>
      <c r="Q176" s="215">
        <f t="shared" si="105"/>
        <v>0</v>
      </c>
      <c r="R176" s="5" t="s">
        <v>12</v>
      </c>
      <c r="S176" s="3"/>
      <c r="T176" s="33">
        <f t="shared" si="121"/>
        <v>0</v>
      </c>
      <c r="U176" s="209">
        <f t="shared" si="122"/>
        <v>0</v>
      </c>
      <c r="V176" s="318"/>
      <c r="W176" s="319"/>
      <c r="X176" s="320"/>
      <c r="Y176" s="119" t="str">
        <f t="shared" si="104"/>
        <v>Empty budget line</v>
      </c>
    </row>
    <row r="177" spans="1:25" x14ac:dyDescent="0.35">
      <c r="A177" s="338"/>
      <c r="B177" s="339"/>
      <c r="C177" s="1"/>
      <c r="D177" s="1"/>
      <c r="E177" s="3"/>
      <c r="F177" s="5" t="s">
        <v>12</v>
      </c>
      <c r="G177" s="214">
        <f t="shared" si="106"/>
        <v>0</v>
      </c>
      <c r="H177" s="5" t="s">
        <v>12</v>
      </c>
      <c r="I177" s="4"/>
      <c r="J177" s="33">
        <f t="shared" si="119"/>
        <v>0</v>
      </c>
      <c r="K177" s="207">
        <f t="shared" si="120"/>
        <v>0</v>
      </c>
      <c r="L177" s="193"/>
      <c r="M177" s="187"/>
      <c r="N177" s="1"/>
      <c r="O177" s="3"/>
      <c r="P177" s="5" t="s">
        <v>12</v>
      </c>
      <c r="Q177" s="215">
        <f t="shared" si="105"/>
        <v>0</v>
      </c>
      <c r="R177" s="5" t="s">
        <v>12</v>
      </c>
      <c r="S177" s="3"/>
      <c r="T177" s="33">
        <f t="shared" si="121"/>
        <v>0</v>
      </c>
      <c r="U177" s="209">
        <f t="shared" si="122"/>
        <v>0</v>
      </c>
      <c r="V177" s="318"/>
      <c r="W177" s="319"/>
      <c r="X177" s="320"/>
      <c r="Y177" s="119" t="str">
        <f t="shared" si="104"/>
        <v>Empty budget line</v>
      </c>
    </row>
    <row r="178" spans="1:25" x14ac:dyDescent="0.35">
      <c r="A178" s="338"/>
      <c r="B178" s="339"/>
      <c r="C178" s="1"/>
      <c r="D178" s="1"/>
      <c r="E178" s="3"/>
      <c r="F178" s="5" t="s">
        <v>12</v>
      </c>
      <c r="G178" s="214">
        <f t="shared" si="106"/>
        <v>0</v>
      </c>
      <c r="H178" s="5" t="s">
        <v>12</v>
      </c>
      <c r="I178" s="4"/>
      <c r="J178" s="33">
        <f t="shared" si="119"/>
        <v>0</v>
      </c>
      <c r="K178" s="207">
        <f t="shared" si="120"/>
        <v>0</v>
      </c>
      <c r="L178" s="193"/>
      <c r="M178" s="187"/>
      <c r="N178" s="1"/>
      <c r="O178" s="3"/>
      <c r="P178" s="5" t="s">
        <v>12</v>
      </c>
      <c r="Q178" s="215">
        <f t="shared" si="105"/>
        <v>0</v>
      </c>
      <c r="R178" s="5" t="s">
        <v>12</v>
      </c>
      <c r="S178" s="3"/>
      <c r="T178" s="33">
        <f t="shared" si="121"/>
        <v>0</v>
      </c>
      <c r="U178" s="209">
        <f t="shared" si="122"/>
        <v>0</v>
      </c>
      <c r="V178" s="318"/>
      <c r="W178" s="319"/>
      <c r="X178" s="320"/>
      <c r="Y178" s="119" t="str">
        <f t="shared" si="104"/>
        <v>Empty budget line</v>
      </c>
    </row>
    <row r="179" spans="1:25" ht="30" customHeight="1" x14ac:dyDescent="0.35">
      <c r="A179" s="369" t="str">
        <f>IF($C$1="English","Total costs of activity 4","Costuri totale activitatea 4")</f>
        <v>Total costs of activity 4</v>
      </c>
      <c r="B179" s="370"/>
      <c r="C179" s="182"/>
      <c r="D179" s="182"/>
      <c r="E179" s="183"/>
      <c r="F179" s="184"/>
      <c r="G179" s="184">
        <f>SUM(G159:G178)</f>
        <v>0</v>
      </c>
      <c r="H179" s="184"/>
      <c r="I179" s="184">
        <f>SUM(I159:I178)</f>
        <v>0</v>
      </c>
      <c r="J179" s="184">
        <f>SUM(J159:J178)</f>
        <v>0</v>
      </c>
      <c r="K179" s="208">
        <f>IFERROR(J179/G179,0)</f>
        <v>0</v>
      </c>
      <c r="L179" s="194"/>
      <c r="M179" s="188"/>
      <c r="N179" s="184"/>
      <c r="O179" s="184"/>
      <c r="P179" s="184"/>
      <c r="Q179" s="184">
        <f>SUM(Q159:Q178)</f>
        <v>0</v>
      </c>
      <c r="R179" s="184"/>
      <c r="S179" s="184">
        <f>SUM(S159:S178)</f>
        <v>0</v>
      </c>
      <c r="T179" s="184">
        <f>SUM(T159:T178)</f>
        <v>0</v>
      </c>
      <c r="U179" s="210">
        <f>IFERROR(T179/Q179,0)</f>
        <v>0</v>
      </c>
      <c r="V179" s="340"/>
      <c r="W179" s="341"/>
      <c r="X179" s="342"/>
      <c r="Y179" s="119" t="str">
        <f t="shared" si="104"/>
        <v/>
      </c>
    </row>
    <row r="180" spans="1:25" x14ac:dyDescent="0.35">
      <c r="A180" s="34"/>
      <c r="B180" s="34"/>
      <c r="C180" s="35"/>
      <c r="D180" s="35"/>
      <c r="E180" s="34"/>
      <c r="F180" s="34"/>
      <c r="G180" s="34"/>
      <c r="H180" s="34"/>
      <c r="I180" s="34"/>
      <c r="J180" s="34"/>
      <c r="K180" s="34"/>
      <c r="M180" s="34"/>
      <c r="N180" s="34"/>
      <c r="O180" s="34"/>
      <c r="P180" s="34"/>
      <c r="Q180" s="34"/>
      <c r="R180" s="34"/>
      <c r="S180" s="34"/>
      <c r="T180" s="34"/>
      <c r="U180" s="34"/>
      <c r="V180" s="34"/>
      <c r="W180" s="34"/>
      <c r="X180" s="34"/>
      <c r="Y180" s="119" t="str">
        <f t="shared" si="104"/>
        <v/>
      </c>
    </row>
    <row r="181" spans="1:25" x14ac:dyDescent="0.35">
      <c r="A181" s="34"/>
      <c r="B181" s="34"/>
      <c r="C181" s="35"/>
      <c r="D181" s="35"/>
      <c r="E181" s="34"/>
      <c r="F181" s="34"/>
      <c r="G181" s="34"/>
      <c r="H181" s="34"/>
      <c r="I181" s="34"/>
      <c r="J181" s="34"/>
      <c r="K181" s="34"/>
      <c r="M181" s="34"/>
      <c r="N181" s="34"/>
      <c r="O181" s="34"/>
      <c r="P181" s="34"/>
      <c r="Q181" s="34"/>
      <c r="R181" s="34"/>
      <c r="S181" s="34"/>
      <c r="T181" s="34"/>
      <c r="U181" s="34"/>
      <c r="V181" s="34"/>
      <c r="W181" s="34"/>
      <c r="X181" s="34"/>
      <c r="Y181" s="119" t="str">
        <f t="shared" si="104"/>
        <v/>
      </c>
    </row>
    <row r="182" spans="1:25" ht="30" customHeight="1" x14ac:dyDescent="0.35">
      <c r="A182" s="26" t="str">
        <f>IF($C$1="English","PROJECT RELATED COSTS IN EUR, GRANT RATE AS CATEGORY","COSTURI AFERENTE PROIECTULUI, RATA GRANTULUI CORESPUNZATOARE CATEGORIEI")</f>
        <v>PROJECT RELATED COSTS IN EUR, GRANT RATE AS CATEGORY</v>
      </c>
      <c r="B182" s="26"/>
      <c r="C182" s="27"/>
      <c r="D182" s="27"/>
      <c r="E182" s="26"/>
      <c r="F182" s="26"/>
      <c r="G182" s="26"/>
      <c r="H182" s="26"/>
      <c r="I182" s="26"/>
      <c r="J182" s="28"/>
      <c r="K182" s="185"/>
      <c r="L182" s="190"/>
      <c r="M182" s="189"/>
      <c r="N182" s="26"/>
      <c r="O182" s="26"/>
      <c r="P182" s="26"/>
      <c r="Q182" s="26"/>
      <c r="R182" s="26"/>
      <c r="S182" s="26"/>
      <c r="T182" s="28"/>
      <c r="U182" s="28"/>
      <c r="V182" s="28"/>
      <c r="W182" s="28"/>
      <c r="X182" s="28"/>
      <c r="Y182" s="119" t="str">
        <f t="shared" si="104"/>
        <v/>
      </c>
    </row>
    <row r="183" spans="1:25" ht="22.5" customHeight="1" x14ac:dyDescent="0.35">
      <c r="A183" s="323"/>
      <c r="B183" s="324"/>
      <c r="C183" s="346" t="str">
        <f>C156</f>
        <v>Eligible costs in the Project Application / Project Contract 5</v>
      </c>
      <c r="D183" s="346"/>
      <c r="E183" s="346"/>
      <c r="F183" s="346"/>
      <c r="G183" s="346"/>
      <c r="H183" s="346"/>
      <c r="I183" s="346"/>
      <c r="J183" s="346"/>
      <c r="K183" s="347"/>
      <c r="L183" s="191"/>
      <c r="M183" s="330" t="str">
        <f>M156</f>
        <v>Eligible costs in the latest Project Modification</v>
      </c>
      <c r="N183" s="330"/>
      <c r="O183" s="330"/>
      <c r="P183" s="330"/>
      <c r="Q183" s="330"/>
      <c r="R183" s="330"/>
      <c r="S183" s="330"/>
      <c r="T183" s="330"/>
      <c r="U183" s="331"/>
      <c r="V183" s="329" t="str">
        <f>V156</f>
        <v>Comments</v>
      </c>
      <c r="W183" s="330"/>
      <c r="X183" s="331"/>
      <c r="Y183" s="119" t="str">
        <f t="shared" si="104"/>
        <v/>
      </c>
    </row>
    <row r="184" spans="1:25" ht="37.5" customHeight="1" x14ac:dyDescent="0.35">
      <c r="A184" s="325" t="s">
        <v>13</v>
      </c>
      <c r="B184" s="326"/>
      <c r="C184" s="346"/>
      <c r="D184" s="346"/>
      <c r="E184" s="346"/>
      <c r="F184" s="346"/>
      <c r="G184" s="346"/>
      <c r="H184" s="346"/>
      <c r="I184" s="346"/>
      <c r="J184" s="346"/>
      <c r="K184" s="347"/>
      <c r="L184" s="191"/>
      <c r="M184" s="333"/>
      <c r="N184" s="333"/>
      <c r="O184" s="333"/>
      <c r="P184" s="333"/>
      <c r="Q184" s="333"/>
      <c r="R184" s="333"/>
      <c r="S184" s="333"/>
      <c r="T184" s="333"/>
      <c r="U184" s="334"/>
      <c r="V184" s="332"/>
      <c r="W184" s="333"/>
      <c r="X184" s="334"/>
      <c r="Y184" s="119" t="str">
        <f t="shared" si="104"/>
        <v/>
      </c>
    </row>
    <row r="185" spans="1:25" s="32" customFormat="1" ht="50.5" customHeight="1" x14ac:dyDescent="0.15">
      <c r="A185" s="327" t="str">
        <f>A158</f>
        <v>Short description</v>
      </c>
      <c r="B185" s="328"/>
      <c r="C185" s="31" t="str">
        <f>C158</f>
        <v>Unit type</v>
      </c>
      <c r="D185" s="31" t="str">
        <f>D158</f>
        <v>No of units</v>
      </c>
      <c r="E185" s="31" t="str">
        <f>E158</f>
        <v>Unit cost</v>
      </c>
      <c r="F185" s="335" t="str">
        <f>F158</f>
        <v>Costs by (select) 6 amount</v>
      </c>
      <c r="G185" s="345"/>
      <c r="H185" s="335" t="str">
        <f>H158</f>
        <v>Own contribution by (select) 6 amount</v>
      </c>
      <c r="I185" s="336"/>
      <c r="J185" s="31" t="s">
        <v>9</v>
      </c>
      <c r="K185" s="304" t="s">
        <v>10</v>
      </c>
      <c r="L185" s="192"/>
      <c r="M185" s="305" t="str">
        <f>M158</f>
        <v>Unit type</v>
      </c>
      <c r="N185" s="31" t="str">
        <f>N158</f>
        <v>No of units</v>
      </c>
      <c r="O185" s="31" t="str">
        <f>O158</f>
        <v>Unit cost</v>
      </c>
      <c r="P185" s="335" t="str">
        <f>P158</f>
        <v>Costs by (select) 6 amount</v>
      </c>
      <c r="Q185" s="345"/>
      <c r="R185" s="335" t="str">
        <f>R158</f>
        <v>Own contribution by (select) 6 amount</v>
      </c>
      <c r="S185" s="336"/>
      <c r="T185" s="31" t="s">
        <v>9</v>
      </c>
      <c r="U185" s="31" t="s">
        <v>10</v>
      </c>
      <c r="V185" s="327" t="str">
        <f>V158</f>
        <v>Comments</v>
      </c>
      <c r="W185" s="337"/>
      <c r="X185" s="328"/>
      <c r="Y185" s="119" t="str">
        <f t="shared" si="104"/>
        <v/>
      </c>
    </row>
    <row r="186" spans="1:25" ht="32" customHeight="1" x14ac:dyDescent="0.35">
      <c r="A186" s="338" t="s">
        <v>203</v>
      </c>
      <c r="B186" s="339"/>
      <c r="C186" s="1" t="s">
        <v>204</v>
      </c>
      <c r="D186" s="1"/>
      <c r="E186" s="3"/>
      <c r="F186" s="5" t="s">
        <v>12</v>
      </c>
      <c r="G186" s="214">
        <f>D186*E186</f>
        <v>0</v>
      </c>
      <c r="H186" s="5" t="s">
        <v>12</v>
      </c>
      <c r="I186" s="4"/>
      <c r="J186" s="33">
        <f>G186-I186</f>
        <v>0</v>
      </c>
      <c r="K186" s="207">
        <f>IFERROR(J186/G186,0)</f>
        <v>0</v>
      </c>
      <c r="L186" s="193"/>
      <c r="M186" s="187"/>
      <c r="N186" s="1"/>
      <c r="O186" s="3"/>
      <c r="P186" s="5" t="s">
        <v>12</v>
      </c>
      <c r="Q186" s="215">
        <f t="shared" ref="Q186:Q205" si="123">N186*O186</f>
        <v>0</v>
      </c>
      <c r="R186" s="5" t="s">
        <v>12</v>
      </c>
      <c r="S186" s="3"/>
      <c r="T186" s="33">
        <f>Q186-S186</f>
        <v>0</v>
      </c>
      <c r="U186" s="209">
        <f>IFERROR(T186/Q186,0)</f>
        <v>0</v>
      </c>
      <c r="V186" s="318"/>
      <c r="W186" s="319"/>
      <c r="X186" s="320"/>
      <c r="Y186" s="119" t="str">
        <f t="shared" si="104"/>
        <v>Empty budget line</v>
      </c>
    </row>
    <row r="187" spans="1:25" x14ac:dyDescent="0.35">
      <c r="A187" s="338"/>
      <c r="B187" s="339"/>
      <c r="C187" s="1"/>
      <c r="D187" s="1"/>
      <c r="E187" s="3"/>
      <c r="F187" s="5" t="s">
        <v>12</v>
      </c>
      <c r="G187" s="214">
        <f t="shared" ref="G187:G205" si="124">D187*E187</f>
        <v>0</v>
      </c>
      <c r="H187" s="5" t="s">
        <v>12</v>
      </c>
      <c r="I187" s="4"/>
      <c r="J187" s="33">
        <f t="shared" ref="J187:J190" si="125">G187-I187</f>
        <v>0</v>
      </c>
      <c r="K187" s="207">
        <f t="shared" ref="K187:K190" si="126">IFERROR(J187/G187,0)</f>
        <v>0</v>
      </c>
      <c r="L187" s="193"/>
      <c r="M187" s="187"/>
      <c r="N187" s="1"/>
      <c r="O187" s="3"/>
      <c r="P187" s="5" t="s">
        <v>12</v>
      </c>
      <c r="Q187" s="215">
        <f t="shared" si="123"/>
        <v>0</v>
      </c>
      <c r="R187" s="5" t="s">
        <v>12</v>
      </c>
      <c r="S187" s="3"/>
      <c r="T187" s="33">
        <f t="shared" ref="T187:T190" si="127">Q187-S187</f>
        <v>0</v>
      </c>
      <c r="U187" s="209">
        <f t="shared" ref="U187:U190" si="128">IFERROR(T187/Q187,0)</f>
        <v>0</v>
      </c>
      <c r="V187" s="318"/>
      <c r="W187" s="319"/>
      <c r="X187" s="320"/>
      <c r="Y187" s="119" t="str">
        <f t="shared" si="104"/>
        <v>Empty budget line</v>
      </c>
    </row>
    <row r="188" spans="1:25" x14ac:dyDescent="0.35">
      <c r="A188" s="338"/>
      <c r="B188" s="339"/>
      <c r="C188" s="1"/>
      <c r="D188" s="1"/>
      <c r="E188" s="3"/>
      <c r="F188" s="5" t="s">
        <v>12</v>
      </c>
      <c r="G188" s="214">
        <f t="shared" si="124"/>
        <v>0</v>
      </c>
      <c r="H188" s="5" t="s">
        <v>12</v>
      </c>
      <c r="I188" s="4"/>
      <c r="J188" s="33">
        <f t="shared" si="125"/>
        <v>0</v>
      </c>
      <c r="K188" s="207">
        <f t="shared" si="126"/>
        <v>0</v>
      </c>
      <c r="L188" s="193"/>
      <c r="M188" s="187"/>
      <c r="N188" s="1"/>
      <c r="O188" s="3"/>
      <c r="P188" s="5" t="s">
        <v>12</v>
      </c>
      <c r="Q188" s="215">
        <f t="shared" si="123"/>
        <v>0</v>
      </c>
      <c r="R188" s="5" t="s">
        <v>12</v>
      </c>
      <c r="S188" s="3"/>
      <c r="T188" s="33">
        <f t="shared" si="127"/>
        <v>0</v>
      </c>
      <c r="U188" s="209">
        <f t="shared" si="128"/>
        <v>0</v>
      </c>
      <c r="V188" s="318"/>
      <c r="W188" s="319"/>
      <c r="X188" s="320"/>
      <c r="Y188" s="119" t="str">
        <f t="shared" si="104"/>
        <v>Empty budget line</v>
      </c>
    </row>
    <row r="189" spans="1:25" x14ac:dyDescent="0.35">
      <c r="A189" s="338"/>
      <c r="B189" s="339"/>
      <c r="C189" s="1"/>
      <c r="D189" s="1"/>
      <c r="E189" s="3"/>
      <c r="F189" s="5" t="s">
        <v>12</v>
      </c>
      <c r="G189" s="214">
        <f t="shared" si="124"/>
        <v>0</v>
      </c>
      <c r="H189" s="5" t="s">
        <v>12</v>
      </c>
      <c r="I189" s="4"/>
      <c r="J189" s="33">
        <f t="shared" si="125"/>
        <v>0</v>
      </c>
      <c r="K189" s="207">
        <f t="shared" si="126"/>
        <v>0</v>
      </c>
      <c r="L189" s="193"/>
      <c r="M189" s="187"/>
      <c r="N189" s="1"/>
      <c r="O189" s="3"/>
      <c r="P189" s="5" t="s">
        <v>12</v>
      </c>
      <c r="Q189" s="215">
        <f t="shared" si="123"/>
        <v>0</v>
      </c>
      <c r="R189" s="5" t="s">
        <v>12</v>
      </c>
      <c r="S189" s="3"/>
      <c r="T189" s="33">
        <f t="shared" si="127"/>
        <v>0</v>
      </c>
      <c r="U189" s="209">
        <f t="shared" si="128"/>
        <v>0</v>
      </c>
      <c r="V189" s="318"/>
      <c r="W189" s="319"/>
      <c r="X189" s="320"/>
      <c r="Y189" s="119" t="str">
        <f t="shared" si="104"/>
        <v>Empty budget line</v>
      </c>
    </row>
    <row r="190" spans="1:25" x14ac:dyDescent="0.35">
      <c r="A190" s="338"/>
      <c r="B190" s="339"/>
      <c r="C190" s="1"/>
      <c r="D190" s="1"/>
      <c r="E190" s="3"/>
      <c r="F190" s="5" t="s">
        <v>12</v>
      </c>
      <c r="G190" s="214">
        <f t="shared" si="124"/>
        <v>0</v>
      </c>
      <c r="H190" s="5" t="s">
        <v>12</v>
      </c>
      <c r="I190" s="4"/>
      <c r="J190" s="33">
        <f t="shared" si="125"/>
        <v>0</v>
      </c>
      <c r="K190" s="207">
        <f t="shared" si="126"/>
        <v>0</v>
      </c>
      <c r="L190" s="193"/>
      <c r="M190" s="187"/>
      <c r="N190" s="1"/>
      <c r="O190" s="3"/>
      <c r="P190" s="5" t="s">
        <v>12</v>
      </c>
      <c r="Q190" s="215">
        <f t="shared" si="123"/>
        <v>0</v>
      </c>
      <c r="R190" s="5" t="s">
        <v>12</v>
      </c>
      <c r="S190" s="3"/>
      <c r="T190" s="33">
        <f t="shared" si="127"/>
        <v>0</v>
      </c>
      <c r="U190" s="209">
        <f t="shared" si="128"/>
        <v>0</v>
      </c>
      <c r="V190" s="318"/>
      <c r="W190" s="319"/>
      <c r="X190" s="320"/>
      <c r="Y190" s="119" t="str">
        <f t="shared" si="104"/>
        <v>Empty budget line</v>
      </c>
    </row>
    <row r="191" spans="1:25" x14ac:dyDescent="0.35">
      <c r="A191" s="338"/>
      <c r="B191" s="339"/>
      <c r="C191" s="1"/>
      <c r="D191" s="1"/>
      <c r="E191" s="3"/>
      <c r="F191" s="5" t="s">
        <v>12</v>
      </c>
      <c r="G191" s="214">
        <f t="shared" si="124"/>
        <v>0</v>
      </c>
      <c r="H191" s="5" t="s">
        <v>12</v>
      </c>
      <c r="I191" s="4"/>
      <c r="J191" s="33">
        <f>G191-I191</f>
        <v>0</v>
      </c>
      <c r="K191" s="207">
        <f>IFERROR(J191/G191,0)</f>
        <v>0</v>
      </c>
      <c r="L191" s="193"/>
      <c r="M191" s="187"/>
      <c r="N191" s="1"/>
      <c r="O191" s="3"/>
      <c r="P191" s="5" t="s">
        <v>12</v>
      </c>
      <c r="Q191" s="215">
        <f t="shared" si="123"/>
        <v>0</v>
      </c>
      <c r="R191" s="5" t="s">
        <v>12</v>
      </c>
      <c r="S191" s="3"/>
      <c r="T191" s="33">
        <f>Q191-S191</f>
        <v>0</v>
      </c>
      <c r="U191" s="209">
        <f>IFERROR(T191/Q191,0)</f>
        <v>0</v>
      </c>
      <c r="V191" s="318"/>
      <c r="W191" s="319"/>
      <c r="X191" s="320"/>
      <c r="Y191" s="119" t="str">
        <f t="shared" si="104"/>
        <v>Empty budget line</v>
      </c>
    </row>
    <row r="192" spans="1:25" x14ac:dyDescent="0.35">
      <c r="A192" s="338"/>
      <c r="B192" s="339"/>
      <c r="C192" s="1"/>
      <c r="D192" s="1"/>
      <c r="E192" s="3"/>
      <c r="F192" s="5" t="s">
        <v>12</v>
      </c>
      <c r="G192" s="214">
        <f t="shared" si="124"/>
        <v>0</v>
      </c>
      <c r="H192" s="5" t="s">
        <v>12</v>
      </c>
      <c r="I192" s="4"/>
      <c r="J192" s="33">
        <f t="shared" ref="J192:J195" si="129">G192-I192</f>
        <v>0</v>
      </c>
      <c r="K192" s="207">
        <f t="shared" ref="K192:K195" si="130">IFERROR(J192/G192,0)</f>
        <v>0</v>
      </c>
      <c r="L192" s="193"/>
      <c r="M192" s="187"/>
      <c r="N192" s="1"/>
      <c r="O192" s="3"/>
      <c r="P192" s="5" t="s">
        <v>12</v>
      </c>
      <c r="Q192" s="215">
        <f t="shared" si="123"/>
        <v>0</v>
      </c>
      <c r="R192" s="5" t="s">
        <v>12</v>
      </c>
      <c r="S192" s="3"/>
      <c r="T192" s="33">
        <f t="shared" ref="T192:T195" si="131">Q192-S192</f>
        <v>0</v>
      </c>
      <c r="U192" s="209">
        <f t="shared" ref="U192:U195" si="132">IFERROR(T192/Q192,0)</f>
        <v>0</v>
      </c>
      <c r="V192" s="318"/>
      <c r="W192" s="319"/>
      <c r="X192" s="320"/>
      <c r="Y192" s="119" t="str">
        <f t="shared" si="104"/>
        <v>Empty budget line</v>
      </c>
    </row>
    <row r="193" spans="1:25" x14ac:dyDescent="0.35">
      <c r="A193" s="338"/>
      <c r="B193" s="339"/>
      <c r="C193" s="1"/>
      <c r="D193" s="1"/>
      <c r="E193" s="3"/>
      <c r="F193" s="5" t="s">
        <v>12</v>
      </c>
      <c r="G193" s="214">
        <f t="shared" si="124"/>
        <v>0</v>
      </c>
      <c r="H193" s="5" t="s">
        <v>12</v>
      </c>
      <c r="I193" s="4"/>
      <c r="J193" s="33">
        <f t="shared" si="129"/>
        <v>0</v>
      </c>
      <c r="K193" s="207">
        <f t="shared" si="130"/>
        <v>0</v>
      </c>
      <c r="L193" s="193"/>
      <c r="M193" s="187"/>
      <c r="N193" s="1"/>
      <c r="O193" s="3"/>
      <c r="P193" s="5" t="s">
        <v>12</v>
      </c>
      <c r="Q193" s="215">
        <f t="shared" si="123"/>
        <v>0</v>
      </c>
      <c r="R193" s="5" t="s">
        <v>12</v>
      </c>
      <c r="S193" s="3"/>
      <c r="T193" s="33">
        <f t="shared" si="131"/>
        <v>0</v>
      </c>
      <c r="U193" s="209">
        <f t="shared" si="132"/>
        <v>0</v>
      </c>
      <c r="V193" s="318"/>
      <c r="W193" s="319"/>
      <c r="X193" s="320"/>
      <c r="Y193" s="119" t="str">
        <f t="shared" si="104"/>
        <v>Empty budget line</v>
      </c>
    </row>
    <row r="194" spans="1:25" x14ac:dyDescent="0.35">
      <c r="A194" s="338"/>
      <c r="B194" s="339"/>
      <c r="C194" s="1"/>
      <c r="D194" s="1"/>
      <c r="E194" s="3"/>
      <c r="F194" s="5" t="s">
        <v>12</v>
      </c>
      <c r="G194" s="214">
        <f t="shared" si="124"/>
        <v>0</v>
      </c>
      <c r="H194" s="5" t="s">
        <v>12</v>
      </c>
      <c r="I194" s="4"/>
      <c r="J194" s="33">
        <f t="shared" si="129"/>
        <v>0</v>
      </c>
      <c r="K194" s="207">
        <f t="shared" si="130"/>
        <v>0</v>
      </c>
      <c r="L194" s="193"/>
      <c r="M194" s="187"/>
      <c r="N194" s="1"/>
      <c r="O194" s="3"/>
      <c r="P194" s="5" t="s">
        <v>12</v>
      </c>
      <c r="Q194" s="215">
        <f t="shared" si="123"/>
        <v>0</v>
      </c>
      <c r="R194" s="5" t="s">
        <v>12</v>
      </c>
      <c r="S194" s="3"/>
      <c r="T194" s="33">
        <f t="shared" si="131"/>
        <v>0</v>
      </c>
      <c r="U194" s="209">
        <f t="shared" si="132"/>
        <v>0</v>
      </c>
      <c r="V194" s="318"/>
      <c r="W194" s="319"/>
      <c r="X194" s="320"/>
      <c r="Y194" s="119" t="str">
        <f t="shared" si="104"/>
        <v>Empty budget line</v>
      </c>
    </row>
    <row r="195" spans="1:25" x14ac:dyDescent="0.35">
      <c r="A195" s="338"/>
      <c r="B195" s="339"/>
      <c r="C195" s="1"/>
      <c r="D195" s="1"/>
      <c r="E195" s="3"/>
      <c r="F195" s="5" t="s">
        <v>12</v>
      </c>
      <c r="G195" s="214">
        <f t="shared" si="124"/>
        <v>0</v>
      </c>
      <c r="H195" s="5" t="s">
        <v>12</v>
      </c>
      <c r="I195" s="4"/>
      <c r="J195" s="33">
        <f t="shared" si="129"/>
        <v>0</v>
      </c>
      <c r="K195" s="207">
        <f t="shared" si="130"/>
        <v>0</v>
      </c>
      <c r="L195" s="193"/>
      <c r="M195" s="187"/>
      <c r="N195" s="1"/>
      <c r="O195" s="3"/>
      <c r="P195" s="5" t="s">
        <v>12</v>
      </c>
      <c r="Q195" s="215">
        <f t="shared" si="123"/>
        <v>0</v>
      </c>
      <c r="R195" s="5" t="s">
        <v>12</v>
      </c>
      <c r="S195" s="3"/>
      <c r="T195" s="33">
        <f t="shared" si="131"/>
        <v>0</v>
      </c>
      <c r="U195" s="209">
        <f t="shared" si="132"/>
        <v>0</v>
      </c>
      <c r="V195" s="318"/>
      <c r="W195" s="319"/>
      <c r="X195" s="320"/>
      <c r="Y195" s="119" t="str">
        <f t="shared" si="104"/>
        <v>Empty budget line</v>
      </c>
    </row>
    <row r="196" spans="1:25" x14ac:dyDescent="0.35">
      <c r="A196" s="338"/>
      <c r="B196" s="339"/>
      <c r="C196" s="1"/>
      <c r="D196" s="1"/>
      <c r="E196" s="3"/>
      <c r="F196" s="5" t="s">
        <v>12</v>
      </c>
      <c r="G196" s="214">
        <f t="shared" si="124"/>
        <v>0</v>
      </c>
      <c r="H196" s="5" t="s">
        <v>12</v>
      </c>
      <c r="I196" s="4"/>
      <c r="J196" s="33">
        <f>G196-I196</f>
        <v>0</v>
      </c>
      <c r="K196" s="207">
        <f>IFERROR(J196/G196,0)</f>
        <v>0</v>
      </c>
      <c r="L196" s="193"/>
      <c r="M196" s="187"/>
      <c r="N196" s="1"/>
      <c r="O196" s="3"/>
      <c r="P196" s="5" t="s">
        <v>12</v>
      </c>
      <c r="Q196" s="215">
        <f t="shared" si="123"/>
        <v>0</v>
      </c>
      <c r="R196" s="5" t="s">
        <v>12</v>
      </c>
      <c r="S196" s="3"/>
      <c r="T196" s="33">
        <f>Q196-S196</f>
        <v>0</v>
      </c>
      <c r="U196" s="209">
        <f>IFERROR(T196/Q196,0)</f>
        <v>0</v>
      </c>
      <c r="V196" s="318"/>
      <c r="W196" s="319"/>
      <c r="X196" s="320"/>
      <c r="Y196" s="119" t="str">
        <f t="shared" si="104"/>
        <v>Empty budget line</v>
      </c>
    </row>
    <row r="197" spans="1:25" x14ac:dyDescent="0.35">
      <c r="A197" s="338"/>
      <c r="B197" s="339"/>
      <c r="C197" s="1"/>
      <c r="D197" s="1"/>
      <c r="E197" s="3"/>
      <c r="F197" s="5" t="s">
        <v>12</v>
      </c>
      <c r="G197" s="214">
        <f t="shared" si="124"/>
        <v>0</v>
      </c>
      <c r="H197" s="5" t="s">
        <v>12</v>
      </c>
      <c r="I197" s="4"/>
      <c r="J197" s="33">
        <f t="shared" ref="J197:J200" si="133">G197-I197</f>
        <v>0</v>
      </c>
      <c r="K197" s="207">
        <f t="shared" ref="K197:K200" si="134">IFERROR(J197/G197,0)</f>
        <v>0</v>
      </c>
      <c r="L197" s="193"/>
      <c r="M197" s="187"/>
      <c r="N197" s="1"/>
      <c r="O197" s="3"/>
      <c r="P197" s="5" t="s">
        <v>12</v>
      </c>
      <c r="Q197" s="215">
        <f t="shared" si="123"/>
        <v>0</v>
      </c>
      <c r="R197" s="5" t="s">
        <v>12</v>
      </c>
      <c r="S197" s="3"/>
      <c r="T197" s="33">
        <f t="shared" ref="T197:T200" si="135">Q197-S197</f>
        <v>0</v>
      </c>
      <c r="U197" s="209">
        <f t="shared" ref="U197:U200" si="136">IFERROR(T197/Q197,0)</f>
        <v>0</v>
      </c>
      <c r="V197" s="318"/>
      <c r="W197" s="319"/>
      <c r="X197" s="320"/>
      <c r="Y197" s="119" t="str">
        <f t="shared" si="104"/>
        <v>Empty budget line</v>
      </c>
    </row>
    <row r="198" spans="1:25" x14ac:dyDescent="0.35">
      <c r="A198" s="338"/>
      <c r="B198" s="339"/>
      <c r="C198" s="1"/>
      <c r="D198" s="1"/>
      <c r="E198" s="3"/>
      <c r="F198" s="5" t="s">
        <v>12</v>
      </c>
      <c r="G198" s="214">
        <f t="shared" si="124"/>
        <v>0</v>
      </c>
      <c r="H198" s="5" t="s">
        <v>12</v>
      </c>
      <c r="I198" s="4"/>
      <c r="J198" s="33">
        <f t="shared" si="133"/>
        <v>0</v>
      </c>
      <c r="K198" s="207">
        <f t="shared" si="134"/>
        <v>0</v>
      </c>
      <c r="L198" s="193"/>
      <c r="M198" s="187"/>
      <c r="N198" s="1"/>
      <c r="O198" s="3"/>
      <c r="P198" s="5" t="s">
        <v>12</v>
      </c>
      <c r="Q198" s="215">
        <f t="shared" si="123"/>
        <v>0</v>
      </c>
      <c r="R198" s="5" t="s">
        <v>12</v>
      </c>
      <c r="S198" s="3"/>
      <c r="T198" s="33">
        <f t="shared" si="135"/>
        <v>0</v>
      </c>
      <c r="U198" s="209">
        <f t="shared" si="136"/>
        <v>0</v>
      </c>
      <c r="V198" s="318"/>
      <c r="W198" s="319"/>
      <c r="X198" s="320"/>
      <c r="Y198" s="119" t="str">
        <f t="shared" si="104"/>
        <v>Empty budget line</v>
      </c>
    </row>
    <row r="199" spans="1:25" x14ac:dyDescent="0.35">
      <c r="A199" s="338"/>
      <c r="B199" s="339"/>
      <c r="C199" s="1"/>
      <c r="D199" s="1"/>
      <c r="E199" s="3"/>
      <c r="F199" s="5" t="s">
        <v>12</v>
      </c>
      <c r="G199" s="214">
        <f t="shared" si="124"/>
        <v>0</v>
      </c>
      <c r="H199" s="5" t="s">
        <v>12</v>
      </c>
      <c r="I199" s="4"/>
      <c r="J199" s="33">
        <f t="shared" si="133"/>
        <v>0</v>
      </c>
      <c r="K199" s="207">
        <f t="shared" si="134"/>
        <v>0</v>
      </c>
      <c r="L199" s="193"/>
      <c r="M199" s="187"/>
      <c r="N199" s="1"/>
      <c r="O199" s="3"/>
      <c r="P199" s="5" t="s">
        <v>12</v>
      </c>
      <c r="Q199" s="215">
        <f t="shared" si="123"/>
        <v>0</v>
      </c>
      <c r="R199" s="5" t="s">
        <v>12</v>
      </c>
      <c r="S199" s="3"/>
      <c r="T199" s="33">
        <f t="shared" si="135"/>
        <v>0</v>
      </c>
      <c r="U199" s="209">
        <f t="shared" si="136"/>
        <v>0</v>
      </c>
      <c r="V199" s="318"/>
      <c r="W199" s="319"/>
      <c r="X199" s="320"/>
      <c r="Y199" s="119" t="str">
        <f t="shared" si="104"/>
        <v>Empty budget line</v>
      </c>
    </row>
    <row r="200" spans="1:25" x14ac:dyDescent="0.35">
      <c r="A200" s="338"/>
      <c r="B200" s="339"/>
      <c r="C200" s="1"/>
      <c r="D200" s="1"/>
      <c r="E200" s="3"/>
      <c r="F200" s="5" t="s">
        <v>12</v>
      </c>
      <c r="G200" s="214">
        <f t="shared" si="124"/>
        <v>0</v>
      </c>
      <c r="H200" s="5" t="s">
        <v>12</v>
      </c>
      <c r="I200" s="4"/>
      <c r="J200" s="33">
        <f t="shared" si="133"/>
        <v>0</v>
      </c>
      <c r="K200" s="207">
        <f t="shared" si="134"/>
        <v>0</v>
      </c>
      <c r="L200" s="193"/>
      <c r="M200" s="187"/>
      <c r="N200" s="1"/>
      <c r="O200" s="3"/>
      <c r="P200" s="5" t="s">
        <v>12</v>
      </c>
      <c r="Q200" s="215">
        <f t="shared" si="123"/>
        <v>0</v>
      </c>
      <c r="R200" s="5" t="s">
        <v>12</v>
      </c>
      <c r="S200" s="3"/>
      <c r="T200" s="33">
        <f t="shared" si="135"/>
        <v>0</v>
      </c>
      <c r="U200" s="209">
        <f t="shared" si="136"/>
        <v>0</v>
      </c>
      <c r="V200" s="318"/>
      <c r="W200" s="319"/>
      <c r="X200" s="320"/>
      <c r="Y200" s="119" t="str">
        <f t="shared" si="104"/>
        <v>Empty budget line</v>
      </c>
    </row>
    <row r="201" spans="1:25" x14ac:dyDescent="0.35">
      <c r="A201" s="338"/>
      <c r="B201" s="339"/>
      <c r="C201" s="1"/>
      <c r="D201" s="1"/>
      <c r="E201" s="3"/>
      <c r="F201" s="5" t="s">
        <v>12</v>
      </c>
      <c r="G201" s="214">
        <f t="shared" si="124"/>
        <v>0</v>
      </c>
      <c r="H201" s="5" t="s">
        <v>12</v>
      </c>
      <c r="I201" s="4"/>
      <c r="J201" s="33">
        <f>G201-I201</f>
        <v>0</v>
      </c>
      <c r="K201" s="207">
        <f>IFERROR(J201/G201,0)</f>
        <v>0</v>
      </c>
      <c r="L201" s="193"/>
      <c r="M201" s="187"/>
      <c r="N201" s="1"/>
      <c r="O201" s="3"/>
      <c r="P201" s="5" t="s">
        <v>12</v>
      </c>
      <c r="Q201" s="215">
        <f t="shared" si="123"/>
        <v>0</v>
      </c>
      <c r="R201" s="5" t="s">
        <v>12</v>
      </c>
      <c r="S201" s="3"/>
      <c r="T201" s="33">
        <f>Q201-S201</f>
        <v>0</v>
      </c>
      <c r="U201" s="209">
        <f>IFERROR(T201/Q201,0)</f>
        <v>0</v>
      </c>
      <c r="V201" s="318"/>
      <c r="W201" s="319"/>
      <c r="X201" s="320"/>
      <c r="Y201" s="119" t="str">
        <f t="shared" si="104"/>
        <v>Empty budget line</v>
      </c>
    </row>
    <row r="202" spans="1:25" x14ac:dyDescent="0.35">
      <c r="A202" s="338"/>
      <c r="B202" s="339"/>
      <c r="C202" s="1"/>
      <c r="D202" s="1"/>
      <c r="E202" s="3"/>
      <c r="F202" s="5" t="s">
        <v>12</v>
      </c>
      <c r="G202" s="214">
        <f t="shared" si="124"/>
        <v>0</v>
      </c>
      <c r="H202" s="5" t="s">
        <v>12</v>
      </c>
      <c r="I202" s="4"/>
      <c r="J202" s="33">
        <f t="shared" ref="J202:J205" si="137">G202-I202</f>
        <v>0</v>
      </c>
      <c r="K202" s="207">
        <f t="shared" ref="K202:K205" si="138">IFERROR(J202/G202,0)</f>
        <v>0</v>
      </c>
      <c r="L202" s="193"/>
      <c r="M202" s="187"/>
      <c r="N202" s="1"/>
      <c r="O202" s="3"/>
      <c r="P202" s="5" t="s">
        <v>12</v>
      </c>
      <c r="Q202" s="215">
        <f t="shared" si="123"/>
        <v>0</v>
      </c>
      <c r="R202" s="5" t="s">
        <v>12</v>
      </c>
      <c r="S202" s="3"/>
      <c r="T202" s="33">
        <f t="shared" ref="T202:T205" si="139">Q202-S202</f>
        <v>0</v>
      </c>
      <c r="U202" s="209">
        <f t="shared" ref="U202:U205" si="140">IFERROR(T202/Q202,0)</f>
        <v>0</v>
      </c>
      <c r="V202" s="318"/>
      <c r="W202" s="319"/>
      <c r="X202" s="320"/>
      <c r="Y202" s="119" t="str">
        <f t="shared" si="104"/>
        <v>Empty budget line</v>
      </c>
    </row>
    <row r="203" spans="1:25" x14ac:dyDescent="0.35">
      <c r="A203" s="338"/>
      <c r="B203" s="339"/>
      <c r="C203" s="1"/>
      <c r="D203" s="1"/>
      <c r="E203" s="3"/>
      <c r="F203" s="5" t="s">
        <v>12</v>
      </c>
      <c r="G203" s="214">
        <f t="shared" si="124"/>
        <v>0</v>
      </c>
      <c r="H203" s="5" t="s">
        <v>12</v>
      </c>
      <c r="I203" s="4"/>
      <c r="J203" s="33">
        <f t="shared" si="137"/>
        <v>0</v>
      </c>
      <c r="K203" s="207">
        <f t="shared" si="138"/>
        <v>0</v>
      </c>
      <c r="L203" s="193"/>
      <c r="M203" s="187"/>
      <c r="N203" s="1"/>
      <c r="O203" s="3"/>
      <c r="P203" s="5" t="s">
        <v>12</v>
      </c>
      <c r="Q203" s="215">
        <f t="shared" si="123"/>
        <v>0</v>
      </c>
      <c r="R203" s="5" t="s">
        <v>12</v>
      </c>
      <c r="S203" s="3"/>
      <c r="T203" s="33">
        <f t="shared" si="139"/>
        <v>0</v>
      </c>
      <c r="U203" s="209">
        <f t="shared" si="140"/>
        <v>0</v>
      </c>
      <c r="V203" s="318"/>
      <c r="W203" s="319"/>
      <c r="X203" s="320"/>
      <c r="Y203" s="119" t="str">
        <f t="shared" si="104"/>
        <v>Empty budget line</v>
      </c>
    </row>
    <row r="204" spans="1:25" x14ac:dyDescent="0.35">
      <c r="A204" s="338"/>
      <c r="B204" s="339"/>
      <c r="C204" s="1"/>
      <c r="D204" s="1"/>
      <c r="E204" s="3"/>
      <c r="F204" s="5" t="s">
        <v>12</v>
      </c>
      <c r="G204" s="214">
        <f t="shared" si="124"/>
        <v>0</v>
      </c>
      <c r="H204" s="5" t="s">
        <v>12</v>
      </c>
      <c r="I204" s="4"/>
      <c r="J204" s="33">
        <f t="shared" si="137"/>
        <v>0</v>
      </c>
      <c r="K204" s="207">
        <f t="shared" si="138"/>
        <v>0</v>
      </c>
      <c r="L204" s="193"/>
      <c r="M204" s="187"/>
      <c r="N204" s="1"/>
      <c r="O204" s="3"/>
      <c r="P204" s="5" t="s">
        <v>12</v>
      </c>
      <c r="Q204" s="215">
        <f t="shared" si="123"/>
        <v>0</v>
      </c>
      <c r="R204" s="5" t="s">
        <v>12</v>
      </c>
      <c r="S204" s="3"/>
      <c r="T204" s="33">
        <f t="shared" si="139"/>
        <v>0</v>
      </c>
      <c r="U204" s="209">
        <f t="shared" si="140"/>
        <v>0</v>
      </c>
      <c r="V204" s="318"/>
      <c r="W204" s="319"/>
      <c r="X204" s="320"/>
      <c r="Y204" s="119" t="str">
        <f t="shared" si="104"/>
        <v>Empty budget line</v>
      </c>
    </row>
    <row r="205" spans="1:25" x14ac:dyDescent="0.35">
      <c r="A205" s="338"/>
      <c r="B205" s="339"/>
      <c r="C205" s="1"/>
      <c r="D205" s="1"/>
      <c r="E205" s="3"/>
      <c r="F205" s="5" t="s">
        <v>12</v>
      </c>
      <c r="G205" s="214">
        <f t="shared" si="124"/>
        <v>0</v>
      </c>
      <c r="H205" s="5" t="s">
        <v>12</v>
      </c>
      <c r="I205" s="4"/>
      <c r="J205" s="33">
        <f t="shared" si="137"/>
        <v>0</v>
      </c>
      <c r="K205" s="207">
        <f t="shared" si="138"/>
        <v>0</v>
      </c>
      <c r="L205" s="193"/>
      <c r="M205" s="187"/>
      <c r="N205" s="1"/>
      <c r="O205" s="3"/>
      <c r="P205" s="5" t="s">
        <v>12</v>
      </c>
      <c r="Q205" s="215">
        <f t="shared" si="123"/>
        <v>0</v>
      </c>
      <c r="R205" s="5" t="s">
        <v>12</v>
      </c>
      <c r="S205" s="3"/>
      <c r="T205" s="33">
        <f t="shared" si="139"/>
        <v>0</v>
      </c>
      <c r="U205" s="209">
        <f t="shared" si="140"/>
        <v>0</v>
      </c>
      <c r="V205" s="318"/>
      <c r="W205" s="319"/>
      <c r="X205" s="320"/>
      <c r="Y205" s="119" t="str">
        <f t="shared" si="104"/>
        <v>Empty budget line</v>
      </c>
    </row>
    <row r="206" spans="1:25" ht="30" customHeight="1" x14ac:dyDescent="0.35">
      <c r="A206" s="369" t="str">
        <f>IF($C$1="English","Total costs of management","Costuri totale de management")</f>
        <v>Total costs of management</v>
      </c>
      <c r="B206" s="370"/>
      <c r="C206" s="182"/>
      <c r="D206" s="182"/>
      <c r="E206" s="183"/>
      <c r="F206" s="184"/>
      <c r="G206" s="184">
        <f>SUM(G186:G205)</f>
        <v>0</v>
      </c>
      <c r="H206" s="184"/>
      <c r="I206" s="184">
        <f>SUM(I186:I205)</f>
        <v>0</v>
      </c>
      <c r="J206" s="184">
        <f>SUM(J186:J205)</f>
        <v>0</v>
      </c>
      <c r="K206" s="208">
        <f>IFERROR(J206/G206,0)</f>
        <v>0</v>
      </c>
      <c r="L206" s="194"/>
      <c r="M206" s="188"/>
      <c r="N206" s="184"/>
      <c r="O206" s="184"/>
      <c r="P206" s="184"/>
      <c r="Q206" s="184">
        <f>SUM(Q186:Q205)</f>
        <v>0</v>
      </c>
      <c r="R206" s="184"/>
      <c r="S206" s="184">
        <f>SUM(S186:S205)</f>
        <v>0</v>
      </c>
      <c r="T206" s="184">
        <f>SUM(T186:T205)</f>
        <v>0</v>
      </c>
      <c r="U206" s="210">
        <f>IFERROR(T206/Q206,0)</f>
        <v>0</v>
      </c>
      <c r="V206" s="340"/>
      <c r="W206" s="341"/>
      <c r="X206" s="342"/>
      <c r="Y206" s="119" t="str">
        <f t="shared" si="104"/>
        <v/>
      </c>
    </row>
    <row r="207" spans="1:25" x14ac:dyDescent="0.35">
      <c r="A207" s="34"/>
      <c r="B207" s="34"/>
      <c r="C207" s="35"/>
      <c r="D207" s="35"/>
      <c r="E207" s="34"/>
      <c r="F207" s="34"/>
      <c r="G207" s="34"/>
      <c r="H207" s="34"/>
      <c r="I207" s="34"/>
      <c r="J207" s="34"/>
      <c r="K207" s="34"/>
      <c r="M207" s="34"/>
      <c r="N207" s="34"/>
      <c r="O207" s="34"/>
      <c r="P207" s="34"/>
      <c r="Q207" s="34"/>
      <c r="R207" s="34"/>
      <c r="S207" s="34"/>
      <c r="T207" s="34"/>
      <c r="U207" s="34"/>
      <c r="V207" s="34"/>
      <c r="W207" s="34"/>
      <c r="X207" s="34"/>
      <c r="Y207" s="119" t="str">
        <f t="shared" si="104"/>
        <v/>
      </c>
    </row>
    <row r="208" spans="1:25" ht="22.5" customHeight="1" x14ac:dyDescent="0.35">
      <c r="A208" s="323"/>
      <c r="B208" s="324"/>
      <c r="C208" s="346" t="str">
        <f>C183</f>
        <v>Eligible costs in the Project Application / Project Contract 5</v>
      </c>
      <c r="D208" s="346"/>
      <c r="E208" s="346"/>
      <c r="F208" s="346"/>
      <c r="G208" s="346"/>
      <c r="H208" s="346"/>
      <c r="I208" s="346"/>
      <c r="J208" s="346"/>
      <c r="K208" s="347"/>
      <c r="L208" s="191"/>
      <c r="M208" s="330" t="str">
        <f>M183</f>
        <v>Eligible costs in the latest Project Modification</v>
      </c>
      <c r="N208" s="330"/>
      <c r="O208" s="330"/>
      <c r="P208" s="330"/>
      <c r="Q208" s="330"/>
      <c r="R208" s="330"/>
      <c r="S208" s="330"/>
      <c r="T208" s="330"/>
      <c r="U208" s="331"/>
      <c r="V208" s="329" t="str">
        <f>V183</f>
        <v>Comments</v>
      </c>
      <c r="W208" s="330"/>
      <c r="X208" s="331"/>
      <c r="Y208" s="119" t="str">
        <f t="shared" si="104"/>
        <v/>
      </c>
    </row>
    <row r="209" spans="1:25" ht="37.5" customHeight="1" x14ac:dyDescent="0.35">
      <c r="A209" s="325" t="str">
        <f>IF($C$1="English","Publicity","Publicitate")</f>
        <v>Publicity</v>
      </c>
      <c r="B209" s="326"/>
      <c r="C209" s="346"/>
      <c r="D209" s="346"/>
      <c r="E209" s="346"/>
      <c r="F209" s="346"/>
      <c r="G209" s="346"/>
      <c r="H209" s="346"/>
      <c r="I209" s="346"/>
      <c r="J209" s="346"/>
      <c r="K209" s="347"/>
      <c r="L209" s="191"/>
      <c r="M209" s="333"/>
      <c r="N209" s="333"/>
      <c r="O209" s="333"/>
      <c r="P209" s="333"/>
      <c r="Q209" s="333"/>
      <c r="R209" s="333"/>
      <c r="S209" s="333"/>
      <c r="T209" s="333"/>
      <c r="U209" s="334"/>
      <c r="V209" s="332"/>
      <c r="W209" s="333"/>
      <c r="X209" s="334"/>
      <c r="Y209" s="119" t="str">
        <f t="shared" si="104"/>
        <v/>
      </c>
    </row>
    <row r="210" spans="1:25" s="32" customFormat="1" ht="48" customHeight="1" x14ac:dyDescent="0.15">
      <c r="A210" s="327" t="str">
        <f>A185</f>
        <v>Short description</v>
      </c>
      <c r="B210" s="328"/>
      <c r="C210" s="31" t="str">
        <f>C185</f>
        <v>Unit type</v>
      </c>
      <c r="D210" s="31" t="str">
        <f>D185</f>
        <v>No of units</v>
      </c>
      <c r="E210" s="31" t="str">
        <f>E185</f>
        <v>Unit cost</v>
      </c>
      <c r="F210" s="335" t="str">
        <f>F185</f>
        <v>Costs by (select) 6 amount</v>
      </c>
      <c r="G210" s="345"/>
      <c r="H210" s="335" t="str">
        <f>H185</f>
        <v>Own contribution by (select) 6 amount</v>
      </c>
      <c r="I210" s="336"/>
      <c r="J210" s="31" t="s">
        <v>9</v>
      </c>
      <c r="K210" s="304" t="s">
        <v>10</v>
      </c>
      <c r="L210" s="192"/>
      <c r="M210" s="305" t="str">
        <f>M185</f>
        <v>Unit type</v>
      </c>
      <c r="N210" s="31" t="str">
        <f>N185</f>
        <v>No of units</v>
      </c>
      <c r="O210" s="31" t="str">
        <f>O185</f>
        <v>Unit cost</v>
      </c>
      <c r="P210" s="335" t="str">
        <f>P185</f>
        <v>Costs by (select) 6 amount</v>
      </c>
      <c r="Q210" s="345"/>
      <c r="R210" s="335" t="str">
        <f>R185</f>
        <v>Own contribution by (select) 6 amount</v>
      </c>
      <c r="S210" s="336"/>
      <c r="T210" s="31" t="s">
        <v>9</v>
      </c>
      <c r="U210" s="31" t="s">
        <v>10</v>
      </c>
      <c r="V210" s="327" t="str">
        <f>V185</f>
        <v>Comments</v>
      </c>
      <c r="W210" s="337"/>
      <c r="X210" s="328"/>
      <c r="Y210" s="119" t="str">
        <f t="shared" si="104"/>
        <v/>
      </c>
    </row>
    <row r="211" spans="1:25" x14ac:dyDescent="0.35">
      <c r="A211" s="321"/>
      <c r="B211" s="322"/>
      <c r="C211" s="1"/>
      <c r="D211" s="1"/>
      <c r="E211" s="3"/>
      <c r="F211" s="5" t="s">
        <v>12</v>
      </c>
      <c r="G211" s="214">
        <f>D211*E211</f>
        <v>0</v>
      </c>
      <c r="H211" s="5" t="s">
        <v>12</v>
      </c>
      <c r="I211" s="4"/>
      <c r="J211" s="33">
        <f>G211-I211</f>
        <v>0</v>
      </c>
      <c r="K211" s="207">
        <f>IFERROR(J211/G211,0)</f>
        <v>0</v>
      </c>
      <c r="L211" s="193"/>
      <c r="M211" s="187"/>
      <c r="N211" s="1"/>
      <c r="O211" s="3"/>
      <c r="P211" s="5" t="s">
        <v>12</v>
      </c>
      <c r="Q211" s="215">
        <f t="shared" ref="Q211:Q230" si="141">N211*O211</f>
        <v>0</v>
      </c>
      <c r="R211" s="5" t="s">
        <v>12</v>
      </c>
      <c r="S211" s="3"/>
      <c r="T211" s="33">
        <f>Q211-S211</f>
        <v>0</v>
      </c>
      <c r="U211" s="209">
        <f>IFERROR(T211/Q211,0)</f>
        <v>0</v>
      </c>
      <c r="V211" s="318"/>
      <c r="W211" s="319"/>
      <c r="X211" s="320"/>
      <c r="Y211" s="119" t="str">
        <f t="shared" si="104"/>
        <v>Empty budget line</v>
      </c>
    </row>
    <row r="212" spans="1:25" x14ac:dyDescent="0.35">
      <c r="A212" s="321"/>
      <c r="B212" s="322"/>
      <c r="C212" s="1"/>
      <c r="D212" s="1"/>
      <c r="E212" s="3"/>
      <c r="F212" s="5" t="s">
        <v>12</v>
      </c>
      <c r="G212" s="214">
        <f t="shared" ref="G212:G230" si="142">D212*E212</f>
        <v>0</v>
      </c>
      <c r="H212" s="5" t="s">
        <v>12</v>
      </c>
      <c r="I212" s="4"/>
      <c r="J212" s="33">
        <f t="shared" ref="J212:J215" si="143">G212-I212</f>
        <v>0</v>
      </c>
      <c r="K212" s="207">
        <f t="shared" ref="K212:K215" si="144">IFERROR(J212/G212,0)</f>
        <v>0</v>
      </c>
      <c r="L212" s="193"/>
      <c r="M212" s="187"/>
      <c r="N212" s="1"/>
      <c r="O212" s="3"/>
      <c r="P212" s="5" t="s">
        <v>12</v>
      </c>
      <c r="Q212" s="215">
        <f t="shared" si="141"/>
        <v>0</v>
      </c>
      <c r="R212" s="5" t="s">
        <v>12</v>
      </c>
      <c r="S212" s="3"/>
      <c r="T212" s="33">
        <f t="shared" ref="T212:T215" si="145">Q212-S212</f>
        <v>0</v>
      </c>
      <c r="U212" s="209">
        <f t="shared" ref="U212:U215" si="146">IFERROR(T212/Q212,0)</f>
        <v>0</v>
      </c>
      <c r="V212" s="318"/>
      <c r="W212" s="319"/>
      <c r="X212" s="320"/>
      <c r="Y212" s="119" t="str">
        <f t="shared" si="104"/>
        <v>Empty budget line</v>
      </c>
    </row>
    <row r="213" spans="1:25" x14ac:dyDescent="0.35">
      <c r="A213" s="321"/>
      <c r="B213" s="322"/>
      <c r="C213" s="1"/>
      <c r="D213" s="1"/>
      <c r="E213" s="3"/>
      <c r="F213" s="5" t="s">
        <v>12</v>
      </c>
      <c r="G213" s="214">
        <f t="shared" si="142"/>
        <v>0</v>
      </c>
      <c r="H213" s="5" t="s">
        <v>12</v>
      </c>
      <c r="I213" s="4"/>
      <c r="J213" s="33">
        <f t="shared" si="143"/>
        <v>0</v>
      </c>
      <c r="K213" s="207">
        <f t="shared" si="144"/>
        <v>0</v>
      </c>
      <c r="L213" s="193"/>
      <c r="M213" s="187"/>
      <c r="N213" s="1"/>
      <c r="O213" s="3"/>
      <c r="P213" s="5" t="s">
        <v>12</v>
      </c>
      <c r="Q213" s="215">
        <f t="shared" si="141"/>
        <v>0</v>
      </c>
      <c r="R213" s="5" t="s">
        <v>12</v>
      </c>
      <c r="S213" s="3"/>
      <c r="T213" s="33">
        <f t="shared" si="145"/>
        <v>0</v>
      </c>
      <c r="U213" s="209">
        <f t="shared" si="146"/>
        <v>0</v>
      </c>
      <c r="V213" s="318"/>
      <c r="W213" s="319"/>
      <c r="X213" s="320"/>
      <c r="Y213" s="119" t="str">
        <f t="shared" si="104"/>
        <v>Empty budget line</v>
      </c>
    </row>
    <row r="214" spans="1:25" x14ac:dyDescent="0.35">
      <c r="A214" s="321"/>
      <c r="B214" s="322"/>
      <c r="C214" s="1"/>
      <c r="D214" s="1"/>
      <c r="E214" s="3"/>
      <c r="F214" s="5" t="s">
        <v>12</v>
      </c>
      <c r="G214" s="214">
        <f t="shared" si="142"/>
        <v>0</v>
      </c>
      <c r="H214" s="5" t="s">
        <v>12</v>
      </c>
      <c r="I214" s="4"/>
      <c r="J214" s="33">
        <f t="shared" si="143"/>
        <v>0</v>
      </c>
      <c r="K214" s="207">
        <f t="shared" si="144"/>
        <v>0</v>
      </c>
      <c r="L214" s="193"/>
      <c r="M214" s="187"/>
      <c r="N214" s="1"/>
      <c r="O214" s="3"/>
      <c r="P214" s="5" t="s">
        <v>12</v>
      </c>
      <c r="Q214" s="215">
        <f t="shared" si="141"/>
        <v>0</v>
      </c>
      <c r="R214" s="5" t="s">
        <v>12</v>
      </c>
      <c r="S214" s="3"/>
      <c r="T214" s="33">
        <f t="shared" si="145"/>
        <v>0</v>
      </c>
      <c r="U214" s="209">
        <f t="shared" si="146"/>
        <v>0</v>
      </c>
      <c r="V214" s="318"/>
      <c r="W214" s="319"/>
      <c r="X214" s="320"/>
      <c r="Y214" s="119" t="str">
        <f t="shared" si="104"/>
        <v>Empty budget line</v>
      </c>
    </row>
    <row r="215" spans="1:25" x14ac:dyDescent="0.35">
      <c r="A215" s="321"/>
      <c r="B215" s="322"/>
      <c r="C215" s="1"/>
      <c r="D215" s="1"/>
      <c r="E215" s="3"/>
      <c r="F215" s="5" t="s">
        <v>12</v>
      </c>
      <c r="G215" s="214">
        <f t="shared" si="142"/>
        <v>0</v>
      </c>
      <c r="H215" s="5" t="s">
        <v>12</v>
      </c>
      <c r="I215" s="4"/>
      <c r="J215" s="33">
        <f t="shared" si="143"/>
        <v>0</v>
      </c>
      <c r="K215" s="207">
        <f t="shared" si="144"/>
        <v>0</v>
      </c>
      <c r="L215" s="193"/>
      <c r="M215" s="187"/>
      <c r="N215" s="1"/>
      <c r="O215" s="3"/>
      <c r="P215" s="5" t="s">
        <v>12</v>
      </c>
      <c r="Q215" s="215">
        <f t="shared" si="141"/>
        <v>0</v>
      </c>
      <c r="R215" s="5" t="s">
        <v>12</v>
      </c>
      <c r="S215" s="3"/>
      <c r="T215" s="33">
        <f t="shared" si="145"/>
        <v>0</v>
      </c>
      <c r="U215" s="209">
        <f t="shared" si="146"/>
        <v>0</v>
      </c>
      <c r="V215" s="318"/>
      <c r="W215" s="319"/>
      <c r="X215" s="320"/>
      <c r="Y215" s="119" t="str">
        <f t="shared" si="104"/>
        <v>Empty budget line</v>
      </c>
    </row>
    <row r="216" spans="1:25" x14ac:dyDescent="0.35">
      <c r="A216" s="321"/>
      <c r="B216" s="322"/>
      <c r="C216" s="1"/>
      <c r="D216" s="1"/>
      <c r="E216" s="3"/>
      <c r="F216" s="5" t="s">
        <v>12</v>
      </c>
      <c r="G216" s="214">
        <f t="shared" si="142"/>
        <v>0</v>
      </c>
      <c r="H216" s="5" t="s">
        <v>12</v>
      </c>
      <c r="I216" s="4"/>
      <c r="J216" s="33">
        <f>G216-I216</f>
        <v>0</v>
      </c>
      <c r="K216" s="207">
        <f>IFERROR(J216/G216,0)</f>
        <v>0</v>
      </c>
      <c r="L216" s="193"/>
      <c r="M216" s="187"/>
      <c r="N216" s="1"/>
      <c r="O216" s="3"/>
      <c r="P216" s="5" t="s">
        <v>12</v>
      </c>
      <c r="Q216" s="215">
        <f t="shared" si="141"/>
        <v>0</v>
      </c>
      <c r="R216" s="5" t="s">
        <v>12</v>
      </c>
      <c r="S216" s="3"/>
      <c r="T216" s="33">
        <f>Q216-S216</f>
        <v>0</v>
      </c>
      <c r="U216" s="209">
        <f>IFERROR(T216/Q216,0)</f>
        <v>0</v>
      </c>
      <c r="V216" s="318"/>
      <c r="W216" s="319"/>
      <c r="X216" s="320"/>
      <c r="Y216" s="119" t="str">
        <f t="shared" si="104"/>
        <v>Empty budget line</v>
      </c>
    </row>
    <row r="217" spans="1:25" x14ac:dyDescent="0.35">
      <c r="A217" s="321"/>
      <c r="B217" s="322"/>
      <c r="C217" s="1"/>
      <c r="D217" s="1"/>
      <c r="E217" s="3"/>
      <c r="F217" s="5" t="s">
        <v>12</v>
      </c>
      <c r="G217" s="214">
        <f t="shared" si="142"/>
        <v>0</v>
      </c>
      <c r="H217" s="5" t="s">
        <v>12</v>
      </c>
      <c r="I217" s="4"/>
      <c r="J217" s="33">
        <f t="shared" ref="J217:J220" si="147">G217-I217</f>
        <v>0</v>
      </c>
      <c r="K217" s="207">
        <f t="shared" ref="K217:K220" si="148">IFERROR(J217/G217,0)</f>
        <v>0</v>
      </c>
      <c r="L217" s="193"/>
      <c r="M217" s="187"/>
      <c r="N217" s="1"/>
      <c r="O217" s="3"/>
      <c r="P217" s="5" t="s">
        <v>12</v>
      </c>
      <c r="Q217" s="215">
        <f t="shared" si="141"/>
        <v>0</v>
      </c>
      <c r="R217" s="5" t="s">
        <v>12</v>
      </c>
      <c r="S217" s="3"/>
      <c r="T217" s="33">
        <f t="shared" ref="T217:T220" si="149">Q217-S217</f>
        <v>0</v>
      </c>
      <c r="U217" s="209">
        <f t="shared" ref="U217:U220" si="150">IFERROR(T217/Q217,0)</f>
        <v>0</v>
      </c>
      <c r="V217" s="318"/>
      <c r="W217" s="319"/>
      <c r="X217" s="320"/>
      <c r="Y217" s="119" t="str">
        <f t="shared" ref="Y217:Y231" si="151">IF((AND(F217="…", P217="…")), "Empty budget line", "")</f>
        <v>Empty budget line</v>
      </c>
    </row>
    <row r="218" spans="1:25" x14ac:dyDescent="0.35">
      <c r="A218" s="321"/>
      <c r="B218" s="322"/>
      <c r="C218" s="1"/>
      <c r="D218" s="1"/>
      <c r="E218" s="3"/>
      <c r="F218" s="5" t="s">
        <v>12</v>
      </c>
      <c r="G218" s="214">
        <f t="shared" si="142"/>
        <v>0</v>
      </c>
      <c r="H218" s="5" t="s">
        <v>12</v>
      </c>
      <c r="I218" s="4"/>
      <c r="J218" s="33">
        <f t="shared" si="147"/>
        <v>0</v>
      </c>
      <c r="K218" s="207">
        <f t="shared" si="148"/>
        <v>0</v>
      </c>
      <c r="L218" s="193"/>
      <c r="M218" s="187"/>
      <c r="N218" s="1"/>
      <c r="O218" s="3"/>
      <c r="P218" s="5" t="s">
        <v>12</v>
      </c>
      <c r="Q218" s="215">
        <f t="shared" si="141"/>
        <v>0</v>
      </c>
      <c r="R218" s="5" t="s">
        <v>12</v>
      </c>
      <c r="S218" s="3"/>
      <c r="T218" s="33">
        <f t="shared" si="149"/>
        <v>0</v>
      </c>
      <c r="U218" s="209">
        <f t="shared" si="150"/>
        <v>0</v>
      </c>
      <c r="V218" s="318"/>
      <c r="W218" s="319"/>
      <c r="X218" s="320"/>
      <c r="Y218" s="119" t="str">
        <f t="shared" si="151"/>
        <v>Empty budget line</v>
      </c>
    </row>
    <row r="219" spans="1:25" x14ac:dyDescent="0.35">
      <c r="A219" s="321"/>
      <c r="B219" s="322"/>
      <c r="C219" s="1"/>
      <c r="D219" s="1"/>
      <c r="E219" s="3"/>
      <c r="F219" s="5" t="s">
        <v>12</v>
      </c>
      <c r="G219" s="214">
        <f t="shared" si="142"/>
        <v>0</v>
      </c>
      <c r="H219" s="5" t="s">
        <v>12</v>
      </c>
      <c r="I219" s="4"/>
      <c r="J219" s="33">
        <f t="shared" si="147"/>
        <v>0</v>
      </c>
      <c r="K219" s="207">
        <f t="shared" si="148"/>
        <v>0</v>
      </c>
      <c r="L219" s="193"/>
      <c r="M219" s="187"/>
      <c r="N219" s="1"/>
      <c r="O219" s="3"/>
      <c r="P219" s="5" t="s">
        <v>12</v>
      </c>
      <c r="Q219" s="215">
        <f t="shared" si="141"/>
        <v>0</v>
      </c>
      <c r="R219" s="5" t="s">
        <v>12</v>
      </c>
      <c r="S219" s="3"/>
      <c r="T219" s="33">
        <f t="shared" si="149"/>
        <v>0</v>
      </c>
      <c r="U219" s="209">
        <f t="shared" si="150"/>
        <v>0</v>
      </c>
      <c r="V219" s="318"/>
      <c r="W219" s="319"/>
      <c r="X219" s="320"/>
      <c r="Y219" s="119" t="str">
        <f t="shared" si="151"/>
        <v>Empty budget line</v>
      </c>
    </row>
    <row r="220" spans="1:25" x14ac:dyDescent="0.35">
      <c r="A220" s="321"/>
      <c r="B220" s="322"/>
      <c r="C220" s="1"/>
      <c r="D220" s="1"/>
      <c r="E220" s="3"/>
      <c r="F220" s="5" t="s">
        <v>12</v>
      </c>
      <c r="G220" s="214">
        <f t="shared" si="142"/>
        <v>0</v>
      </c>
      <c r="H220" s="5" t="s">
        <v>12</v>
      </c>
      <c r="I220" s="4"/>
      <c r="J220" s="33">
        <f t="shared" si="147"/>
        <v>0</v>
      </c>
      <c r="K220" s="207">
        <f t="shared" si="148"/>
        <v>0</v>
      </c>
      <c r="L220" s="193"/>
      <c r="M220" s="187"/>
      <c r="N220" s="1"/>
      <c r="O220" s="3"/>
      <c r="P220" s="5" t="s">
        <v>12</v>
      </c>
      <c r="Q220" s="215">
        <f t="shared" si="141"/>
        <v>0</v>
      </c>
      <c r="R220" s="5" t="s">
        <v>12</v>
      </c>
      <c r="S220" s="3"/>
      <c r="T220" s="33">
        <f t="shared" si="149"/>
        <v>0</v>
      </c>
      <c r="U220" s="209">
        <f t="shared" si="150"/>
        <v>0</v>
      </c>
      <c r="V220" s="318"/>
      <c r="W220" s="319"/>
      <c r="X220" s="320"/>
      <c r="Y220" s="119" t="str">
        <f t="shared" si="151"/>
        <v>Empty budget line</v>
      </c>
    </row>
    <row r="221" spans="1:25" x14ac:dyDescent="0.35">
      <c r="A221" s="321"/>
      <c r="B221" s="322"/>
      <c r="C221" s="1"/>
      <c r="D221" s="1"/>
      <c r="E221" s="3"/>
      <c r="F221" s="5" t="s">
        <v>12</v>
      </c>
      <c r="G221" s="214">
        <f t="shared" si="142"/>
        <v>0</v>
      </c>
      <c r="H221" s="5" t="s">
        <v>12</v>
      </c>
      <c r="I221" s="4"/>
      <c r="J221" s="33">
        <f>G221-I221</f>
        <v>0</v>
      </c>
      <c r="K221" s="207">
        <f>IFERROR(J221/G221,0)</f>
        <v>0</v>
      </c>
      <c r="L221" s="193"/>
      <c r="M221" s="187"/>
      <c r="N221" s="1"/>
      <c r="O221" s="3"/>
      <c r="P221" s="5" t="s">
        <v>12</v>
      </c>
      <c r="Q221" s="215">
        <f t="shared" si="141"/>
        <v>0</v>
      </c>
      <c r="R221" s="5" t="s">
        <v>12</v>
      </c>
      <c r="S221" s="3"/>
      <c r="T221" s="33">
        <f>Q221-S221</f>
        <v>0</v>
      </c>
      <c r="U221" s="209">
        <f>IFERROR(T221/Q221,0)</f>
        <v>0</v>
      </c>
      <c r="V221" s="318"/>
      <c r="W221" s="319"/>
      <c r="X221" s="320"/>
      <c r="Y221" s="119" t="str">
        <f t="shared" si="151"/>
        <v>Empty budget line</v>
      </c>
    </row>
    <row r="222" spans="1:25" x14ac:dyDescent="0.35">
      <c r="A222" s="321"/>
      <c r="B222" s="322"/>
      <c r="C222" s="1"/>
      <c r="D222" s="1"/>
      <c r="E222" s="3"/>
      <c r="F222" s="5" t="s">
        <v>12</v>
      </c>
      <c r="G222" s="214">
        <f t="shared" si="142"/>
        <v>0</v>
      </c>
      <c r="H222" s="5" t="s">
        <v>12</v>
      </c>
      <c r="I222" s="4"/>
      <c r="J222" s="33">
        <f t="shared" ref="J222:J225" si="152">G222-I222</f>
        <v>0</v>
      </c>
      <c r="K222" s="207">
        <f t="shared" ref="K222:K225" si="153">IFERROR(J222/G222,0)</f>
        <v>0</v>
      </c>
      <c r="L222" s="193"/>
      <c r="M222" s="187"/>
      <c r="N222" s="1"/>
      <c r="O222" s="3"/>
      <c r="P222" s="5" t="s">
        <v>12</v>
      </c>
      <c r="Q222" s="215">
        <f t="shared" si="141"/>
        <v>0</v>
      </c>
      <c r="R222" s="5" t="s">
        <v>12</v>
      </c>
      <c r="S222" s="3"/>
      <c r="T222" s="33">
        <f t="shared" ref="T222:T225" si="154">Q222-S222</f>
        <v>0</v>
      </c>
      <c r="U222" s="209">
        <f t="shared" ref="U222:U225" si="155">IFERROR(T222/Q222,0)</f>
        <v>0</v>
      </c>
      <c r="V222" s="318"/>
      <c r="W222" s="319"/>
      <c r="X222" s="320"/>
      <c r="Y222" s="119" t="str">
        <f t="shared" si="151"/>
        <v>Empty budget line</v>
      </c>
    </row>
    <row r="223" spans="1:25" x14ac:dyDescent="0.35">
      <c r="A223" s="321"/>
      <c r="B223" s="322"/>
      <c r="C223" s="1"/>
      <c r="D223" s="1"/>
      <c r="E223" s="3"/>
      <c r="F223" s="5" t="s">
        <v>12</v>
      </c>
      <c r="G223" s="214">
        <f t="shared" si="142"/>
        <v>0</v>
      </c>
      <c r="H223" s="5" t="s">
        <v>12</v>
      </c>
      <c r="I223" s="4"/>
      <c r="J223" s="33">
        <f t="shared" si="152"/>
        <v>0</v>
      </c>
      <c r="K223" s="207">
        <f t="shared" si="153"/>
        <v>0</v>
      </c>
      <c r="L223" s="193"/>
      <c r="M223" s="187"/>
      <c r="N223" s="1"/>
      <c r="O223" s="3"/>
      <c r="P223" s="5" t="s">
        <v>12</v>
      </c>
      <c r="Q223" s="215">
        <f t="shared" si="141"/>
        <v>0</v>
      </c>
      <c r="R223" s="5" t="s">
        <v>12</v>
      </c>
      <c r="S223" s="3"/>
      <c r="T223" s="33">
        <f t="shared" si="154"/>
        <v>0</v>
      </c>
      <c r="U223" s="209">
        <f t="shared" si="155"/>
        <v>0</v>
      </c>
      <c r="V223" s="318"/>
      <c r="W223" s="319"/>
      <c r="X223" s="320"/>
      <c r="Y223" s="119" t="str">
        <f t="shared" si="151"/>
        <v>Empty budget line</v>
      </c>
    </row>
    <row r="224" spans="1:25" x14ac:dyDescent="0.35">
      <c r="A224" s="321"/>
      <c r="B224" s="322"/>
      <c r="C224" s="1"/>
      <c r="D224" s="1"/>
      <c r="E224" s="3"/>
      <c r="F224" s="5" t="s">
        <v>12</v>
      </c>
      <c r="G224" s="214">
        <f t="shared" si="142"/>
        <v>0</v>
      </c>
      <c r="H224" s="5" t="s">
        <v>12</v>
      </c>
      <c r="I224" s="4"/>
      <c r="J224" s="33">
        <f t="shared" si="152"/>
        <v>0</v>
      </c>
      <c r="K224" s="207">
        <f t="shared" si="153"/>
        <v>0</v>
      </c>
      <c r="L224" s="193"/>
      <c r="M224" s="187"/>
      <c r="N224" s="1"/>
      <c r="O224" s="3"/>
      <c r="P224" s="5" t="s">
        <v>12</v>
      </c>
      <c r="Q224" s="215">
        <f t="shared" si="141"/>
        <v>0</v>
      </c>
      <c r="R224" s="5" t="s">
        <v>12</v>
      </c>
      <c r="S224" s="3"/>
      <c r="T224" s="33">
        <f t="shared" si="154"/>
        <v>0</v>
      </c>
      <c r="U224" s="209">
        <f t="shared" si="155"/>
        <v>0</v>
      </c>
      <c r="V224" s="318"/>
      <c r="W224" s="319"/>
      <c r="X224" s="320"/>
      <c r="Y224" s="119" t="str">
        <f t="shared" si="151"/>
        <v>Empty budget line</v>
      </c>
    </row>
    <row r="225" spans="1:25" x14ac:dyDescent="0.35">
      <c r="A225" s="321"/>
      <c r="B225" s="322"/>
      <c r="C225" s="1"/>
      <c r="D225" s="1"/>
      <c r="E225" s="3"/>
      <c r="F225" s="5" t="s">
        <v>12</v>
      </c>
      <c r="G225" s="214">
        <f t="shared" si="142"/>
        <v>0</v>
      </c>
      <c r="H225" s="5" t="s">
        <v>12</v>
      </c>
      <c r="I225" s="4"/>
      <c r="J225" s="33">
        <f t="shared" si="152"/>
        <v>0</v>
      </c>
      <c r="K225" s="207">
        <f t="shared" si="153"/>
        <v>0</v>
      </c>
      <c r="L225" s="193"/>
      <c r="M225" s="187"/>
      <c r="N225" s="1"/>
      <c r="O225" s="3"/>
      <c r="P225" s="5" t="s">
        <v>12</v>
      </c>
      <c r="Q225" s="215">
        <f t="shared" si="141"/>
        <v>0</v>
      </c>
      <c r="R225" s="5" t="s">
        <v>12</v>
      </c>
      <c r="S225" s="3"/>
      <c r="T225" s="33">
        <f t="shared" si="154"/>
        <v>0</v>
      </c>
      <c r="U225" s="209">
        <f t="shared" si="155"/>
        <v>0</v>
      </c>
      <c r="V225" s="318"/>
      <c r="W225" s="319"/>
      <c r="X225" s="320"/>
      <c r="Y225" s="119" t="str">
        <f t="shared" si="151"/>
        <v>Empty budget line</v>
      </c>
    </row>
    <row r="226" spans="1:25" x14ac:dyDescent="0.35">
      <c r="A226" s="321"/>
      <c r="B226" s="322"/>
      <c r="C226" s="1"/>
      <c r="D226" s="1"/>
      <c r="E226" s="3"/>
      <c r="F226" s="5" t="s">
        <v>12</v>
      </c>
      <c r="G226" s="214">
        <f t="shared" si="142"/>
        <v>0</v>
      </c>
      <c r="H226" s="5" t="s">
        <v>12</v>
      </c>
      <c r="I226" s="4"/>
      <c r="J226" s="33">
        <f>G226-I226</f>
        <v>0</v>
      </c>
      <c r="K226" s="207">
        <f>IFERROR(J226/G226,0)</f>
        <v>0</v>
      </c>
      <c r="L226" s="193"/>
      <c r="M226" s="187"/>
      <c r="N226" s="1"/>
      <c r="O226" s="3"/>
      <c r="P226" s="5" t="s">
        <v>12</v>
      </c>
      <c r="Q226" s="215">
        <f t="shared" si="141"/>
        <v>0</v>
      </c>
      <c r="R226" s="5" t="s">
        <v>12</v>
      </c>
      <c r="S226" s="3"/>
      <c r="T226" s="33">
        <f>Q226-S226</f>
        <v>0</v>
      </c>
      <c r="U226" s="209">
        <f>IFERROR(T226/Q226,0)</f>
        <v>0</v>
      </c>
      <c r="V226" s="318"/>
      <c r="W226" s="319"/>
      <c r="X226" s="320"/>
      <c r="Y226" s="119" t="str">
        <f t="shared" si="151"/>
        <v>Empty budget line</v>
      </c>
    </row>
    <row r="227" spans="1:25" x14ac:dyDescent="0.35">
      <c r="A227" s="321"/>
      <c r="B227" s="322"/>
      <c r="C227" s="1"/>
      <c r="D227" s="1"/>
      <c r="E227" s="3"/>
      <c r="F227" s="5" t="s">
        <v>12</v>
      </c>
      <c r="G227" s="214">
        <f t="shared" si="142"/>
        <v>0</v>
      </c>
      <c r="H227" s="5" t="s">
        <v>12</v>
      </c>
      <c r="I227" s="4"/>
      <c r="J227" s="33">
        <f t="shared" ref="J227:J230" si="156">G227-I227</f>
        <v>0</v>
      </c>
      <c r="K227" s="207">
        <f t="shared" ref="K227:K230" si="157">IFERROR(J227/G227,0)</f>
        <v>0</v>
      </c>
      <c r="L227" s="193"/>
      <c r="M227" s="187"/>
      <c r="N227" s="1"/>
      <c r="O227" s="3"/>
      <c r="P227" s="5" t="s">
        <v>12</v>
      </c>
      <c r="Q227" s="215">
        <f t="shared" si="141"/>
        <v>0</v>
      </c>
      <c r="R227" s="5" t="s">
        <v>12</v>
      </c>
      <c r="S227" s="3"/>
      <c r="T227" s="33">
        <f t="shared" ref="T227:T230" si="158">Q227-S227</f>
        <v>0</v>
      </c>
      <c r="U227" s="209">
        <f t="shared" ref="U227:U230" si="159">IFERROR(T227/Q227,0)</f>
        <v>0</v>
      </c>
      <c r="V227" s="318"/>
      <c r="W227" s="319"/>
      <c r="X227" s="320"/>
      <c r="Y227" s="119" t="str">
        <f t="shared" si="151"/>
        <v>Empty budget line</v>
      </c>
    </row>
    <row r="228" spans="1:25" x14ac:dyDescent="0.35">
      <c r="A228" s="321"/>
      <c r="B228" s="322"/>
      <c r="C228" s="1"/>
      <c r="D228" s="1"/>
      <c r="E228" s="3"/>
      <c r="F228" s="5" t="s">
        <v>12</v>
      </c>
      <c r="G228" s="214">
        <f t="shared" si="142"/>
        <v>0</v>
      </c>
      <c r="H228" s="5" t="s">
        <v>12</v>
      </c>
      <c r="I228" s="4"/>
      <c r="J228" s="33">
        <f t="shared" si="156"/>
        <v>0</v>
      </c>
      <c r="K228" s="207">
        <f t="shared" si="157"/>
        <v>0</v>
      </c>
      <c r="L228" s="193"/>
      <c r="M228" s="187"/>
      <c r="N228" s="1"/>
      <c r="O228" s="3"/>
      <c r="P228" s="5" t="s">
        <v>12</v>
      </c>
      <c r="Q228" s="215">
        <f t="shared" si="141"/>
        <v>0</v>
      </c>
      <c r="R228" s="5" t="s">
        <v>12</v>
      </c>
      <c r="S228" s="3"/>
      <c r="T228" s="33">
        <f t="shared" si="158"/>
        <v>0</v>
      </c>
      <c r="U228" s="209">
        <f t="shared" si="159"/>
        <v>0</v>
      </c>
      <c r="V228" s="318"/>
      <c r="W228" s="319"/>
      <c r="X228" s="320"/>
      <c r="Y228" s="119" t="str">
        <f t="shared" si="151"/>
        <v>Empty budget line</v>
      </c>
    </row>
    <row r="229" spans="1:25" x14ac:dyDescent="0.35">
      <c r="A229" s="321"/>
      <c r="B229" s="322"/>
      <c r="C229" s="1"/>
      <c r="D229" s="1"/>
      <c r="E229" s="3"/>
      <c r="F229" s="5" t="s">
        <v>12</v>
      </c>
      <c r="G229" s="214">
        <f t="shared" si="142"/>
        <v>0</v>
      </c>
      <c r="H229" s="5" t="s">
        <v>12</v>
      </c>
      <c r="I229" s="4"/>
      <c r="J229" s="33">
        <f t="shared" si="156"/>
        <v>0</v>
      </c>
      <c r="K229" s="207">
        <f t="shared" si="157"/>
        <v>0</v>
      </c>
      <c r="L229" s="193"/>
      <c r="M229" s="187"/>
      <c r="N229" s="1"/>
      <c r="O229" s="3"/>
      <c r="P229" s="5" t="s">
        <v>12</v>
      </c>
      <c r="Q229" s="215">
        <f t="shared" si="141"/>
        <v>0</v>
      </c>
      <c r="R229" s="5" t="s">
        <v>12</v>
      </c>
      <c r="S229" s="3"/>
      <c r="T229" s="33">
        <f t="shared" si="158"/>
        <v>0</v>
      </c>
      <c r="U229" s="209">
        <f t="shared" si="159"/>
        <v>0</v>
      </c>
      <c r="V229" s="318"/>
      <c r="W229" s="319"/>
      <c r="X229" s="320"/>
      <c r="Y229" s="119" t="str">
        <f t="shared" si="151"/>
        <v>Empty budget line</v>
      </c>
    </row>
    <row r="230" spans="1:25" x14ac:dyDescent="0.35">
      <c r="A230" s="321"/>
      <c r="B230" s="322"/>
      <c r="C230" s="1"/>
      <c r="D230" s="1"/>
      <c r="E230" s="3"/>
      <c r="F230" s="5" t="s">
        <v>12</v>
      </c>
      <c r="G230" s="214">
        <f t="shared" si="142"/>
        <v>0</v>
      </c>
      <c r="H230" s="5" t="s">
        <v>12</v>
      </c>
      <c r="I230" s="4"/>
      <c r="J230" s="33">
        <f t="shared" si="156"/>
        <v>0</v>
      </c>
      <c r="K230" s="207">
        <f t="shared" si="157"/>
        <v>0</v>
      </c>
      <c r="L230" s="193"/>
      <c r="M230" s="187"/>
      <c r="N230" s="1"/>
      <c r="O230" s="3"/>
      <c r="P230" s="5" t="s">
        <v>12</v>
      </c>
      <c r="Q230" s="215">
        <f t="shared" si="141"/>
        <v>0</v>
      </c>
      <c r="R230" s="5" t="s">
        <v>12</v>
      </c>
      <c r="S230" s="3"/>
      <c r="T230" s="33">
        <f t="shared" si="158"/>
        <v>0</v>
      </c>
      <c r="U230" s="209">
        <f t="shared" si="159"/>
        <v>0</v>
      </c>
      <c r="V230" s="318"/>
      <c r="W230" s="319"/>
      <c r="X230" s="320"/>
      <c r="Y230" s="119" t="str">
        <f t="shared" si="151"/>
        <v>Empty budget line</v>
      </c>
    </row>
    <row r="231" spans="1:25" ht="30" customHeight="1" x14ac:dyDescent="0.35">
      <c r="A231" s="369" t="str">
        <f>IF($C$1="English","Total costs of publicity","Costuri totale de publicitate")</f>
        <v>Total costs of publicity</v>
      </c>
      <c r="B231" s="370"/>
      <c r="C231" s="182"/>
      <c r="D231" s="182"/>
      <c r="E231" s="183"/>
      <c r="F231" s="184"/>
      <c r="G231" s="184">
        <f>SUM(G211:G230)</f>
        <v>0</v>
      </c>
      <c r="H231" s="184"/>
      <c r="I231" s="184">
        <f>SUM(I211:I230)</f>
        <v>0</v>
      </c>
      <c r="J231" s="184">
        <f>SUM(J211:J230)</f>
        <v>0</v>
      </c>
      <c r="K231" s="208">
        <f>IFERROR(J231/G231,0)</f>
        <v>0</v>
      </c>
      <c r="L231" s="194"/>
      <c r="M231" s="188"/>
      <c r="N231" s="184"/>
      <c r="O231" s="184"/>
      <c r="P231" s="184"/>
      <c r="Q231" s="184">
        <f>SUM(Q211:Q230)</f>
        <v>0</v>
      </c>
      <c r="R231" s="184"/>
      <c r="S231" s="184">
        <f>SUM(S211:S230)</f>
        <v>0</v>
      </c>
      <c r="T231" s="184">
        <f>SUM(T211:T230)</f>
        <v>0</v>
      </c>
      <c r="U231" s="210">
        <f>IFERROR(T231/Q231,0)</f>
        <v>0</v>
      </c>
      <c r="V231" s="340"/>
      <c r="W231" s="341"/>
      <c r="X231" s="342"/>
      <c r="Y231" s="119" t="str">
        <f t="shared" si="151"/>
        <v/>
      </c>
    </row>
    <row r="232" spans="1:25" x14ac:dyDescent="0.35">
      <c r="A232" s="36"/>
      <c r="B232" s="36"/>
      <c r="C232" s="37"/>
      <c r="D232" s="37"/>
      <c r="E232" s="38"/>
      <c r="F232" s="39"/>
      <c r="G232" s="39"/>
      <c r="H232" s="39"/>
      <c r="I232" s="39"/>
      <c r="J232" s="39"/>
      <c r="K232" s="40"/>
      <c r="L232" s="40"/>
      <c r="M232" s="39"/>
      <c r="N232" s="39"/>
      <c r="O232" s="39"/>
      <c r="P232" s="39"/>
      <c r="Q232" s="39"/>
      <c r="R232" s="39"/>
      <c r="S232" s="39"/>
      <c r="T232" s="39"/>
      <c r="U232" s="40"/>
      <c r="V232" s="40"/>
      <c r="W232" s="40"/>
      <c r="X232" s="40"/>
      <c r="Y232" s="119" t="str">
        <f t="shared" ref="Y232" si="160">IF((AND(F232="…", P232="…")), "Empty budget line", "")</f>
        <v/>
      </c>
    </row>
    <row r="233" spans="1:25" x14ac:dyDescent="0.35">
      <c r="A233" s="34"/>
      <c r="B233" s="34"/>
      <c r="C233" s="35"/>
      <c r="D233" s="35"/>
      <c r="E233" s="34"/>
      <c r="F233" s="34"/>
      <c r="G233" s="34"/>
      <c r="H233" s="34"/>
      <c r="I233" s="34"/>
      <c r="J233" s="34"/>
      <c r="K233" s="34"/>
      <c r="M233" s="34"/>
      <c r="N233" s="34"/>
      <c r="O233" s="34"/>
      <c r="P233" s="34"/>
      <c r="Q233" s="34"/>
      <c r="R233" s="34"/>
      <c r="S233" s="34"/>
      <c r="T233" s="34"/>
      <c r="U233" s="34"/>
      <c r="V233" s="34"/>
      <c r="W233" s="34"/>
      <c r="X233" s="34"/>
      <c r="Y233" s="119" t="str">
        <f t="shared" ref="Y233:Y243" si="161">IF((AND(F233="…", P233="…")), "Empty budget line", "")</f>
        <v/>
      </c>
    </row>
    <row r="234" spans="1:25" ht="30" customHeight="1" x14ac:dyDescent="0.35">
      <c r="A234" s="26" t="s">
        <v>15</v>
      </c>
      <c r="B234" s="26"/>
      <c r="C234" s="26"/>
      <c r="D234" s="26"/>
      <c r="E234" s="26"/>
      <c r="F234" s="41"/>
      <c r="G234" s="41"/>
      <c r="H234" s="41"/>
      <c r="I234" s="41"/>
      <c r="J234" s="41"/>
      <c r="K234" s="195"/>
      <c r="L234" s="180"/>
      <c r="M234" s="196"/>
      <c r="N234" s="41"/>
      <c r="O234" s="41"/>
      <c r="P234" s="41"/>
      <c r="Q234" s="41"/>
      <c r="R234" s="41"/>
      <c r="S234" s="41"/>
      <c r="T234" s="41"/>
      <c r="U234" s="41"/>
      <c r="V234" s="41"/>
      <c r="W234" s="41"/>
      <c r="X234" s="177"/>
      <c r="Y234" s="119" t="str">
        <f t="shared" si="161"/>
        <v/>
      </c>
    </row>
    <row r="235" spans="1:25" ht="30" customHeight="1" x14ac:dyDescent="0.35">
      <c r="A235" s="42"/>
      <c r="B235" s="346" t="str">
        <f>IF($C$1="English","Project Application / Contract","Aplicatia / Proiectul")</f>
        <v>Project Application / Contract</v>
      </c>
      <c r="C235" s="346"/>
      <c r="D235" s="346"/>
      <c r="E235" s="346"/>
      <c r="F235" s="346"/>
      <c r="G235" s="346"/>
      <c r="H235" s="346"/>
      <c r="I235" s="346"/>
      <c r="J235" s="346"/>
      <c r="K235" s="346"/>
      <c r="L235" s="191"/>
      <c r="M235" s="347" t="str">
        <f>IF($C$1="English","Last Project Modification","Ultima modificare de proiect")</f>
        <v>Last Project Modification</v>
      </c>
      <c r="N235" s="371"/>
      <c r="O235" s="371"/>
      <c r="P235" s="371"/>
      <c r="Q235" s="371"/>
      <c r="R235" s="371"/>
      <c r="S235" s="371"/>
      <c r="T235" s="371"/>
      <c r="U235" s="371"/>
      <c r="V235" s="371"/>
      <c r="W235" s="363"/>
      <c r="X235" s="178"/>
      <c r="Y235" s="119" t="str">
        <f t="shared" si="161"/>
        <v/>
      </c>
    </row>
    <row r="236" spans="1:25" ht="45.5" customHeight="1" x14ac:dyDescent="0.35">
      <c r="A236" s="43"/>
      <c r="B236" s="307" t="str">
        <f>IF($C$1="English","Total costs","Costuri totale")</f>
        <v>Total costs</v>
      </c>
      <c r="C236" s="362" t="str">
        <f>IF($C$1="English","Promoter's costs","Costurile Promotorului")</f>
        <v>Promoter's costs</v>
      </c>
      <c r="D236" s="362"/>
      <c r="E236" s="362" t="str">
        <f>IF($C$1="English","Partner(s) costs","Costurile Partenerului (ilor)")</f>
        <v>Partner(s) costs</v>
      </c>
      <c r="F236" s="362"/>
      <c r="G236" s="346" t="str">
        <f>IF($C$1="English","Promoter's contribution","Contributia Promotorului")</f>
        <v>Promoter's contribution</v>
      </c>
      <c r="H236" s="346"/>
      <c r="I236" s="303" t="str">
        <f>IF($C$1="English","Partner(s) contribution","Contributia Partnerului (ilor)")</f>
        <v>Partner(s) contribution</v>
      </c>
      <c r="J236" s="303" t="s">
        <v>9</v>
      </c>
      <c r="K236" s="302" t="s">
        <v>16</v>
      </c>
      <c r="L236" s="191"/>
      <c r="M236" s="362" t="str">
        <f>B236</f>
        <v>Total costs</v>
      </c>
      <c r="N236" s="346"/>
      <c r="O236" s="362" t="str">
        <f>C236</f>
        <v>Promoter's costs</v>
      </c>
      <c r="P236" s="346"/>
      <c r="Q236" s="368" t="str">
        <f>E236</f>
        <v>Partner(s) costs</v>
      </c>
      <c r="R236" s="363"/>
      <c r="S236" s="303" t="str">
        <f>G236</f>
        <v>Promoter's contribution</v>
      </c>
      <c r="T236" s="303" t="str">
        <f>I236</f>
        <v>Partner(s) contribution</v>
      </c>
      <c r="U236" s="347" t="s">
        <v>17</v>
      </c>
      <c r="V236" s="363"/>
      <c r="W236" s="303" t="s">
        <v>16</v>
      </c>
      <c r="X236" s="178"/>
      <c r="Y236" s="119" t="str">
        <f t="shared" si="161"/>
        <v/>
      </c>
    </row>
    <row r="237" spans="1:25" ht="30" customHeight="1" x14ac:dyDescent="0.35">
      <c r="A237" s="44" t="str">
        <f>IF($C$1="English","Activity 1.","Activitatea 1.")</f>
        <v>Activity 1.</v>
      </c>
      <c r="B237" s="300">
        <f>SUM(G84)</f>
        <v>0</v>
      </c>
      <c r="C237" s="359">
        <f>SUMIF(F24:F83,"=PP",G24:G83)</f>
        <v>0</v>
      </c>
      <c r="D237" s="360"/>
      <c r="E237" s="359">
        <f>SUMIF(F24:F83,"=P1",G24:G83)+SUMIF(F24:F83,"=P2",G24:G83)+SUMIF(F24:F83,"=P3",G24:G83)+SUMIF(F24:F83,"=P4",G24:G83)</f>
        <v>0</v>
      </c>
      <c r="F237" s="360"/>
      <c r="G237" s="359">
        <f>SUMIF(H24:H83,"=PP",I24:I83)</f>
        <v>0</v>
      </c>
      <c r="H237" s="360"/>
      <c r="I237" s="301">
        <f>SUMIF(H24:H83,"=P1",I24:I83)+SUMIF(H24:H83,"=P2",I24:I83)+SUMIF(H24:H83,"=P3",I24:I83)+SUMIF(H24:H83,"=P4",I24:I83)</f>
        <v>0</v>
      </c>
      <c r="J237" s="301">
        <f>SUM(J84)</f>
        <v>0</v>
      </c>
      <c r="K237" s="211">
        <f>IFERROR(J237/B237,0)</f>
        <v>0</v>
      </c>
      <c r="L237" s="202"/>
      <c r="M237" s="361">
        <f>SUM(Q84)</f>
        <v>0</v>
      </c>
      <c r="N237" s="361"/>
      <c r="O237" s="359">
        <f>SUMIF(P24:P83,"=PP",Q24:Q83)</f>
        <v>0</v>
      </c>
      <c r="P237" s="360"/>
      <c r="Q237" s="359">
        <f>SUMIF(P24:P83,"=P1",Q24:Q83)+SUMIF(P24:P83,"=P2",Q24:Q83)+SUMIF(P24:P83,"=P3",Q24:Q83)+SUMIF(P24:P83,"=P4",Q24:Q83)</f>
        <v>0</v>
      </c>
      <c r="R237" s="360"/>
      <c r="S237" s="301">
        <f>SUMIF(R24:R83,"=PP",S24:S83)</f>
        <v>0</v>
      </c>
      <c r="T237" s="301">
        <f>SUMIF(R24:R83,"=P1",S24:S83)+SUMIF(R24:R83,"=P2",S24:S83)+SUMIF(R24:R83,"=P3",S24:S83)+SUMIF(R24:R83,"=P4",S24:S83)</f>
        <v>0</v>
      </c>
      <c r="U237" s="372">
        <f>SUM(T84)</f>
        <v>0</v>
      </c>
      <c r="V237" s="373"/>
      <c r="W237" s="212">
        <f t="shared" ref="W237:W243" si="162">IFERROR(U237/M237,0)</f>
        <v>0</v>
      </c>
      <c r="X237" s="179"/>
      <c r="Y237" s="119" t="str">
        <f t="shared" ref="Y237:Y238" si="163">IF((AND(F237="…", P237="…")), "Empty budget line", "")</f>
        <v/>
      </c>
    </row>
    <row r="238" spans="1:25" ht="30" customHeight="1" x14ac:dyDescent="0.35">
      <c r="A238" s="44" t="str">
        <f>IF($C$1="English","Activity 2.","Activitatea 2.")</f>
        <v>Activity 2.</v>
      </c>
      <c r="B238" s="300">
        <f>SUM(G129)</f>
        <v>0</v>
      </c>
      <c r="C238" s="359">
        <f>SUMIF(F89:F128,"=PP",G89:G128)</f>
        <v>0</v>
      </c>
      <c r="D238" s="360"/>
      <c r="E238" s="359">
        <f>SUMIF(F89:F128,"=P1",G89:G128)+SUMIF(F89:F128,"=P2",G89:G128)+SUMIF(F89:F128,"=P3",G89:G128)+SUMIF(F89:F128,"=P4",G89:G128)</f>
        <v>0</v>
      </c>
      <c r="F238" s="360"/>
      <c r="G238" s="359">
        <f>SUMIF(H89:H128,"=PP",I89:I128)</f>
        <v>0</v>
      </c>
      <c r="H238" s="360"/>
      <c r="I238" s="301">
        <f>SUMIF(H89:H128,"=P1",I89:I128)+SUMIF(H89:H128,"=P2",I89:I128)+SUMIF(H89:H128,"=P3",I89:I128)+SUMIF(H89:H128,"=P4",I89:I128)</f>
        <v>0</v>
      </c>
      <c r="J238" s="301">
        <f>SUM(J129)</f>
        <v>0</v>
      </c>
      <c r="K238" s="211">
        <f t="shared" ref="K238:K242" si="164">IFERROR(J238/B238,0)</f>
        <v>0</v>
      </c>
      <c r="L238" s="202"/>
      <c r="M238" s="361">
        <f>SUM(Q129)</f>
        <v>0</v>
      </c>
      <c r="N238" s="361"/>
      <c r="O238" s="359">
        <f>SUMIF(P89:P128,"=PP",Q89:Q128)</f>
        <v>0</v>
      </c>
      <c r="P238" s="360"/>
      <c r="Q238" s="359">
        <f>SUMIF(P89:P128,"=P1",Q89:Q128)+SUMIF(P89:P128,"=P2",Q89:Q128)+SUMIF(P89:P128,"=P3",Q89:Q128)+SUMIF(P89:P128,"=P4",Q89:Q128)</f>
        <v>0</v>
      </c>
      <c r="R238" s="360"/>
      <c r="S238" s="301">
        <f>SUMIF(R89:R128,"=PP",S89:S128)</f>
        <v>0</v>
      </c>
      <c r="T238" s="301">
        <f>SUMIF(R89:R128,"=P1",S89:S128)+SUMIF(R89:R128,"=P2",S89:S128)+SUMIF(R89:R128,"=P3",S89:S128)+SUMIF(R89:R128,"=P4",S89:S128)</f>
        <v>0</v>
      </c>
      <c r="U238" s="372">
        <f>SUM(T129)</f>
        <v>0</v>
      </c>
      <c r="V238" s="373"/>
      <c r="W238" s="212">
        <f t="shared" si="162"/>
        <v>0</v>
      </c>
      <c r="X238" s="179"/>
      <c r="Y238" s="119" t="str">
        <f t="shared" si="163"/>
        <v/>
      </c>
    </row>
    <row r="239" spans="1:25" ht="30" customHeight="1" x14ac:dyDescent="0.35">
      <c r="A239" s="44" t="str">
        <f>IF($C$1="English","Activity 3.","Activitatea 3.")</f>
        <v>Activity 3.</v>
      </c>
      <c r="B239" s="300">
        <f>SUM(G154)</f>
        <v>0</v>
      </c>
      <c r="C239" s="359">
        <f>SUMIF(F134:F153,"=PP",G134:G153)</f>
        <v>0</v>
      </c>
      <c r="D239" s="360"/>
      <c r="E239" s="359">
        <f>SUMIF(F134:F153,"=P1",G134:G153)+SUMIF(F134:F153,"=P2",G134:G153)+SUMIF(F134:F153,"=P3",G134:G153)+SUMIF(F134:F153,"=P4",G134:G153)</f>
        <v>0</v>
      </c>
      <c r="F239" s="360"/>
      <c r="G239" s="359">
        <f>SUMIF(H134:H153,"=PP",I134:I153)</f>
        <v>0</v>
      </c>
      <c r="H239" s="360"/>
      <c r="I239" s="301">
        <f>SUMIF(H134:H153,"=P1",I134:I153)+SUMIF(H134:H153,"=P2",I134:I153)+SUMIF(H134:H153,"=P3",I134:I153)+SUMIF(H134:H153,"=P4",I134:I153)</f>
        <v>0</v>
      </c>
      <c r="J239" s="301">
        <f>SUM(J154)</f>
        <v>0</v>
      </c>
      <c r="K239" s="211">
        <f t="shared" si="164"/>
        <v>0</v>
      </c>
      <c r="L239" s="202"/>
      <c r="M239" s="361">
        <f>SUM(Q154)</f>
        <v>0</v>
      </c>
      <c r="N239" s="361"/>
      <c r="O239" s="359">
        <f>SUMIF(P134:P153,"=PP",Q134:Q153)</f>
        <v>0</v>
      </c>
      <c r="P239" s="360"/>
      <c r="Q239" s="359">
        <f>SUMIF(P134:P153,"=P1",Q134:Q153)+SUMIF(P134:P153,"=P2",Q134:Q153)+SUMIF(P134:P153,"=P3",Q134:Q153)+SUMIF(P134:P153,"=P4",Q134:Q153)</f>
        <v>0</v>
      </c>
      <c r="R239" s="360"/>
      <c r="S239" s="301">
        <f>SUMIF(R134:R153,"=PP",S134:S153)</f>
        <v>0</v>
      </c>
      <c r="T239" s="301">
        <f>SUMIF(R134:R153,"=P1",S134:S153)+SUMIF(R134:R153,"=P2",S134:S153)+SUMIF(R134:R153,"=P3",S134:S153)+SUMIF(R134:R153,"=P4",S134:S153)</f>
        <v>0</v>
      </c>
      <c r="U239" s="372">
        <f>SUM(T154)</f>
        <v>0</v>
      </c>
      <c r="V239" s="373"/>
      <c r="W239" s="212">
        <f t="shared" si="162"/>
        <v>0</v>
      </c>
      <c r="X239" s="179"/>
      <c r="Y239" s="119" t="str">
        <f t="shared" ref="Y239:Y242" si="165">IF((AND(F239="…", P239="…")), "Empty budget line", "")</f>
        <v/>
      </c>
    </row>
    <row r="240" spans="1:25" ht="30" customHeight="1" x14ac:dyDescent="0.35">
      <c r="A240" s="44" t="str">
        <f>IF($C$1="English","Activity 4.","Activitatea 4.")</f>
        <v>Activity 4.</v>
      </c>
      <c r="B240" s="300">
        <f>SUM(G179)</f>
        <v>0</v>
      </c>
      <c r="C240" s="359">
        <f>SUMIF(F159:F178,"=PP",G159:G178)</f>
        <v>0</v>
      </c>
      <c r="D240" s="360"/>
      <c r="E240" s="359">
        <f>SUMIF(F159:F178,"=P1",G159:G178)+SUMIF(F159:F178,"=P2",G159:G178)+SUMIF(F159:F178,"=P3",G159:G178)+SUMIF(F159:F178,"=P4",G159:G178)</f>
        <v>0</v>
      </c>
      <c r="F240" s="360"/>
      <c r="G240" s="359">
        <f>SUMIF(H159:H178,"=PP",I159:I178)</f>
        <v>0</v>
      </c>
      <c r="H240" s="360"/>
      <c r="I240" s="301">
        <f>SUMIF(H159:H178,"=P1",I159:I178)+SUMIF(H159:H178,"=P2",I159:I178)+SUMIF(H159:H178,"=P3",I159:I178)+SUMIF(H159:H178,"=P4",I159:I178)</f>
        <v>0</v>
      </c>
      <c r="J240" s="301">
        <f>SUM(J179)</f>
        <v>0</v>
      </c>
      <c r="K240" s="211">
        <f t="shared" si="164"/>
        <v>0</v>
      </c>
      <c r="L240" s="202"/>
      <c r="M240" s="361">
        <f>SUM(Q179)</f>
        <v>0</v>
      </c>
      <c r="N240" s="361"/>
      <c r="O240" s="359">
        <f>SUMIF(P159:P178,"=PP",Q159:Q178)</f>
        <v>0</v>
      </c>
      <c r="P240" s="360"/>
      <c r="Q240" s="359">
        <f>SUMIF(P159:P178,"=P1",Q159:Q178)+SUMIF(P159:P178,"=P2",Q159:Q178)+SUMIF(P159:P178,"=P3",Q159:Q178)+SUMIF(P159:P178,"=P4",Q159:Q178)</f>
        <v>0</v>
      </c>
      <c r="R240" s="360"/>
      <c r="S240" s="301">
        <f>SUMIF(R159:R178,"=PP",S159:S178)</f>
        <v>0</v>
      </c>
      <c r="T240" s="301">
        <f>SUMIF(R159:R178,"=P1",S159:S178)+SUMIF(R159:R178,"=P2",S159:S178)+SUMIF(R159:R178,"=P3",S159:S178)+SUMIF(R159:R178,"=P4",S159:S178)</f>
        <v>0</v>
      </c>
      <c r="U240" s="372">
        <f>SUM(T179)</f>
        <v>0</v>
      </c>
      <c r="V240" s="373"/>
      <c r="W240" s="212">
        <f t="shared" si="162"/>
        <v>0</v>
      </c>
      <c r="X240" s="179"/>
      <c r="Y240" s="119" t="str">
        <f t="shared" si="165"/>
        <v/>
      </c>
    </row>
    <row r="241" spans="1:25" ht="30" customHeight="1" x14ac:dyDescent="0.35">
      <c r="A241" s="44" t="s">
        <v>13</v>
      </c>
      <c r="B241" s="300">
        <f>SUM(G206)</f>
        <v>0</v>
      </c>
      <c r="C241" s="359">
        <f>SUMIF(F186:F205,"=PP",G186:G205)</f>
        <v>0</v>
      </c>
      <c r="D241" s="360"/>
      <c r="E241" s="359">
        <f>SUMIF(F186:F205,"=P1",G186:G205)+SUMIF(F186:F205,"=P2",G186:G205)+SUMIF(F186:F205,"=P3",G186:G205)+SUMIF(F186:F205,"=P4",G186:G205)</f>
        <v>0</v>
      </c>
      <c r="F241" s="360"/>
      <c r="G241" s="359">
        <f>SUMIF(H186:H205,"=PP",I186:I205)</f>
        <v>0</v>
      </c>
      <c r="H241" s="360"/>
      <c r="I241" s="301">
        <f>SUMIF(H186:H205,"=P1",I186:I205)+SUMIF(H186:H205,"=P2",I186:I205)+SUMIF(H186:H205,"=P3",I186:I205)+SUMIF(H186:H205,"=P4",I186:I205)</f>
        <v>0</v>
      </c>
      <c r="J241" s="301">
        <f>SUM(J206)</f>
        <v>0</v>
      </c>
      <c r="K241" s="211">
        <f t="shared" si="164"/>
        <v>0</v>
      </c>
      <c r="L241" s="202"/>
      <c r="M241" s="361">
        <f>SUM(Q206)</f>
        <v>0</v>
      </c>
      <c r="N241" s="361"/>
      <c r="O241" s="359">
        <f>SUMIF(P186:P205,"=PP",Q186:Q205)</f>
        <v>0</v>
      </c>
      <c r="P241" s="360"/>
      <c r="Q241" s="359">
        <f>SUMIF(P186:P205,"=P1",Q186:Q205)+SUMIF(P186:P205,"=P2",Q186:Q205)+SUMIF(P186:P205,"=P3",Q186:Q205)+SUMIF(P186:P205,"=P4",Q186:Q205)</f>
        <v>0</v>
      </c>
      <c r="R241" s="360"/>
      <c r="S241" s="301">
        <f>SUMIF(R186:R205,"=PP",S186:S205)</f>
        <v>0</v>
      </c>
      <c r="T241" s="301">
        <f>SUMIF(R186:R205,"=P1",S186:S205)+SUMIF(R186:R205,"=P2",S186:S205)+SUMIF(R186:R205,"=P3",S186:S205)+SUMIF(R186:R205,"=P4",S186:S205)</f>
        <v>0</v>
      </c>
      <c r="U241" s="372">
        <f>SUM(T206)</f>
        <v>0</v>
      </c>
      <c r="V241" s="373"/>
      <c r="W241" s="212">
        <f t="shared" si="162"/>
        <v>0</v>
      </c>
      <c r="X241" s="179"/>
      <c r="Y241" s="119" t="str">
        <f t="shared" si="165"/>
        <v/>
      </c>
    </row>
    <row r="242" spans="1:25" ht="30" customHeight="1" x14ac:dyDescent="0.35">
      <c r="A242" s="44" t="str">
        <f>IF($C$1="English","Publicity","Publicitate")</f>
        <v>Publicity</v>
      </c>
      <c r="B242" s="300">
        <f>SUM(G231)</f>
        <v>0</v>
      </c>
      <c r="C242" s="359">
        <f>SUMIF(F211:F230,"=PP",G211:G230)</f>
        <v>0</v>
      </c>
      <c r="D242" s="360"/>
      <c r="E242" s="359">
        <f>SUMIF(F211:F230,"=P1",G211:G230)+SUMIF(F211:F230,"=P2",G211:G230)+SUMIF(F211:F230,"=P3",G211:G230)+SUMIF(F211:F230,"=P4",G211:G230)</f>
        <v>0</v>
      </c>
      <c r="F242" s="360"/>
      <c r="G242" s="359">
        <f>SUMIF(H211:H230,"=PP",I211:I230)</f>
        <v>0</v>
      </c>
      <c r="H242" s="360"/>
      <c r="I242" s="301">
        <f>SUMIF(H211:H230,"=P1",I211:I230)+SUMIF(H211:H230,"=P2",I211:I230)+SUMIF(H211:H230,"=P3",I211:I230)+SUMIF(H211:H230,"=P4",I211:I230)</f>
        <v>0</v>
      </c>
      <c r="J242" s="301">
        <f>SUM(J231)</f>
        <v>0</v>
      </c>
      <c r="K242" s="211">
        <f t="shared" si="164"/>
        <v>0</v>
      </c>
      <c r="L242" s="202"/>
      <c r="M242" s="361">
        <f>SUM(Q231)</f>
        <v>0</v>
      </c>
      <c r="N242" s="361"/>
      <c r="O242" s="359">
        <f>SUMIF(P211:P230,"=PP",Q211:Q230)</f>
        <v>0</v>
      </c>
      <c r="P242" s="360"/>
      <c r="Q242" s="359">
        <f>SUMIF(P211:P230,"=P1",Q211:Q230)+SUMIF(P211:P230,"=P2",Q211:Q230)+SUMIF(P211:P230,"=P3",Q211:Q230)+SUMIF(P211:P230,"=P4",Q211:Q230)</f>
        <v>0</v>
      </c>
      <c r="R242" s="360"/>
      <c r="S242" s="301">
        <f>SUMIF(R211:R230,"=PP",S211:S230)</f>
        <v>0</v>
      </c>
      <c r="T242" s="301">
        <f>SUMIF(R211:R230,"=P1",S211:S230)+SUMIF(R211:R230,"=P2",S211:S230)+SUMIF(R211:R230,"=P3",S211:S230)+SUMIF(R211:R230,"=P4",S211:S230)</f>
        <v>0</v>
      </c>
      <c r="U242" s="372">
        <f>SUM(T231)</f>
        <v>0</v>
      </c>
      <c r="V242" s="373"/>
      <c r="W242" s="212">
        <f t="shared" si="162"/>
        <v>0</v>
      </c>
      <c r="X242" s="179"/>
      <c r="Y242" s="119" t="str">
        <f t="shared" si="165"/>
        <v/>
      </c>
    </row>
    <row r="243" spans="1:25" ht="30" customHeight="1" x14ac:dyDescent="0.35">
      <c r="A243" s="44" t="s">
        <v>18</v>
      </c>
      <c r="B243" s="300">
        <f>SUM(G231,G206,G179,G154,G129,G84)</f>
        <v>0</v>
      </c>
      <c r="C243" s="359">
        <f>SUMIF(F24:F231,"=PP",G24:G231)</f>
        <v>0</v>
      </c>
      <c r="D243" s="360"/>
      <c r="E243" s="359">
        <f>SUMIF(F24:F231,"=P1",G24:G231)+SUMIF(F24:F231,"=P2",G24:G231)+SUMIF(F24:F231,"=P3",G24:G231)+SUMIF(F24:F231,"=P4",G24:G231)</f>
        <v>0</v>
      </c>
      <c r="F243" s="360"/>
      <c r="G243" s="359">
        <f>SUMIF(H24:H231,"=PP",I24:I231)</f>
        <v>0</v>
      </c>
      <c r="H243" s="360"/>
      <c r="I243" s="301">
        <f>SUMIF(H24:H231,"=P1",I24:I231)+SUMIF(H24:H231,"=P2",I24:I231)+SUMIF(H24:H231,"=P3",I24:I231)+SUMIF(H24:H231,"=P4",I24:I231)</f>
        <v>0</v>
      </c>
      <c r="J243" s="301">
        <f>SUM(J231,J206,J179,J154,J129,J84)</f>
        <v>0</v>
      </c>
      <c r="K243" s="211">
        <f>IFERROR(J243/B243,0)</f>
        <v>0</v>
      </c>
      <c r="L243" s="202"/>
      <c r="M243" s="361">
        <f>SUM(Q231,Q206,Q179,Q154,Q129,Q84)</f>
        <v>0</v>
      </c>
      <c r="N243" s="361"/>
      <c r="O243" s="359">
        <f>SUMIF(P24:P231,"=PP",Q24:Q231)</f>
        <v>0</v>
      </c>
      <c r="P243" s="360"/>
      <c r="Q243" s="359">
        <f>SUMIF(P24:P231,"=P1",Q24:Q231)+SUMIF(P24:P231,"=P2",Q24:Q231)+SUMIF(P24:P231,"=P3",Q24:Q231)+SUMIF(P24:P231,"=P4",Q24:Q231)</f>
        <v>0</v>
      </c>
      <c r="R243" s="360"/>
      <c r="S243" s="301">
        <f>SUMIF(R24:R231,"=PP",S24:S231)</f>
        <v>0</v>
      </c>
      <c r="T243" s="301">
        <f>SUMIF(R24:R231,"=P1",S24:S231)+SUMIF(R24:R231,"=P2",S24:S231)+SUMIF(R24:R231,"=P3",S24:S231)+SUMIF(R24:R231,"=P4",S24:S231)</f>
        <v>0</v>
      </c>
      <c r="U243" s="372">
        <f>SUM(T231,T206,T179,T154,T129,T84)</f>
        <v>0</v>
      </c>
      <c r="V243" s="373"/>
      <c r="W243" s="212">
        <f t="shared" si="162"/>
        <v>0</v>
      </c>
      <c r="X243" s="179"/>
      <c r="Y243" s="119" t="str">
        <f t="shared" si="161"/>
        <v/>
      </c>
    </row>
    <row r="250" spans="1:25" s="9" customFormat="1" ht="15" customHeight="1" x14ac:dyDescent="0.45">
      <c r="A250" s="13"/>
      <c r="B250" s="13"/>
      <c r="D250" s="65"/>
      <c r="E250" s="11"/>
      <c r="F250" s="11"/>
      <c r="G250" s="11"/>
      <c r="H250" s="11"/>
      <c r="J250" s="15"/>
      <c r="L250" s="51"/>
      <c r="Q250" s="11"/>
      <c r="R250" s="11"/>
      <c r="S250" s="11"/>
      <c r="Y250" s="116"/>
    </row>
    <row r="253" spans="1:25" s="9" customFormat="1" ht="18.5" x14ac:dyDescent="0.45">
      <c r="A253" s="9" t="str">
        <f>IF($C$1="English","I hereby certify that all the information in this document is accurate and complete.","Prin prezenta confirm ca toate informatiile din acest document sunt corecte si complete")</f>
        <v>I hereby certify that all the information in this document is accurate and complete.</v>
      </c>
      <c r="I253" s="45"/>
      <c r="L253" s="51"/>
      <c r="N253" s="46" t="str">
        <f>IF($C$1="English","NAME OF LEGAL REPRESENTATIVE:","NUMELE REPREZENTANTULUI LEGAL:")</f>
        <v>NAME OF LEGAL REPRESENTATIVE:</v>
      </c>
      <c r="O253" s="47"/>
      <c r="P253" s="47"/>
      <c r="Q253" s="47"/>
      <c r="R253" s="51"/>
      <c r="Y253" s="116"/>
    </row>
    <row r="254" spans="1:25" s="9" customFormat="1" ht="21" customHeight="1" x14ac:dyDescent="0.45">
      <c r="A254" s="48"/>
      <c r="B254" s="48"/>
      <c r="C254" s="45"/>
      <c r="D254" s="45"/>
      <c r="I254" s="49"/>
      <c r="L254" s="51"/>
      <c r="Y254" s="116"/>
    </row>
    <row r="255" spans="1:25" s="9" customFormat="1" ht="21" customHeight="1" x14ac:dyDescent="0.45">
      <c r="A255" s="48"/>
      <c r="B255" s="48"/>
      <c r="C255" s="45"/>
      <c r="D255" s="45"/>
      <c r="I255" s="49"/>
      <c r="L255" s="51"/>
      <c r="Y255" s="116"/>
    </row>
    <row r="256" spans="1:25" s="9" customFormat="1" ht="18.5" x14ac:dyDescent="0.45">
      <c r="A256" s="48"/>
      <c r="B256" s="48"/>
      <c r="L256" s="51"/>
      <c r="Y256" s="116"/>
    </row>
    <row r="257" spans="1:25" s="9" customFormat="1" ht="18.5" x14ac:dyDescent="0.45">
      <c r="A257" s="48"/>
      <c r="B257" s="48"/>
      <c r="C257" s="45"/>
      <c r="D257" s="45"/>
      <c r="I257" s="50"/>
      <c r="L257" s="51"/>
      <c r="Y257" s="116"/>
    </row>
    <row r="258" spans="1:25" s="9" customFormat="1" ht="18.5" x14ac:dyDescent="0.45">
      <c r="A258" s="48"/>
      <c r="B258" s="48"/>
      <c r="C258" s="45"/>
      <c r="D258" s="45"/>
      <c r="F258" s="12" t="str">
        <f>IF($C$1="English","SIGNATURE:","SEMNATURA:")</f>
        <v>SIGNATURE:</v>
      </c>
      <c r="G258" s="47"/>
      <c r="H258" s="47"/>
      <c r="I258" s="47"/>
      <c r="J258" s="47"/>
      <c r="K258" s="47"/>
      <c r="L258" s="51"/>
      <c r="O258" s="12" t="str">
        <f>IF($C$1="English","DATE:","DATA")</f>
        <v>DATE:</v>
      </c>
      <c r="P258" s="47"/>
      <c r="Q258" s="47"/>
      <c r="R258" s="51"/>
      <c r="Y258" s="116"/>
    </row>
    <row r="259" spans="1:25" s="9" customFormat="1" ht="18.5" x14ac:dyDescent="0.45">
      <c r="A259" s="48"/>
      <c r="B259" s="48"/>
      <c r="C259" s="45"/>
      <c r="D259" s="45"/>
      <c r="I259" s="52"/>
      <c r="L259" s="51"/>
      <c r="Y259" s="116"/>
    </row>
    <row r="260" spans="1:25" ht="15.5" x14ac:dyDescent="0.35">
      <c r="C260" s="64"/>
      <c r="D260" s="64"/>
      <c r="I260" s="53"/>
    </row>
    <row r="264" spans="1:25" ht="12" customHeight="1" x14ac:dyDescent="0.35">
      <c r="A264" s="54" t="str">
        <f>IF($C$1="English","1) Only fields marked in yellow are to be filled in.","1)Se vor completa doar celulele marcate cu galben.")</f>
        <v>1) Only fields marked in yellow are to be filled in.</v>
      </c>
      <c r="B264" s="54"/>
      <c r="C264" s="55"/>
      <c r="D264" s="55"/>
      <c r="E264" s="56"/>
      <c r="F264" s="56"/>
      <c r="G264" s="57"/>
      <c r="H264" s="57"/>
      <c r="I264" s="58"/>
      <c r="J264" s="58"/>
      <c r="K264" s="56"/>
      <c r="L264" s="203"/>
      <c r="M264" s="56"/>
      <c r="N264" s="56"/>
      <c r="O264" s="56"/>
      <c r="P264" s="57"/>
      <c r="Q264" s="58"/>
      <c r="R264" s="58"/>
      <c r="S264" s="58"/>
    </row>
    <row r="265" spans="1:25" ht="12" customHeight="1" x14ac:dyDescent="0.35">
      <c r="A265" s="54" t="str">
        <f>IF($C$1="English","2) When applying for Project Modification choose YES in the drop down menu of cell J11. Otherwise select NO.","Cand se solicita modificare de proiect, selectati DA in lista din celula J11. In caz contrar selectati NU")</f>
        <v>2) When applying for Project Modification choose YES in the drop down menu of cell J11. Otherwise select NO.</v>
      </c>
      <c r="B265" s="54"/>
      <c r="C265" s="55"/>
      <c r="D265" s="55"/>
      <c r="E265" s="56"/>
      <c r="F265" s="56"/>
      <c r="G265" s="57"/>
      <c r="H265" s="57"/>
      <c r="I265" s="58"/>
      <c r="J265" s="58"/>
      <c r="K265" s="56"/>
      <c r="L265" s="203"/>
      <c r="M265" s="56"/>
      <c r="N265" s="56"/>
      <c r="O265" s="56"/>
      <c r="P265" s="57"/>
      <c r="Q265" s="58"/>
      <c r="R265" s="58"/>
      <c r="S265" s="58"/>
    </row>
    <row r="266" spans="1:25" ht="12" customHeight="1" x14ac:dyDescent="0.35">
      <c r="A266" s="54" t="str">
        <f>IF($C$1="English","3) Figures in cells with white background are calculated automatically based on the data inserted in the form.","3) Valorile din celulele albe sunt calculate automat pe baza datelor completate in formular")</f>
        <v>3) Figures in cells with white background are calculated automatically based on the data inserted in the form.</v>
      </c>
      <c r="B266" s="54"/>
      <c r="C266" s="55"/>
      <c r="D266" s="55"/>
      <c r="E266" s="56"/>
      <c r="F266" s="56"/>
      <c r="G266" s="57"/>
      <c r="H266" s="57"/>
      <c r="I266" s="58"/>
      <c r="J266" s="58"/>
      <c r="K266" s="56"/>
      <c r="L266" s="203"/>
      <c r="M266" s="56"/>
      <c r="N266" s="56"/>
      <c r="O266" s="56"/>
      <c r="P266" s="57"/>
      <c r="Q266" s="58"/>
      <c r="R266" s="58"/>
      <c r="S266" s="58"/>
    </row>
    <row r="267" spans="1:25" ht="12" customHeight="1" x14ac:dyDescent="0.35">
      <c r="A267" s="54" t="str">
        <f>IF($C$1="English","4) Select state aid category for the activity from drop down menu. Use only categories mentioned in the call text. Apply grant level according to the state aid category.","Selectati tipul ajutorului de stat din meniul de tip lista. Folositi numai categoriile mentionate in apelul de proiecte. Aplicati procentul de grant conform ajutorului de stat selectat.")</f>
        <v>4) Select state aid category for the activity from drop down menu. Use only categories mentioned in the call text. Apply grant level according to the state aid category.</v>
      </c>
      <c r="B267" s="54"/>
      <c r="C267" s="55"/>
      <c r="D267" s="55"/>
      <c r="E267" s="56"/>
      <c r="F267" s="56"/>
      <c r="G267" s="57"/>
      <c r="H267" s="57"/>
      <c r="I267" s="58"/>
      <c r="J267" s="58"/>
      <c r="K267" s="56"/>
      <c r="L267" s="203"/>
      <c r="M267" s="56"/>
      <c r="N267" s="56"/>
      <c r="O267" s="56"/>
      <c r="P267" s="57"/>
      <c r="Q267" s="58"/>
      <c r="R267" s="58"/>
      <c r="S267" s="58"/>
    </row>
    <row r="268" spans="1:25" ht="12" customHeight="1" x14ac:dyDescent="0.35">
      <c r="A268" s="54" t="str">
        <f>IF($C$1="English","5) Enter only the eligible amount of expenses. For entities that are not VAT payers this means an amount including the VAT.","5) inserati doar valoarea eligibila a cheltuielilor. Pentru entitatile neplatitoare de TVA, valoarea eligibila include si TVA")</f>
        <v>5) Enter only the eligible amount of expenses. For entities that are not VAT payers this means an amount including the VAT.</v>
      </c>
      <c r="B268" s="54"/>
      <c r="C268" s="55"/>
      <c r="D268" s="55"/>
      <c r="E268" s="56"/>
      <c r="F268" s="56"/>
      <c r="G268" s="57"/>
      <c r="H268" s="57"/>
      <c r="I268" s="58"/>
      <c r="J268" s="58"/>
      <c r="K268" s="56"/>
      <c r="L268" s="203"/>
      <c r="M268" s="56"/>
      <c r="N268" s="56"/>
      <c r="O268" s="56"/>
      <c r="P268" s="57"/>
      <c r="Q268" s="58"/>
      <c r="R268" s="58"/>
      <c r="S268" s="58"/>
    </row>
    <row r="269" spans="1:25" ht="12" customHeight="1" x14ac:dyDescent="0.35">
      <c r="A269" s="54" t="str">
        <f>IF($C$1="English","6) It is obligatory to select the organization responsible for particular cost from the drop-down menu. PP - stands for Project Promoter, P1 - First Project Partner etc.","Este obligatoriu sa selectati organizatia responsabila cu implementarea anumitor costuri din meniul tip lista. PP - Promotorul de Proiect, P1 - Partenerul de proiect no.1")</f>
        <v>6) It is obligatory to select the organization responsible for particular cost from the drop-down menu. PP - stands for Project Promoter, P1 - First Project Partner etc.</v>
      </c>
      <c r="B269" s="54"/>
      <c r="C269" s="59"/>
      <c r="D269" s="59"/>
      <c r="E269" s="59"/>
      <c r="F269" s="59"/>
      <c r="G269" s="59"/>
      <c r="H269" s="59"/>
      <c r="I269" s="59"/>
      <c r="J269" s="59"/>
      <c r="K269" s="59"/>
      <c r="L269" s="204"/>
      <c r="M269" s="59"/>
      <c r="N269" s="59"/>
      <c r="O269" s="59"/>
      <c r="P269" s="57"/>
      <c r="Q269" s="58"/>
      <c r="R269" s="58"/>
      <c r="S269" s="58"/>
    </row>
    <row r="270" spans="1:25" s="61" customFormat="1" ht="12" customHeight="1" x14ac:dyDescent="0.3">
      <c r="A270" s="54" t="str">
        <f>IF($C$1="English","7) Use filter in cell Y1 to hide/unhide empty budget lines for easier overview/printing.","7) Utilizati filtrul in celula Y1 pentru a ascunde/arata liniile goale ale bugetului pentru o afisare/printare mai usoara")</f>
        <v>7) Use filter in cell Y1 to hide/unhide empty budget lines for easier overview/printing.</v>
      </c>
      <c r="B270" s="54"/>
      <c r="C270" s="60"/>
      <c r="D270" s="60"/>
      <c r="E270" s="60"/>
      <c r="F270" s="60"/>
      <c r="G270" s="60"/>
      <c r="H270" s="60"/>
      <c r="I270" s="60"/>
      <c r="J270" s="60"/>
      <c r="K270" s="60"/>
      <c r="L270" s="205"/>
      <c r="M270" s="60"/>
      <c r="N270" s="60"/>
      <c r="O270" s="60"/>
      <c r="P270" s="60"/>
      <c r="Q270" s="59"/>
      <c r="R270" s="59"/>
      <c r="Y270" s="120"/>
    </row>
    <row r="271" spans="1:25" s="61" customFormat="1" ht="12" customHeight="1" x14ac:dyDescent="0.3">
      <c r="A271" s="62"/>
      <c r="B271" s="62"/>
      <c r="C271" s="60"/>
      <c r="D271" s="60"/>
      <c r="E271" s="60"/>
      <c r="F271" s="60"/>
      <c r="G271" s="60"/>
      <c r="H271" s="60"/>
      <c r="I271" s="60"/>
      <c r="J271" s="60"/>
      <c r="K271" s="60"/>
      <c r="L271" s="205"/>
      <c r="M271" s="60"/>
      <c r="N271" s="60"/>
      <c r="O271" s="60"/>
      <c r="P271" s="60"/>
      <c r="Q271" s="59"/>
      <c r="R271" s="59"/>
      <c r="Y271" s="120"/>
    </row>
  </sheetData>
  <sheetProtection algorithmName="SHA-512" hashValue="XBfOXIL8kre2CXzux67faLCrlxHopkBBY8649kDZ2CwVyLzNiwbZDWU0jasIzafUWTxcaY68/+kb3a14Lk67Dg==" saltValue="3l1XsGDFhqsB1/+JM/Ov/w==" spinCount="100000" sheet="1" formatCells="0" formatColumns="0" formatRows="0" insertHyperlinks="0" sort="0" autoFilter="0"/>
  <protectedRanges>
    <protectedRange sqref="A24:B25" name="Range1"/>
  </protectedRanges>
  <autoFilter ref="Y1:Y271" xr:uid="{2FA7A9E8-66B1-4981-ABE5-7D056C981052}"/>
  <dataConsolidate/>
  <mergeCells count="535">
    <mergeCell ref="U237:V237"/>
    <mergeCell ref="U238:V238"/>
    <mergeCell ref="U239:V239"/>
    <mergeCell ref="U240:V240"/>
    <mergeCell ref="U241:V241"/>
    <mergeCell ref="U242:V242"/>
    <mergeCell ref="U243:V243"/>
    <mergeCell ref="A231:B231"/>
    <mergeCell ref="A206:B206"/>
    <mergeCell ref="G239:H239"/>
    <mergeCell ref="C242:D242"/>
    <mergeCell ref="E242:F242"/>
    <mergeCell ref="C240:D240"/>
    <mergeCell ref="E240:F240"/>
    <mergeCell ref="M240:N240"/>
    <mergeCell ref="O240:P240"/>
    <mergeCell ref="C241:D241"/>
    <mergeCell ref="E241:F241"/>
    <mergeCell ref="M241:N241"/>
    <mergeCell ref="O241:P241"/>
    <mergeCell ref="C238:D238"/>
    <mergeCell ref="E238:F238"/>
    <mergeCell ref="M238:N238"/>
    <mergeCell ref="G242:H242"/>
    <mergeCell ref="M235:W235"/>
    <mergeCell ref="R88:S88"/>
    <mergeCell ref="H133:I133"/>
    <mergeCell ref="R133:S133"/>
    <mergeCell ref="H158:I158"/>
    <mergeCell ref="R158:S158"/>
    <mergeCell ref="H185:I185"/>
    <mergeCell ref="R185:S185"/>
    <mergeCell ref="M183:U184"/>
    <mergeCell ref="P158:Q158"/>
    <mergeCell ref="M131:U132"/>
    <mergeCell ref="P133:Q133"/>
    <mergeCell ref="V92:X92"/>
    <mergeCell ref="V93:X93"/>
    <mergeCell ref="V94:X94"/>
    <mergeCell ref="V129:X129"/>
    <mergeCell ref="V128:X128"/>
    <mergeCell ref="V127:X127"/>
    <mergeCell ref="V126:X126"/>
    <mergeCell ref="V107:X107"/>
    <mergeCell ref="V108:X108"/>
    <mergeCell ref="V109:X109"/>
    <mergeCell ref="V125:X125"/>
    <mergeCell ref="V124:X124"/>
    <mergeCell ref="G236:H236"/>
    <mergeCell ref="G237:H237"/>
    <mergeCell ref="G238:H238"/>
    <mergeCell ref="G240:H240"/>
    <mergeCell ref="G241:H241"/>
    <mergeCell ref="A84:B84"/>
    <mergeCell ref="A129:B129"/>
    <mergeCell ref="A154:B154"/>
    <mergeCell ref="A179:B179"/>
    <mergeCell ref="B235:K235"/>
    <mergeCell ref="C131:K132"/>
    <mergeCell ref="F133:G133"/>
    <mergeCell ref="A128:B128"/>
    <mergeCell ref="A127:B127"/>
    <mergeCell ref="A126:B126"/>
    <mergeCell ref="A125:B125"/>
    <mergeCell ref="A124:B124"/>
    <mergeCell ref="A123:B123"/>
    <mergeCell ref="A122:B122"/>
    <mergeCell ref="A121:B121"/>
    <mergeCell ref="A120:B120"/>
    <mergeCell ref="A119:B119"/>
    <mergeCell ref="A118:B118"/>
    <mergeCell ref="A117:B117"/>
    <mergeCell ref="Q236:R236"/>
    <mergeCell ref="Q237:R237"/>
    <mergeCell ref="Q238:R238"/>
    <mergeCell ref="Q239:R239"/>
    <mergeCell ref="Q240:R240"/>
    <mergeCell ref="Q241:R241"/>
    <mergeCell ref="Q242:R242"/>
    <mergeCell ref="Q243:R243"/>
    <mergeCell ref="M242:N242"/>
    <mergeCell ref="O242:P242"/>
    <mergeCell ref="O16:P17"/>
    <mergeCell ref="H210:I210"/>
    <mergeCell ref="F185:G185"/>
    <mergeCell ref="P185:Q185"/>
    <mergeCell ref="V21:X22"/>
    <mergeCell ref="V23:X23"/>
    <mergeCell ref="V24:X24"/>
    <mergeCell ref="V25:X25"/>
    <mergeCell ref="V26:X26"/>
    <mergeCell ref="V27:X27"/>
    <mergeCell ref="V28:X28"/>
    <mergeCell ref="V29:X29"/>
    <mergeCell ref="V30:X30"/>
    <mergeCell ref="C183:K184"/>
    <mergeCell ref="V82:X82"/>
    <mergeCell ref="V81:X81"/>
    <mergeCell ref="V80:X80"/>
    <mergeCell ref="V79:X79"/>
    <mergeCell ref="V78:X78"/>
    <mergeCell ref="V77:X77"/>
    <mergeCell ref="V76:X76"/>
    <mergeCell ref="V67:X67"/>
    <mergeCell ref="V66:X66"/>
    <mergeCell ref="V65:X65"/>
    <mergeCell ref="C9:J10"/>
    <mergeCell ref="S1:X1"/>
    <mergeCell ref="C12:E12"/>
    <mergeCell ref="C86:K87"/>
    <mergeCell ref="M86:U87"/>
    <mergeCell ref="F88:G88"/>
    <mergeCell ref="P23:Q23"/>
    <mergeCell ref="T16:U17"/>
    <mergeCell ref="C18:D18"/>
    <mergeCell ref="P88:Q88"/>
    <mergeCell ref="X16:X17"/>
    <mergeCell ref="M18:N18"/>
    <mergeCell ref="M16:N17"/>
    <mergeCell ref="H23:I23"/>
    <mergeCell ref="R23:S23"/>
    <mergeCell ref="Q16:Q17"/>
    <mergeCell ref="V73:X73"/>
    <mergeCell ref="V72:X72"/>
    <mergeCell ref="V71:X71"/>
    <mergeCell ref="V70:X70"/>
    <mergeCell ref="V69:X69"/>
    <mergeCell ref="V68:X68"/>
    <mergeCell ref="V84:X84"/>
    <mergeCell ref="V83:X83"/>
    <mergeCell ref="C243:D243"/>
    <mergeCell ref="E243:F243"/>
    <mergeCell ref="M243:N243"/>
    <mergeCell ref="C208:K209"/>
    <mergeCell ref="M208:U209"/>
    <mergeCell ref="F210:G210"/>
    <mergeCell ref="P210:Q210"/>
    <mergeCell ref="C236:D236"/>
    <mergeCell ref="E236:F236"/>
    <mergeCell ref="M236:N236"/>
    <mergeCell ref="O236:P236"/>
    <mergeCell ref="O243:P243"/>
    <mergeCell ref="C237:D237"/>
    <mergeCell ref="E237:F237"/>
    <mergeCell ref="M237:N237"/>
    <mergeCell ref="O237:P237"/>
    <mergeCell ref="O238:P238"/>
    <mergeCell ref="C239:D239"/>
    <mergeCell ref="E239:F239"/>
    <mergeCell ref="M239:N239"/>
    <mergeCell ref="O239:P239"/>
    <mergeCell ref="U236:V236"/>
    <mergeCell ref="G243:H243"/>
    <mergeCell ref="V231:X231"/>
    <mergeCell ref="A7:B7"/>
    <mergeCell ref="A9:B10"/>
    <mergeCell ref="A12:B12"/>
    <mergeCell ref="A27:B27"/>
    <mergeCell ref="C5:J5"/>
    <mergeCell ref="C3:J3"/>
    <mergeCell ref="O3:U3"/>
    <mergeCell ref="O5:U5"/>
    <mergeCell ref="O7:U7"/>
    <mergeCell ref="C7:J7"/>
    <mergeCell ref="A3:B3"/>
    <mergeCell ref="A5:B5"/>
    <mergeCell ref="A24:B24"/>
    <mergeCell ref="C21:K22"/>
    <mergeCell ref="M21:U22"/>
    <mergeCell ref="F23:G23"/>
    <mergeCell ref="A16:A17"/>
    <mergeCell ref="C16:D17"/>
    <mergeCell ref="E16:E17"/>
    <mergeCell ref="F16:G17"/>
    <mergeCell ref="T18:U18"/>
    <mergeCell ref="F18:G18"/>
    <mergeCell ref="H18:I18"/>
    <mergeCell ref="R18:S18"/>
    <mergeCell ref="B16:B17"/>
    <mergeCell ref="J16:J17"/>
    <mergeCell ref="V18:W18"/>
    <mergeCell ref="R16:S17"/>
    <mergeCell ref="H16:I17"/>
    <mergeCell ref="O18:P18"/>
    <mergeCell ref="A41:B41"/>
    <mergeCell ref="A42:B42"/>
    <mergeCell ref="A43:B43"/>
    <mergeCell ref="A33:B33"/>
    <mergeCell ref="A34:B34"/>
    <mergeCell ref="A35:B35"/>
    <mergeCell ref="A36:B36"/>
    <mergeCell ref="A25:B25"/>
    <mergeCell ref="A26:B26"/>
    <mergeCell ref="A23:B23"/>
    <mergeCell ref="A21:B21"/>
    <mergeCell ref="A22:B22"/>
    <mergeCell ref="A28:B28"/>
    <mergeCell ref="A29:B29"/>
    <mergeCell ref="A30:B30"/>
    <mergeCell ref="A31:B31"/>
    <mergeCell ref="A32:B32"/>
    <mergeCell ref="V16:W17"/>
    <mergeCell ref="A44:B44"/>
    <mergeCell ref="A45:B45"/>
    <mergeCell ref="A37:B37"/>
    <mergeCell ref="A38:B38"/>
    <mergeCell ref="A39:B39"/>
    <mergeCell ref="A40:B40"/>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V31:X31"/>
    <mergeCell ref="V32:X32"/>
    <mergeCell ref="V33:X33"/>
    <mergeCell ref="V34:X34"/>
    <mergeCell ref="V35:X35"/>
    <mergeCell ref="V36:X36"/>
    <mergeCell ref="V37:X37"/>
    <mergeCell ref="V38:X38"/>
    <mergeCell ref="V39:X39"/>
    <mergeCell ref="V40:X40"/>
    <mergeCell ref="V41:X41"/>
    <mergeCell ref="V42:X42"/>
    <mergeCell ref="V43:X43"/>
    <mergeCell ref="V44:X44"/>
    <mergeCell ref="V75:X75"/>
    <mergeCell ref="V74:X74"/>
    <mergeCell ref="V64:X64"/>
    <mergeCell ref="V45:X45"/>
    <mergeCell ref="V46:X46"/>
    <mergeCell ref="V47:X47"/>
    <mergeCell ref="V48:X48"/>
    <mergeCell ref="V63:X63"/>
    <mergeCell ref="V62:X62"/>
    <mergeCell ref="V61:X61"/>
    <mergeCell ref="V60:X60"/>
    <mergeCell ref="V59:X59"/>
    <mergeCell ref="V58:X58"/>
    <mergeCell ref="V49:X49"/>
    <mergeCell ref="V50:X50"/>
    <mergeCell ref="V51:X51"/>
    <mergeCell ref="V52:X52"/>
    <mergeCell ref="V53:X53"/>
    <mergeCell ref="V54:X54"/>
    <mergeCell ref="V55:X55"/>
    <mergeCell ref="V56:X56"/>
    <mergeCell ref="V57:X57"/>
    <mergeCell ref="V86:X87"/>
    <mergeCell ref="V88:X88"/>
    <mergeCell ref="V89:X89"/>
    <mergeCell ref="A86:B86"/>
    <mergeCell ref="A87:B87"/>
    <mergeCell ref="A88:B88"/>
    <mergeCell ref="A89:B89"/>
    <mergeCell ref="V90:X90"/>
    <mergeCell ref="V91:X91"/>
    <mergeCell ref="A90:B90"/>
    <mergeCell ref="A91:B91"/>
    <mergeCell ref="H88:I88"/>
    <mergeCell ref="A116:B116"/>
    <mergeCell ref="A115:B115"/>
    <mergeCell ref="A114:B114"/>
    <mergeCell ref="A92:B92"/>
    <mergeCell ref="A93:B93"/>
    <mergeCell ref="A94:B94"/>
    <mergeCell ref="A95:B95"/>
    <mergeCell ref="A96:B96"/>
    <mergeCell ref="A97:B97"/>
    <mergeCell ref="A98:B98"/>
    <mergeCell ref="A99:B99"/>
    <mergeCell ref="A100:B100"/>
    <mergeCell ref="A101:B101"/>
    <mergeCell ref="A102:B102"/>
    <mergeCell ref="A113:B113"/>
    <mergeCell ref="A112:B112"/>
    <mergeCell ref="A111:B111"/>
    <mergeCell ref="A110:B110"/>
    <mergeCell ref="A109:B109"/>
    <mergeCell ref="A108:B108"/>
    <mergeCell ref="A107:B107"/>
    <mergeCell ref="A103:B103"/>
    <mergeCell ref="A104:B104"/>
    <mergeCell ref="A105:B105"/>
    <mergeCell ref="A106:B106"/>
    <mergeCell ref="V95:X95"/>
    <mergeCell ref="V96:X96"/>
    <mergeCell ref="V97:X97"/>
    <mergeCell ref="V98:X98"/>
    <mergeCell ref="V99:X99"/>
    <mergeCell ref="V100:X100"/>
    <mergeCell ref="V101:X101"/>
    <mergeCell ref="V102:X102"/>
    <mergeCell ref="V103:X103"/>
    <mergeCell ref="V104:X104"/>
    <mergeCell ref="V105:X105"/>
    <mergeCell ref="V106:X106"/>
    <mergeCell ref="V123:X123"/>
    <mergeCell ref="V110:X110"/>
    <mergeCell ref="V111:X111"/>
    <mergeCell ref="V112:X112"/>
    <mergeCell ref="V113:X113"/>
    <mergeCell ref="V114:X114"/>
    <mergeCell ref="V122:X122"/>
    <mergeCell ref="V121:X121"/>
    <mergeCell ref="V115:X115"/>
    <mergeCell ref="V116:X116"/>
    <mergeCell ref="V117:X117"/>
    <mergeCell ref="V118:X118"/>
    <mergeCell ref="V119:X119"/>
    <mergeCell ref="V120:X120"/>
    <mergeCell ref="V131:X132"/>
    <mergeCell ref="V133:X133"/>
    <mergeCell ref="V134:X134"/>
    <mergeCell ref="V135:X135"/>
    <mergeCell ref="V136:X136"/>
    <mergeCell ref="V137:X137"/>
    <mergeCell ref="V154:X154"/>
    <mergeCell ref="V153:X153"/>
    <mergeCell ref="V152:X152"/>
    <mergeCell ref="V151:X151"/>
    <mergeCell ref="V138:X138"/>
    <mergeCell ref="V139:X139"/>
    <mergeCell ref="V140:X140"/>
    <mergeCell ref="V150:X150"/>
    <mergeCell ref="V149:X149"/>
    <mergeCell ref="V141:X141"/>
    <mergeCell ref="V142:X142"/>
    <mergeCell ref="V143:X143"/>
    <mergeCell ref="V144:X144"/>
    <mergeCell ref="V145:X145"/>
    <mergeCell ref="V146:X146"/>
    <mergeCell ref="V147:X147"/>
    <mergeCell ref="V148:X148"/>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6:B156"/>
    <mergeCell ref="A157:B157"/>
    <mergeCell ref="V156:X157"/>
    <mergeCell ref="V158:X158"/>
    <mergeCell ref="F158:G158"/>
    <mergeCell ref="C156:K157"/>
    <mergeCell ref="M156:U157"/>
    <mergeCell ref="V159:X159"/>
    <mergeCell ref="A158:B158"/>
    <mergeCell ref="A159:B159"/>
    <mergeCell ref="A160:B160"/>
    <mergeCell ref="A161:B161"/>
    <mergeCell ref="A162:B162"/>
    <mergeCell ref="A163:B163"/>
    <mergeCell ref="A164:B164"/>
    <mergeCell ref="A165:B165"/>
    <mergeCell ref="A177:B177"/>
    <mergeCell ref="A176:B176"/>
    <mergeCell ref="A167:B167"/>
    <mergeCell ref="A168:B168"/>
    <mergeCell ref="A169:B169"/>
    <mergeCell ref="A175:B175"/>
    <mergeCell ref="A174:B174"/>
    <mergeCell ref="A173:B173"/>
    <mergeCell ref="A170:B170"/>
    <mergeCell ref="A171:B171"/>
    <mergeCell ref="A172:B172"/>
    <mergeCell ref="A199:B199"/>
    <mergeCell ref="A200:B200"/>
    <mergeCell ref="V179:X179"/>
    <mergeCell ref="V178:X178"/>
    <mergeCell ref="V160:X160"/>
    <mergeCell ref="V161:X161"/>
    <mergeCell ref="V162:X162"/>
    <mergeCell ref="V163:X163"/>
    <mergeCell ref="V164:X164"/>
    <mergeCell ref="V165:X165"/>
    <mergeCell ref="V166:X166"/>
    <mergeCell ref="V167:X167"/>
    <mergeCell ref="V168:X168"/>
    <mergeCell ref="V169:X169"/>
    <mergeCell ref="V177:X177"/>
    <mergeCell ref="V176:X176"/>
    <mergeCell ref="V175:X175"/>
    <mergeCell ref="V174:X174"/>
    <mergeCell ref="V170:X170"/>
    <mergeCell ref="V171:X171"/>
    <mergeCell ref="V172:X172"/>
    <mergeCell ref="V173:X173"/>
    <mergeCell ref="A166:B166"/>
    <mergeCell ref="A178:B178"/>
    <mergeCell ref="V200:X200"/>
    <mergeCell ref="V201:X201"/>
    <mergeCell ref="A183:B183"/>
    <mergeCell ref="A184:B184"/>
    <mergeCell ref="A185:B185"/>
    <mergeCell ref="V183:X184"/>
    <mergeCell ref="V185:X185"/>
    <mergeCell ref="A186:B186"/>
    <mergeCell ref="A205:B205"/>
    <mergeCell ref="A204:B204"/>
    <mergeCell ref="A203:B203"/>
    <mergeCell ref="A202:B202"/>
    <mergeCell ref="A187:B187"/>
    <mergeCell ref="A188:B188"/>
    <mergeCell ref="A189:B189"/>
    <mergeCell ref="A190:B190"/>
    <mergeCell ref="A191:B191"/>
    <mergeCell ref="A192:B192"/>
    <mergeCell ref="A193:B193"/>
    <mergeCell ref="A194:B194"/>
    <mergeCell ref="A195:B195"/>
    <mergeCell ref="A196:B196"/>
    <mergeCell ref="A197:B197"/>
    <mergeCell ref="A198:B198"/>
    <mergeCell ref="V210:X210"/>
    <mergeCell ref="V211:X211"/>
    <mergeCell ref="V212:X212"/>
    <mergeCell ref="V213:X213"/>
    <mergeCell ref="A201:B201"/>
    <mergeCell ref="V206:X206"/>
    <mergeCell ref="V186:X186"/>
    <mergeCell ref="V187:X187"/>
    <mergeCell ref="V188:X188"/>
    <mergeCell ref="V189:X189"/>
    <mergeCell ref="V190:X190"/>
    <mergeCell ref="V205:X205"/>
    <mergeCell ref="V204:X204"/>
    <mergeCell ref="V191:X191"/>
    <mergeCell ref="V192:X192"/>
    <mergeCell ref="V193:X193"/>
    <mergeCell ref="V203:X203"/>
    <mergeCell ref="V202:X202"/>
    <mergeCell ref="V194:X194"/>
    <mergeCell ref="V195:X195"/>
    <mergeCell ref="V196:X196"/>
    <mergeCell ref="V197:X197"/>
    <mergeCell ref="V198:X198"/>
    <mergeCell ref="V199:X199"/>
    <mergeCell ref="A230:B230"/>
    <mergeCell ref="A229:B229"/>
    <mergeCell ref="A228:B228"/>
    <mergeCell ref="A227:B227"/>
    <mergeCell ref="A226:B226"/>
    <mergeCell ref="A225:B225"/>
    <mergeCell ref="A219:B219"/>
    <mergeCell ref="A220:B220"/>
    <mergeCell ref="A221:B221"/>
    <mergeCell ref="A222:B222"/>
    <mergeCell ref="A223:B223"/>
    <mergeCell ref="A224:B224"/>
    <mergeCell ref="V230:X230"/>
    <mergeCell ref="V229:X229"/>
    <mergeCell ref="V228:X228"/>
    <mergeCell ref="V227:X227"/>
    <mergeCell ref="V226:X226"/>
    <mergeCell ref="V225:X225"/>
    <mergeCell ref="V224:X224"/>
    <mergeCell ref="V223:X223"/>
    <mergeCell ref="V222:X222"/>
    <mergeCell ref="A1:B1"/>
    <mergeCell ref="A2:B2"/>
    <mergeCell ref="C1:J1"/>
    <mergeCell ref="V221:X221"/>
    <mergeCell ref="V220:X220"/>
    <mergeCell ref="V219:X219"/>
    <mergeCell ref="V218:X218"/>
    <mergeCell ref="V217:X217"/>
    <mergeCell ref="V216:X216"/>
    <mergeCell ref="V215:X215"/>
    <mergeCell ref="V214:X214"/>
    <mergeCell ref="A216:B216"/>
    <mergeCell ref="A217:B217"/>
    <mergeCell ref="A218:B218"/>
    <mergeCell ref="A208:B208"/>
    <mergeCell ref="A209:B209"/>
    <mergeCell ref="A210:B210"/>
    <mergeCell ref="V208:X209"/>
    <mergeCell ref="A211:B211"/>
    <mergeCell ref="A212:B212"/>
    <mergeCell ref="A213:B213"/>
    <mergeCell ref="A214:B214"/>
    <mergeCell ref="A215:B215"/>
    <mergeCell ref="R210:S210"/>
  </mergeCells>
  <phoneticPr fontId="11" type="noConversion"/>
  <conditionalFormatting sqref="F159:F178 F89:F128 F186:F205 F134:F153 F24:F83 F211:F230">
    <cfRule type="expression" dxfId="17" priority="123" stopIfTrue="1">
      <formula>AND(F24="…",G24&lt;&gt;0)</formula>
    </cfRule>
  </conditionalFormatting>
  <conditionalFormatting sqref="A18:X243">
    <cfRule type="cellIs" dxfId="16" priority="100" operator="lessThan">
      <formula>0</formula>
    </cfRule>
  </conditionalFormatting>
  <conditionalFormatting sqref="A24:A83 A89:A128 A134:A153 A159:A178 A186:A205 A211:A230">
    <cfRule type="duplicateValues" dxfId="15" priority="66"/>
  </conditionalFormatting>
  <conditionalFormatting sqref="M15:X244">
    <cfRule type="expression" dxfId="14" priority="65">
      <formula>OR($J$12="Select…",$J$12="NO")</formula>
    </cfRule>
  </conditionalFormatting>
  <conditionalFormatting sqref="H159:H178 H24:H83 H134:H153 H186:H205 H89:H128 H211:H230">
    <cfRule type="expression" dxfId="13" priority="10">
      <formula>AND(H24="…",I24&lt;&gt;0)</formula>
    </cfRule>
  </conditionalFormatting>
  <conditionalFormatting sqref="P24:P83 P89:P128 P134:P153 P159:P178 P186:P205 P211:P230">
    <cfRule type="expression" dxfId="12" priority="9">
      <formula>AND(P24="…",Q24&lt;&gt;0)</formula>
    </cfRule>
  </conditionalFormatting>
  <conditionalFormatting sqref="R24:R83 R89:R128 R134:R153 R159:R178 R186:R205 R211:R230">
    <cfRule type="expression" dxfId="11" priority="8">
      <formula>AND(R24="…",S24&lt;&gt;0)</formula>
    </cfRule>
  </conditionalFormatting>
  <conditionalFormatting sqref="F134:F153">
    <cfRule type="expression" dxfId="10" priority="7">
      <formula>AND(F134="…",G134&lt;&gt;0)</formula>
    </cfRule>
  </conditionalFormatting>
  <conditionalFormatting sqref="H186:H190">
    <cfRule type="expression" dxfId="9" priority="6" stopIfTrue="1">
      <formula>AND(H186="…",I186&lt;&gt;0)</formula>
    </cfRule>
  </conditionalFormatting>
  <conditionalFormatting sqref="H211:H213">
    <cfRule type="expression" dxfId="8" priority="5" stopIfTrue="1">
      <formula>AND(H211="…",I211&lt;&gt;0)</formula>
    </cfRule>
  </conditionalFormatting>
  <conditionalFormatting sqref="H134:H153">
    <cfRule type="expression" dxfId="7" priority="4" stopIfTrue="1">
      <formula>AND(H134="…",I134&lt;&gt;0)</formula>
    </cfRule>
  </conditionalFormatting>
  <conditionalFormatting sqref="H134:H153">
    <cfRule type="expression" dxfId="6" priority="3">
      <formula>AND(H134="…",I134&lt;&gt;0)</formula>
    </cfRule>
  </conditionalFormatting>
  <conditionalFormatting sqref="F89:F128">
    <cfRule type="expression" dxfId="5" priority="2">
      <formula>AND(F89="…",G89&lt;&gt;0)</formula>
    </cfRule>
  </conditionalFormatting>
  <conditionalFormatting sqref="H24:H83">
    <cfRule type="expression" dxfId="4" priority="1" stopIfTrue="1">
      <formula>AND(H24="…",I24&lt;&gt;0)</formula>
    </cfRule>
  </conditionalFormatting>
  <pageMargins left="0.70866141732283472" right="0.70866141732283472" top="0.74803149606299213" bottom="0.74803149606299213" header="0.31496062992125984" footer="0.31496062992125984"/>
  <pageSetup paperSize="9" scale="57" fitToHeight="0" orientation="landscape" r:id="rId1"/>
  <headerFooter>
    <oddHeader>&amp;A</oddHeader>
    <oddFooter>&amp;LFile name: &amp;F    Printed: &amp;D&amp;C&amp;A&amp;RPage: &amp;P of &amp;N</oddFooter>
  </headerFooter>
  <rowBreaks count="1" manualBreakCount="1">
    <brk id="279"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7B6D7F8-2076-44CD-BAA6-E6FC4B67051A}">
          <x14:formula1>
            <xm:f>Admin!$D$2:$D$4</xm:f>
          </x14:formula1>
          <xm:sqref>J12</xm:sqref>
        </x14:dataValidation>
        <x14:dataValidation type="list" allowBlank="1" showInputMessage="1" showErrorMessage="1" xr:uid="{86807E4F-D4AD-4F83-AE01-57E6A4FC6CA2}">
          <x14:formula1>
            <xm:f>Admin!$E$2:$E$7</xm:f>
          </x14:formula1>
          <xm:sqref>P159:P178 P186:P205 F134:F153 P134:P153 F211:F230 F24:F83 F159:F178 F186:F205 P211:P230 P24:P83 F89:F128 P89:P128 H24:H83 R89:R128 H89:H128 R24:R83 H134:H153 R134:R153 H159:H178 R159:R178 H186:H205 R186:R205 H211:H230 R211:R230</xm:sqref>
        </x14:dataValidation>
        <x14:dataValidation type="list" showInputMessage="1" showErrorMessage="1" xr:uid="{C3CDA215-BAF7-4A30-BF68-8A8BB52A0717}">
          <x14:formula1>
            <xm:f>Admin!$AC$2:$AC$6</xm:f>
          </x14:formula1>
          <xm:sqref>O3:X3</xm:sqref>
        </x14:dataValidation>
        <x14:dataValidation type="list" allowBlank="1" showInputMessage="1" showErrorMessage="1" xr:uid="{D9A67DAD-ACA5-4BC7-BA4D-60170B5E42D2}">
          <x14:formula1>
            <xm:f>Admin!$C$2:$C$9</xm:f>
          </x14:formula1>
          <xm:sqref>A132 A157 A87 A22</xm:sqref>
        </x14:dataValidation>
        <x14:dataValidation type="list" allowBlank="1" showInputMessage="1" showErrorMessage="1" xr:uid="{949D5C0E-B344-456E-A632-61F73C750708}">
          <x14:formula1>
            <xm:f>Admin!$AD$2:$AD$3</xm:f>
          </x14:formula1>
          <xm:sqref>C1:J1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58E0-0799-41D0-8342-BFCEC3AB4AF6}">
  <sheetPr codeName="Sheet2"/>
  <dimension ref="B2:F45"/>
  <sheetViews>
    <sheetView zoomScale="80" zoomScaleNormal="80" workbookViewId="0">
      <selection activeCell="D4" sqref="D4"/>
    </sheetView>
  </sheetViews>
  <sheetFormatPr defaultRowHeight="14.5" x14ac:dyDescent="0.35"/>
  <cols>
    <col min="1" max="1" width="8.81640625" customWidth="1"/>
    <col min="2" max="2" width="44.54296875" bestFit="1" customWidth="1"/>
    <col min="3" max="3" width="28.08984375" customWidth="1"/>
    <col min="4" max="6" width="13.54296875" customWidth="1"/>
  </cols>
  <sheetData>
    <row r="2" spans="2:6" ht="14.15" customHeight="1" x14ac:dyDescent="0.35">
      <c r="B2" s="91" t="str">
        <f>IF('Detailed Budget'!$C$1="English","The values will be filled in gray cells","Valorile se vor completa in celulele gri")</f>
        <v>The values will be filled in gray cells</v>
      </c>
      <c r="C2" s="91"/>
    </row>
    <row r="3" spans="2:6" x14ac:dyDescent="0.35">
      <c r="B3" s="377" t="str">
        <f>IF('Detailed Budget'!$C$1="English","Insert the last fiscal year prior the application:","Inserati ultimul an fiscal finalizat inainte de transmiterea aplicatiei")</f>
        <v>Insert the last fiscal year prior the application:</v>
      </c>
      <c r="C3" s="378"/>
      <c r="D3" s="217">
        <v>2020</v>
      </c>
    </row>
    <row r="5" spans="2:6" x14ac:dyDescent="0.35">
      <c r="B5" s="111" t="str">
        <f>IF('Detailed Budget'!$C$1="English","The Exchange rate to be used is:","Cursul valutar ce se va folosi pentru transformare:")</f>
        <v>The Exchange rate to be used is:</v>
      </c>
      <c r="C5" s="111"/>
    </row>
    <row r="6" spans="2:6" x14ac:dyDescent="0.35">
      <c r="B6" s="111" t="s">
        <v>20</v>
      </c>
      <c r="C6" s="293" t="s">
        <v>21</v>
      </c>
    </row>
    <row r="7" spans="2:6" x14ac:dyDescent="0.35">
      <c r="B7" s="92"/>
      <c r="C7" s="92"/>
    </row>
    <row r="8" spans="2:6" x14ac:dyDescent="0.35">
      <c r="B8" s="374" t="str">
        <f>IF('Detailed Budget'!$C$1="English","BALANCE SHEET","BILANT ANUAL")</f>
        <v>BALANCE SHEET</v>
      </c>
      <c r="C8" s="374"/>
      <c r="D8" s="374"/>
      <c r="E8" s="374"/>
      <c r="F8" s="374"/>
    </row>
    <row r="9" spans="2:6" x14ac:dyDescent="0.35">
      <c r="B9" s="308"/>
      <c r="C9" s="308"/>
      <c r="D9" s="308"/>
      <c r="E9" s="308"/>
      <c r="F9" s="308"/>
    </row>
    <row r="10" spans="2:6" x14ac:dyDescent="0.35">
      <c r="B10" s="104"/>
      <c r="C10" s="110">
        <f t="shared" ref="C10:D10" si="0">D10-1</f>
        <v>2017</v>
      </c>
      <c r="D10" s="110">
        <f t="shared" si="0"/>
        <v>2018</v>
      </c>
      <c r="E10" s="110">
        <f>F10-1</f>
        <v>2019</v>
      </c>
      <c r="F10" s="110">
        <f>F17</f>
        <v>2020</v>
      </c>
    </row>
    <row r="11" spans="2:6" x14ac:dyDescent="0.35">
      <c r="B11" s="96" t="str">
        <f>IF('Detailed Budget'!$C$1="English","Paid in capital","Capital subscris")</f>
        <v>Paid in capital</v>
      </c>
      <c r="C11" s="97"/>
      <c r="D11" s="97"/>
      <c r="E11" s="97"/>
      <c r="F11" s="97"/>
    </row>
    <row r="12" spans="2:6" x14ac:dyDescent="0.35">
      <c r="B12" s="96" t="str">
        <f>IF('Detailed Budget'!$C$1="English","Revaluation reserves","Rezerve din reevaluare")</f>
        <v>Revaluation reserves</v>
      </c>
      <c r="C12" s="102"/>
      <c r="D12" s="97"/>
      <c r="E12" s="102"/>
      <c r="F12" s="102"/>
    </row>
    <row r="13" spans="2:6" x14ac:dyDescent="0.35">
      <c r="B13" s="96" t="str">
        <f>IF('Detailed Budget'!$C$1="English","Reserves","Rezerve")</f>
        <v>Reserves</v>
      </c>
      <c r="C13" s="102"/>
      <c r="D13" s="97"/>
      <c r="E13" s="102"/>
      <c r="F13" s="102"/>
    </row>
    <row r="15" spans="2:6" x14ac:dyDescent="0.35">
      <c r="B15" s="375" t="str">
        <f>IF('Detailed Budget'!$C$1="English","Financial figures of the company in the last four fiscal years.","Datele financiare ale companiei in ultimii 4 ani fiscali")</f>
        <v>Financial figures of the company in the last four fiscal years.</v>
      </c>
      <c r="C15" s="375"/>
      <c r="D15" s="375"/>
      <c r="E15" s="375"/>
      <c r="F15" s="375"/>
    </row>
    <row r="16" spans="2:6" x14ac:dyDescent="0.35">
      <c r="B16" s="93"/>
      <c r="C16" s="376" t="str">
        <f>IF('Detailed Budget'!$C$1="English","Historical information (EURO)","Informatii financiare istorice (EURO)")</f>
        <v>Historical information (EURO)</v>
      </c>
      <c r="D16" s="376"/>
      <c r="E16" s="376"/>
      <c r="F16" s="376"/>
    </row>
    <row r="17" spans="2:6" x14ac:dyDescent="0.35">
      <c r="B17" s="216"/>
      <c r="C17" s="169">
        <f t="shared" ref="C17:D17" si="1">D17-1</f>
        <v>2017</v>
      </c>
      <c r="D17" s="169">
        <f t="shared" si="1"/>
        <v>2018</v>
      </c>
      <c r="E17" s="169">
        <f>F17-1</f>
        <v>2019</v>
      </c>
      <c r="F17" s="169">
        <f>D3</f>
        <v>2020</v>
      </c>
    </row>
    <row r="18" spans="2:6" x14ac:dyDescent="0.35">
      <c r="B18" s="94" t="str">
        <f>IF('Detailed Budget'!$C$1="English","BALANCE SHEET","BILANT")</f>
        <v>BALANCE SHEET</v>
      </c>
      <c r="C18" s="95"/>
      <c r="D18" s="95"/>
      <c r="E18" s="95"/>
      <c r="F18" s="95"/>
    </row>
    <row r="19" spans="2:6" x14ac:dyDescent="0.35">
      <c r="B19" s="96" t="str">
        <f>IF('Detailed Budget'!$C$1="English","Intangible fixed assets","Total imobilizări necorporale")</f>
        <v>Intangible fixed assets</v>
      </c>
      <c r="C19" s="97"/>
      <c r="D19" s="97"/>
      <c r="E19" s="97"/>
      <c r="F19" s="97"/>
    </row>
    <row r="20" spans="2:6" x14ac:dyDescent="0.35">
      <c r="B20" s="96" t="str">
        <f>IF('Detailed Budget'!$C$1="English","Tangible fixed assets","Total Imobilizări corporale")</f>
        <v>Tangible fixed assets</v>
      </c>
      <c r="C20" s="97"/>
      <c r="D20" s="97"/>
      <c r="E20" s="97"/>
      <c r="F20" s="97"/>
    </row>
    <row r="21" spans="2:6" x14ac:dyDescent="0.35">
      <c r="B21" s="96" t="str">
        <f>IF('Detailed Budget'!$C$1="English","Financial fixed assets","Total imobilizari financiare")</f>
        <v>Financial fixed assets</v>
      </c>
      <c r="C21" s="97"/>
      <c r="D21" s="97"/>
      <c r="E21" s="97"/>
      <c r="F21" s="97"/>
    </row>
    <row r="22" spans="2:6" x14ac:dyDescent="0.35">
      <c r="B22" s="98" t="str">
        <f>IF('Detailed Budget'!$C$1="English","Total fixed assets","Total Active imobilizate")</f>
        <v>Total fixed assets</v>
      </c>
      <c r="C22" s="99">
        <f>SUM(C19:C21)</f>
        <v>0</v>
      </c>
      <c r="D22" s="99">
        <f t="shared" ref="D22:F22" si="2">SUM(D19:D21)</f>
        <v>0</v>
      </c>
      <c r="E22" s="99">
        <f t="shared" si="2"/>
        <v>0</v>
      </c>
      <c r="F22" s="99">
        <f t="shared" si="2"/>
        <v>0</v>
      </c>
    </row>
    <row r="23" spans="2:6" x14ac:dyDescent="0.35">
      <c r="B23" s="96" t="str">
        <f>IF('Detailed Budget'!$C$1="English","Inventories","Stocuri")</f>
        <v>Inventories</v>
      </c>
      <c r="C23" s="97"/>
      <c r="D23" s="97"/>
      <c r="E23" s="97"/>
      <c r="F23" s="97"/>
    </row>
    <row r="24" spans="2:6" x14ac:dyDescent="0.35">
      <c r="B24" s="96" t="str">
        <f>IF('Detailed Budget'!$C$1="English","Trade receivable","Creante")</f>
        <v>Trade receivable</v>
      </c>
      <c r="C24" s="97"/>
      <c r="D24" s="97"/>
      <c r="E24" s="97"/>
      <c r="F24" s="97"/>
    </row>
    <row r="25" spans="2:6" x14ac:dyDescent="0.35">
      <c r="B25" s="96" t="str">
        <f>IF('Detailed Budget'!$C$1="English","Short term investments","Investitii pe termen scurt")</f>
        <v>Short term investments</v>
      </c>
      <c r="C25" s="97"/>
      <c r="D25" s="97"/>
      <c r="E25" s="97"/>
      <c r="F25" s="97"/>
    </row>
    <row r="26" spans="2:6" x14ac:dyDescent="0.35">
      <c r="B26" s="96" t="str">
        <f>IF('Detailed Budget'!$C$1="English","Bank deposits","Casa si conturi la banci")</f>
        <v>Bank deposits</v>
      </c>
      <c r="C26" s="97"/>
      <c r="D26" s="97"/>
      <c r="E26" s="97"/>
      <c r="F26" s="97"/>
    </row>
    <row r="27" spans="2:6" x14ac:dyDescent="0.35">
      <c r="B27" s="98" t="str">
        <f>IF('Detailed Budget'!$C$1="English","Total current assets","Total active curente")</f>
        <v>Total current assets</v>
      </c>
      <c r="C27" s="99">
        <f>SUM(C23:C26)</f>
        <v>0</v>
      </c>
      <c r="D27" s="99">
        <f t="shared" ref="D27:F27" si="3">SUM(D23:D26)</f>
        <v>0</v>
      </c>
      <c r="E27" s="99">
        <f t="shared" si="3"/>
        <v>0</v>
      </c>
      <c r="F27" s="99">
        <f t="shared" si="3"/>
        <v>0</v>
      </c>
    </row>
    <row r="28" spans="2:6" x14ac:dyDescent="0.35">
      <c r="B28" s="100" t="str">
        <f>IF('Detailed Budget'!$C$1="English","Total assets","Total active")</f>
        <v>Total assets</v>
      </c>
      <c r="C28" s="101">
        <f>C22+C27</f>
        <v>0</v>
      </c>
      <c r="D28" s="101">
        <f t="shared" ref="D28:F28" si="4">D22+D27</f>
        <v>0</v>
      </c>
      <c r="E28" s="101">
        <f t="shared" si="4"/>
        <v>0</v>
      </c>
      <c r="F28" s="101">
        <f t="shared" si="4"/>
        <v>0</v>
      </c>
    </row>
    <row r="29" spans="2:6" x14ac:dyDescent="0.35">
      <c r="B29" s="96" t="str">
        <f>IF('Detailed Budget'!$C$1="English","Paid in capital + reserves","Capital subscris si rezerve")</f>
        <v>Paid in capital + reserves</v>
      </c>
      <c r="C29" s="170">
        <f>C11+C12+C13</f>
        <v>0</v>
      </c>
      <c r="D29" s="170">
        <f>D11+D12+D13</f>
        <v>0</v>
      </c>
      <c r="E29" s="170">
        <f>E11+E12+E13</f>
        <v>0</v>
      </c>
      <c r="F29" s="170">
        <f>F11+F12+F13</f>
        <v>0</v>
      </c>
    </row>
    <row r="30" spans="2:6" x14ac:dyDescent="0.35">
      <c r="B30" s="216" t="str">
        <f>IF('Detailed Budget'!$C$1="English","Retained earnings","Rezultat reportat + Rezultatul exercitiului")</f>
        <v>Retained earnings</v>
      </c>
      <c r="C30" s="97"/>
      <c r="D30" s="97"/>
      <c r="E30" s="97"/>
      <c r="F30" s="97"/>
    </row>
    <row r="31" spans="2:6" x14ac:dyDescent="0.35">
      <c r="B31" s="98" t="str">
        <f>IF('Detailed Budget'!$C$1="English","Total Shareholders' Equity","Total Capital propriu")</f>
        <v>Total Shareholders' Equity</v>
      </c>
      <c r="C31" s="99">
        <f>SUM(C29:C30)</f>
        <v>0</v>
      </c>
      <c r="D31" s="99">
        <f t="shared" ref="D31:F31" si="5">SUM(D29:D30)</f>
        <v>0</v>
      </c>
      <c r="E31" s="99">
        <f t="shared" si="5"/>
        <v>0</v>
      </c>
      <c r="F31" s="99">
        <f t="shared" si="5"/>
        <v>0</v>
      </c>
    </row>
    <row r="32" spans="2:6" x14ac:dyDescent="0.35">
      <c r="B32" s="96" t="str">
        <f>IF('Detailed Budget'!$C$1="English","Minority stake","Pachet minoritar de actiuni")</f>
        <v>Minority stake</v>
      </c>
      <c r="C32" s="97"/>
      <c r="D32" s="97"/>
      <c r="E32" s="97"/>
      <c r="F32" s="97"/>
    </row>
    <row r="33" spans="2:6" x14ac:dyDescent="0.35">
      <c r="B33" s="96" t="str">
        <f>IF('Detailed Budget'!$C$1="English","Provisions","Provizioane")</f>
        <v>Provisions</v>
      </c>
      <c r="C33" s="97"/>
      <c r="D33" s="97"/>
      <c r="E33" s="97"/>
      <c r="F33" s="97"/>
    </row>
    <row r="34" spans="2:6" x14ac:dyDescent="0.35">
      <c r="B34" s="96" t="str">
        <f>IF('Detailed Budget'!$C$1="English","Other long term liabilities","Alte datorii pe termen lung")</f>
        <v>Other long term liabilities</v>
      </c>
      <c r="C34" s="97"/>
      <c r="D34" s="97"/>
      <c r="E34" s="97"/>
      <c r="F34" s="97"/>
    </row>
    <row r="35" spans="2:6" x14ac:dyDescent="0.35">
      <c r="B35" s="98" t="str">
        <f>IF('Detailed Budget'!$C$1="English","Total noncurrent liabilities","Total pasive necurente")</f>
        <v>Total noncurrent liabilities</v>
      </c>
      <c r="C35" s="99">
        <f>SUM(C32:C34)</f>
        <v>0</v>
      </c>
      <c r="D35" s="99">
        <f t="shared" ref="D35:F35" si="6">SUM(D32:D34)</f>
        <v>0</v>
      </c>
      <c r="E35" s="99">
        <f t="shared" si="6"/>
        <v>0</v>
      </c>
      <c r="F35" s="99">
        <f t="shared" si="6"/>
        <v>0</v>
      </c>
    </row>
    <row r="36" spans="2:6" x14ac:dyDescent="0.35">
      <c r="B36" s="96" t="str">
        <f>IF('Detailed Budget'!$C$1="English","Debt to financial inst.","Datorii catre institutii financiare")</f>
        <v>Debt to financial inst.</v>
      </c>
      <c r="C36" s="97"/>
      <c r="D36" s="97"/>
      <c r="E36" s="97"/>
      <c r="F36" s="97"/>
    </row>
    <row r="37" spans="2:6" x14ac:dyDescent="0.35">
      <c r="B37" s="96" t="str">
        <f>IF('Detailed Budget'!$C$1="English","Trade creditors","Creditori comerciali")</f>
        <v>Trade creditors</v>
      </c>
      <c r="C37" s="97"/>
      <c r="D37" s="97"/>
      <c r="E37" s="97"/>
      <c r="F37" s="97"/>
    </row>
    <row r="38" spans="2:6" x14ac:dyDescent="0.35">
      <c r="B38" s="96" t="str">
        <f>IF('Detailed Budget'!$C$1="English","Tax and public duties","Taxe si alte datorii publice")</f>
        <v>Tax and public duties</v>
      </c>
      <c r="C38" s="97"/>
      <c r="D38" s="97"/>
      <c r="E38" s="97"/>
      <c r="F38" s="97"/>
    </row>
    <row r="39" spans="2:6" x14ac:dyDescent="0.35">
      <c r="B39" s="96" t="str">
        <f>IF('Detailed Budget'!$C$1="English","Other short term debt","Alte datorii pe termen scurt")</f>
        <v>Other short term debt</v>
      </c>
      <c r="C39" s="97"/>
      <c r="D39" s="97"/>
      <c r="E39" s="97"/>
      <c r="F39" s="97"/>
    </row>
    <row r="40" spans="2:6" x14ac:dyDescent="0.35">
      <c r="B40" s="98" t="str">
        <f>IF('Detailed Budget'!$C$1="English","Total current liabilities","Total pasive curente")</f>
        <v>Total current liabilities</v>
      </c>
      <c r="C40" s="99">
        <f>SUM(C36:C39)</f>
        <v>0</v>
      </c>
      <c r="D40" s="99">
        <f t="shared" ref="D40:F40" si="7">SUM(D36:D39)</f>
        <v>0</v>
      </c>
      <c r="E40" s="99">
        <f t="shared" si="7"/>
        <v>0</v>
      </c>
      <c r="F40" s="99">
        <f t="shared" si="7"/>
        <v>0</v>
      </c>
    </row>
    <row r="41" spans="2:6" x14ac:dyDescent="0.35">
      <c r="B41" s="98" t="str">
        <f>IF('Detailed Budget'!$C$1="English","Total liabilities","Total pasive")</f>
        <v>Total liabilities</v>
      </c>
      <c r="C41" s="99">
        <f>C40+C35</f>
        <v>0</v>
      </c>
      <c r="D41" s="99">
        <f t="shared" ref="D41:E41" si="8">D40+D35</f>
        <v>0</v>
      </c>
      <c r="E41" s="99">
        <f t="shared" si="8"/>
        <v>0</v>
      </c>
      <c r="F41" s="99">
        <f>F40+F35</f>
        <v>0</v>
      </c>
    </row>
    <row r="42" spans="2:6" x14ac:dyDescent="0.35">
      <c r="B42" s="100" t="str">
        <f>IF('Detailed Budget'!$C$1="English","Total equity and liabilities","Total pasive si capital propriu")</f>
        <v>Total equity and liabilities</v>
      </c>
      <c r="C42" s="101">
        <f>C41+C31</f>
        <v>0</v>
      </c>
      <c r="D42" s="101">
        <f t="shared" ref="D42:F42" si="9">D41+D31</f>
        <v>0</v>
      </c>
      <c r="E42" s="101">
        <f t="shared" si="9"/>
        <v>0</v>
      </c>
      <c r="F42" s="101">
        <f t="shared" si="9"/>
        <v>0</v>
      </c>
    </row>
    <row r="43" spans="2:6" x14ac:dyDescent="0.35">
      <c r="B43" s="103"/>
      <c r="C43" s="103"/>
    </row>
    <row r="45" spans="2:6" s="91" customFormat="1" x14ac:dyDescent="0.35">
      <c r="B45" s="91" t="s">
        <v>23</v>
      </c>
      <c r="C45" s="91" t="str">
        <f>IF(ROUND(C28,0)=ROUND(C42,0),"ok","Total assets different than total liabilities")</f>
        <v>ok</v>
      </c>
      <c r="D45" s="91" t="str">
        <f t="shared" ref="D45:F45" si="10">IF(ROUND(D28,0)=ROUND(D42,0),"ok","Total assets different than total liabilities")</f>
        <v>ok</v>
      </c>
      <c r="E45" s="91" t="str">
        <f t="shared" si="10"/>
        <v>ok</v>
      </c>
      <c r="F45" s="91" t="str">
        <f t="shared" si="10"/>
        <v>ok</v>
      </c>
    </row>
  </sheetData>
  <sheetProtection algorithmName="SHA-512" hashValue="nWSTUY0xTZHMxErp95QVDtTcP7I4ouUE0aBI0Hr3fungSCSQZguBVLokpIaNKhvYZ0eOYVBhwKUY3rMcjGVwmA==" saltValue="qRZWRINg+1N0DCBmME0j+Q==" spinCount="100000" sheet="1" objects="1" scenarios="1"/>
  <mergeCells count="4">
    <mergeCell ref="B8:F8"/>
    <mergeCell ref="B15:F15"/>
    <mergeCell ref="C16:F16"/>
    <mergeCell ref="B3:C3"/>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6004-C190-4082-B250-3029A56A28BA}">
  <sheetPr codeName="Sheet4"/>
  <dimension ref="B2:F32"/>
  <sheetViews>
    <sheetView zoomScale="85" zoomScaleNormal="85" workbookViewId="0">
      <selection activeCell="I13" sqref="I13"/>
    </sheetView>
  </sheetViews>
  <sheetFormatPr defaultRowHeight="14.5" x14ac:dyDescent="0.35"/>
  <cols>
    <col min="1" max="1" width="8.81640625" customWidth="1"/>
    <col min="2" max="2" width="44.08984375" bestFit="1" customWidth="1"/>
    <col min="3" max="3" width="17.81640625" bestFit="1" customWidth="1"/>
    <col min="4" max="6" width="12.54296875" customWidth="1"/>
  </cols>
  <sheetData>
    <row r="2" spans="2:6" x14ac:dyDescent="0.35">
      <c r="B2" s="91" t="str">
        <f>'Balance_sheet_Historical data'!B2</f>
        <v>The values will be filled in gray cells</v>
      </c>
      <c r="C2" s="91"/>
    </row>
    <row r="3" spans="2:6" x14ac:dyDescent="0.35">
      <c r="B3" s="91"/>
      <c r="C3" s="91"/>
    </row>
    <row r="4" spans="2:6" x14ac:dyDescent="0.35">
      <c r="B4" s="111" t="str">
        <f>'Balance_sheet_Historical data'!B5</f>
        <v>The Exchange rate to be used is:</v>
      </c>
      <c r="C4" s="111"/>
    </row>
    <row r="5" spans="2:6" x14ac:dyDescent="0.35">
      <c r="B5" s="111" t="s">
        <v>20</v>
      </c>
      <c r="C5" s="111" t="str">
        <f>'Balance_sheet_Historical data'!C6</f>
        <v>1 Euro = 4,8271 LEI</v>
      </c>
    </row>
    <row r="6" spans="2:6" x14ac:dyDescent="0.35">
      <c r="B6" s="92"/>
      <c r="C6" s="92"/>
    </row>
    <row r="7" spans="2:6" x14ac:dyDescent="0.35">
      <c r="B7" s="379" t="str">
        <f>IF('Detailed Budget'!$C$1="English","PROFIT AND LOSS","CONTUL DE PROFIT SI PIERDERE")</f>
        <v>PROFIT AND LOSS</v>
      </c>
      <c r="C7" s="379"/>
      <c r="D7" s="379"/>
      <c r="E7" s="379"/>
      <c r="F7" s="379"/>
    </row>
    <row r="8" spans="2:6" x14ac:dyDescent="0.35">
      <c r="B8" s="375" t="str">
        <f>'Balance_sheet_Historical data'!B15</f>
        <v>Financial figures of the company in the last four fiscal years.</v>
      </c>
      <c r="C8" s="375"/>
      <c r="D8" s="375"/>
      <c r="E8" s="375"/>
      <c r="F8" s="375"/>
    </row>
    <row r="9" spans="2:6" x14ac:dyDescent="0.35">
      <c r="B9" s="104"/>
      <c r="C9" s="380" t="str">
        <f>'Balance_sheet_Historical data'!C16</f>
        <v>Historical information (EURO)</v>
      </c>
      <c r="D9" s="381"/>
      <c r="E9" s="381"/>
      <c r="F9" s="382"/>
    </row>
    <row r="10" spans="2:6" x14ac:dyDescent="0.35">
      <c r="B10" s="104"/>
      <c r="C10" s="169">
        <f t="shared" ref="C10:D10" si="0">D10-1</f>
        <v>2017</v>
      </c>
      <c r="D10" s="169">
        <f t="shared" si="0"/>
        <v>2018</v>
      </c>
      <c r="E10" s="169">
        <f>F10-1</f>
        <v>2019</v>
      </c>
      <c r="F10" s="169">
        <f>'Balance_sheet_Historical data'!F17</f>
        <v>2020</v>
      </c>
    </row>
    <row r="11" spans="2:6" x14ac:dyDescent="0.35">
      <c r="B11" s="75" t="str">
        <f>IF('Detailed Budget'!$C$1="English","Revenue","Venituri (Cifra de afaceri)")</f>
        <v>Revenue</v>
      </c>
      <c r="C11" s="105"/>
      <c r="D11" s="105"/>
      <c r="E11" s="105"/>
      <c r="F11" s="105"/>
    </row>
    <row r="12" spans="2:6" x14ac:dyDescent="0.35">
      <c r="B12" s="218" t="str">
        <f>IF('Detailed Budget'!$C$1="English","Other operating revenue","Alte venituri operationale")</f>
        <v>Other operating revenue</v>
      </c>
      <c r="C12" s="219"/>
      <c r="D12" s="105"/>
      <c r="E12" s="105"/>
      <c r="F12" s="105"/>
    </row>
    <row r="13" spans="2:6" x14ac:dyDescent="0.35">
      <c r="B13" s="98" t="str">
        <f>IF('Detailed Budget'!$C$1="English","Total operating income","Total venituri operationale")</f>
        <v>Total operating income</v>
      </c>
      <c r="C13" s="99">
        <f>C11+C12</f>
        <v>0</v>
      </c>
      <c r="D13" s="99">
        <f t="shared" ref="D13:F13" si="1">D11+D12</f>
        <v>0</v>
      </c>
      <c r="E13" s="99">
        <f t="shared" si="1"/>
        <v>0</v>
      </c>
      <c r="F13" s="99">
        <f t="shared" si="1"/>
        <v>0</v>
      </c>
    </row>
    <row r="14" spans="2:6" x14ac:dyDescent="0.35">
      <c r="B14" s="96" t="str">
        <f>IF('Detailed Budget'!$C$1="English","Change in inventories","Ajustări de valoare privind activele circulante")</f>
        <v>Change in inventories</v>
      </c>
      <c r="C14" s="102"/>
      <c r="D14" s="105"/>
      <c r="E14" s="105"/>
      <c r="F14" s="105"/>
    </row>
    <row r="15" spans="2:6" x14ac:dyDescent="0.35">
      <c r="B15" s="96" t="str">
        <f>IF('Detailed Budget'!$C$1="English","Cost of sold goods","Costul produselor vandute")</f>
        <v>Cost of sold goods</v>
      </c>
      <c r="C15" s="102"/>
      <c r="D15" s="105"/>
      <c r="E15" s="105"/>
      <c r="F15" s="105"/>
    </row>
    <row r="16" spans="2:6" x14ac:dyDescent="0.35">
      <c r="B16" s="96" t="str">
        <f>IF('Detailed Budget'!$C$1="English","Payroll expense","Costuri salariale")</f>
        <v>Payroll expense</v>
      </c>
      <c r="C16" s="102"/>
      <c r="D16" s="105"/>
      <c r="E16" s="105"/>
      <c r="F16" s="105"/>
    </row>
    <row r="17" spans="2:6" x14ac:dyDescent="0.35">
      <c r="B17" s="96" t="str">
        <f>IF('Detailed Budget'!$C$1="English","Depretiation and amortization","Depreciere si amortizare")</f>
        <v>Depretiation and amortization</v>
      </c>
      <c r="C17" s="102"/>
      <c r="D17" s="105"/>
      <c r="E17" s="105"/>
      <c r="F17" s="105"/>
    </row>
    <row r="18" spans="2:6" x14ac:dyDescent="0.35">
      <c r="B18" s="96" t="str">
        <f>IF('Detailed Budget'!$C$1="English","Other operating expenses","Alte costuri operationale")</f>
        <v>Other operating expenses</v>
      </c>
      <c r="C18" s="102"/>
      <c r="D18" s="105"/>
      <c r="E18" s="105"/>
      <c r="F18" s="105"/>
    </row>
    <row r="19" spans="2:6" x14ac:dyDescent="0.35">
      <c r="B19" s="98" t="str">
        <f>IF('Detailed Budget'!$C$1="English","Total operating expenses","Total costuri operationale")</f>
        <v>Total operating expenses</v>
      </c>
      <c r="C19" s="99">
        <f>SUM(C14:C18)</f>
        <v>0</v>
      </c>
      <c r="D19" s="99">
        <f t="shared" ref="D19:F19" si="2">SUM(D14:D18)</f>
        <v>0</v>
      </c>
      <c r="E19" s="99">
        <f t="shared" si="2"/>
        <v>0</v>
      </c>
      <c r="F19" s="99">
        <f t="shared" si="2"/>
        <v>0</v>
      </c>
    </row>
    <row r="20" spans="2:6" x14ac:dyDescent="0.35">
      <c r="B20" s="106" t="str">
        <f>IF('Detailed Budget'!$C$1="English","Operating profit","Profit operational")</f>
        <v>Operating profit</v>
      </c>
      <c r="C20" s="107">
        <f>C13-C19</f>
        <v>0</v>
      </c>
      <c r="D20" s="107">
        <f t="shared" ref="D20:F20" si="3">D13-D19</f>
        <v>0</v>
      </c>
      <c r="E20" s="107">
        <f t="shared" si="3"/>
        <v>0</v>
      </c>
      <c r="F20" s="107">
        <f t="shared" si="3"/>
        <v>0</v>
      </c>
    </row>
    <row r="21" spans="2:6" x14ac:dyDescent="0.35">
      <c r="B21" s="96" t="str">
        <f>IF('Detailed Budget'!$C$1="English","Financial incomes","Venituri financiare")</f>
        <v>Financial incomes</v>
      </c>
      <c r="C21" s="102"/>
      <c r="D21" s="105"/>
      <c r="E21" s="105"/>
      <c r="F21" s="105"/>
    </row>
    <row r="22" spans="2:6" x14ac:dyDescent="0.35">
      <c r="B22" s="96" t="str">
        <f>IF('Detailed Budget'!$C$1="English","Financial expenses, out of which:","Cheltuieli financiare, din care:")</f>
        <v>Financial expenses, out of which:</v>
      </c>
      <c r="C22" s="102"/>
      <c r="D22" s="102"/>
      <c r="E22" s="102"/>
      <c r="F22" s="105"/>
    </row>
    <row r="23" spans="2:6" x14ac:dyDescent="0.35">
      <c r="B23" s="108" t="str">
        <f>IF('Detailed Budget'!$C$1="English","Interest expenses","Cheltuieli cu dobanda")</f>
        <v>Interest expenses</v>
      </c>
      <c r="C23" s="109"/>
      <c r="D23" s="109"/>
      <c r="E23" s="109"/>
      <c r="F23" s="109"/>
    </row>
    <row r="24" spans="2:6" x14ac:dyDescent="0.35">
      <c r="B24" s="106" t="str">
        <f>IF('Detailed Budget'!$C$1="English","Financial profit","Profit financiar")</f>
        <v>Financial profit</v>
      </c>
      <c r="C24" s="107">
        <f>C21-C22</f>
        <v>0</v>
      </c>
      <c r="D24" s="107">
        <f t="shared" ref="D24:F24" si="4">D21-D22</f>
        <v>0</v>
      </c>
      <c r="E24" s="107">
        <f t="shared" si="4"/>
        <v>0</v>
      </c>
      <c r="F24" s="107">
        <f t="shared" si="4"/>
        <v>0</v>
      </c>
    </row>
    <row r="25" spans="2:6" x14ac:dyDescent="0.35">
      <c r="B25" s="216" t="str">
        <f>IF('Detailed Budget'!$C$1="English","Other income","Alte venituri")</f>
        <v>Other income</v>
      </c>
      <c r="C25" s="102"/>
      <c r="D25" s="105"/>
      <c r="E25" s="105"/>
      <c r="F25" s="102"/>
    </row>
    <row r="26" spans="2:6" x14ac:dyDescent="0.35">
      <c r="B26" s="216" t="str">
        <f>IF('Detailed Budget'!$C$1="English","Other expenses","Alte costuri")</f>
        <v>Other expenses</v>
      </c>
      <c r="C26" s="102"/>
      <c r="D26" s="102"/>
      <c r="E26" s="102"/>
      <c r="F26" s="102"/>
    </row>
    <row r="27" spans="2:6" x14ac:dyDescent="0.35">
      <c r="B27" s="106" t="str">
        <f>IF('Detailed Budget'!$C$1="English","Non economic activities profit","Profitul aferent activitatilor non-economice")</f>
        <v>Non economic activities profit</v>
      </c>
      <c r="C27" s="107">
        <f>C25-C26</f>
        <v>0</v>
      </c>
      <c r="D27" s="107">
        <f t="shared" ref="D27:F27" si="5">D25-D26</f>
        <v>0</v>
      </c>
      <c r="E27" s="107">
        <f t="shared" si="5"/>
        <v>0</v>
      </c>
      <c r="F27" s="107">
        <f t="shared" si="5"/>
        <v>0</v>
      </c>
    </row>
    <row r="28" spans="2:6" x14ac:dyDescent="0.35">
      <c r="B28" s="106" t="str">
        <f>IF('Detailed Budget'!$C$1="English","Operating profit before tax","Rezultat brut")</f>
        <v>Operating profit before tax</v>
      </c>
      <c r="C28" s="107">
        <f>C20+C24+C27</f>
        <v>0</v>
      </c>
      <c r="D28" s="107">
        <f t="shared" ref="D28:F28" si="6">D20+D24+D27</f>
        <v>0</v>
      </c>
      <c r="E28" s="107">
        <f t="shared" si="6"/>
        <v>0</v>
      </c>
      <c r="F28" s="107">
        <f t="shared" si="6"/>
        <v>0</v>
      </c>
    </row>
    <row r="29" spans="2:6" x14ac:dyDescent="0.35">
      <c r="B29" s="216" t="str">
        <f>IF('Detailed Budget'!$C$1="English","Profit tax","Impozit pe profit")</f>
        <v>Profit tax</v>
      </c>
      <c r="C29" s="102"/>
      <c r="D29" s="102"/>
      <c r="E29" s="102"/>
      <c r="F29" s="102"/>
    </row>
    <row r="30" spans="2:6" x14ac:dyDescent="0.35">
      <c r="B30" s="216" t="str">
        <f>IF('Detailed Budget'!$C$1="English","Other taxes","Alte taxe")</f>
        <v>Other taxes</v>
      </c>
      <c r="C30" s="102"/>
      <c r="D30" s="102"/>
      <c r="E30" s="102"/>
      <c r="F30" s="102"/>
    </row>
    <row r="31" spans="2:6" x14ac:dyDescent="0.35">
      <c r="B31" s="100" t="str">
        <f>IF('Detailed Budget'!$C$1="English","Net profit for the year","Rezultat net")</f>
        <v>Net profit for the year</v>
      </c>
      <c r="C31" s="101">
        <f>C28-C29-C30</f>
        <v>0</v>
      </c>
      <c r="D31" s="101">
        <f t="shared" ref="D31:F31" si="7">D28-D29-D30</f>
        <v>0</v>
      </c>
      <c r="E31" s="101">
        <f t="shared" si="7"/>
        <v>0</v>
      </c>
      <c r="F31" s="101">
        <f t="shared" si="7"/>
        <v>0</v>
      </c>
    </row>
    <row r="32" spans="2:6" x14ac:dyDescent="0.35">
      <c r="B32" s="103"/>
      <c r="C32" s="103"/>
    </row>
  </sheetData>
  <sheetProtection algorithmName="SHA-512" hashValue="DvnbIDPcUjRJrSaiV2+zxuDTFC3onMsUjptB9eAYoZPVva0HMaF4jJbqbyTfqSzYUdx6kt8ElsHRU55ZMu/VdA==" saltValue="DuUGW5pcomcTJLuB9VL8YA==" spinCount="100000" sheet="1" objects="1" scenarios="1"/>
  <mergeCells count="3">
    <mergeCell ref="B8:F8"/>
    <mergeCell ref="B7:F7"/>
    <mergeCell ref="C9:F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74F3-9F3A-4832-A34E-F2D191899448}">
  <sheetPr codeName="Sheet6"/>
  <dimension ref="A2:AP91"/>
  <sheetViews>
    <sheetView topLeftCell="A61" zoomScale="85" zoomScaleNormal="85" workbookViewId="0">
      <selection activeCell="D54" sqref="D54"/>
    </sheetView>
  </sheetViews>
  <sheetFormatPr defaultRowHeight="14.5" x14ac:dyDescent="0.35"/>
  <cols>
    <col min="1" max="1" width="13.54296875" bestFit="1" customWidth="1"/>
    <col min="2" max="2" width="42.1796875" customWidth="1"/>
    <col min="3" max="3" width="19.36328125" customWidth="1"/>
    <col min="4" max="4" width="11.7265625" customWidth="1"/>
    <col min="5" max="5" width="12.26953125" customWidth="1"/>
    <col min="6" max="6" width="26.81640625" customWidth="1"/>
    <col min="7" max="8" width="10.54296875" customWidth="1"/>
    <col min="9" max="12" width="11.36328125" bestFit="1" customWidth="1"/>
    <col min="13" max="13" width="11.1796875" customWidth="1"/>
    <col min="14" max="18" width="11.36328125" bestFit="1" customWidth="1"/>
    <col min="19" max="19" width="9.7265625" customWidth="1"/>
    <col min="20" max="28" width="9.81640625" bestFit="1" customWidth="1"/>
    <col min="29" max="30" width="9.54296875" bestFit="1" customWidth="1"/>
    <col min="31" max="33" width="8.81640625" bestFit="1" customWidth="1"/>
  </cols>
  <sheetData>
    <row r="2" spans="2:28" x14ac:dyDescent="0.35">
      <c r="B2" s="91" t="str">
        <f>'P&amp;L_historic'!B2</f>
        <v>The values will be filled in gray cells</v>
      </c>
    </row>
    <row r="4" spans="2:28" ht="29" x14ac:dyDescent="0.35">
      <c r="B4" s="384" t="str">
        <f>IF('Detailed Budget'!$C$1="English","Analysis period:","Perioada de analiza:")</f>
        <v>Analysis period:</v>
      </c>
      <c r="C4" s="385"/>
      <c r="D4" s="386"/>
      <c r="E4" s="292" t="s">
        <v>2</v>
      </c>
      <c r="F4" s="311" t="str">
        <f>IF('Detailed Budget'!C1="English",IF(E4="Hydropower",25,IF(E4="Photovoltaic",15,IF(E4="Geothermal",20,IF(E4="Biomass",20,"please select project investment type")))),IF(E4="Energie hidroelectrica",25,IF(E4="Energie fotovoltaica",15,IF(E4="Energie geotermala",20,IF(E4="Biomasa",20,"Va rugam selectati tipul investiei")))))</f>
        <v>please select project investment type</v>
      </c>
      <c r="G4" s="220" t="str">
        <f>IF('Detailed Budget'!$C$1="English","years","ani")</f>
        <v>years</v>
      </c>
    </row>
    <row r="5" spans="2:28" ht="13" customHeight="1" x14ac:dyDescent="0.35">
      <c r="B5" s="387" t="str">
        <f>IF('Detailed Budget'!$C$1="English","Investment useful life period (as per the equipment/installation technical specifications):","Perioada de viata utila a echipamentului (conform specificatiilor tehnice ale echipamentului/instalatiei")</f>
        <v>Investment useful life period (as per the equipment/installation technical specifications):</v>
      </c>
      <c r="C5" s="388"/>
      <c r="D5" s="388"/>
      <c r="E5" s="389"/>
      <c r="F5" s="246"/>
      <c r="G5" s="220" t="str">
        <f>G4</f>
        <v>years</v>
      </c>
    </row>
    <row r="6" spans="2:28" ht="14.5" customHeight="1" x14ac:dyDescent="0.35">
      <c r="B6" s="390" t="str">
        <f>IF('Detailed Budget'!$C$1="English","Residual value will be calculated for the following no of years:","Valoarea reziduala va fi calculata pentru urmatorul numar de ani:")</f>
        <v>Residual value will be calculated for the following no of years:</v>
      </c>
      <c r="C6" s="391"/>
      <c r="D6" s="391"/>
      <c r="E6" s="221"/>
      <c r="F6" s="222" t="e">
        <f>F5-F4</f>
        <v>#VALUE!</v>
      </c>
      <c r="G6" s="220" t="str">
        <f>G5</f>
        <v>years</v>
      </c>
    </row>
    <row r="7" spans="2:28" x14ac:dyDescent="0.35">
      <c r="B7" s="223"/>
      <c r="C7" s="223"/>
    </row>
    <row r="8" spans="2:28" x14ac:dyDescent="0.35">
      <c r="B8" s="91"/>
    </row>
    <row r="9" spans="2:28" x14ac:dyDescent="0.35">
      <c r="B9" s="111" t="str">
        <f>'P&amp;L_historic'!B4</f>
        <v>The Exchange rate to be used is:</v>
      </c>
      <c r="C9" s="111"/>
    </row>
    <row r="10" spans="2:28" x14ac:dyDescent="0.35">
      <c r="B10" s="111" t="s">
        <v>20</v>
      </c>
      <c r="C10" s="111" t="str">
        <f>'Balance_sheet_Historical data'!C6</f>
        <v>1 Euro = 4,8271 LEI</v>
      </c>
    </row>
    <row r="11" spans="2:28" x14ac:dyDescent="0.35">
      <c r="B11" s="92"/>
    </row>
    <row r="12" spans="2:28" x14ac:dyDescent="0.35">
      <c r="C12" s="392" t="str">
        <f>IF('Detailed Budget'!$C$1="English","I. REVENUES ( and/or SAVINGS)","I. VENITURI (si/sau) ECONOMII DE COSTURI")</f>
        <v>I. REVENUES ( and/or SAVINGS)</v>
      </c>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row>
    <row r="13" spans="2:28" x14ac:dyDescent="0.35">
      <c r="C13" s="224"/>
    </row>
    <row r="14" spans="2:28" x14ac:dyDescent="0.35">
      <c r="C14" s="396" t="str">
        <f>IF('Detailed Budget'!$C$1="English","Implementation and operation (EURO)*","Implementare si operare (EURO)*")</f>
        <v>Implementation and operation (EURO)*</v>
      </c>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6"/>
    </row>
    <row r="15" spans="2:28" s="225" customFormat="1" ht="29" x14ac:dyDescent="0.35">
      <c r="B15" s="226"/>
      <c r="C15" s="227" t="str">
        <f>IF('Detailed Budget'!$C$1="English","Implementation period","Perioada de implementare")</f>
        <v>Implementation period</v>
      </c>
      <c r="D15" s="228" t="str">
        <f>IF('Detailed Budget'!$C$1="English","Operation year 1","Operare anul 1")</f>
        <v>Operation year 1</v>
      </c>
      <c r="E15" s="228" t="str">
        <f>IF('Detailed Budget'!$C$1="English","Operation year 2","Operare anul 2")</f>
        <v>Operation year 2</v>
      </c>
      <c r="F15" s="228" t="str">
        <f>IF('Detailed Budget'!$C$1="English","Operation year 3","Operare anul 3")</f>
        <v>Operation year 3</v>
      </c>
      <c r="G15" s="228" t="str">
        <f>IF('Detailed Budget'!$C$1="English","Operation year 4","Operare anul 4")</f>
        <v>Operation year 4</v>
      </c>
      <c r="H15" s="228" t="str">
        <f>IF('Detailed Budget'!$C$1="English","Operation year 5","Operare anul 5")</f>
        <v>Operation year 5</v>
      </c>
      <c r="I15" s="228" t="str">
        <f>IF('Detailed Budget'!$C$1="English","Operation year 6","Operare anul 6")</f>
        <v>Operation year 6</v>
      </c>
      <c r="J15" s="228" t="str">
        <f>IF('Detailed Budget'!$C$1="English","Operation year 7","Operare anul 7")</f>
        <v>Operation year 7</v>
      </c>
      <c r="K15" s="228" t="str">
        <f>IF('Detailed Budget'!$C$1="English","Operation year 8","Operare anul 8")</f>
        <v>Operation year 8</v>
      </c>
      <c r="L15" s="228" t="str">
        <f>IF('Detailed Budget'!$C$1="English","Operation year 9","Operare anul 9")</f>
        <v>Operation year 9</v>
      </c>
      <c r="M15" s="228" t="str">
        <f>IF('Detailed Budget'!$C$1="English","Operation year 10","Operare anul 10")</f>
        <v>Operation year 10</v>
      </c>
      <c r="N15" s="228" t="str">
        <f>IF('Detailed Budget'!$C$1="English","Operation year 11","Operare anul 11")</f>
        <v>Operation year 11</v>
      </c>
      <c r="O15" s="228" t="str">
        <f>IF('Detailed Budget'!$C$1="English","Operation year 12","Operare anul 12")</f>
        <v>Operation year 12</v>
      </c>
      <c r="P15" s="228" t="str">
        <f>IF('Detailed Budget'!$C$1="English","Operation year 13","Operare anul 13")</f>
        <v>Operation year 13</v>
      </c>
      <c r="Q15" s="228" t="str">
        <f>IF('Detailed Budget'!$C$1="English","Operation year 14","Operare anul 14")</f>
        <v>Operation year 14</v>
      </c>
      <c r="R15" s="228" t="str">
        <f>IF('Detailed Budget'!$C$1="English","Operation year 15","Operare anul 15")</f>
        <v>Operation year 15</v>
      </c>
      <c r="S15" s="228" t="str">
        <f>IF('Detailed Budget'!$C$1="English","Operation year 16","Operare anul 16")</f>
        <v>Operation year 16</v>
      </c>
      <c r="T15" s="228" t="str">
        <f>IF('Detailed Budget'!$C$1="English","Operation year 17","Operare anul 17")</f>
        <v>Operation year 17</v>
      </c>
      <c r="U15" s="228" t="str">
        <f>IF('Detailed Budget'!$C$1="English","Operation year 18","Operare anul 18")</f>
        <v>Operation year 18</v>
      </c>
      <c r="V15" s="228" t="str">
        <f>IF('Detailed Budget'!$C$1="English","Operation year 19","Operare anul 19")</f>
        <v>Operation year 19</v>
      </c>
      <c r="W15" s="228" t="str">
        <f>IF('Detailed Budget'!$C$1="English","Operation year 20","Operare anul 20")</f>
        <v>Operation year 20</v>
      </c>
      <c r="X15" s="228" t="str">
        <f>IF('Detailed Budget'!$C$1="English","Operation year 21","Operare anul 21")</f>
        <v>Operation year 21</v>
      </c>
      <c r="Y15" s="228" t="str">
        <f>IF('Detailed Budget'!$C$1="English","Operation year 22","Operare anul 22")</f>
        <v>Operation year 22</v>
      </c>
      <c r="Z15" s="228" t="str">
        <f>IF('Detailed Budget'!$C$1="English","Operation year 23","Operare anul 23")</f>
        <v>Operation year 23</v>
      </c>
      <c r="AA15" s="228" t="str">
        <f>IF('Detailed Budget'!$C$1="English","Operation year 24","Operare anul 24")</f>
        <v>Operation year 24</v>
      </c>
      <c r="AB15" s="228" t="str">
        <f>IF('Detailed Budget'!$C$1="English","Operation year 25","Operare anul 25")</f>
        <v>Operation year 25</v>
      </c>
    </row>
    <row r="16" spans="2:28" x14ac:dyDescent="0.35">
      <c r="B16" s="251" t="str">
        <f>IF('Detailed Budget'!$C$1="English","Project operational revenues (savings)","Veniturile operationale ale proiectului (Economiile de costuri)")</f>
        <v>Project operational revenues (savings)</v>
      </c>
      <c r="C16" s="166">
        <f>C17+C20+C23+C26+C29+C32+C35</f>
        <v>0</v>
      </c>
      <c r="D16" s="166">
        <f t="shared" ref="D16:AB16" si="0">D17+D20+D23+D26+D29+D32+D35</f>
        <v>0</v>
      </c>
      <c r="E16" s="166">
        <f t="shared" si="0"/>
        <v>0</v>
      </c>
      <c r="F16" s="166">
        <f t="shared" si="0"/>
        <v>0</v>
      </c>
      <c r="G16" s="166">
        <f t="shared" si="0"/>
        <v>0</v>
      </c>
      <c r="H16" s="166">
        <f t="shared" si="0"/>
        <v>0</v>
      </c>
      <c r="I16" s="166">
        <f t="shared" si="0"/>
        <v>0</v>
      </c>
      <c r="J16" s="166">
        <f t="shared" si="0"/>
        <v>0</v>
      </c>
      <c r="K16" s="166">
        <f t="shared" si="0"/>
        <v>0</v>
      </c>
      <c r="L16" s="166">
        <f t="shared" si="0"/>
        <v>0</v>
      </c>
      <c r="M16" s="166">
        <f t="shared" si="0"/>
        <v>0</v>
      </c>
      <c r="N16" s="166">
        <f t="shared" si="0"/>
        <v>0</v>
      </c>
      <c r="O16" s="166">
        <f t="shared" si="0"/>
        <v>0</v>
      </c>
      <c r="P16" s="166">
        <f t="shared" si="0"/>
        <v>0</v>
      </c>
      <c r="Q16" s="166">
        <f t="shared" si="0"/>
        <v>0</v>
      </c>
      <c r="R16" s="166">
        <f t="shared" si="0"/>
        <v>0</v>
      </c>
      <c r="S16" s="166">
        <f t="shared" si="0"/>
        <v>0</v>
      </c>
      <c r="T16" s="166">
        <f t="shared" si="0"/>
        <v>0</v>
      </c>
      <c r="U16" s="166">
        <f t="shared" si="0"/>
        <v>0</v>
      </c>
      <c r="V16" s="166">
        <f t="shared" si="0"/>
        <v>0</v>
      </c>
      <c r="W16" s="166">
        <f t="shared" si="0"/>
        <v>0</v>
      </c>
      <c r="X16" s="166">
        <f t="shared" si="0"/>
        <v>0</v>
      </c>
      <c r="Y16" s="166">
        <f t="shared" si="0"/>
        <v>0</v>
      </c>
      <c r="Z16" s="166">
        <f t="shared" si="0"/>
        <v>0</v>
      </c>
      <c r="AA16" s="166">
        <f t="shared" si="0"/>
        <v>0</v>
      </c>
      <c r="AB16" s="166">
        <f t="shared" si="0"/>
        <v>0</v>
      </c>
    </row>
    <row r="17" spans="1:28" x14ac:dyDescent="0.35">
      <c r="B17" s="252" t="str">
        <f>IF('Detailed Budget'!$C$1="English","Electric energy produced for own consumption","Energia electrica produsa pentru consum propriu")</f>
        <v>Electric energy produced for own consumption</v>
      </c>
      <c r="C17" s="229">
        <f t="shared" ref="C17:AB17" si="1">C18*C19</f>
        <v>0</v>
      </c>
      <c r="D17" s="229">
        <f t="shared" si="1"/>
        <v>0</v>
      </c>
      <c r="E17" s="229">
        <f t="shared" si="1"/>
        <v>0</v>
      </c>
      <c r="F17" s="229">
        <f t="shared" si="1"/>
        <v>0</v>
      </c>
      <c r="G17" s="229">
        <f t="shared" si="1"/>
        <v>0</v>
      </c>
      <c r="H17" s="229">
        <f t="shared" si="1"/>
        <v>0</v>
      </c>
      <c r="I17" s="229">
        <f t="shared" si="1"/>
        <v>0</v>
      </c>
      <c r="J17" s="229">
        <f t="shared" si="1"/>
        <v>0</v>
      </c>
      <c r="K17" s="229">
        <f t="shared" si="1"/>
        <v>0</v>
      </c>
      <c r="L17" s="229">
        <f t="shared" si="1"/>
        <v>0</v>
      </c>
      <c r="M17" s="229">
        <f t="shared" si="1"/>
        <v>0</v>
      </c>
      <c r="N17" s="229">
        <f t="shared" si="1"/>
        <v>0</v>
      </c>
      <c r="O17" s="229">
        <f t="shared" si="1"/>
        <v>0</v>
      </c>
      <c r="P17" s="229">
        <f t="shared" si="1"/>
        <v>0</v>
      </c>
      <c r="Q17" s="229">
        <f t="shared" si="1"/>
        <v>0</v>
      </c>
      <c r="R17" s="229">
        <f t="shared" si="1"/>
        <v>0</v>
      </c>
      <c r="S17" s="229">
        <f t="shared" si="1"/>
        <v>0</v>
      </c>
      <c r="T17" s="229">
        <f t="shared" si="1"/>
        <v>0</v>
      </c>
      <c r="U17" s="229">
        <f t="shared" si="1"/>
        <v>0</v>
      </c>
      <c r="V17" s="229">
        <f t="shared" si="1"/>
        <v>0</v>
      </c>
      <c r="W17" s="229">
        <f t="shared" si="1"/>
        <v>0</v>
      </c>
      <c r="X17" s="229">
        <f t="shared" si="1"/>
        <v>0</v>
      </c>
      <c r="Y17" s="229">
        <f t="shared" si="1"/>
        <v>0</v>
      </c>
      <c r="Z17" s="229">
        <f t="shared" si="1"/>
        <v>0</v>
      </c>
      <c r="AA17" s="229">
        <f t="shared" si="1"/>
        <v>0</v>
      </c>
      <c r="AB17" s="229">
        <f t="shared" si="1"/>
        <v>0</v>
      </c>
    </row>
    <row r="18" spans="1:28" x14ac:dyDescent="0.35">
      <c r="B18" s="253" t="str">
        <f>IF('Detailed Budget'!$C$1="English","Number of units (MWh/year)","Numar de unitati (MWh/an)")</f>
        <v>Number of units (MWh/year)</v>
      </c>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x14ac:dyDescent="0.35">
      <c r="B19" s="253" t="str">
        <f>IF('Detailed Budget'!$C$1="English","Unitary price (EUR/MWh)","Pret unitar (EUR/MWh)")</f>
        <v>Unitary price (EUR/MWh)</v>
      </c>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row>
    <row r="20" spans="1:28" x14ac:dyDescent="0.35">
      <c r="B20" s="252" t="str">
        <f>IF('Detailed Budget'!$C$1="English","Electric energy produced for selling","Energia electrica produsa pentru comercializare")</f>
        <v>Electric energy produced for selling</v>
      </c>
      <c r="C20" s="229">
        <f t="shared" ref="C20:AB20" si="2">C21*C22</f>
        <v>0</v>
      </c>
      <c r="D20" s="229">
        <f t="shared" si="2"/>
        <v>0</v>
      </c>
      <c r="E20" s="229">
        <f t="shared" si="2"/>
        <v>0</v>
      </c>
      <c r="F20" s="229">
        <f t="shared" si="2"/>
        <v>0</v>
      </c>
      <c r="G20" s="229">
        <f t="shared" si="2"/>
        <v>0</v>
      </c>
      <c r="H20" s="229">
        <f t="shared" si="2"/>
        <v>0</v>
      </c>
      <c r="I20" s="229">
        <f t="shared" si="2"/>
        <v>0</v>
      </c>
      <c r="J20" s="229">
        <f t="shared" si="2"/>
        <v>0</v>
      </c>
      <c r="K20" s="229">
        <f t="shared" si="2"/>
        <v>0</v>
      </c>
      <c r="L20" s="229">
        <f t="shared" si="2"/>
        <v>0</v>
      </c>
      <c r="M20" s="229">
        <f t="shared" si="2"/>
        <v>0</v>
      </c>
      <c r="N20" s="229">
        <f t="shared" si="2"/>
        <v>0</v>
      </c>
      <c r="O20" s="229">
        <f t="shared" si="2"/>
        <v>0</v>
      </c>
      <c r="P20" s="229">
        <f t="shared" si="2"/>
        <v>0</v>
      </c>
      <c r="Q20" s="229">
        <f t="shared" si="2"/>
        <v>0</v>
      </c>
      <c r="R20" s="229">
        <f t="shared" si="2"/>
        <v>0</v>
      </c>
      <c r="S20" s="229">
        <f t="shared" si="2"/>
        <v>0</v>
      </c>
      <c r="T20" s="229">
        <f t="shared" si="2"/>
        <v>0</v>
      </c>
      <c r="U20" s="229">
        <f t="shared" si="2"/>
        <v>0</v>
      </c>
      <c r="V20" s="229">
        <f t="shared" si="2"/>
        <v>0</v>
      </c>
      <c r="W20" s="229">
        <f t="shared" si="2"/>
        <v>0</v>
      </c>
      <c r="X20" s="229">
        <f t="shared" si="2"/>
        <v>0</v>
      </c>
      <c r="Y20" s="229">
        <f t="shared" si="2"/>
        <v>0</v>
      </c>
      <c r="Z20" s="229">
        <f t="shared" si="2"/>
        <v>0</v>
      </c>
      <c r="AA20" s="229">
        <f t="shared" si="2"/>
        <v>0</v>
      </c>
      <c r="AB20" s="229">
        <f t="shared" si="2"/>
        <v>0</v>
      </c>
    </row>
    <row r="21" spans="1:28" x14ac:dyDescent="0.35">
      <c r="B21" s="253" t="str">
        <f>B18</f>
        <v>Number of units (MWh/year)</v>
      </c>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row>
    <row r="22" spans="1:28" x14ac:dyDescent="0.35">
      <c r="B22" s="253" t="str">
        <f>B19</f>
        <v>Unitary price (EUR/MWh)</v>
      </c>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row>
    <row r="23" spans="1:28" x14ac:dyDescent="0.35">
      <c r="B23" s="252" t="str">
        <f>IF('Detailed Budget'!$C$1="English","Thermal energy produced for own consumption","Energia termica produsa pentru consum propriu")</f>
        <v>Thermal energy produced for own consumption</v>
      </c>
      <c r="C23" s="229">
        <f t="shared" ref="C23:AB23" si="3">C24*C25</f>
        <v>0</v>
      </c>
      <c r="D23" s="229">
        <f t="shared" si="3"/>
        <v>0</v>
      </c>
      <c r="E23" s="229">
        <f t="shared" si="3"/>
        <v>0</v>
      </c>
      <c r="F23" s="229">
        <f t="shared" si="3"/>
        <v>0</v>
      </c>
      <c r="G23" s="229">
        <f t="shared" si="3"/>
        <v>0</v>
      </c>
      <c r="H23" s="229">
        <f t="shared" si="3"/>
        <v>0</v>
      </c>
      <c r="I23" s="229">
        <f t="shared" si="3"/>
        <v>0</v>
      </c>
      <c r="J23" s="229">
        <f t="shared" si="3"/>
        <v>0</v>
      </c>
      <c r="K23" s="229">
        <f t="shared" si="3"/>
        <v>0</v>
      </c>
      <c r="L23" s="229">
        <f t="shared" si="3"/>
        <v>0</v>
      </c>
      <c r="M23" s="229">
        <f t="shared" si="3"/>
        <v>0</v>
      </c>
      <c r="N23" s="229">
        <f t="shared" si="3"/>
        <v>0</v>
      </c>
      <c r="O23" s="229">
        <f t="shared" si="3"/>
        <v>0</v>
      </c>
      <c r="P23" s="229">
        <f t="shared" si="3"/>
        <v>0</v>
      </c>
      <c r="Q23" s="229">
        <f t="shared" si="3"/>
        <v>0</v>
      </c>
      <c r="R23" s="229">
        <f t="shared" si="3"/>
        <v>0</v>
      </c>
      <c r="S23" s="229">
        <f t="shared" si="3"/>
        <v>0</v>
      </c>
      <c r="T23" s="229">
        <f t="shared" si="3"/>
        <v>0</v>
      </c>
      <c r="U23" s="229">
        <f t="shared" si="3"/>
        <v>0</v>
      </c>
      <c r="V23" s="229">
        <f t="shared" si="3"/>
        <v>0</v>
      </c>
      <c r="W23" s="229">
        <f t="shared" si="3"/>
        <v>0</v>
      </c>
      <c r="X23" s="229">
        <f t="shared" si="3"/>
        <v>0</v>
      </c>
      <c r="Y23" s="229">
        <f t="shared" si="3"/>
        <v>0</v>
      </c>
      <c r="Z23" s="229">
        <f t="shared" si="3"/>
        <v>0</v>
      </c>
      <c r="AA23" s="229">
        <f t="shared" si="3"/>
        <v>0</v>
      </c>
      <c r="AB23" s="229">
        <f t="shared" si="3"/>
        <v>0</v>
      </c>
    </row>
    <row r="24" spans="1:28" x14ac:dyDescent="0.35">
      <c r="B24" s="253" t="str">
        <f>B21</f>
        <v>Number of units (MWh/year)</v>
      </c>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row>
    <row r="25" spans="1:28" x14ac:dyDescent="0.35">
      <c r="B25" s="253" t="str">
        <f>B22</f>
        <v>Unitary price (EUR/MWh)</v>
      </c>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row>
    <row r="26" spans="1:28" x14ac:dyDescent="0.35">
      <c r="B26" s="252" t="str">
        <f>IF('Detailed Budget'!$C$1="English","Thermal energy produced for selling","Energia termica produsa pentru comercializare")</f>
        <v>Thermal energy produced for selling</v>
      </c>
      <c r="C26" s="229">
        <f>C27*C28</f>
        <v>0</v>
      </c>
      <c r="D26" s="229">
        <f t="shared" ref="D26:AB26" si="4">D27*D28</f>
        <v>0</v>
      </c>
      <c r="E26" s="229">
        <f t="shared" si="4"/>
        <v>0</v>
      </c>
      <c r="F26" s="229">
        <f t="shared" si="4"/>
        <v>0</v>
      </c>
      <c r="G26" s="229">
        <f t="shared" si="4"/>
        <v>0</v>
      </c>
      <c r="H26" s="229">
        <f t="shared" si="4"/>
        <v>0</v>
      </c>
      <c r="I26" s="229">
        <f t="shared" si="4"/>
        <v>0</v>
      </c>
      <c r="J26" s="229">
        <f t="shared" si="4"/>
        <v>0</v>
      </c>
      <c r="K26" s="229">
        <f t="shared" si="4"/>
        <v>0</v>
      </c>
      <c r="L26" s="229">
        <f t="shared" si="4"/>
        <v>0</v>
      </c>
      <c r="M26" s="229">
        <f t="shared" si="4"/>
        <v>0</v>
      </c>
      <c r="N26" s="229">
        <f t="shared" si="4"/>
        <v>0</v>
      </c>
      <c r="O26" s="229">
        <f t="shared" si="4"/>
        <v>0</v>
      </c>
      <c r="P26" s="229">
        <f t="shared" si="4"/>
        <v>0</v>
      </c>
      <c r="Q26" s="229">
        <f t="shared" si="4"/>
        <v>0</v>
      </c>
      <c r="R26" s="229">
        <f t="shared" si="4"/>
        <v>0</v>
      </c>
      <c r="S26" s="229">
        <f t="shared" si="4"/>
        <v>0</v>
      </c>
      <c r="T26" s="229">
        <f t="shared" si="4"/>
        <v>0</v>
      </c>
      <c r="U26" s="229">
        <f t="shared" si="4"/>
        <v>0</v>
      </c>
      <c r="V26" s="229">
        <f t="shared" si="4"/>
        <v>0</v>
      </c>
      <c r="W26" s="229">
        <f t="shared" si="4"/>
        <v>0</v>
      </c>
      <c r="X26" s="229">
        <f t="shared" si="4"/>
        <v>0</v>
      </c>
      <c r="Y26" s="229">
        <f t="shared" si="4"/>
        <v>0</v>
      </c>
      <c r="Z26" s="229">
        <f t="shared" si="4"/>
        <v>0</v>
      </c>
      <c r="AA26" s="229">
        <f t="shared" si="4"/>
        <v>0</v>
      </c>
      <c r="AB26" s="229">
        <f t="shared" si="4"/>
        <v>0</v>
      </c>
    </row>
    <row r="27" spans="1:28" x14ac:dyDescent="0.35">
      <c r="B27" s="253" t="str">
        <f>B24</f>
        <v>Number of units (MWh/year)</v>
      </c>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row>
    <row r="28" spans="1:28" x14ac:dyDescent="0.35">
      <c r="B28" s="253" t="str">
        <f>B25</f>
        <v>Unitary price (EUR/MWh)</v>
      </c>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row>
    <row r="29" spans="1:28" ht="14.5" customHeight="1" x14ac:dyDescent="0.35">
      <c r="A29" s="383" t="str">
        <f>IF('Detailed Budget'!$C$1="English","Applicable for energy efficiency call","Aplicabil pentru apelul de Eficienta energetica")</f>
        <v>Applicable for energy efficiency call</v>
      </c>
      <c r="B29" s="252" t="str">
        <f>IF('Detailed Budget'!$C$1="English","Reduction of electric energy consumption","Reducerea de consum de energie electrica")</f>
        <v>Reduction of electric energy consumption</v>
      </c>
      <c r="C29" s="229">
        <f>C30*C31</f>
        <v>0</v>
      </c>
      <c r="D29" s="229">
        <f t="shared" ref="D29:AB29" si="5">D30*D31</f>
        <v>0</v>
      </c>
      <c r="E29" s="229">
        <f t="shared" si="5"/>
        <v>0</v>
      </c>
      <c r="F29" s="229">
        <f t="shared" si="5"/>
        <v>0</v>
      </c>
      <c r="G29" s="229">
        <f t="shared" si="5"/>
        <v>0</v>
      </c>
      <c r="H29" s="229">
        <f t="shared" si="5"/>
        <v>0</v>
      </c>
      <c r="I29" s="229">
        <f t="shared" si="5"/>
        <v>0</v>
      </c>
      <c r="J29" s="229">
        <f t="shared" si="5"/>
        <v>0</v>
      </c>
      <c r="K29" s="229">
        <f t="shared" si="5"/>
        <v>0</v>
      </c>
      <c r="L29" s="229">
        <f t="shared" si="5"/>
        <v>0</v>
      </c>
      <c r="M29" s="229">
        <f t="shared" si="5"/>
        <v>0</v>
      </c>
      <c r="N29" s="229">
        <f t="shared" si="5"/>
        <v>0</v>
      </c>
      <c r="O29" s="229">
        <f t="shared" si="5"/>
        <v>0</v>
      </c>
      <c r="P29" s="229">
        <f t="shared" si="5"/>
        <v>0</v>
      </c>
      <c r="Q29" s="229">
        <f t="shared" si="5"/>
        <v>0</v>
      </c>
      <c r="R29" s="229">
        <f t="shared" si="5"/>
        <v>0</v>
      </c>
      <c r="S29" s="229">
        <f t="shared" si="5"/>
        <v>0</v>
      </c>
      <c r="T29" s="229">
        <f t="shared" si="5"/>
        <v>0</v>
      </c>
      <c r="U29" s="229">
        <f t="shared" si="5"/>
        <v>0</v>
      </c>
      <c r="V29" s="229">
        <f t="shared" si="5"/>
        <v>0</v>
      </c>
      <c r="W29" s="229">
        <f t="shared" si="5"/>
        <v>0</v>
      </c>
      <c r="X29" s="229">
        <f t="shared" si="5"/>
        <v>0</v>
      </c>
      <c r="Y29" s="229">
        <f t="shared" si="5"/>
        <v>0</v>
      </c>
      <c r="Z29" s="229">
        <f t="shared" si="5"/>
        <v>0</v>
      </c>
      <c r="AA29" s="229">
        <f t="shared" si="5"/>
        <v>0</v>
      </c>
      <c r="AB29" s="229">
        <f t="shared" si="5"/>
        <v>0</v>
      </c>
    </row>
    <row r="30" spans="1:28" x14ac:dyDescent="0.35">
      <c r="A30" s="383"/>
      <c r="B30" s="253" t="str">
        <f>B27</f>
        <v>Number of units (MWh/year)</v>
      </c>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row>
    <row r="31" spans="1:28" x14ac:dyDescent="0.35">
      <c r="A31" s="383"/>
      <c r="B31" s="253" t="str">
        <f>B28</f>
        <v>Unitary price (EUR/MWh)</v>
      </c>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row>
    <row r="32" spans="1:28" x14ac:dyDescent="0.35">
      <c r="A32" s="383"/>
      <c r="B32" s="252" t="str">
        <f>IF('Detailed Budget'!$C$1="English","Reduction of thermal energy consumption","Reducerea de consum de energie termica")</f>
        <v>Reduction of thermal energy consumption</v>
      </c>
      <c r="C32" s="229">
        <f>C33*C34</f>
        <v>0</v>
      </c>
      <c r="D32" s="229">
        <f t="shared" ref="D32:AB32" si="6">D33*D34</f>
        <v>0</v>
      </c>
      <c r="E32" s="229">
        <f t="shared" si="6"/>
        <v>0</v>
      </c>
      <c r="F32" s="229">
        <f t="shared" si="6"/>
        <v>0</v>
      </c>
      <c r="G32" s="229">
        <f t="shared" si="6"/>
        <v>0</v>
      </c>
      <c r="H32" s="229">
        <f t="shared" si="6"/>
        <v>0</v>
      </c>
      <c r="I32" s="229">
        <f t="shared" si="6"/>
        <v>0</v>
      </c>
      <c r="J32" s="229">
        <f t="shared" si="6"/>
        <v>0</v>
      </c>
      <c r="K32" s="229">
        <f t="shared" si="6"/>
        <v>0</v>
      </c>
      <c r="L32" s="229">
        <f t="shared" si="6"/>
        <v>0</v>
      </c>
      <c r="M32" s="229">
        <f t="shared" si="6"/>
        <v>0</v>
      </c>
      <c r="N32" s="229">
        <f t="shared" si="6"/>
        <v>0</v>
      </c>
      <c r="O32" s="229">
        <f t="shared" si="6"/>
        <v>0</v>
      </c>
      <c r="P32" s="229">
        <f t="shared" si="6"/>
        <v>0</v>
      </c>
      <c r="Q32" s="229">
        <f t="shared" si="6"/>
        <v>0</v>
      </c>
      <c r="R32" s="229">
        <f t="shared" si="6"/>
        <v>0</v>
      </c>
      <c r="S32" s="229">
        <f t="shared" si="6"/>
        <v>0</v>
      </c>
      <c r="T32" s="229">
        <f t="shared" si="6"/>
        <v>0</v>
      </c>
      <c r="U32" s="229">
        <f t="shared" si="6"/>
        <v>0</v>
      </c>
      <c r="V32" s="229">
        <f t="shared" si="6"/>
        <v>0</v>
      </c>
      <c r="W32" s="229">
        <f t="shared" si="6"/>
        <v>0</v>
      </c>
      <c r="X32" s="229">
        <f t="shared" si="6"/>
        <v>0</v>
      </c>
      <c r="Y32" s="229">
        <f t="shared" si="6"/>
        <v>0</v>
      </c>
      <c r="Z32" s="229">
        <f t="shared" si="6"/>
        <v>0</v>
      </c>
      <c r="AA32" s="229">
        <f t="shared" si="6"/>
        <v>0</v>
      </c>
      <c r="AB32" s="229">
        <f t="shared" si="6"/>
        <v>0</v>
      </c>
    </row>
    <row r="33" spans="1:28" x14ac:dyDescent="0.35">
      <c r="A33" s="383"/>
      <c r="B33" s="253" t="str">
        <f>B30</f>
        <v>Number of units (MWh/year)</v>
      </c>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row>
    <row r="34" spans="1:28" x14ac:dyDescent="0.35">
      <c r="A34" s="383"/>
      <c r="B34" s="253" t="str">
        <f>B31</f>
        <v>Unitary price (EUR/MWh)</v>
      </c>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row>
    <row r="35" spans="1:28" x14ac:dyDescent="0.35">
      <c r="B35" s="254" t="str">
        <f>IF('Detailed Budget'!$C$1="English","Other revenues (please detail)","Alte venituri (va rugam detaliati)")</f>
        <v>Other revenues (please detail)</v>
      </c>
      <c r="C35" s="229">
        <f t="shared" ref="C35:AB35" si="7">SUM(C36:C38)</f>
        <v>0</v>
      </c>
      <c r="D35" s="229">
        <f t="shared" si="7"/>
        <v>0</v>
      </c>
      <c r="E35" s="229">
        <f t="shared" si="7"/>
        <v>0</v>
      </c>
      <c r="F35" s="229">
        <f t="shared" si="7"/>
        <v>0</v>
      </c>
      <c r="G35" s="229">
        <f t="shared" si="7"/>
        <v>0</v>
      </c>
      <c r="H35" s="229">
        <f t="shared" si="7"/>
        <v>0</v>
      </c>
      <c r="I35" s="229">
        <f t="shared" si="7"/>
        <v>0</v>
      </c>
      <c r="J35" s="229">
        <f t="shared" si="7"/>
        <v>0</v>
      </c>
      <c r="K35" s="229">
        <f t="shared" si="7"/>
        <v>0</v>
      </c>
      <c r="L35" s="229">
        <f t="shared" si="7"/>
        <v>0</v>
      </c>
      <c r="M35" s="229">
        <f t="shared" si="7"/>
        <v>0</v>
      </c>
      <c r="N35" s="229">
        <f t="shared" si="7"/>
        <v>0</v>
      </c>
      <c r="O35" s="229">
        <f t="shared" si="7"/>
        <v>0</v>
      </c>
      <c r="P35" s="229">
        <f t="shared" si="7"/>
        <v>0</v>
      </c>
      <c r="Q35" s="229">
        <f t="shared" si="7"/>
        <v>0</v>
      </c>
      <c r="R35" s="229">
        <f t="shared" si="7"/>
        <v>0</v>
      </c>
      <c r="S35" s="229">
        <f t="shared" si="7"/>
        <v>0</v>
      </c>
      <c r="T35" s="229">
        <f t="shared" si="7"/>
        <v>0</v>
      </c>
      <c r="U35" s="229">
        <f t="shared" si="7"/>
        <v>0</v>
      </c>
      <c r="V35" s="229">
        <f t="shared" si="7"/>
        <v>0</v>
      </c>
      <c r="W35" s="229">
        <f t="shared" si="7"/>
        <v>0</v>
      </c>
      <c r="X35" s="229">
        <f t="shared" si="7"/>
        <v>0</v>
      </c>
      <c r="Y35" s="229">
        <f t="shared" si="7"/>
        <v>0</v>
      </c>
      <c r="Z35" s="229">
        <f t="shared" si="7"/>
        <v>0</v>
      </c>
      <c r="AA35" s="229">
        <f t="shared" si="7"/>
        <v>0</v>
      </c>
      <c r="AB35" s="229">
        <f t="shared" si="7"/>
        <v>0</v>
      </c>
    </row>
    <row r="36" spans="1:28" x14ac:dyDescent="0.35">
      <c r="B36" s="231" t="str">
        <f>IF('Detailed Budget'!$C$1="English","Type 1 (revenue/saving)","Venituri/economii de costuri 1")</f>
        <v>Type 1 (revenue/saving)</v>
      </c>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row>
    <row r="37" spans="1:28" x14ac:dyDescent="0.35">
      <c r="B37" s="231" t="str">
        <f>IF('Detailed Budget'!$C$1="English","Type 2 (revenue/saving)","Venituri/economii de costuri 2")</f>
        <v>Type 2 (revenue/saving)</v>
      </c>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row>
    <row r="38" spans="1:28" x14ac:dyDescent="0.35">
      <c r="B38" s="231" t="str">
        <f>IF('Detailed Budget'!$C$1="English","Type 3 (revenue/saving)","Venituri/economii de costuri 3")</f>
        <v>Type 3 (revenue/saving)</v>
      </c>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row>
    <row r="41" spans="1:28" x14ac:dyDescent="0.35">
      <c r="C41" s="393" t="str">
        <f>IF('Detailed Budget'!$C$1="English","II. OPERATING COSTS","II. COSTURI OPERATIONALE")</f>
        <v>II. OPERATING COSTS</v>
      </c>
      <c r="D41" s="393"/>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row>
    <row r="43" spans="1:28" x14ac:dyDescent="0.35">
      <c r="C43" s="396" t="str">
        <f>C14</f>
        <v>Implementation and operation (EURO)*</v>
      </c>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row>
    <row r="44" spans="1:28" ht="29" x14ac:dyDescent="0.35">
      <c r="B44" s="104"/>
      <c r="C44" s="232" t="str">
        <f>C15</f>
        <v>Implementation period</v>
      </c>
      <c r="D44" s="233" t="str">
        <f>D15</f>
        <v>Operation year 1</v>
      </c>
      <c r="E44" s="233" t="str">
        <f t="shared" ref="E44:AB44" si="8">E15</f>
        <v>Operation year 2</v>
      </c>
      <c r="F44" s="233" t="str">
        <f t="shared" si="8"/>
        <v>Operation year 3</v>
      </c>
      <c r="G44" s="233" t="str">
        <f t="shared" si="8"/>
        <v>Operation year 4</v>
      </c>
      <c r="H44" s="233" t="str">
        <f t="shared" si="8"/>
        <v>Operation year 5</v>
      </c>
      <c r="I44" s="233" t="str">
        <f t="shared" si="8"/>
        <v>Operation year 6</v>
      </c>
      <c r="J44" s="233" t="str">
        <f t="shared" si="8"/>
        <v>Operation year 7</v>
      </c>
      <c r="K44" s="233" t="str">
        <f t="shared" si="8"/>
        <v>Operation year 8</v>
      </c>
      <c r="L44" s="233" t="str">
        <f t="shared" si="8"/>
        <v>Operation year 9</v>
      </c>
      <c r="M44" s="233" t="str">
        <f t="shared" si="8"/>
        <v>Operation year 10</v>
      </c>
      <c r="N44" s="233" t="str">
        <f t="shared" si="8"/>
        <v>Operation year 11</v>
      </c>
      <c r="O44" s="233" t="str">
        <f t="shared" si="8"/>
        <v>Operation year 12</v>
      </c>
      <c r="P44" s="233" t="str">
        <f t="shared" si="8"/>
        <v>Operation year 13</v>
      </c>
      <c r="Q44" s="233" t="str">
        <f t="shared" si="8"/>
        <v>Operation year 14</v>
      </c>
      <c r="R44" s="233" t="str">
        <f t="shared" si="8"/>
        <v>Operation year 15</v>
      </c>
      <c r="S44" s="233" t="str">
        <f t="shared" si="8"/>
        <v>Operation year 16</v>
      </c>
      <c r="T44" s="233" t="str">
        <f t="shared" si="8"/>
        <v>Operation year 17</v>
      </c>
      <c r="U44" s="233" t="str">
        <f t="shared" si="8"/>
        <v>Operation year 18</v>
      </c>
      <c r="V44" s="233" t="str">
        <f t="shared" si="8"/>
        <v>Operation year 19</v>
      </c>
      <c r="W44" s="233" t="str">
        <f t="shared" si="8"/>
        <v>Operation year 20</v>
      </c>
      <c r="X44" s="233" t="str">
        <f t="shared" si="8"/>
        <v>Operation year 21</v>
      </c>
      <c r="Y44" s="233" t="str">
        <f t="shared" si="8"/>
        <v>Operation year 22</v>
      </c>
      <c r="Z44" s="233" t="str">
        <f t="shared" si="8"/>
        <v>Operation year 23</v>
      </c>
      <c r="AA44" s="233" t="str">
        <f t="shared" si="8"/>
        <v>Operation year 24</v>
      </c>
      <c r="AB44" s="233" t="str">
        <f t="shared" si="8"/>
        <v>Operation year 25</v>
      </c>
    </row>
    <row r="45" spans="1:28" x14ac:dyDescent="0.35">
      <c r="B45" s="111" t="str">
        <f>IF('Detailed Budget'!$C$1="English","Project operational costs","Costurile operationale ale proiectului")</f>
        <v>Project operational costs</v>
      </c>
      <c r="C45" s="166">
        <f>C46+C49+C50+C64+C70</f>
        <v>0</v>
      </c>
      <c r="D45" s="166">
        <f t="shared" ref="D45:AB45" si="9">D46+D49+D50+D64+D70</f>
        <v>0</v>
      </c>
      <c r="E45" s="166">
        <f t="shared" si="9"/>
        <v>0</v>
      </c>
      <c r="F45" s="166">
        <f t="shared" si="9"/>
        <v>0</v>
      </c>
      <c r="G45" s="166">
        <f t="shared" si="9"/>
        <v>0</v>
      </c>
      <c r="H45" s="166">
        <f t="shared" si="9"/>
        <v>0</v>
      </c>
      <c r="I45" s="166">
        <f t="shared" si="9"/>
        <v>0</v>
      </c>
      <c r="J45" s="166">
        <f t="shared" si="9"/>
        <v>0</v>
      </c>
      <c r="K45" s="166">
        <f t="shared" si="9"/>
        <v>0</v>
      </c>
      <c r="L45" s="166">
        <f t="shared" si="9"/>
        <v>0</v>
      </c>
      <c r="M45" s="166">
        <f t="shared" si="9"/>
        <v>0</v>
      </c>
      <c r="N45" s="166">
        <f t="shared" si="9"/>
        <v>0</v>
      </c>
      <c r="O45" s="166">
        <f t="shared" si="9"/>
        <v>0</v>
      </c>
      <c r="P45" s="166">
        <f t="shared" si="9"/>
        <v>0</v>
      </c>
      <c r="Q45" s="166">
        <f t="shared" si="9"/>
        <v>0</v>
      </c>
      <c r="R45" s="166">
        <f t="shared" si="9"/>
        <v>0</v>
      </c>
      <c r="S45" s="166">
        <f t="shared" si="9"/>
        <v>0</v>
      </c>
      <c r="T45" s="166">
        <f t="shared" si="9"/>
        <v>0</v>
      </c>
      <c r="U45" s="166">
        <f t="shared" si="9"/>
        <v>0</v>
      </c>
      <c r="V45" s="166">
        <f t="shared" si="9"/>
        <v>0</v>
      </c>
      <c r="W45" s="166">
        <f t="shared" si="9"/>
        <v>0</v>
      </c>
      <c r="X45" s="166">
        <f t="shared" si="9"/>
        <v>0</v>
      </c>
      <c r="Y45" s="166">
        <f t="shared" si="9"/>
        <v>0</v>
      </c>
      <c r="Z45" s="166">
        <f t="shared" si="9"/>
        <v>0</v>
      </c>
      <c r="AA45" s="166">
        <f t="shared" si="9"/>
        <v>0</v>
      </c>
      <c r="AB45" s="166">
        <f t="shared" si="9"/>
        <v>0</v>
      </c>
    </row>
    <row r="46" spans="1:28" x14ac:dyDescent="0.35">
      <c r="A46" s="234"/>
      <c r="B46" s="235" t="str">
        <f>IF('Detailed Budget'!$C$1="English","Personnel costs","Costurile cu personalul")</f>
        <v>Personnel costs</v>
      </c>
      <c r="C46" s="229">
        <f>C47*C48</f>
        <v>0</v>
      </c>
      <c r="D46" s="229">
        <f t="shared" ref="D46:AB46" si="10">D47*D48</f>
        <v>0</v>
      </c>
      <c r="E46" s="229">
        <f t="shared" si="10"/>
        <v>0</v>
      </c>
      <c r="F46" s="229">
        <f t="shared" si="10"/>
        <v>0</v>
      </c>
      <c r="G46" s="229">
        <f t="shared" si="10"/>
        <v>0</v>
      </c>
      <c r="H46" s="229">
        <f t="shared" si="10"/>
        <v>0</v>
      </c>
      <c r="I46" s="229">
        <f t="shared" si="10"/>
        <v>0</v>
      </c>
      <c r="J46" s="229">
        <f t="shared" si="10"/>
        <v>0</v>
      </c>
      <c r="K46" s="229">
        <f t="shared" si="10"/>
        <v>0</v>
      </c>
      <c r="L46" s="229">
        <f t="shared" si="10"/>
        <v>0</v>
      </c>
      <c r="M46" s="229">
        <f t="shared" si="10"/>
        <v>0</v>
      </c>
      <c r="N46" s="229">
        <f t="shared" si="10"/>
        <v>0</v>
      </c>
      <c r="O46" s="229">
        <f t="shared" si="10"/>
        <v>0</v>
      </c>
      <c r="P46" s="229">
        <f t="shared" si="10"/>
        <v>0</v>
      </c>
      <c r="Q46" s="229">
        <f t="shared" si="10"/>
        <v>0</v>
      </c>
      <c r="R46" s="229">
        <f t="shared" si="10"/>
        <v>0</v>
      </c>
      <c r="S46" s="229">
        <f t="shared" si="10"/>
        <v>0</v>
      </c>
      <c r="T46" s="229">
        <f t="shared" si="10"/>
        <v>0</v>
      </c>
      <c r="U46" s="229">
        <f t="shared" si="10"/>
        <v>0</v>
      </c>
      <c r="V46" s="229">
        <f t="shared" si="10"/>
        <v>0</v>
      </c>
      <c r="W46" s="229">
        <f t="shared" si="10"/>
        <v>0</v>
      </c>
      <c r="X46" s="229">
        <f t="shared" si="10"/>
        <v>0</v>
      </c>
      <c r="Y46" s="229">
        <f t="shared" si="10"/>
        <v>0</v>
      </c>
      <c r="Z46" s="229">
        <f t="shared" si="10"/>
        <v>0</v>
      </c>
      <c r="AA46" s="229">
        <f t="shared" si="10"/>
        <v>0</v>
      </c>
      <c r="AB46" s="229">
        <f t="shared" si="10"/>
        <v>0</v>
      </c>
    </row>
    <row r="47" spans="1:28" x14ac:dyDescent="0.35">
      <c r="A47" s="234"/>
      <c r="B47" s="104" t="str">
        <f>IF('Detailed Budget'!$C$1="English","Number of employees","Numar de angajati")</f>
        <v>Number of employees</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row>
    <row r="48" spans="1:28" x14ac:dyDescent="0.35">
      <c r="A48" s="234"/>
      <c r="B48" s="113" t="str">
        <f>IF('Detailed Budget'!$C$1="English","Gross annual unitary salary","Salariul anual brut unitar")</f>
        <v>Gross annual unitary salary</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row>
    <row r="49" spans="1:28" x14ac:dyDescent="0.35">
      <c r="A49" s="234"/>
      <c r="B49" s="235" t="str">
        <f>IF('Detailed Budget'!$C$1="English","Maintenance cost","Costuri de intretinere si mentenanta")</f>
        <v>Maintenance cost</v>
      </c>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row>
    <row r="50" spans="1:28" x14ac:dyDescent="0.35">
      <c r="A50" s="234"/>
      <c r="B50" s="236" t="str">
        <f>IF('Detailed Budget'!$C$1="English","Other costs (please detail)","Alte costuri (va rugam detaliati)")</f>
        <v>Other costs (please detail)</v>
      </c>
      <c r="C50" s="237">
        <f>SUM(C51:C63)</f>
        <v>0</v>
      </c>
      <c r="D50" s="237">
        <f t="shared" ref="D50:AB50" si="11">SUM(D51:D63)</f>
        <v>0</v>
      </c>
      <c r="E50" s="237">
        <f t="shared" si="11"/>
        <v>0</v>
      </c>
      <c r="F50" s="237">
        <f t="shared" si="11"/>
        <v>0</v>
      </c>
      <c r="G50" s="237">
        <f t="shared" si="11"/>
        <v>0</v>
      </c>
      <c r="H50" s="237">
        <f t="shared" si="11"/>
        <v>0</v>
      </c>
      <c r="I50" s="237">
        <f t="shared" si="11"/>
        <v>0</v>
      </c>
      <c r="J50" s="237">
        <f t="shared" si="11"/>
        <v>0</v>
      </c>
      <c r="K50" s="237">
        <f t="shared" si="11"/>
        <v>0</v>
      </c>
      <c r="L50" s="237">
        <f t="shared" si="11"/>
        <v>0</v>
      </c>
      <c r="M50" s="237">
        <f t="shared" si="11"/>
        <v>0</v>
      </c>
      <c r="N50" s="237">
        <f t="shared" si="11"/>
        <v>0</v>
      </c>
      <c r="O50" s="237">
        <f t="shared" si="11"/>
        <v>0</v>
      </c>
      <c r="P50" s="237">
        <f t="shared" si="11"/>
        <v>0</v>
      </c>
      <c r="Q50" s="237">
        <f t="shared" si="11"/>
        <v>0</v>
      </c>
      <c r="R50" s="237">
        <f t="shared" si="11"/>
        <v>0</v>
      </c>
      <c r="S50" s="237">
        <f t="shared" si="11"/>
        <v>0</v>
      </c>
      <c r="T50" s="237">
        <f t="shared" si="11"/>
        <v>0</v>
      </c>
      <c r="U50" s="237">
        <f t="shared" si="11"/>
        <v>0</v>
      </c>
      <c r="V50" s="237">
        <f t="shared" si="11"/>
        <v>0</v>
      </c>
      <c r="W50" s="237">
        <f t="shared" si="11"/>
        <v>0</v>
      </c>
      <c r="X50" s="237">
        <f t="shared" si="11"/>
        <v>0</v>
      </c>
      <c r="Y50" s="237">
        <f t="shared" si="11"/>
        <v>0</v>
      </c>
      <c r="Z50" s="237">
        <f t="shared" si="11"/>
        <v>0</v>
      </c>
      <c r="AA50" s="237">
        <f t="shared" si="11"/>
        <v>0</v>
      </c>
      <c r="AB50" s="237">
        <f t="shared" si="11"/>
        <v>0</v>
      </c>
    </row>
    <row r="51" spans="1:28" x14ac:dyDescent="0.35">
      <c r="A51" s="234"/>
      <c r="B51" s="248" t="str">
        <f>IF('Detailed Budget'!$C$1="English","Redevences (if applicable)","Redeventa (daca este aplicabila)")</f>
        <v>Redevences (if applicable)</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row>
    <row r="52" spans="1:28" x14ac:dyDescent="0.35">
      <c r="A52" s="234"/>
      <c r="B52" s="248" t="s">
        <v>12</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row>
    <row r="53" spans="1:28" x14ac:dyDescent="0.35">
      <c r="A53" s="234"/>
      <c r="B53" s="249" t="s">
        <v>12</v>
      </c>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row>
    <row r="54" spans="1:28" x14ac:dyDescent="0.35">
      <c r="A54" s="234"/>
      <c r="B54" s="248" t="s">
        <v>12</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row>
    <row r="55" spans="1:28" x14ac:dyDescent="0.35">
      <c r="A55" s="234"/>
      <c r="B55" s="248" t="s">
        <v>12</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row>
    <row r="56" spans="1:28" x14ac:dyDescent="0.35">
      <c r="A56" s="234"/>
      <c r="B56" s="248" t="s">
        <v>12</v>
      </c>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row>
    <row r="57" spans="1:28" x14ac:dyDescent="0.35">
      <c r="A57" s="234"/>
      <c r="B57" s="248" t="s">
        <v>12</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row>
    <row r="58" spans="1:28" x14ac:dyDescent="0.35">
      <c r="A58" s="234"/>
      <c r="B58" s="248" t="s">
        <v>12</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row>
    <row r="59" spans="1:28" x14ac:dyDescent="0.35">
      <c r="A59" s="234"/>
      <c r="B59" s="248" t="s">
        <v>12</v>
      </c>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row>
    <row r="60" spans="1:28" x14ac:dyDescent="0.35">
      <c r="A60" s="234"/>
      <c r="B60" s="248" t="s">
        <v>12</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row>
    <row r="61" spans="1:28" x14ac:dyDescent="0.35">
      <c r="A61" s="234"/>
      <c r="B61" s="248" t="s">
        <v>12</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row>
    <row r="62" spans="1:28" x14ac:dyDescent="0.35">
      <c r="A62" s="234"/>
      <c r="B62" s="248" t="s">
        <v>12</v>
      </c>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row>
    <row r="63" spans="1:28" x14ac:dyDescent="0.35">
      <c r="A63" s="234"/>
      <c r="B63" s="248" t="s">
        <v>12</v>
      </c>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row>
    <row r="64" spans="1:28" ht="29" x14ac:dyDescent="0.35">
      <c r="A64" s="238"/>
      <c r="B64" s="236" t="str">
        <f>IF('Detailed Budget'!$C$1="English","Annual utilities and administrative expenses (if applicable)","Costurile anuale administrative si cu utilitatile (daca este aplicabil)")</f>
        <v>Annual utilities and administrative expenses (if applicable)</v>
      </c>
      <c r="C64" s="229">
        <f t="shared" ref="C64:AB64" si="12">SUM(C65:C69)*12</f>
        <v>0</v>
      </c>
      <c r="D64" s="229">
        <f t="shared" si="12"/>
        <v>0</v>
      </c>
      <c r="E64" s="229">
        <f t="shared" si="12"/>
        <v>0</v>
      </c>
      <c r="F64" s="229">
        <f t="shared" si="12"/>
        <v>0</v>
      </c>
      <c r="G64" s="229">
        <f t="shared" si="12"/>
        <v>0</v>
      </c>
      <c r="H64" s="229">
        <f t="shared" si="12"/>
        <v>0</v>
      </c>
      <c r="I64" s="229">
        <f t="shared" si="12"/>
        <v>0</v>
      </c>
      <c r="J64" s="229">
        <f t="shared" si="12"/>
        <v>0</v>
      </c>
      <c r="K64" s="229">
        <f t="shared" si="12"/>
        <v>0</v>
      </c>
      <c r="L64" s="229">
        <f t="shared" si="12"/>
        <v>0</v>
      </c>
      <c r="M64" s="229">
        <f t="shared" si="12"/>
        <v>0</v>
      </c>
      <c r="N64" s="229">
        <f t="shared" si="12"/>
        <v>0</v>
      </c>
      <c r="O64" s="229">
        <f t="shared" si="12"/>
        <v>0</v>
      </c>
      <c r="P64" s="229">
        <f t="shared" si="12"/>
        <v>0</v>
      </c>
      <c r="Q64" s="229">
        <f t="shared" si="12"/>
        <v>0</v>
      </c>
      <c r="R64" s="229">
        <f t="shared" si="12"/>
        <v>0</v>
      </c>
      <c r="S64" s="229">
        <f t="shared" si="12"/>
        <v>0</v>
      </c>
      <c r="T64" s="229">
        <f t="shared" si="12"/>
        <v>0</v>
      </c>
      <c r="U64" s="229">
        <f t="shared" si="12"/>
        <v>0</v>
      </c>
      <c r="V64" s="229">
        <f t="shared" si="12"/>
        <v>0</v>
      </c>
      <c r="W64" s="229">
        <f t="shared" si="12"/>
        <v>0</v>
      </c>
      <c r="X64" s="229">
        <f t="shared" si="12"/>
        <v>0</v>
      </c>
      <c r="Y64" s="229">
        <f t="shared" si="12"/>
        <v>0</v>
      </c>
      <c r="Z64" s="229">
        <f t="shared" si="12"/>
        <v>0</v>
      </c>
      <c r="AA64" s="229">
        <f t="shared" si="12"/>
        <v>0</v>
      </c>
      <c r="AB64" s="229">
        <f t="shared" si="12"/>
        <v>0</v>
      </c>
    </row>
    <row r="65" spans="1:28" x14ac:dyDescent="0.35">
      <c r="A65" s="238"/>
      <c r="B65" s="239" t="str">
        <f>IF('Detailed Budget'!$C$1="English","Monthly value water","Valoarea lunara pentru consumul de apa")</f>
        <v>Monthly value water</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row>
    <row r="66" spans="1:28" x14ac:dyDescent="0.35">
      <c r="A66" s="238"/>
      <c r="B66" s="239" t="str">
        <f>IF('Detailed Budget'!$C$1="English","Monthly value energy","Valoarea lunara pentru consumul de energie")</f>
        <v>Monthly value energy</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row>
    <row r="67" spans="1:28" x14ac:dyDescent="0.35">
      <c r="A67" s="238"/>
      <c r="B67" s="239" t="str">
        <f>IF('Detailed Budget'!$C$1="English","Monthly value for rent","Valoarea lunara a chiriei")</f>
        <v>Monthly value for rent</v>
      </c>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row>
    <row r="68" spans="1:28" x14ac:dyDescent="0.35">
      <c r="A68" s="238"/>
      <c r="B68" s="239" t="str">
        <f>IF('Detailed Budget'!$C$1="English","Monthly value for consumables","Valoarea lunara a consumabilelor")</f>
        <v>Monthly value for consumables</v>
      </c>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row>
    <row r="69" spans="1:28" x14ac:dyDescent="0.35">
      <c r="A69" s="238"/>
      <c r="B69" s="168" t="str">
        <f>IF('Detailed Budget'!$C$1="English","Monthly value for other expenses (please detail)","Valoarea lunara pentru alte costuri (va rugam detaliati)")</f>
        <v>Monthly value for other expenses (please detail)</v>
      </c>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row>
    <row r="70" spans="1:28" ht="43.5" x14ac:dyDescent="0.35">
      <c r="A70" s="234"/>
      <c r="B70" s="236" t="str">
        <f>IF('Detailed Budget'!$C$1="English","(If the case)  services produced by third parties, environmental protection costs, etc.(please detail)","(Daca este cazul) servicii produse de terti, costuri cu protectia mediului, etc. (va rugam detaliati)")</f>
        <v>(If the case)  services produced by third parties, environmental protection costs, etc.(please detail)</v>
      </c>
      <c r="C70" s="229">
        <f>SUM(C71:C72)</f>
        <v>0</v>
      </c>
      <c r="D70" s="229">
        <f t="shared" ref="D70:AB70" si="13">SUM(D71:D72)</f>
        <v>0</v>
      </c>
      <c r="E70" s="229">
        <f t="shared" si="13"/>
        <v>0</v>
      </c>
      <c r="F70" s="229">
        <f t="shared" si="13"/>
        <v>0</v>
      </c>
      <c r="G70" s="229">
        <f t="shared" si="13"/>
        <v>0</v>
      </c>
      <c r="H70" s="229">
        <f t="shared" si="13"/>
        <v>0</v>
      </c>
      <c r="I70" s="229">
        <f t="shared" si="13"/>
        <v>0</v>
      </c>
      <c r="J70" s="229">
        <f t="shared" si="13"/>
        <v>0</v>
      </c>
      <c r="K70" s="229">
        <f t="shared" si="13"/>
        <v>0</v>
      </c>
      <c r="L70" s="229">
        <f t="shared" si="13"/>
        <v>0</v>
      </c>
      <c r="M70" s="229">
        <f t="shared" si="13"/>
        <v>0</v>
      </c>
      <c r="N70" s="229">
        <f t="shared" si="13"/>
        <v>0</v>
      </c>
      <c r="O70" s="229">
        <f t="shared" si="13"/>
        <v>0</v>
      </c>
      <c r="P70" s="229">
        <f t="shared" si="13"/>
        <v>0</v>
      </c>
      <c r="Q70" s="229">
        <f t="shared" si="13"/>
        <v>0</v>
      </c>
      <c r="R70" s="229">
        <f t="shared" si="13"/>
        <v>0</v>
      </c>
      <c r="S70" s="229">
        <f t="shared" si="13"/>
        <v>0</v>
      </c>
      <c r="T70" s="229">
        <f t="shared" si="13"/>
        <v>0</v>
      </c>
      <c r="U70" s="229">
        <f t="shared" si="13"/>
        <v>0</v>
      </c>
      <c r="V70" s="229">
        <f t="shared" si="13"/>
        <v>0</v>
      </c>
      <c r="W70" s="229">
        <f t="shared" si="13"/>
        <v>0</v>
      </c>
      <c r="X70" s="229">
        <f t="shared" si="13"/>
        <v>0</v>
      </c>
      <c r="Y70" s="229">
        <f t="shared" si="13"/>
        <v>0</v>
      </c>
      <c r="Z70" s="229">
        <f t="shared" si="13"/>
        <v>0</v>
      </c>
      <c r="AA70" s="229">
        <f t="shared" si="13"/>
        <v>0</v>
      </c>
      <c r="AB70" s="229">
        <f t="shared" si="13"/>
        <v>0</v>
      </c>
    </row>
    <row r="71" spans="1:28" x14ac:dyDescent="0.35">
      <c r="A71" s="234"/>
      <c r="B71" s="168" t="s">
        <v>28</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row>
    <row r="72" spans="1:28" x14ac:dyDescent="0.35">
      <c r="A72" s="234"/>
      <c r="B72" s="168" t="s">
        <v>29</v>
      </c>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row>
    <row r="76" spans="1:28" ht="18.5" x14ac:dyDescent="0.45">
      <c r="B76" s="394" t="str">
        <f>IF('Detailed Budget'!$C$1="English","Residual value","Valoarea reziduala")</f>
        <v>Residual value</v>
      </c>
      <c r="C76" s="394"/>
      <c r="D76" s="394"/>
      <c r="E76" s="394"/>
      <c r="F76" s="394"/>
      <c r="G76" s="394"/>
      <c r="H76" s="394"/>
      <c r="I76" s="394"/>
      <c r="J76" s="394"/>
      <c r="K76" s="394"/>
      <c r="L76" s="394"/>
      <c r="M76" s="394"/>
      <c r="N76" s="394"/>
      <c r="O76" s="394"/>
      <c r="P76" s="394"/>
      <c r="Q76" s="394"/>
    </row>
    <row r="77" spans="1:28" x14ac:dyDescent="0.35">
      <c r="B77" s="240" t="str">
        <f>IF('Detailed Budget'!$C$1="English","Year number","Numarul de ani")</f>
        <v>Year number</v>
      </c>
      <c r="C77" s="240">
        <v>1</v>
      </c>
      <c r="D77" s="240">
        <v>2</v>
      </c>
      <c r="E77" s="240">
        <v>3</v>
      </c>
      <c r="F77" s="240">
        <v>4</v>
      </c>
      <c r="G77" s="240">
        <v>5</v>
      </c>
      <c r="H77" s="240">
        <v>6</v>
      </c>
      <c r="I77" s="240">
        <v>7</v>
      </c>
      <c r="J77" s="240">
        <v>8</v>
      </c>
      <c r="K77" s="240">
        <v>9</v>
      </c>
      <c r="L77" s="240">
        <v>10</v>
      </c>
      <c r="M77" s="240">
        <v>11</v>
      </c>
      <c r="N77" s="240">
        <v>12</v>
      </c>
      <c r="O77" s="240">
        <v>13</v>
      </c>
      <c r="P77" s="240">
        <v>14</v>
      </c>
      <c r="Q77" s="240">
        <v>15</v>
      </c>
    </row>
    <row r="78" spans="1:28" x14ac:dyDescent="0.35">
      <c r="B78" s="253" t="str">
        <f>IF('Detailed Budget'!$C$1="English","Net cash flow","Cash flow anual net")</f>
        <v>Net cash flow</v>
      </c>
      <c r="C78" s="255" t="e">
        <f ca="1">IF(C77&lt;=$F$6,OFFSET(Project_profitability!C15,0,'Project costs and revenues'!F4),0)</f>
        <v>#VALUE!</v>
      </c>
      <c r="D78" s="255" t="e">
        <f>IF(D77&lt;=$F$6,C78,0)</f>
        <v>#VALUE!</v>
      </c>
      <c r="E78" s="255" t="e">
        <f t="shared" ref="E78:K78" si="14">IF(E77&lt;=$F$6,D78,0)</f>
        <v>#VALUE!</v>
      </c>
      <c r="F78" s="255" t="e">
        <f t="shared" si="14"/>
        <v>#VALUE!</v>
      </c>
      <c r="G78" s="255" t="e">
        <f t="shared" si="14"/>
        <v>#VALUE!</v>
      </c>
      <c r="H78" s="255" t="e">
        <f t="shared" si="14"/>
        <v>#VALUE!</v>
      </c>
      <c r="I78" s="255" t="e">
        <f t="shared" si="14"/>
        <v>#VALUE!</v>
      </c>
      <c r="J78" s="255" t="e">
        <f t="shared" si="14"/>
        <v>#VALUE!</v>
      </c>
      <c r="K78" s="255" t="e">
        <f t="shared" si="14"/>
        <v>#VALUE!</v>
      </c>
      <c r="L78" s="255" t="e">
        <f>IF(L77&lt;=$F$6,K78,0)</f>
        <v>#VALUE!</v>
      </c>
      <c r="M78" s="255" t="e">
        <f t="shared" ref="M78:Q78" si="15">IF(M77&lt;=$F$6,L78,0)</f>
        <v>#VALUE!</v>
      </c>
      <c r="N78" s="255" t="e">
        <f t="shared" si="15"/>
        <v>#VALUE!</v>
      </c>
      <c r="O78" s="256" t="e">
        <f t="shared" si="15"/>
        <v>#VALUE!</v>
      </c>
      <c r="P78" s="256" t="e">
        <f t="shared" si="15"/>
        <v>#VALUE!</v>
      </c>
      <c r="Q78" s="256" t="e">
        <f t="shared" si="15"/>
        <v>#VALUE!</v>
      </c>
    </row>
    <row r="79" spans="1:28" x14ac:dyDescent="0.35">
      <c r="B79" s="297" t="str">
        <f>IF('Detailed Budget'!$C$1="English","Residual value","Valoarea reziduala")</f>
        <v>Residual value</v>
      </c>
      <c r="C79" s="298" t="e">
        <f ca="1">NPV(Project_profitability!$C$20,C78:Q78)</f>
        <v>#VALUE!</v>
      </c>
      <c r="D79" s="253"/>
      <c r="E79" s="253"/>
      <c r="F79" s="253"/>
      <c r="G79" s="253"/>
      <c r="H79" s="253"/>
      <c r="I79" s="253"/>
      <c r="J79" s="253"/>
      <c r="K79" s="253"/>
      <c r="L79" s="253"/>
      <c r="M79" s="253"/>
      <c r="N79" s="253"/>
      <c r="O79" s="253"/>
      <c r="P79" s="253"/>
      <c r="Q79" s="253"/>
    </row>
    <row r="82" spans="1:42" ht="15.65" customHeight="1" x14ac:dyDescent="0.35">
      <c r="C82" s="395" t="s">
        <v>31</v>
      </c>
      <c r="D82" s="395"/>
      <c r="E82" s="395"/>
      <c r="F82" s="395"/>
      <c r="G82" s="395"/>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row>
    <row r="83" spans="1:42" ht="29" customHeight="1" x14ac:dyDescent="0.35">
      <c r="A83" s="383" t="str">
        <f>IF('Detailed Budget'!$C$1="English","Only for renewable energy production projects","Doar pentru proiectele de producere a energiei regenerabile")</f>
        <v>Only for renewable energy production projects</v>
      </c>
      <c r="B83" s="257" t="str">
        <f>B77</f>
        <v>Year number</v>
      </c>
      <c r="C83" s="312" t="str">
        <f>C44</f>
        <v>Implementation period</v>
      </c>
      <c r="D83" s="257">
        <v>1</v>
      </c>
      <c r="E83" s="257">
        <v>2</v>
      </c>
      <c r="F83" s="257">
        <v>3</v>
      </c>
      <c r="G83" s="257">
        <v>4</v>
      </c>
      <c r="H83" s="257">
        <v>5</v>
      </c>
      <c r="I83" s="257">
        <v>6</v>
      </c>
      <c r="J83" s="257">
        <v>7</v>
      </c>
      <c r="K83" s="257">
        <v>8</v>
      </c>
      <c r="L83" s="257">
        <v>9</v>
      </c>
      <c r="M83" s="257">
        <v>10</v>
      </c>
      <c r="N83" s="257">
        <v>11</v>
      </c>
      <c r="O83" s="257">
        <v>12</v>
      </c>
      <c r="P83" s="257">
        <v>13</v>
      </c>
      <c r="Q83" s="257">
        <v>14</v>
      </c>
      <c r="R83" s="257">
        <v>15</v>
      </c>
      <c r="S83" s="257">
        <v>16</v>
      </c>
      <c r="T83" s="257">
        <v>17</v>
      </c>
      <c r="U83" s="257">
        <v>18</v>
      </c>
      <c r="V83" s="257">
        <v>19</v>
      </c>
      <c r="W83" s="257">
        <v>20</v>
      </c>
      <c r="X83" s="257">
        <v>21</v>
      </c>
      <c r="Y83" s="257">
        <v>22</v>
      </c>
      <c r="Z83" s="257">
        <v>23</v>
      </c>
      <c r="AA83" s="257">
        <v>24</v>
      </c>
      <c r="AB83" s="257">
        <v>25</v>
      </c>
      <c r="AC83" s="257">
        <v>26</v>
      </c>
      <c r="AD83" s="257">
        <v>27</v>
      </c>
      <c r="AE83" s="257">
        <v>28</v>
      </c>
      <c r="AF83" s="257">
        <v>29</v>
      </c>
      <c r="AG83" s="257">
        <v>30</v>
      </c>
      <c r="AH83" s="295">
        <v>31</v>
      </c>
      <c r="AI83" s="295">
        <v>32</v>
      </c>
      <c r="AJ83" s="295">
        <v>33</v>
      </c>
      <c r="AK83" s="295">
        <v>34</v>
      </c>
      <c r="AL83" s="295">
        <v>35</v>
      </c>
      <c r="AM83" s="241"/>
      <c r="AN83" s="241"/>
      <c r="AO83" s="241"/>
      <c r="AP83" s="241"/>
    </row>
    <row r="84" spans="1:42" ht="14.75" customHeight="1" x14ac:dyDescent="0.35">
      <c r="A84" s="383"/>
      <c r="B84" s="258" t="str">
        <f>IF('Detailed Budget'!$C$1="English","Investment value","Valoarea investitiei")</f>
        <v>Investment value</v>
      </c>
      <c r="C84" s="256">
        <f>'Detailed Budget'!B243</f>
        <v>0</v>
      </c>
      <c r="D84" s="256">
        <f>IF(D83&lt;=$F$9,[1]Project_profitability!$D$17,0)</f>
        <v>0</v>
      </c>
      <c r="E84" s="256">
        <f>IF(E83&lt;=$F$9,[1]Project_profitability!$D$17,0)</f>
        <v>0</v>
      </c>
      <c r="F84" s="256">
        <f>IF(F83&lt;=$F$9,[1]Project_profitability!$D$17,0)</f>
        <v>0</v>
      </c>
      <c r="G84" s="256">
        <f>IF(G83&lt;=$F$9,[1]Project_profitability!$D$17,0)</f>
        <v>0</v>
      </c>
      <c r="H84" s="256">
        <f>IF(H83&lt;=$F$9,[1]Project_profitability!$D$17,0)</f>
        <v>0</v>
      </c>
      <c r="I84" s="256">
        <f>IF(I83&lt;=$F$9,[1]Project_profitability!$D$17,0)</f>
        <v>0</v>
      </c>
      <c r="J84" s="256">
        <f>IF(J83&lt;=$F$9,[1]Project_profitability!$D$17,0)</f>
        <v>0</v>
      </c>
      <c r="K84" s="256">
        <f>IF(K83&lt;=$F$9,[1]Project_profitability!$D$17,0)</f>
        <v>0</v>
      </c>
      <c r="L84" s="256">
        <f>IF(L83&lt;=$F$9,[1]Project_profitability!$D$17,0)</f>
        <v>0</v>
      </c>
      <c r="M84" s="256">
        <f>IF(M83&lt;=$F$9,[1]Project_profitability!$D$17,0)</f>
        <v>0</v>
      </c>
      <c r="N84" s="256">
        <f>IF(N83&lt;=$F$9,[1]Project_profitability!$D$17,0)</f>
        <v>0</v>
      </c>
      <c r="O84" s="256">
        <f>IF(O83&lt;=$F$9,[1]Project_profitability!$D$17,0)</f>
        <v>0</v>
      </c>
      <c r="P84" s="256">
        <f>IF(P83&lt;=$F$9,[1]Project_profitability!$D$17,0)</f>
        <v>0</v>
      </c>
      <c r="Q84" s="256">
        <f>IF(Q83&lt;=$F$9,[1]Project_profitability!$D$17,0)</f>
        <v>0</v>
      </c>
      <c r="R84" s="256"/>
      <c r="S84" s="256"/>
      <c r="T84" s="256"/>
      <c r="U84" s="256"/>
      <c r="V84" s="256"/>
      <c r="W84" s="256"/>
      <c r="X84" s="256"/>
      <c r="Y84" s="256"/>
      <c r="Z84" s="256"/>
      <c r="AA84" s="256"/>
      <c r="AB84" s="256"/>
      <c r="AC84" s="256"/>
      <c r="AD84" s="256"/>
      <c r="AE84" s="256"/>
      <c r="AF84" s="256"/>
      <c r="AG84" s="256"/>
      <c r="AH84" s="294"/>
      <c r="AI84" s="294"/>
      <c r="AJ84" s="294"/>
      <c r="AK84" s="294"/>
      <c r="AL84" s="294"/>
    </row>
    <row r="85" spans="1:42" ht="14.75" customHeight="1" x14ac:dyDescent="0.35">
      <c r="A85" s="383"/>
      <c r="B85" s="258" t="str">
        <f>IF('Detailed Budget'!$C$1="English","Operational costs","Costuri operationale")</f>
        <v>Operational costs</v>
      </c>
      <c r="C85" s="256">
        <f>C45</f>
        <v>0</v>
      </c>
      <c r="D85" s="259">
        <f>IF(D83&lt;=$F$5,IF(D45&lt;&gt;0,D45,C85),0)</f>
        <v>0</v>
      </c>
      <c r="E85" s="259">
        <f t="shared" ref="E85:AG85" si="16">IF(E83&lt;=$F$5,IF(E45&lt;&gt;0,E45,D85),0)</f>
        <v>0</v>
      </c>
      <c r="F85" s="259">
        <f t="shared" si="16"/>
        <v>0</v>
      </c>
      <c r="G85" s="259">
        <f t="shared" si="16"/>
        <v>0</v>
      </c>
      <c r="H85" s="259">
        <f t="shared" si="16"/>
        <v>0</v>
      </c>
      <c r="I85" s="259">
        <f t="shared" si="16"/>
        <v>0</v>
      </c>
      <c r="J85" s="259">
        <f t="shared" si="16"/>
        <v>0</v>
      </c>
      <c r="K85" s="259">
        <f t="shared" si="16"/>
        <v>0</v>
      </c>
      <c r="L85" s="259">
        <f t="shared" si="16"/>
        <v>0</v>
      </c>
      <c r="M85" s="259">
        <f t="shared" si="16"/>
        <v>0</v>
      </c>
      <c r="N85" s="259">
        <f t="shared" si="16"/>
        <v>0</v>
      </c>
      <c r="O85" s="259">
        <f t="shared" si="16"/>
        <v>0</v>
      </c>
      <c r="P85" s="259">
        <f t="shared" si="16"/>
        <v>0</v>
      </c>
      <c r="Q85" s="259">
        <f t="shared" si="16"/>
        <v>0</v>
      </c>
      <c r="R85" s="259">
        <f t="shared" si="16"/>
        <v>0</v>
      </c>
      <c r="S85" s="259">
        <f t="shared" si="16"/>
        <v>0</v>
      </c>
      <c r="T85" s="259">
        <f t="shared" si="16"/>
        <v>0</v>
      </c>
      <c r="U85" s="259">
        <f t="shared" si="16"/>
        <v>0</v>
      </c>
      <c r="V85" s="259">
        <f t="shared" si="16"/>
        <v>0</v>
      </c>
      <c r="W85" s="259">
        <f t="shared" si="16"/>
        <v>0</v>
      </c>
      <c r="X85" s="259">
        <f t="shared" si="16"/>
        <v>0</v>
      </c>
      <c r="Y85" s="259">
        <f t="shared" si="16"/>
        <v>0</v>
      </c>
      <c r="Z85" s="259">
        <f t="shared" si="16"/>
        <v>0</v>
      </c>
      <c r="AA85" s="259">
        <f t="shared" si="16"/>
        <v>0</v>
      </c>
      <c r="AB85" s="259">
        <f t="shared" si="16"/>
        <v>0</v>
      </c>
      <c r="AC85" s="259">
        <f t="shared" si="16"/>
        <v>0</v>
      </c>
      <c r="AD85" s="259">
        <f t="shared" si="16"/>
        <v>0</v>
      </c>
      <c r="AE85" s="259">
        <f t="shared" si="16"/>
        <v>0</v>
      </c>
      <c r="AF85" s="259">
        <f t="shared" si="16"/>
        <v>0</v>
      </c>
      <c r="AG85" s="259">
        <f t="shared" si="16"/>
        <v>0</v>
      </c>
      <c r="AH85" s="296">
        <f>IF(AH83&lt;=$F$5,IF(AH45&lt;&gt;0,AH45,AG85),0)</f>
        <v>0</v>
      </c>
      <c r="AI85" s="296">
        <f>IF(AI83&lt;=$F$5,IF(AI45&lt;&gt;0,AI45,AH85),0)</f>
        <v>0</v>
      </c>
      <c r="AJ85" s="296">
        <f>IF(AJ83&lt;=$F$5,IF(AJ45&lt;&gt;0,AJ45,AI85),0)</f>
        <v>0</v>
      </c>
      <c r="AK85" s="296">
        <f>IF(AK83&lt;=$F$5,IF(AK45&lt;&gt;0,AK45,AJ85),0)</f>
        <v>0</v>
      </c>
      <c r="AL85" s="296">
        <f>IF(AL83&lt;=$F$5,IF(AL45&lt;&gt;0,AL45,AK85),0)</f>
        <v>0</v>
      </c>
    </row>
    <row r="86" spans="1:42" x14ac:dyDescent="0.35">
      <c r="A86" s="383"/>
      <c r="B86" s="258" t="str">
        <f>IF('Detailed Budget'!$C$1="English","Annual Energy Production [MWh]","Productia anuala de energie [MWh]")</f>
        <v>Annual Energy Production [MWh]</v>
      </c>
      <c r="C86" s="294">
        <f>C18+C21+C24+C27+C30+C33</f>
        <v>0</v>
      </c>
      <c r="D86" s="256">
        <f>IF(D83&lt;=$F$5,IF(D18+D21+D24+D27&lt;&gt;0,D18+D21+D24+D27,C86),0)</f>
        <v>0</v>
      </c>
      <c r="E86" s="256">
        <f t="shared" ref="E86:AG86" si="17">IF(E83&lt;=$F$5,IF(E18+E21+E24+E27&lt;&gt;0,E18+E21+E24+E27,D86),0)</f>
        <v>0</v>
      </c>
      <c r="F86" s="256">
        <f t="shared" si="17"/>
        <v>0</v>
      </c>
      <c r="G86" s="256">
        <f t="shared" si="17"/>
        <v>0</v>
      </c>
      <c r="H86" s="256">
        <f t="shared" si="17"/>
        <v>0</v>
      </c>
      <c r="I86" s="256">
        <f t="shared" si="17"/>
        <v>0</v>
      </c>
      <c r="J86" s="256">
        <f t="shared" si="17"/>
        <v>0</v>
      </c>
      <c r="K86" s="256">
        <f t="shared" si="17"/>
        <v>0</v>
      </c>
      <c r="L86" s="256">
        <f t="shared" si="17"/>
        <v>0</v>
      </c>
      <c r="M86" s="256">
        <f t="shared" si="17"/>
        <v>0</v>
      </c>
      <c r="N86" s="256">
        <f t="shared" si="17"/>
        <v>0</v>
      </c>
      <c r="O86" s="256">
        <f t="shared" si="17"/>
        <v>0</v>
      </c>
      <c r="P86" s="256">
        <f t="shared" si="17"/>
        <v>0</v>
      </c>
      <c r="Q86" s="256">
        <f t="shared" si="17"/>
        <v>0</v>
      </c>
      <c r="R86" s="256">
        <f t="shared" si="17"/>
        <v>0</v>
      </c>
      <c r="S86" s="256">
        <f t="shared" si="17"/>
        <v>0</v>
      </c>
      <c r="T86" s="256">
        <f t="shared" si="17"/>
        <v>0</v>
      </c>
      <c r="U86" s="256">
        <f t="shared" si="17"/>
        <v>0</v>
      </c>
      <c r="V86" s="256">
        <f t="shared" si="17"/>
        <v>0</v>
      </c>
      <c r="W86" s="256">
        <f t="shared" si="17"/>
        <v>0</v>
      </c>
      <c r="X86" s="256">
        <f t="shared" si="17"/>
        <v>0</v>
      </c>
      <c r="Y86" s="256">
        <f t="shared" si="17"/>
        <v>0</v>
      </c>
      <c r="Z86" s="256">
        <f t="shared" si="17"/>
        <v>0</v>
      </c>
      <c r="AA86" s="256">
        <f t="shared" si="17"/>
        <v>0</v>
      </c>
      <c r="AB86" s="256">
        <f t="shared" si="17"/>
        <v>0</v>
      </c>
      <c r="AC86" s="256">
        <f t="shared" si="17"/>
        <v>0</v>
      </c>
      <c r="AD86" s="256">
        <f t="shared" si="17"/>
        <v>0</v>
      </c>
      <c r="AE86" s="256">
        <f t="shared" si="17"/>
        <v>0</v>
      </c>
      <c r="AF86" s="256">
        <f t="shared" si="17"/>
        <v>0</v>
      </c>
      <c r="AG86" s="256">
        <f t="shared" si="17"/>
        <v>0</v>
      </c>
      <c r="AH86" s="294">
        <f>IF(AH83&lt;=$F$5,IF(AH18+AH21+AH24+AH27&lt;&gt;0,AH18+AH21+AH24+AH27,AG86),0)</f>
        <v>0</v>
      </c>
      <c r="AI86" s="294">
        <f>IF(AI83&lt;=$F$5,IF(AI18+AI21+AI24+AI27&lt;&gt;0,AI18+AI21+AI24+AI27,AH86),0)</f>
        <v>0</v>
      </c>
      <c r="AJ86" s="294">
        <f>IF(AJ83&lt;=$F$5,IF(AJ18+AJ21+AJ24+AJ27&lt;&gt;0,AJ18+AJ21+AJ24+AJ27,AI86),0)</f>
        <v>0</v>
      </c>
      <c r="AK86" s="294">
        <f>IF(AK83&lt;=$F$5,IF(AK18+AK21+AK24+AK27&lt;&gt;0,AK18+AK21+AK24+AK27,AJ86),0)</f>
        <v>0</v>
      </c>
      <c r="AL86" s="294">
        <f>IF(AL83&lt;=$F$5,IF(AL18+AL21+AL24+AL27&lt;&gt;0,AL18+AL21+AL24+AL27,AK86),0)</f>
        <v>0</v>
      </c>
    </row>
    <row r="87" spans="1:42" x14ac:dyDescent="0.35">
      <c r="A87" s="383"/>
      <c r="B87" s="258" t="str">
        <f>IF('Detailed Budget'!$C$1="English","Total costs [EURO]","Costuri totale [Euro]")</f>
        <v>Total costs [EURO]</v>
      </c>
      <c r="C87" s="256">
        <f>SUM(C84:C85)</f>
        <v>0</v>
      </c>
      <c r="D87" s="256">
        <f t="shared" ref="D87:AG87" si="18">SUM(D84:D85)</f>
        <v>0</v>
      </c>
      <c r="E87" s="256">
        <f t="shared" si="18"/>
        <v>0</v>
      </c>
      <c r="F87" s="256">
        <f t="shared" si="18"/>
        <v>0</v>
      </c>
      <c r="G87" s="256">
        <f t="shared" si="18"/>
        <v>0</v>
      </c>
      <c r="H87" s="256">
        <f t="shared" si="18"/>
        <v>0</v>
      </c>
      <c r="I87" s="256">
        <f t="shared" si="18"/>
        <v>0</v>
      </c>
      <c r="J87" s="256">
        <f t="shared" si="18"/>
        <v>0</v>
      </c>
      <c r="K87" s="256">
        <f t="shared" si="18"/>
        <v>0</v>
      </c>
      <c r="L87" s="256">
        <f t="shared" si="18"/>
        <v>0</v>
      </c>
      <c r="M87" s="256">
        <f t="shared" si="18"/>
        <v>0</v>
      </c>
      <c r="N87" s="256">
        <f t="shared" si="18"/>
        <v>0</v>
      </c>
      <c r="O87" s="256">
        <f t="shared" si="18"/>
        <v>0</v>
      </c>
      <c r="P87" s="256">
        <f t="shared" si="18"/>
        <v>0</v>
      </c>
      <c r="Q87" s="256">
        <f t="shared" si="18"/>
        <v>0</v>
      </c>
      <c r="R87" s="256">
        <f t="shared" si="18"/>
        <v>0</v>
      </c>
      <c r="S87" s="256">
        <f t="shared" si="18"/>
        <v>0</v>
      </c>
      <c r="T87" s="256">
        <f t="shared" si="18"/>
        <v>0</v>
      </c>
      <c r="U87" s="256">
        <f t="shared" si="18"/>
        <v>0</v>
      </c>
      <c r="V87" s="256">
        <f t="shared" si="18"/>
        <v>0</v>
      </c>
      <c r="W87" s="256">
        <f t="shared" si="18"/>
        <v>0</v>
      </c>
      <c r="X87" s="256">
        <f t="shared" si="18"/>
        <v>0</v>
      </c>
      <c r="Y87" s="256">
        <f t="shared" si="18"/>
        <v>0</v>
      </c>
      <c r="Z87" s="256">
        <f t="shared" si="18"/>
        <v>0</v>
      </c>
      <c r="AA87" s="256">
        <f t="shared" si="18"/>
        <v>0</v>
      </c>
      <c r="AB87" s="256">
        <f t="shared" si="18"/>
        <v>0</v>
      </c>
      <c r="AC87" s="256">
        <f t="shared" si="18"/>
        <v>0</v>
      </c>
      <c r="AD87" s="256">
        <f t="shared" si="18"/>
        <v>0</v>
      </c>
      <c r="AE87" s="256">
        <f t="shared" si="18"/>
        <v>0</v>
      </c>
      <c r="AF87" s="256">
        <f t="shared" si="18"/>
        <v>0</v>
      </c>
      <c r="AG87" s="256">
        <f t="shared" si="18"/>
        <v>0</v>
      </c>
      <c r="AH87" s="294">
        <f>SUM(AH84:AH85)</f>
        <v>0</v>
      </c>
      <c r="AI87" s="294">
        <f>SUM(AI84:AI85)</f>
        <v>0</v>
      </c>
      <c r="AJ87" s="294">
        <f>SUM(AJ84:AJ85)</f>
        <v>0</v>
      </c>
      <c r="AK87" s="294">
        <f>SUM(AK84:AK85)</f>
        <v>0</v>
      </c>
      <c r="AL87" s="294">
        <f>SUM(AL84:AL85)</f>
        <v>0</v>
      </c>
    </row>
    <row r="88" spans="1:42" x14ac:dyDescent="0.35">
      <c r="A88" s="383"/>
      <c r="B88" s="260" t="s">
        <v>33</v>
      </c>
      <c r="C88" s="261" t="e">
        <f>NPV(Project_profitability!C20,'Project costs and revenues'!C87:AG87)/NPV(Project_profitability!C20,'Project costs and revenues'!C86:AG86)</f>
        <v>#DIV/0!</v>
      </c>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1:42" x14ac:dyDescent="0.35">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1:42" x14ac:dyDescent="0.3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1:42" x14ac:dyDescent="0.35">
      <c r="C91" s="242"/>
    </row>
  </sheetData>
  <sheetProtection algorithmName="SHA-512" hashValue="YEcV2BM+hRjV2ThJ/BbghCmAXrr7KiC8C0Xlm9f9FFLujfSXh8QSJKbI/dn+ienU7fdxHf/Sovg4GV/4ud1jLA==" saltValue="HSiS7ojpsPjF+xWcC2NkWQ==" spinCount="100000" sheet="1" objects="1" scenarios="1"/>
  <mergeCells count="11">
    <mergeCell ref="A83:A88"/>
    <mergeCell ref="B4:D4"/>
    <mergeCell ref="B5:E5"/>
    <mergeCell ref="B6:D6"/>
    <mergeCell ref="C12:AB12"/>
    <mergeCell ref="A29:A34"/>
    <mergeCell ref="C41:AB41"/>
    <mergeCell ref="B76:Q76"/>
    <mergeCell ref="C82:AL82"/>
    <mergeCell ref="C14:AB14"/>
    <mergeCell ref="C43:AB43"/>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319046D-1A06-432E-BB1C-9070835A2468}">
          <x14:formula1>
            <xm:f>Admin!$AU$2:$AU$7</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3057-A746-49DE-BF56-BDED7F4DEF4D}">
  <sheetPr codeName="Sheet7"/>
  <dimension ref="A2:AB43"/>
  <sheetViews>
    <sheetView topLeftCell="C1" zoomScale="85" zoomScaleNormal="70" workbookViewId="0">
      <selection activeCell="H19" sqref="H19"/>
    </sheetView>
  </sheetViews>
  <sheetFormatPr defaultColWidth="8.7265625" defaultRowHeight="14.5" x14ac:dyDescent="0.35"/>
  <cols>
    <col min="1" max="1" width="16.81640625" style="8" customWidth="1"/>
    <col min="2" max="2" width="34" style="6" customWidth="1"/>
    <col min="3" max="3" width="13.1796875" style="8" customWidth="1"/>
    <col min="4" max="10" width="8.81640625" style="8" customWidth="1"/>
    <col min="11" max="11" width="7.81640625" style="8" customWidth="1"/>
    <col min="12" max="12" width="8.36328125" style="8" customWidth="1"/>
    <col min="13" max="17" width="8.7265625" style="8"/>
    <col min="18" max="18" width="10.36328125" style="8" customWidth="1"/>
    <col min="19" max="16384" width="8.7265625" style="8"/>
  </cols>
  <sheetData>
    <row r="2" spans="1:28" x14ac:dyDescent="0.35">
      <c r="B2" s="262"/>
    </row>
    <row r="3" spans="1:28" x14ac:dyDescent="0.35">
      <c r="B3" s="262"/>
    </row>
    <row r="4" spans="1:28" x14ac:dyDescent="0.35">
      <c r="B4" s="263" t="s">
        <v>19</v>
      </c>
      <c r="C4" s="403"/>
      <c r="D4" s="403"/>
    </row>
    <row r="5" spans="1:28" x14ac:dyDescent="0.35">
      <c r="B5" s="263" t="s">
        <v>20</v>
      </c>
      <c r="C5" s="403" t="str">
        <f>'Balance_sheet_Historical data'!C6</f>
        <v>1 Euro = 4,8271 LEI</v>
      </c>
      <c r="D5" s="403"/>
    </row>
    <row r="6" spans="1:28" x14ac:dyDescent="0.35">
      <c r="B6" s="264"/>
    </row>
    <row r="7" spans="1:28" x14ac:dyDescent="0.35">
      <c r="B7" s="264"/>
    </row>
    <row r="8" spans="1:28" ht="18.5" x14ac:dyDescent="0.45">
      <c r="B8" s="398" t="s">
        <v>34</v>
      </c>
      <c r="C8" s="398"/>
      <c r="D8" s="398"/>
      <c r="E8" s="398"/>
      <c r="F8" s="398"/>
      <c r="G8" s="398"/>
      <c r="H8" s="398"/>
      <c r="I8" s="309"/>
    </row>
    <row r="10" spans="1:28" x14ac:dyDescent="0.35">
      <c r="B10" s="399"/>
      <c r="C10" s="403" t="s">
        <v>27</v>
      </c>
      <c r="D10" s="403"/>
      <c r="E10" s="403"/>
      <c r="F10" s="403"/>
      <c r="G10" s="403"/>
      <c r="H10" s="403"/>
      <c r="I10" s="403"/>
      <c r="J10" s="403"/>
      <c r="K10" s="403"/>
      <c r="L10" s="403"/>
      <c r="M10" s="403"/>
      <c r="N10" s="403"/>
      <c r="O10" s="403"/>
      <c r="P10" s="403"/>
      <c r="Q10" s="403"/>
    </row>
    <row r="11" spans="1:28" x14ac:dyDescent="0.35">
      <c r="A11" s="397" t="str">
        <f>IF(SUM(C12:H12)='Detailed Budget'!B243,"OK","Please check the total value of investment")</f>
        <v>OK</v>
      </c>
      <c r="B11" s="399"/>
      <c r="C11" s="265">
        <v>0</v>
      </c>
      <c r="D11" s="265">
        <f>C11+1</f>
        <v>1</v>
      </c>
      <c r="E11" s="265">
        <f t="shared" ref="E11:AA11" si="0">D11+1</f>
        <v>2</v>
      </c>
      <c r="F11" s="265">
        <f t="shared" si="0"/>
        <v>3</v>
      </c>
      <c r="G11" s="265">
        <f t="shared" si="0"/>
        <v>4</v>
      </c>
      <c r="H11" s="265">
        <f t="shared" si="0"/>
        <v>5</v>
      </c>
      <c r="I11" s="265">
        <f t="shared" si="0"/>
        <v>6</v>
      </c>
      <c r="J11" s="265">
        <f t="shared" si="0"/>
        <v>7</v>
      </c>
      <c r="K11" s="265">
        <f t="shared" si="0"/>
        <v>8</v>
      </c>
      <c r="L11" s="265">
        <f t="shared" si="0"/>
        <v>9</v>
      </c>
      <c r="M11" s="265">
        <f t="shared" si="0"/>
        <v>10</v>
      </c>
      <c r="N11" s="265">
        <f t="shared" si="0"/>
        <v>11</v>
      </c>
      <c r="O11" s="265">
        <f t="shared" si="0"/>
        <v>12</v>
      </c>
      <c r="P11" s="265">
        <f t="shared" si="0"/>
        <v>13</v>
      </c>
      <c r="Q11" s="265">
        <f t="shared" si="0"/>
        <v>14</v>
      </c>
      <c r="R11" s="265">
        <f t="shared" si="0"/>
        <v>15</v>
      </c>
      <c r="S11" s="265">
        <f t="shared" si="0"/>
        <v>16</v>
      </c>
      <c r="T11" s="265">
        <f t="shared" si="0"/>
        <v>17</v>
      </c>
      <c r="U11" s="265">
        <f t="shared" si="0"/>
        <v>18</v>
      </c>
      <c r="V11" s="265">
        <f t="shared" si="0"/>
        <v>19</v>
      </c>
      <c r="W11" s="265">
        <f t="shared" si="0"/>
        <v>20</v>
      </c>
      <c r="X11" s="265">
        <f t="shared" si="0"/>
        <v>21</v>
      </c>
      <c r="Y11" s="265">
        <f t="shared" si="0"/>
        <v>22</v>
      </c>
      <c r="Z11" s="265">
        <f t="shared" si="0"/>
        <v>23</v>
      </c>
      <c r="AA11" s="265">
        <f t="shared" si="0"/>
        <v>24</v>
      </c>
      <c r="AB11" s="265">
        <f>AA11+1</f>
        <v>25</v>
      </c>
    </row>
    <row r="12" spans="1:28" x14ac:dyDescent="0.35">
      <c r="A12" s="397"/>
      <c r="B12" s="266" t="s">
        <v>35</v>
      </c>
      <c r="C12" s="267">
        <f>'Detailed Budget'!B243</f>
        <v>0</v>
      </c>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row>
    <row r="13" spans="1:28" ht="22" customHeight="1" x14ac:dyDescent="0.35">
      <c r="A13" s="269"/>
      <c r="B13" s="270" t="s">
        <v>36</v>
      </c>
      <c r="C13" s="271">
        <f>'Project costs and revenues'!C16</f>
        <v>0</v>
      </c>
      <c r="D13" s="271">
        <f>'Project costs and revenues'!D16</f>
        <v>0</v>
      </c>
      <c r="E13" s="271">
        <f>'Project costs and revenues'!E16</f>
        <v>0</v>
      </c>
      <c r="F13" s="271">
        <f>'Project costs and revenues'!F16</f>
        <v>0</v>
      </c>
      <c r="G13" s="271">
        <f>'Project costs and revenues'!G16</f>
        <v>0</v>
      </c>
      <c r="H13" s="271">
        <f>'Project costs and revenues'!H16</f>
        <v>0</v>
      </c>
      <c r="I13" s="271">
        <f>'Project costs and revenues'!I16</f>
        <v>0</v>
      </c>
      <c r="J13" s="271">
        <f>'Project costs and revenues'!J16</f>
        <v>0</v>
      </c>
      <c r="K13" s="271">
        <f>'Project costs and revenues'!K16</f>
        <v>0</v>
      </c>
      <c r="L13" s="271">
        <f>'Project costs and revenues'!L16</f>
        <v>0</v>
      </c>
      <c r="M13" s="271">
        <f>'Project costs and revenues'!M16</f>
        <v>0</v>
      </c>
      <c r="N13" s="271">
        <f>'Project costs and revenues'!N16</f>
        <v>0</v>
      </c>
      <c r="O13" s="271">
        <f>'Project costs and revenues'!O16</f>
        <v>0</v>
      </c>
      <c r="P13" s="271">
        <f>'Project costs and revenues'!P16</f>
        <v>0</v>
      </c>
      <c r="Q13" s="271">
        <f>'Project costs and revenues'!Q16</f>
        <v>0</v>
      </c>
      <c r="R13" s="271">
        <f>'Project costs and revenues'!R16</f>
        <v>0</v>
      </c>
      <c r="S13" s="271">
        <f>'Project costs and revenues'!S16</f>
        <v>0</v>
      </c>
      <c r="T13" s="271">
        <f>'Project costs and revenues'!T16</f>
        <v>0</v>
      </c>
      <c r="U13" s="271">
        <f>'Project costs and revenues'!U16</f>
        <v>0</v>
      </c>
      <c r="V13" s="271">
        <f>'Project costs and revenues'!V16</f>
        <v>0</v>
      </c>
      <c r="W13" s="271">
        <f>'Project costs and revenues'!W16</f>
        <v>0</v>
      </c>
      <c r="X13" s="271">
        <f>'Project costs and revenues'!X16</f>
        <v>0</v>
      </c>
      <c r="Y13" s="271">
        <f>'Project costs and revenues'!Y16</f>
        <v>0</v>
      </c>
      <c r="Z13" s="271">
        <f>'Project costs and revenues'!Z16</f>
        <v>0</v>
      </c>
      <c r="AA13" s="271">
        <f>'Project costs and revenues'!AA16</f>
        <v>0</v>
      </c>
      <c r="AB13" s="271">
        <f>'Project costs and revenues'!AB16</f>
        <v>0</v>
      </c>
    </row>
    <row r="14" spans="1:28" ht="29" x14ac:dyDescent="0.35">
      <c r="A14" s="269"/>
      <c r="B14" s="270" t="s">
        <v>37</v>
      </c>
      <c r="C14" s="271">
        <f>'Project costs and revenues'!C45</f>
        <v>0</v>
      </c>
      <c r="D14" s="271">
        <f>'Project costs and revenues'!D45</f>
        <v>0</v>
      </c>
      <c r="E14" s="271">
        <f>'Project costs and revenues'!E45</f>
        <v>0</v>
      </c>
      <c r="F14" s="271">
        <f>'Project costs and revenues'!F45</f>
        <v>0</v>
      </c>
      <c r="G14" s="271">
        <f>'Project costs and revenues'!G45</f>
        <v>0</v>
      </c>
      <c r="H14" s="271">
        <f>'Project costs and revenues'!H45</f>
        <v>0</v>
      </c>
      <c r="I14" s="271">
        <f>'Project costs and revenues'!I45</f>
        <v>0</v>
      </c>
      <c r="J14" s="271">
        <f>'Project costs and revenues'!J45</f>
        <v>0</v>
      </c>
      <c r="K14" s="271">
        <f>'Project costs and revenues'!K45</f>
        <v>0</v>
      </c>
      <c r="L14" s="271">
        <f>'Project costs and revenues'!L45</f>
        <v>0</v>
      </c>
      <c r="M14" s="271">
        <f>'Project costs and revenues'!M45</f>
        <v>0</v>
      </c>
      <c r="N14" s="271">
        <f>'Project costs and revenues'!N45</f>
        <v>0</v>
      </c>
      <c r="O14" s="271">
        <f>'Project costs and revenues'!O45</f>
        <v>0</v>
      </c>
      <c r="P14" s="271">
        <f>'Project costs and revenues'!P45</f>
        <v>0</v>
      </c>
      <c r="Q14" s="271">
        <f>'Project costs and revenues'!Q45</f>
        <v>0</v>
      </c>
      <c r="R14" s="271">
        <f>'Project costs and revenues'!R45</f>
        <v>0</v>
      </c>
      <c r="S14" s="271">
        <f>'Project costs and revenues'!S45</f>
        <v>0</v>
      </c>
      <c r="T14" s="271">
        <f>'Project costs and revenues'!T45</f>
        <v>0</v>
      </c>
      <c r="U14" s="271">
        <f>'Project costs and revenues'!U45</f>
        <v>0</v>
      </c>
      <c r="V14" s="271">
        <f>'Project costs and revenues'!V45</f>
        <v>0</v>
      </c>
      <c r="W14" s="271">
        <f>'Project costs and revenues'!W45</f>
        <v>0</v>
      </c>
      <c r="X14" s="271">
        <f>'Project costs and revenues'!X45</f>
        <v>0</v>
      </c>
      <c r="Y14" s="271">
        <f>'Project costs and revenues'!Y45</f>
        <v>0</v>
      </c>
      <c r="Z14" s="271">
        <f>'Project costs and revenues'!Z45</f>
        <v>0</v>
      </c>
      <c r="AA14" s="271">
        <f>'Project costs and revenues'!AA45</f>
        <v>0</v>
      </c>
      <c r="AB14" s="271">
        <f>'Project costs and revenues'!AB45</f>
        <v>0</v>
      </c>
    </row>
    <row r="15" spans="1:28" x14ac:dyDescent="0.35">
      <c r="B15" s="272" t="s">
        <v>24</v>
      </c>
      <c r="C15" s="273">
        <f>C13-C14</f>
        <v>0</v>
      </c>
      <c r="D15" s="273">
        <f t="shared" ref="D15:AB15" si="1">D13-D14</f>
        <v>0</v>
      </c>
      <c r="E15" s="273">
        <f t="shared" si="1"/>
        <v>0</v>
      </c>
      <c r="F15" s="273">
        <f t="shared" si="1"/>
        <v>0</v>
      </c>
      <c r="G15" s="273">
        <f t="shared" si="1"/>
        <v>0</v>
      </c>
      <c r="H15" s="273">
        <f t="shared" si="1"/>
        <v>0</v>
      </c>
      <c r="I15" s="273">
        <f t="shared" si="1"/>
        <v>0</v>
      </c>
      <c r="J15" s="273">
        <f t="shared" si="1"/>
        <v>0</v>
      </c>
      <c r="K15" s="273">
        <f t="shared" si="1"/>
        <v>0</v>
      </c>
      <c r="L15" s="273">
        <f t="shared" si="1"/>
        <v>0</v>
      </c>
      <c r="M15" s="273">
        <f t="shared" si="1"/>
        <v>0</v>
      </c>
      <c r="N15" s="273">
        <f t="shared" si="1"/>
        <v>0</v>
      </c>
      <c r="O15" s="273">
        <f t="shared" si="1"/>
        <v>0</v>
      </c>
      <c r="P15" s="273">
        <f t="shared" si="1"/>
        <v>0</v>
      </c>
      <c r="Q15" s="273">
        <f t="shared" si="1"/>
        <v>0</v>
      </c>
      <c r="R15" s="273">
        <f t="shared" si="1"/>
        <v>0</v>
      </c>
      <c r="S15" s="273">
        <f t="shared" si="1"/>
        <v>0</v>
      </c>
      <c r="T15" s="273">
        <f t="shared" si="1"/>
        <v>0</v>
      </c>
      <c r="U15" s="273">
        <f t="shared" si="1"/>
        <v>0</v>
      </c>
      <c r="V15" s="273">
        <f t="shared" si="1"/>
        <v>0</v>
      </c>
      <c r="W15" s="273">
        <f t="shared" si="1"/>
        <v>0</v>
      </c>
      <c r="X15" s="273">
        <f t="shared" si="1"/>
        <v>0</v>
      </c>
      <c r="Y15" s="273">
        <f t="shared" si="1"/>
        <v>0</v>
      </c>
      <c r="Z15" s="273">
        <f t="shared" si="1"/>
        <v>0</v>
      </c>
      <c r="AA15" s="273">
        <f t="shared" si="1"/>
        <v>0</v>
      </c>
      <c r="AB15" s="273">
        <f t="shared" si="1"/>
        <v>0</v>
      </c>
    </row>
    <row r="16" spans="1:28" x14ac:dyDescent="0.35">
      <c r="B16" s="274" t="s">
        <v>38</v>
      </c>
      <c r="C16" s="275">
        <f>IF(C11='Project costs and revenues'!$F$4,'Project costs and revenues'!$C$79,0)</f>
        <v>0</v>
      </c>
      <c r="D16" s="275">
        <f>IF(D11='Project costs and revenues'!$F$4,'Project costs and revenues'!$C$79,0)</f>
        <v>0</v>
      </c>
      <c r="E16" s="275">
        <f>IF(E11='Project costs and revenues'!$F$4,'Project costs and revenues'!$C$79,0)</f>
        <v>0</v>
      </c>
      <c r="F16" s="275">
        <f>IF(F11='Project costs and revenues'!$F$4,'Project costs and revenues'!$C$79,0)</f>
        <v>0</v>
      </c>
      <c r="G16" s="275">
        <f>IF(G11='Project costs and revenues'!$F$4,'Project costs and revenues'!$C$79,0)</f>
        <v>0</v>
      </c>
      <c r="H16" s="275">
        <f>IF(H11='Project costs and revenues'!$F$4,'Project costs and revenues'!$C$79,0)</f>
        <v>0</v>
      </c>
      <c r="I16" s="275">
        <f>IF(I11='Project costs and revenues'!$F$4,'Project costs and revenues'!$C$79,0)</f>
        <v>0</v>
      </c>
      <c r="J16" s="275">
        <f>IF(J11='Project costs and revenues'!$F$4,'Project costs and revenues'!$C$79,0)</f>
        <v>0</v>
      </c>
      <c r="K16" s="275">
        <f>IF(K11='Project costs and revenues'!$F$4,'Project costs and revenues'!$C$79,0)</f>
        <v>0</v>
      </c>
      <c r="L16" s="275">
        <f>IF(L11='Project costs and revenues'!$F$4,'Project costs and revenues'!$C$79,0)</f>
        <v>0</v>
      </c>
      <c r="M16" s="275">
        <f>IF(M11='Project costs and revenues'!$F$4,'Project costs and revenues'!$C$79,0)</f>
        <v>0</v>
      </c>
      <c r="N16" s="275">
        <f>IF(N11='Project costs and revenues'!$F$4,'Project costs and revenues'!$C$79,0)</f>
        <v>0</v>
      </c>
      <c r="O16" s="275">
        <f>IF(O11='Project costs and revenues'!$F$4,'Project costs and revenues'!$C$79,0)</f>
        <v>0</v>
      </c>
      <c r="P16" s="275">
        <f>IF(P11='Project costs and revenues'!$F$4,'Project costs and revenues'!$C$79,0)</f>
        <v>0</v>
      </c>
      <c r="Q16" s="275">
        <f>IF(Q11='Project costs and revenues'!$F$4,'Project costs and revenues'!$C$79,0)</f>
        <v>0</v>
      </c>
      <c r="R16" s="275">
        <f>IF(R11='Project costs and revenues'!$F$4,'Project costs and revenues'!$C$79,0)</f>
        <v>0</v>
      </c>
      <c r="S16" s="275">
        <f>IF(S11='Project costs and revenues'!$F$4,'Project costs and revenues'!$C$79,0)</f>
        <v>0</v>
      </c>
      <c r="T16" s="275">
        <f>IF(T11='Project costs and revenues'!$F$4,'Project costs and revenues'!$C$79,0)</f>
        <v>0</v>
      </c>
      <c r="U16" s="275">
        <f>IF(U11='Project costs and revenues'!$F$4,'Project costs and revenues'!$C$79,0)</f>
        <v>0</v>
      </c>
      <c r="V16" s="275">
        <f>IF(V11='Project costs and revenues'!$F$4,'Project costs and revenues'!$C$79,0)</f>
        <v>0</v>
      </c>
      <c r="W16" s="275">
        <f>IF(W11='Project costs and revenues'!$F$4,'Project costs and revenues'!$C$79,0)</f>
        <v>0</v>
      </c>
      <c r="X16" s="275">
        <f>IF(X11='Project costs and revenues'!$F$4,'Project costs and revenues'!$C$79,0)</f>
        <v>0</v>
      </c>
      <c r="Y16" s="275">
        <f>IF(Y11='Project costs and revenues'!$F$4,'Project costs and revenues'!$C$79,0)</f>
        <v>0</v>
      </c>
      <c r="Z16" s="275">
        <f>IF(Z11='Project costs and revenues'!$F$4,'Project costs and revenues'!$C$79,0)</f>
        <v>0</v>
      </c>
      <c r="AA16" s="275">
        <f>IF(AA11='Project costs and revenues'!$F$4,'Project costs and revenues'!$C$79,0)</f>
        <v>0</v>
      </c>
      <c r="AB16" s="275">
        <f>IF(AB11='Project costs and revenues'!$F$4,'Project costs and revenues'!$C$79,0)</f>
        <v>0</v>
      </c>
    </row>
    <row r="17" spans="2:28" x14ac:dyDescent="0.35">
      <c r="B17" s="276" t="s">
        <v>39</v>
      </c>
      <c r="C17" s="277">
        <f>C15+C16-C12</f>
        <v>0</v>
      </c>
      <c r="D17" s="277">
        <f t="shared" ref="D17:AB17" si="2">D15+D16-D12</f>
        <v>0</v>
      </c>
      <c r="E17" s="277">
        <f t="shared" si="2"/>
        <v>0</v>
      </c>
      <c r="F17" s="277">
        <f t="shared" si="2"/>
        <v>0</v>
      </c>
      <c r="G17" s="277">
        <f t="shared" si="2"/>
        <v>0</v>
      </c>
      <c r="H17" s="277">
        <f t="shared" si="2"/>
        <v>0</v>
      </c>
      <c r="I17" s="277">
        <f t="shared" si="2"/>
        <v>0</v>
      </c>
      <c r="J17" s="277">
        <f t="shared" si="2"/>
        <v>0</v>
      </c>
      <c r="K17" s="277">
        <f t="shared" si="2"/>
        <v>0</v>
      </c>
      <c r="L17" s="277">
        <f t="shared" si="2"/>
        <v>0</v>
      </c>
      <c r="M17" s="277">
        <f t="shared" si="2"/>
        <v>0</v>
      </c>
      <c r="N17" s="277">
        <f t="shared" si="2"/>
        <v>0</v>
      </c>
      <c r="O17" s="277">
        <f t="shared" si="2"/>
        <v>0</v>
      </c>
      <c r="P17" s="277">
        <f t="shared" si="2"/>
        <v>0</v>
      </c>
      <c r="Q17" s="277">
        <f t="shared" si="2"/>
        <v>0</v>
      </c>
      <c r="R17" s="277">
        <f t="shared" si="2"/>
        <v>0</v>
      </c>
      <c r="S17" s="277">
        <f t="shared" si="2"/>
        <v>0</v>
      </c>
      <c r="T17" s="277">
        <f t="shared" si="2"/>
        <v>0</v>
      </c>
      <c r="U17" s="277">
        <f t="shared" si="2"/>
        <v>0</v>
      </c>
      <c r="V17" s="277">
        <f t="shared" si="2"/>
        <v>0</v>
      </c>
      <c r="W17" s="277">
        <f t="shared" si="2"/>
        <v>0</v>
      </c>
      <c r="X17" s="277">
        <f t="shared" si="2"/>
        <v>0</v>
      </c>
      <c r="Y17" s="277">
        <f t="shared" si="2"/>
        <v>0</v>
      </c>
      <c r="Z17" s="277">
        <f t="shared" si="2"/>
        <v>0</v>
      </c>
      <c r="AA17" s="277">
        <f t="shared" si="2"/>
        <v>0</v>
      </c>
      <c r="AB17" s="277">
        <f t="shared" si="2"/>
        <v>0</v>
      </c>
    </row>
    <row r="18" spans="2:28" x14ac:dyDescent="0.35">
      <c r="C18" s="278"/>
      <c r="D18" s="278"/>
      <c r="E18" s="278"/>
      <c r="F18" s="278"/>
      <c r="G18" s="278"/>
      <c r="H18" s="278"/>
      <c r="I18" s="278"/>
    </row>
    <row r="20" spans="2:28" x14ac:dyDescent="0.35">
      <c r="B20" s="279" t="s">
        <v>40</v>
      </c>
      <c r="C20" s="280">
        <v>0.04</v>
      </c>
    </row>
    <row r="21" spans="2:28" x14ac:dyDescent="0.35">
      <c r="B21" s="281" t="s">
        <v>41</v>
      </c>
      <c r="C21" s="282">
        <f>NPV(C20,C17:AB17)</f>
        <v>0</v>
      </c>
      <c r="E21" s="283"/>
    </row>
    <row r="22" spans="2:28" x14ac:dyDescent="0.35">
      <c r="B22" s="284" t="s">
        <v>42</v>
      </c>
      <c r="C22" s="285" t="e">
        <f>IRR(C17:AB17,C20)</f>
        <v>#NUM!</v>
      </c>
    </row>
    <row r="27" spans="2:28" ht="18.5" x14ac:dyDescent="0.45">
      <c r="B27" s="398" t="s">
        <v>43</v>
      </c>
      <c r="C27" s="398"/>
      <c r="D27" s="398"/>
      <c r="E27" s="398"/>
      <c r="F27" s="398"/>
      <c r="G27" s="398"/>
      <c r="H27" s="398"/>
    </row>
    <row r="29" spans="2:28" x14ac:dyDescent="0.35">
      <c r="B29" s="399"/>
      <c r="C29" s="400" t="s">
        <v>27</v>
      </c>
      <c r="D29" s="401"/>
      <c r="E29" s="401"/>
      <c r="F29" s="401"/>
      <c r="G29" s="401"/>
      <c r="H29" s="401"/>
      <c r="I29" s="401"/>
      <c r="J29" s="401"/>
      <c r="K29" s="401"/>
      <c r="L29" s="401"/>
      <c r="M29" s="401"/>
      <c r="N29" s="401"/>
      <c r="O29" s="401"/>
      <c r="P29" s="401"/>
      <c r="Q29" s="402"/>
    </row>
    <row r="30" spans="2:28" x14ac:dyDescent="0.35">
      <c r="B30" s="399"/>
      <c r="C30" s="265">
        <v>0</v>
      </c>
      <c r="D30" s="265">
        <f>C30+1</f>
        <v>1</v>
      </c>
      <c r="E30" s="265">
        <f t="shared" ref="E30:AB30" si="3">D30+1</f>
        <v>2</v>
      </c>
      <c r="F30" s="265">
        <f t="shared" si="3"/>
        <v>3</v>
      </c>
      <c r="G30" s="265">
        <f t="shared" si="3"/>
        <v>4</v>
      </c>
      <c r="H30" s="265">
        <f t="shared" si="3"/>
        <v>5</v>
      </c>
      <c r="I30" s="265">
        <f t="shared" si="3"/>
        <v>6</v>
      </c>
      <c r="J30" s="265">
        <f t="shared" si="3"/>
        <v>7</v>
      </c>
      <c r="K30" s="265">
        <f t="shared" si="3"/>
        <v>8</v>
      </c>
      <c r="L30" s="265">
        <f t="shared" si="3"/>
        <v>9</v>
      </c>
      <c r="M30" s="265">
        <f t="shared" si="3"/>
        <v>10</v>
      </c>
      <c r="N30" s="265">
        <f t="shared" si="3"/>
        <v>11</v>
      </c>
      <c r="O30" s="265">
        <f t="shared" si="3"/>
        <v>12</v>
      </c>
      <c r="P30" s="265">
        <f t="shared" si="3"/>
        <v>13</v>
      </c>
      <c r="Q30" s="265">
        <f t="shared" si="3"/>
        <v>14</v>
      </c>
      <c r="R30" s="265">
        <f t="shared" si="3"/>
        <v>15</v>
      </c>
      <c r="S30" s="265">
        <f t="shared" si="3"/>
        <v>16</v>
      </c>
      <c r="T30" s="265">
        <f t="shared" si="3"/>
        <v>17</v>
      </c>
      <c r="U30" s="265">
        <f t="shared" si="3"/>
        <v>18</v>
      </c>
      <c r="V30" s="265">
        <f t="shared" si="3"/>
        <v>19</v>
      </c>
      <c r="W30" s="265">
        <f t="shared" si="3"/>
        <v>20</v>
      </c>
      <c r="X30" s="265">
        <f t="shared" si="3"/>
        <v>21</v>
      </c>
      <c r="Y30" s="265">
        <f t="shared" si="3"/>
        <v>22</v>
      </c>
      <c r="Z30" s="265">
        <f t="shared" si="3"/>
        <v>23</v>
      </c>
      <c r="AA30" s="265">
        <f t="shared" si="3"/>
        <v>24</v>
      </c>
      <c r="AB30" s="265">
        <f t="shared" si="3"/>
        <v>25</v>
      </c>
    </row>
    <row r="31" spans="2:28" x14ac:dyDescent="0.35">
      <c r="B31" s="286" t="s">
        <v>35</v>
      </c>
      <c r="C31" s="258">
        <f t="shared" ref="C31:AB31" si="4">C12</f>
        <v>0</v>
      </c>
      <c r="D31" s="244">
        <f t="shared" si="4"/>
        <v>0</v>
      </c>
      <c r="E31" s="244">
        <f t="shared" si="4"/>
        <v>0</v>
      </c>
      <c r="F31" s="245">
        <f t="shared" si="4"/>
        <v>0</v>
      </c>
      <c r="G31" s="245">
        <f t="shared" si="4"/>
        <v>0</v>
      </c>
      <c r="H31" s="245">
        <f t="shared" si="4"/>
        <v>0</v>
      </c>
      <c r="I31" s="245">
        <f t="shared" si="4"/>
        <v>0</v>
      </c>
      <c r="J31" s="245">
        <f t="shared" si="4"/>
        <v>0</v>
      </c>
      <c r="K31" s="245">
        <f t="shared" si="4"/>
        <v>0</v>
      </c>
      <c r="L31" s="245">
        <f t="shared" si="4"/>
        <v>0</v>
      </c>
      <c r="M31" s="245">
        <f t="shared" si="4"/>
        <v>0</v>
      </c>
      <c r="N31" s="245">
        <f t="shared" si="4"/>
        <v>0</v>
      </c>
      <c r="O31" s="245">
        <f t="shared" si="4"/>
        <v>0</v>
      </c>
      <c r="P31" s="245">
        <f t="shared" si="4"/>
        <v>0</v>
      </c>
      <c r="Q31" s="245">
        <f t="shared" si="4"/>
        <v>0</v>
      </c>
      <c r="R31" s="245">
        <f t="shared" si="4"/>
        <v>0</v>
      </c>
      <c r="S31" s="245">
        <f t="shared" si="4"/>
        <v>0</v>
      </c>
      <c r="T31" s="245">
        <f t="shared" si="4"/>
        <v>0</v>
      </c>
      <c r="U31" s="245">
        <f t="shared" si="4"/>
        <v>0</v>
      </c>
      <c r="V31" s="245">
        <f t="shared" si="4"/>
        <v>0</v>
      </c>
      <c r="W31" s="245">
        <f t="shared" si="4"/>
        <v>0</v>
      </c>
      <c r="X31" s="245">
        <f t="shared" si="4"/>
        <v>0</v>
      </c>
      <c r="Y31" s="245">
        <f t="shared" si="4"/>
        <v>0</v>
      </c>
      <c r="Z31" s="245">
        <f t="shared" si="4"/>
        <v>0</v>
      </c>
      <c r="AA31" s="245">
        <f t="shared" si="4"/>
        <v>0</v>
      </c>
      <c r="AB31" s="245">
        <f t="shared" si="4"/>
        <v>0</v>
      </c>
    </row>
    <row r="32" spans="2:28" x14ac:dyDescent="0.35">
      <c r="B32" s="266" t="s">
        <v>44</v>
      </c>
      <c r="C32" s="267">
        <f>'Detailed Budget'!J243</f>
        <v>0</v>
      </c>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row>
    <row r="33" spans="2:28" x14ac:dyDescent="0.35">
      <c r="B33" s="270" t="s">
        <v>45</v>
      </c>
      <c r="C33" s="271">
        <f t="shared" ref="C33:AB34" si="5">C13</f>
        <v>0</v>
      </c>
      <c r="D33" s="271">
        <f t="shared" si="5"/>
        <v>0</v>
      </c>
      <c r="E33" s="271">
        <f t="shared" si="5"/>
        <v>0</v>
      </c>
      <c r="F33" s="271">
        <f t="shared" si="5"/>
        <v>0</v>
      </c>
      <c r="G33" s="271">
        <f t="shared" si="5"/>
        <v>0</v>
      </c>
      <c r="H33" s="271">
        <f t="shared" si="5"/>
        <v>0</v>
      </c>
      <c r="I33" s="271">
        <f t="shared" si="5"/>
        <v>0</v>
      </c>
      <c r="J33" s="271">
        <f t="shared" si="5"/>
        <v>0</v>
      </c>
      <c r="K33" s="271">
        <f t="shared" si="5"/>
        <v>0</v>
      </c>
      <c r="L33" s="271">
        <f t="shared" si="5"/>
        <v>0</v>
      </c>
      <c r="M33" s="271">
        <f t="shared" si="5"/>
        <v>0</v>
      </c>
      <c r="N33" s="271">
        <f t="shared" si="5"/>
        <v>0</v>
      </c>
      <c r="O33" s="271">
        <f t="shared" si="5"/>
        <v>0</v>
      </c>
      <c r="P33" s="271">
        <f t="shared" si="5"/>
        <v>0</v>
      </c>
      <c r="Q33" s="271">
        <f t="shared" si="5"/>
        <v>0</v>
      </c>
      <c r="R33" s="271">
        <f t="shared" si="5"/>
        <v>0</v>
      </c>
      <c r="S33" s="271">
        <f t="shared" si="5"/>
        <v>0</v>
      </c>
      <c r="T33" s="271">
        <f t="shared" si="5"/>
        <v>0</v>
      </c>
      <c r="U33" s="271">
        <f t="shared" si="5"/>
        <v>0</v>
      </c>
      <c r="V33" s="271">
        <f t="shared" si="5"/>
        <v>0</v>
      </c>
      <c r="W33" s="271">
        <f t="shared" si="5"/>
        <v>0</v>
      </c>
      <c r="X33" s="271">
        <f t="shared" si="5"/>
        <v>0</v>
      </c>
      <c r="Y33" s="271">
        <f t="shared" si="5"/>
        <v>0</v>
      </c>
      <c r="Z33" s="271">
        <f t="shared" si="5"/>
        <v>0</v>
      </c>
      <c r="AA33" s="271">
        <f t="shared" si="5"/>
        <v>0</v>
      </c>
      <c r="AB33" s="271">
        <f t="shared" si="5"/>
        <v>0</v>
      </c>
    </row>
    <row r="34" spans="2:28" ht="29" x14ac:dyDescent="0.35">
      <c r="B34" s="270" t="s">
        <v>37</v>
      </c>
      <c r="C34" s="271">
        <f t="shared" si="5"/>
        <v>0</v>
      </c>
      <c r="D34" s="271">
        <f t="shared" si="5"/>
        <v>0</v>
      </c>
      <c r="E34" s="271">
        <f t="shared" si="5"/>
        <v>0</v>
      </c>
      <c r="F34" s="271">
        <f t="shared" si="5"/>
        <v>0</v>
      </c>
      <c r="G34" s="271">
        <f t="shared" si="5"/>
        <v>0</v>
      </c>
      <c r="H34" s="271">
        <f t="shared" si="5"/>
        <v>0</v>
      </c>
      <c r="I34" s="271">
        <f t="shared" si="5"/>
        <v>0</v>
      </c>
      <c r="J34" s="271">
        <f t="shared" si="5"/>
        <v>0</v>
      </c>
      <c r="K34" s="271">
        <f t="shared" si="5"/>
        <v>0</v>
      </c>
      <c r="L34" s="271">
        <f t="shared" si="5"/>
        <v>0</v>
      </c>
      <c r="M34" s="271">
        <f t="shared" si="5"/>
        <v>0</v>
      </c>
      <c r="N34" s="271">
        <f t="shared" si="5"/>
        <v>0</v>
      </c>
      <c r="O34" s="271">
        <f t="shared" si="5"/>
        <v>0</v>
      </c>
      <c r="P34" s="271">
        <f t="shared" si="5"/>
        <v>0</v>
      </c>
      <c r="Q34" s="271">
        <f t="shared" si="5"/>
        <v>0</v>
      </c>
      <c r="R34" s="271">
        <f t="shared" si="5"/>
        <v>0</v>
      </c>
      <c r="S34" s="271">
        <f t="shared" si="5"/>
        <v>0</v>
      </c>
      <c r="T34" s="271">
        <f t="shared" si="5"/>
        <v>0</v>
      </c>
      <c r="U34" s="271">
        <f t="shared" si="5"/>
        <v>0</v>
      </c>
      <c r="V34" s="271">
        <f t="shared" si="5"/>
        <v>0</v>
      </c>
      <c r="W34" s="271">
        <f t="shared" si="5"/>
        <v>0</v>
      </c>
      <c r="X34" s="271">
        <f t="shared" si="5"/>
        <v>0</v>
      </c>
      <c r="Y34" s="271">
        <f t="shared" si="5"/>
        <v>0</v>
      </c>
      <c r="Z34" s="271">
        <f t="shared" si="5"/>
        <v>0</v>
      </c>
      <c r="AA34" s="271">
        <f t="shared" si="5"/>
        <v>0</v>
      </c>
      <c r="AB34" s="271">
        <f t="shared" si="5"/>
        <v>0</v>
      </c>
    </row>
    <row r="35" spans="2:28" x14ac:dyDescent="0.35">
      <c r="B35" s="287" t="s">
        <v>24</v>
      </c>
      <c r="C35" s="288">
        <f>C33-C34</f>
        <v>0</v>
      </c>
      <c r="D35" s="288">
        <f t="shared" ref="D35:AB35" si="6">D33-D34</f>
        <v>0</v>
      </c>
      <c r="E35" s="288">
        <f t="shared" si="6"/>
        <v>0</v>
      </c>
      <c r="F35" s="288">
        <f t="shared" si="6"/>
        <v>0</v>
      </c>
      <c r="G35" s="288">
        <f t="shared" si="6"/>
        <v>0</v>
      </c>
      <c r="H35" s="288">
        <f t="shared" si="6"/>
        <v>0</v>
      </c>
      <c r="I35" s="288">
        <f t="shared" si="6"/>
        <v>0</v>
      </c>
      <c r="J35" s="288">
        <f t="shared" si="6"/>
        <v>0</v>
      </c>
      <c r="K35" s="288">
        <f t="shared" si="6"/>
        <v>0</v>
      </c>
      <c r="L35" s="288">
        <f t="shared" si="6"/>
        <v>0</v>
      </c>
      <c r="M35" s="288">
        <f t="shared" si="6"/>
        <v>0</v>
      </c>
      <c r="N35" s="288">
        <f t="shared" si="6"/>
        <v>0</v>
      </c>
      <c r="O35" s="288">
        <f t="shared" si="6"/>
        <v>0</v>
      </c>
      <c r="P35" s="288">
        <f t="shared" si="6"/>
        <v>0</v>
      </c>
      <c r="Q35" s="288">
        <f t="shared" si="6"/>
        <v>0</v>
      </c>
      <c r="R35" s="288">
        <f t="shared" si="6"/>
        <v>0</v>
      </c>
      <c r="S35" s="288">
        <f t="shared" si="6"/>
        <v>0</v>
      </c>
      <c r="T35" s="288">
        <f t="shared" si="6"/>
        <v>0</v>
      </c>
      <c r="U35" s="288">
        <f t="shared" si="6"/>
        <v>0</v>
      </c>
      <c r="V35" s="288">
        <f t="shared" si="6"/>
        <v>0</v>
      </c>
      <c r="W35" s="288">
        <f t="shared" si="6"/>
        <v>0</v>
      </c>
      <c r="X35" s="288">
        <f t="shared" si="6"/>
        <v>0</v>
      </c>
      <c r="Y35" s="288">
        <f t="shared" si="6"/>
        <v>0</v>
      </c>
      <c r="Z35" s="288">
        <f t="shared" si="6"/>
        <v>0</v>
      </c>
      <c r="AA35" s="288">
        <f t="shared" si="6"/>
        <v>0</v>
      </c>
      <c r="AB35" s="288">
        <f t="shared" si="6"/>
        <v>0</v>
      </c>
    </row>
    <row r="36" spans="2:28" x14ac:dyDescent="0.35">
      <c r="B36" s="289" t="s">
        <v>30</v>
      </c>
      <c r="C36" s="275">
        <f>C16</f>
        <v>0</v>
      </c>
      <c r="D36" s="275">
        <f t="shared" ref="D36:AB36" si="7">D16</f>
        <v>0</v>
      </c>
      <c r="E36" s="275">
        <f t="shared" si="7"/>
        <v>0</v>
      </c>
      <c r="F36" s="275">
        <f t="shared" si="7"/>
        <v>0</v>
      </c>
      <c r="G36" s="275">
        <f t="shared" si="7"/>
        <v>0</v>
      </c>
      <c r="H36" s="275">
        <f t="shared" si="7"/>
        <v>0</v>
      </c>
      <c r="I36" s="275">
        <f t="shared" si="7"/>
        <v>0</v>
      </c>
      <c r="J36" s="275">
        <f t="shared" si="7"/>
        <v>0</v>
      </c>
      <c r="K36" s="275">
        <f t="shared" si="7"/>
        <v>0</v>
      </c>
      <c r="L36" s="275">
        <f t="shared" si="7"/>
        <v>0</v>
      </c>
      <c r="M36" s="275">
        <f t="shared" si="7"/>
        <v>0</v>
      </c>
      <c r="N36" s="275">
        <f t="shared" si="7"/>
        <v>0</v>
      </c>
      <c r="O36" s="275">
        <f t="shared" si="7"/>
        <v>0</v>
      </c>
      <c r="P36" s="275">
        <f t="shared" si="7"/>
        <v>0</v>
      </c>
      <c r="Q36" s="275">
        <f t="shared" si="7"/>
        <v>0</v>
      </c>
      <c r="R36" s="275">
        <f t="shared" si="7"/>
        <v>0</v>
      </c>
      <c r="S36" s="275">
        <f t="shared" si="7"/>
        <v>0</v>
      </c>
      <c r="T36" s="275">
        <f t="shared" si="7"/>
        <v>0</v>
      </c>
      <c r="U36" s="275">
        <f t="shared" si="7"/>
        <v>0</v>
      </c>
      <c r="V36" s="275">
        <f t="shared" si="7"/>
        <v>0</v>
      </c>
      <c r="W36" s="275">
        <f t="shared" si="7"/>
        <v>0</v>
      </c>
      <c r="X36" s="275">
        <f t="shared" si="7"/>
        <v>0</v>
      </c>
      <c r="Y36" s="275">
        <f t="shared" si="7"/>
        <v>0</v>
      </c>
      <c r="Z36" s="275">
        <f t="shared" si="7"/>
        <v>0</v>
      </c>
      <c r="AA36" s="275">
        <f t="shared" si="7"/>
        <v>0</v>
      </c>
      <c r="AB36" s="275">
        <f t="shared" si="7"/>
        <v>0</v>
      </c>
    </row>
    <row r="37" spans="2:28" x14ac:dyDescent="0.35">
      <c r="B37" s="136" t="s">
        <v>39</v>
      </c>
      <c r="C37" s="290">
        <f>C35+C32-C31+C36</f>
        <v>0</v>
      </c>
      <c r="D37" s="290">
        <f t="shared" ref="D37:AB37" si="8">D35+D32-D31+D36</f>
        <v>0</v>
      </c>
      <c r="E37" s="290">
        <f t="shared" si="8"/>
        <v>0</v>
      </c>
      <c r="F37" s="290">
        <f t="shared" si="8"/>
        <v>0</v>
      </c>
      <c r="G37" s="290">
        <f t="shared" si="8"/>
        <v>0</v>
      </c>
      <c r="H37" s="290">
        <f t="shared" si="8"/>
        <v>0</v>
      </c>
      <c r="I37" s="290">
        <f t="shared" si="8"/>
        <v>0</v>
      </c>
      <c r="J37" s="290">
        <f t="shared" si="8"/>
        <v>0</v>
      </c>
      <c r="K37" s="290">
        <f t="shared" si="8"/>
        <v>0</v>
      </c>
      <c r="L37" s="290">
        <f t="shared" si="8"/>
        <v>0</v>
      </c>
      <c r="M37" s="290">
        <f t="shared" si="8"/>
        <v>0</v>
      </c>
      <c r="N37" s="290">
        <f t="shared" si="8"/>
        <v>0</v>
      </c>
      <c r="O37" s="290">
        <f t="shared" si="8"/>
        <v>0</v>
      </c>
      <c r="P37" s="290">
        <f t="shared" si="8"/>
        <v>0</v>
      </c>
      <c r="Q37" s="290">
        <f t="shared" si="8"/>
        <v>0</v>
      </c>
      <c r="R37" s="290">
        <f t="shared" si="8"/>
        <v>0</v>
      </c>
      <c r="S37" s="290">
        <f t="shared" si="8"/>
        <v>0</v>
      </c>
      <c r="T37" s="290">
        <f t="shared" si="8"/>
        <v>0</v>
      </c>
      <c r="U37" s="290">
        <f t="shared" si="8"/>
        <v>0</v>
      </c>
      <c r="V37" s="290">
        <f t="shared" si="8"/>
        <v>0</v>
      </c>
      <c r="W37" s="290">
        <f t="shared" si="8"/>
        <v>0</v>
      </c>
      <c r="X37" s="290">
        <f t="shared" si="8"/>
        <v>0</v>
      </c>
      <c r="Y37" s="290">
        <f t="shared" si="8"/>
        <v>0</v>
      </c>
      <c r="Z37" s="290">
        <f t="shared" si="8"/>
        <v>0</v>
      </c>
      <c r="AA37" s="290">
        <f t="shared" si="8"/>
        <v>0</v>
      </c>
      <c r="AB37" s="290">
        <f t="shared" si="8"/>
        <v>0</v>
      </c>
    </row>
    <row r="38" spans="2:28" x14ac:dyDescent="0.35">
      <c r="B38" s="8"/>
      <c r="C38" s="278"/>
      <c r="D38" s="278"/>
      <c r="E38" s="278"/>
      <c r="F38" s="278"/>
      <c r="G38" s="278"/>
      <c r="H38" s="278"/>
    </row>
    <row r="39" spans="2:28" x14ac:dyDescent="0.35">
      <c r="B39" s="279" t="s">
        <v>40</v>
      </c>
      <c r="C39" s="280">
        <f>C20</f>
        <v>0.04</v>
      </c>
    </row>
    <row r="40" spans="2:28" x14ac:dyDescent="0.35">
      <c r="B40" s="281" t="s">
        <v>41</v>
      </c>
      <c r="C40" s="282">
        <f>NPV(C39,C37:AB37)</f>
        <v>0</v>
      </c>
    </row>
    <row r="41" spans="2:28" x14ac:dyDescent="0.35">
      <c r="B41" s="284" t="s">
        <v>42</v>
      </c>
      <c r="C41" s="285" t="e">
        <f>IRR(C37:AB37,C39)</f>
        <v>#NUM!</v>
      </c>
    </row>
    <row r="43" spans="2:28" x14ac:dyDescent="0.35">
      <c r="C43" s="291"/>
    </row>
  </sheetData>
  <sheetProtection algorithmName="SHA-512" hashValue="uMudY6N+UvGa/QFkR2iBBdmsW0A+dop+I+u2vzsiS9Na8wDcyi53O2ijjlhKTMGA732IdgMDYW9uTuBEyJiuow==" saltValue="cSm0yDuY7a28mkmxpbZZVA==" spinCount="100000" sheet="1" objects="1" scenarios="1"/>
  <mergeCells count="9">
    <mergeCell ref="A11:A12"/>
    <mergeCell ref="B27:H27"/>
    <mergeCell ref="B29:B30"/>
    <mergeCell ref="C29:Q29"/>
    <mergeCell ref="C4:D4"/>
    <mergeCell ref="C5:D5"/>
    <mergeCell ref="B8:H8"/>
    <mergeCell ref="B10:B11"/>
    <mergeCell ref="C10:Q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A673-80F8-411A-B71F-01F30F9BBDA5}">
  <sheetPr codeName="Sheet8"/>
  <dimension ref="A2:G39"/>
  <sheetViews>
    <sheetView workbookViewId="0">
      <selection activeCell="J15" sqref="J15"/>
    </sheetView>
  </sheetViews>
  <sheetFormatPr defaultRowHeight="14.5" x14ac:dyDescent="0.35"/>
  <cols>
    <col min="1" max="1" width="34.54296875" customWidth="1"/>
    <col min="2" max="2" width="14.54296875" customWidth="1"/>
    <col min="3" max="5" width="12.54296875" bestFit="1" customWidth="1"/>
  </cols>
  <sheetData>
    <row r="2" spans="1:7" x14ac:dyDescent="0.35">
      <c r="A2" s="374" t="s">
        <v>46</v>
      </c>
      <c r="B2" s="374"/>
      <c r="C2" s="374"/>
      <c r="D2" s="374"/>
      <c r="E2" s="374"/>
    </row>
    <row r="4" spans="1:7" ht="28.75" customHeight="1" x14ac:dyDescent="0.35">
      <c r="A4" s="144" t="s">
        <v>47</v>
      </c>
      <c r="B4" s="145"/>
      <c r="C4" s="404" t="s">
        <v>48</v>
      </c>
      <c r="D4" s="404"/>
      <c r="E4" s="404"/>
    </row>
    <row r="5" spans="1:7" x14ac:dyDescent="0.35">
      <c r="A5" s="146"/>
      <c r="B5" s="376" t="s">
        <v>49</v>
      </c>
      <c r="C5" s="376"/>
      <c r="D5" s="376"/>
      <c r="E5" s="376"/>
    </row>
    <row r="6" spans="1:7" x14ac:dyDescent="0.35">
      <c r="B6" s="147" t="s">
        <v>50</v>
      </c>
      <c r="C6" s="147" t="s">
        <v>51</v>
      </c>
      <c r="D6" s="147" t="s">
        <v>52</v>
      </c>
      <c r="E6" s="147" t="s">
        <v>53</v>
      </c>
    </row>
    <row r="7" spans="1:7" x14ac:dyDescent="0.35">
      <c r="A7" s="75" t="s">
        <v>54</v>
      </c>
      <c r="B7" s="148" t="e">
        <f>('P&amp;L_historic'!C28+'P&amp;L_historic'!C21)/('Balance_sheet_Historical data'!C28)</f>
        <v>#DIV/0!</v>
      </c>
      <c r="C7" s="148" t="e">
        <f>('P&amp;L_historic'!D28+'P&amp;L_historic'!D22)/(('Balance_sheet_Historical data'!D28+'Balance_sheet_Historical data'!C28)/2)</f>
        <v>#DIV/0!</v>
      </c>
      <c r="D7" s="148" t="e">
        <f>('P&amp;L_historic'!E28+'P&amp;L_historic'!E22)/(('Balance_sheet_Historical data'!E28+'Balance_sheet_Historical data'!D28)/2)</f>
        <v>#DIV/0!</v>
      </c>
      <c r="E7" s="148" t="e">
        <f>('P&amp;L_historic'!F28+'P&amp;L_historic'!F22)/(('Balance_sheet_Historical data'!F28+'Balance_sheet_Historical data'!E28)/2)</f>
        <v>#DIV/0!</v>
      </c>
      <c r="G7" s="313" t="e">
        <f>AVERAGE(B7:E7)</f>
        <v>#DIV/0!</v>
      </c>
    </row>
    <row r="8" spans="1:7" x14ac:dyDescent="0.35">
      <c r="A8" s="75" t="s">
        <v>55</v>
      </c>
      <c r="B8" s="148" t="e">
        <f>('P&amp;L_historic'!C28+'P&amp;L_historic'!C17)/('Balance_sheet_Historical data'!C34)</f>
        <v>#DIV/0!</v>
      </c>
      <c r="C8" s="148" t="e">
        <f>('P&amp;L_historic'!D28+'P&amp;L_historic'!D17)/(('Balance_sheet_Historical data'!D34+'Balance_sheet_Historical data'!C34)/2)</f>
        <v>#DIV/0!</v>
      </c>
      <c r="D8" s="148" t="e">
        <f>('P&amp;L_historic'!E28+'P&amp;L_historic'!E17)/(('Balance_sheet_Historical data'!E34+'Balance_sheet_Historical data'!D34)/2)</f>
        <v>#DIV/0!</v>
      </c>
      <c r="E8" s="148" t="e">
        <f>('P&amp;L_historic'!F28+'P&amp;L_historic'!F17)/(('Balance_sheet_Historical data'!F34+'Balance_sheet_Historical data'!E34)/2)</f>
        <v>#DIV/0!</v>
      </c>
      <c r="G8" s="313" t="e">
        <f t="shared" ref="G8:G9" si="0">AVERAGE(B8:E8)</f>
        <v>#DIV/0!</v>
      </c>
    </row>
    <row r="9" spans="1:7" x14ac:dyDescent="0.35">
      <c r="A9" s="75" t="s">
        <v>56</v>
      </c>
      <c r="B9" s="149" t="e">
        <f>('P&amp;L_historic'!C28+'P&amp;L_historic'!C22)/'P&amp;L_historic'!C22</f>
        <v>#DIV/0!</v>
      </c>
      <c r="C9" s="149" t="e">
        <f>('P&amp;L_historic'!D28+'P&amp;L_historic'!D22)/'P&amp;L_historic'!D22</f>
        <v>#DIV/0!</v>
      </c>
      <c r="D9" s="149" t="e">
        <f>('P&amp;L_historic'!E28+'P&amp;L_historic'!E22)/'P&amp;L_historic'!E22</f>
        <v>#DIV/0!</v>
      </c>
      <c r="E9" s="149" t="e">
        <f>('P&amp;L_historic'!F28+'P&amp;L_historic'!F22)/'P&amp;L_historic'!F22</f>
        <v>#DIV/0!</v>
      </c>
      <c r="G9" s="314" t="e">
        <f t="shared" si="0"/>
        <v>#DIV/0!</v>
      </c>
    </row>
    <row r="10" spans="1:7" x14ac:dyDescent="0.35">
      <c r="G10" s="241"/>
    </row>
    <row r="11" spans="1:7" x14ac:dyDescent="0.35">
      <c r="A11" s="75" t="s">
        <v>57</v>
      </c>
      <c r="B11" s="150">
        <f>'Balance_sheet_Historical data'!C27-'Balance_sheet_Historical data'!C40</f>
        <v>0</v>
      </c>
      <c r="C11" s="150">
        <f>'Balance_sheet_Historical data'!D27-'Balance_sheet_Historical data'!D40</f>
        <v>0</v>
      </c>
      <c r="D11" s="150">
        <f>'Balance_sheet_Historical data'!E27-'Balance_sheet_Historical data'!E40</f>
        <v>0</v>
      </c>
      <c r="E11" s="150">
        <f>'Balance_sheet_Historical data'!F27-'Balance_sheet_Historical data'!F40</f>
        <v>0</v>
      </c>
      <c r="G11" s="241"/>
    </row>
    <row r="12" spans="1:7" x14ac:dyDescent="0.35">
      <c r="A12" s="75" t="s">
        <v>58</v>
      </c>
      <c r="B12" s="148" t="e">
        <f>('Balance_sheet_Historical data'!C27-'Balance_sheet_Historical data'!C40)/'P&amp;L_historic'!C13</f>
        <v>#DIV/0!</v>
      </c>
      <c r="C12" s="148" t="e">
        <f>('Balance_sheet_Historical data'!D27-'Balance_sheet_Historical data'!D40)/'P&amp;L_historic'!D13</f>
        <v>#DIV/0!</v>
      </c>
      <c r="D12" s="148" t="e">
        <f>('Balance_sheet_Historical data'!E27-'Balance_sheet_Historical data'!E40)/'P&amp;L_historic'!E13</f>
        <v>#DIV/0!</v>
      </c>
      <c r="E12" s="148" t="e">
        <f>('Balance_sheet_Historical data'!F27-'Balance_sheet_Historical data'!F40)/'P&amp;L_historic'!F13</f>
        <v>#DIV/0!</v>
      </c>
      <c r="G12" s="313" t="e">
        <f t="shared" ref="G12:G13" si="1">AVERAGE(B12:E12)</f>
        <v>#DIV/0!</v>
      </c>
    </row>
    <row r="13" spans="1:7" x14ac:dyDescent="0.35">
      <c r="A13" s="75" t="s">
        <v>59</v>
      </c>
      <c r="B13" s="151" t="e">
        <f>('Balance_sheet_Historical data'!C37*12/'P&amp;L_historic'!C15*1.25)</f>
        <v>#DIV/0!</v>
      </c>
      <c r="C13" s="151" t="e">
        <f>('Balance_sheet_Historical data'!D37+'Balance_sheet_Historical data'!C37)/2*12/('P&amp;L_historic'!D15+'P&amp;L_historic'!C15)*1.25</f>
        <v>#DIV/0!</v>
      </c>
      <c r="D13" s="151" t="e">
        <f>('Balance_sheet_Historical data'!E37+'Balance_sheet_Historical data'!D37)/2*12/('P&amp;L_historic'!E15+'P&amp;L_historic'!D15)*1.25</f>
        <v>#DIV/0!</v>
      </c>
      <c r="E13" s="151" t="e">
        <f>('Balance_sheet_Historical data'!F37+'Balance_sheet_Historical data'!E37)/2*12/('P&amp;L_historic'!F15+'P&amp;L_historic'!E15)*1.25</f>
        <v>#DIV/0!</v>
      </c>
      <c r="G13" s="314" t="e">
        <f t="shared" si="1"/>
        <v>#DIV/0!</v>
      </c>
    </row>
    <row r="14" spans="1:7" x14ac:dyDescent="0.35">
      <c r="G14" s="241"/>
    </row>
    <row r="15" spans="1:7" x14ac:dyDescent="0.35">
      <c r="A15" s="75" t="s">
        <v>60</v>
      </c>
      <c r="B15" s="148" t="e">
        <f>'Balance_sheet_Historical data'!C31/'Balance_sheet_Historical data'!C42</f>
        <v>#DIV/0!</v>
      </c>
      <c r="C15" s="148" t="e">
        <f>'Balance_sheet_Historical data'!D31/'Balance_sheet_Historical data'!D42</f>
        <v>#DIV/0!</v>
      </c>
      <c r="D15" s="148" t="e">
        <f>'Balance_sheet_Historical data'!E31/'Balance_sheet_Historical data'!E42</f>
        <v>#DIV/0!</v>
      </c>
      <c r="E15" s="148" t="e">
        <f>'Balance_sheet_Historical data'!F31/'Balance_sheet_Historical data'!F42</f>
        <v>#DIV/0!</v>
      </c>
      <c r="G15" s="313" t="e">
        <f t="shared" ref="G15:G17" si="2">AVERAGE(B15:E15)</f>
        <v>#DIV/0!</v>
      </c>
    </row>
    <row r="16" spans="1:7" x14ac:dyDescent="0.35">
      <c r="A16" s="75" t="s">
        <v>61</v>
      </c>
      <c r="B16" s="148" t="e">
        <f>('Balance_sheet_Historical data'!C27-'Balance_sheet_Historical data'!C40)/'Balance_sheet_Historical data'!C23</f>
        <v>#DIV/0!</v>
      </c>
      <c r="C16" s="148" t="e">
        <f>('Balance_sheet_Historical data'!D27-'Balance_sheet_Historical data'!D40)/'Balance_sheet_Historical data'!D23</f>
        <v>#DIV/0!</v>
      </c>
      <c r="D16" s="148" t="e">
        <f>('Balance_sheet_Historical data'!E27-'Balance_sheet_Historical data'!E40)/'Balance_sheet_Historical data'!E23</f>
        <v>#DIV/0!</v>
      </c>
      <c r="E16" s="148" t="e">
        <f>('Balance_sheet_Historical data'!F27-'Balance_sheet_Historical data'!F40)/'Balance_sheet_Historical data'!F23</f>
        <v>#DIV/0!</v>
      </c>
      <c r="G16" s="313" t="e">
        <f t="shared" si="2"/>
        <v>#DIV/0!</v>
      </c>
    </row>
    <row r="17" spans="1:7" x14ac:dyDescent="0.35">
      <c r="A17" s="75" t="s">
        <v>62</v>
      </c>
      <c r="B17" s="151" t="e">
        <f>('Balance_sheet_Historical data'!C23*12)/'P&amp;L_historic'!C15</f>
        <v>#DIV/0!</v>
      </c>
      <c r="C17" s="151" t="e">
        <f>('Balance_sheet_Historical data'!D23+'Balance_sheet_Historical data'!C23)/2*12/'P&amp;L_historic'!D15</f>
        <v>#DIV/0!</v>
      </c>
      <c r="D17" s="151" t="e">
        <f>('Balance_sheet_Historical data'!E23+'Balance_sheet_Historical data'!D23)/2*12/'P&amp;L_historic'!E15</f>
        <v>#DIV/0!</v>
      </c>
      <c r="E17" s="151" t="e">
        <f>('Balance_sheet_Historical data'!F23+'Balance_sheet_Historical data'!E23)/2*12/'P&amp;L_historic'!F15</f>
        <v>#DIV/0!</v>
      </c>
      <c r="G17" s="314" t="e">
        <f t="shared" si="2"/>
        <v>#DIV/0!</v>
      </c>
    </row>
    <row r="19" spans="1:7" x14ac:dyDescent="0.35">
      <c r="A19" s="75" t="s">
        <v>63</v>
      </c>
      <c r="B19" s="152" t="e">
        <f>'P&amp;L_historic'!C31/'Balance_sheet_Historical data'!C28</f>
        <v>#DIV/0!</v>
      </c>
      <c r="C19" s="152" t="e">
        <f>'P&amp;L_historic'!D31/(('Balance_sheet_Historical data'!D28+'Balance_sheet_Historical data'!C28)/2)</f>
        <v>#DIV/0!</v>
      </c>
      <c r="D19" s="152" t="e">
        <f>'P&amp;L_historic'!E31/(('Balance_sheet_Historical data'!E28+'Balance_sheet_Historical data'!D28)/2)</f>
        <v>#DIV/0!</v>
      </c>
      <c r="E19" s="152" t="e">
        <f>'P&amp;L_historic'!F31/(('Balance_sheet_Historical data'!F28+'Balance_sheet_Historical data'!E28)/2)</f>
        <v>#DIV/0!</v>
      </c>
    </row>
    <row r="20" spans="1:7" x14ac:dyDescent="0.35">
      <c r="A20" s="75" t="s">
        <v>64</v>
      </c>
      <c r="B20" s="152" t="e">
        <f>'P&amp;L_historic'!C31/'Balance_sheet_Historical data'!C31</f>
        <v>#DIV/0!</v>
      </c>
      <c r="C20" s="152" t="e">
        <f>'P&amp;L_historic'!D31/(('Balance_sheet_Historical data'!D31+'Balance_sheet_Historical data'!C31)/2)</f>
        <v>#DIV/0!</v>
      </c>
      <c r="D20" s="152" t="e">
        <f>'P&amp;L_historic'!E31/(('Balance_sheet_Historical data'!E31+'Balance_sheet_Historical data'!D31)/2)</f>
        <v>#DIV/0!</v>
      </c>
      <c r="E20" s="152" t="e">
        <f>'P&amp;L_historic'!F31/(('Balance_sheet_Historical data'!F31+'Balance_sheet_Historical data'!E31)/2)</f>
        <v>#DIV/0!</v>
      </c>
    </row>
    <row r="21" spans="1:7" x14ac:dyDescent="0.35">
      <c r="A21" s="153"/>
    </row>
    <row r="22" spans="1:7" x14ac:dyDescent="0.35">
      <c r="A22" s="75" t="s">
        <v>65</v>
      </c>
      <c r="B22" s="154" t="e">
        <f>'P&amp;L_historic'!C13/'Balance_sheet_Historical data'!C28</f>
        <v>#DIV/0!</v>
      </c>
      <c r="C22" s="154" t="e">
        <f>'P&amp;L_historic'!D13/(('Balance_sheet_Historical data'!D28+'Balance_sheet_Historical data'!C28)/2)</f>
        <v>#DIV/0!</v>
      </c>
      <c r="D22" s="154" t="e">
        <f>'P&amp;L_historic'!E13/(('Balance_sheet_Historical data'!E28+'Balance_sheet_Historical data'!D28)/2)</f>
        <v>#DIV/0!</v>
      </c>
      <c r="E22" s="154" t="e">
        <f>'P&amp;L_historic'!F13/(('Balance_sheet_Historical data'!F28+'Balance_sheet_Historical data'!E28)/2)</f>
        <v>#DIV/0!</v>
      </c>
    </row>
    <row r="23" spans="1:7" x14ac:dyDescent="0.35">
      <c r="A23" s="75" t="s">
        <v>66</v>
      </c>
      <c r="B23" s="154" t="e">
        <f>'P&amp;L_historic'!C13/'Balance_sheet_Historical data'!C22</f>
        <v>#DIV/0!</v>
      </c>
      <c r="C23" s="154" t="e">
        <f>'P&amp;L_historic'!D13/(('Balance_sheet_Historical data'!D22+'Balance_sheet_Historical data'!C22)/2)</f>
        <v>#DIV/0!</v>
      </c>
      <c r="D23" s="154" t="e">
        <f>'P&amp;L_historic'!E13/(('Balance_sheet_Historical data'!E22+'Balance_sheet_Historical data'!D22)/2)</f>
        <v>#DIV/0!</v>
      </c>
      <c r="E23" s="154" t="e">
        <f>'P&amp;L_historic'!F13/(('Balance_sheet_Historical data'!F22+'Balance_sheet_Historical data'!E22)/2)</f>
        <v>#DIV/0!</v>
      </c>
    </row>
    <row r="24" spans="1:7" x14ac:dyDescent="0.35">
      <c r="A24" s="153"/>
    </row>
    <row r="25" spans="1:7" x14ac:dyDescent="0.35">
      <c r="A25" s="75" t="s">
        <v>67</v>
      </c>
      <c r="B25" s="154" t="e">
        <f>('Balance_sheet_Historical data'!C27-'Balance_sheet_Historical data'!C40)/'P&amp;L_historic'!C13</f>
        <v>#DIV/0!</v>
      </c>
      <c r="C25" s="154" t="e">
        <f>(('Balance_sheet_Historical data'!D27+'Balance_sheet_Historical data'!C27)/2-('Balance_sheet_Historical data'!D40+'Balance_sheet_Historical data'!C40)/2)/'P&amp;L_historic'!D13</f>
        <v>#DIV/0!</v>
      </c>
      <c r="D25" s="154" t="e">
        <f>(('Balance_sheet_Historical data'!E27+'Balance_sheet_Historical data'!D27)/2-('Balance_sheet_Historical data'!E40+'Balance_sheet_Historical data'!D40)/2)/'P&amp;L_historic'!E13</f>
        <v>#DIV/0!</v>
      </c>
      <c r="E25" s="154" t="e">
        <f>(('Balance_sheet_Historical data'!F27+'Balance_sheet_Historical data'!E27)/2-('Balance_sheet_Historical data'!F40+'Balance_sheet_Historical data'!E40)/2)/'P&amp;L_historic'!F13</f>
        <v>#DIV/0!</v>
      </c>
    </row>
    <row r="26" spans="1:7" x14ac:dyDescent="0.35">
      <c r="A26" s="75" t="s">
        <v>68</v>
      </c>
      <c r="B26" s="154" t="e">
        <f>('Balance_sheet_Historical data'!C27-'Balance_sheet_Historical data'!C40)/'Balance_sheet_Historical data'!C40</f>
        <v>#DIV/0!</v>
      </c>
      <c r="C26" s="154" t="e">
        <f>(('Balance_sheet_Historical data'!D27+'Balance_sheet_Historical data'!C27)/2-('Balance_sheet_Historical data'!D40+'Balance_sheet_Historical data'!C40)/2)/(('Balance_sheet_Historical data'!D40+'Balance_sheet_Historical data'!C40)/2)</f>
        <v>#DIV/0!</v>
      </c>
      <c r="D26" s="154" t="e">
        <f>(('Balance_sheet_Historical data'!E27+'Balance_sheet_Historical data'!D27)/2-('Balance_sheet_Historical data'!E40+'Balance_sheet_Historical data'!D40)/2)/(('Balance_sheet_Historical data'!E40+'Balance_sheet_Historical data'!D40)/2)</f>
        <v>#DIV/0!</v>
      </c>
      <c r="E26" s="154" t="e">
        <f>(('Balance_sheet_Historical data'!F27+'Balance_sheet_Historical data'!E27)/2-('Balance_sheet_Historical data'!F40+'Balance_sheet_Historical data'!E40)/2)/(('Balance_sheet_Historical data'!F40+'Balance_sheet_Historical data'!E40)/2)</f>
        <v>#DIV/0!</v>
      </c>
    </row>
    <row r="27" spans="1:7" x14ac:dyDescent="0.35">
      <c r="A27" s="75" t="s">
        <v>69</v>
      </c>
      <c r="B27" s="154" t="e">
        <f>('Balance_sheet_Historical data'!C27-'Balance_sheet_Historical data'!C40)/'Balance_sheet_Historical data'!C23</f>
        <v>#DIV/0!</v>
      </c>
      <c r="C27" s="154" t="e">
        <f>(('Balance_sheet_Historical data'!D27+'Balance_sheet_Historical data'!C27)/2-('Balance_sheet_Historical data'!D40+'Balance_sheet_Historical data'!C40)/2)/(('Balance_sheet_Historical data'!D23+'Balance_sheet_Historical data'!C23)/2)</f>
        <v>#DIV/0!</v>
      </c>
      <c r="D27" s="154" t="e">
        <f>(('Balance_sheet_Historical data'!E27+'Balance_sheet_Historical data'!D27)/2-('Balance_sheet_Historical data'!E40+'Balance_sheet_Historical data'!D40)/2)/(('Balance_sheet_Historical data'!E23+'Balance_sheet_Historical data'!D23)/2)</f>
        <v>#DIV/0!</v>
      </c>
      <c r="E27" s="154" t="e">
        <f>(('Balance_sheet_Historical data'!F27+'Balance_sheet_Historical data'!E27)/2-('Balance_sheet_Historical data'!F40+'Balance_sheet_Historical data'!E40)/2)/(('Balance_sheet_Historical data'!F23+'Balance_sheet_Historical data'!E23)/2)</f>
        <v>#DIV/0!</v>
      </c>
    </row>
    <row r="28" spans="1:7" x14ac:dyDescent="0.35">
      <c r="A28" s="75" t="s">
        <v>70</v>
      </c>
      <c r="B28" s="154" t="e">
        <f>'Balance_sheet_Historical data'!C24*365/'P&amp;L_historic'!C13</f>
        <v>#DIV/0!</v>
      </c>
      <c r="C28" s="154" t="e">
        <f>('Balance_sheet_Historical data'!D24+'Balance_sheet_Historical data'!C24)/2*365/'P&amp;L_historic'!D13</f>
        <v>#DIV/0!</v>
      </c>
      <c r="D28" s="154" t="e">
        <f>('Balance_sheet_Historical data'!E24+'Balance_sheet_Historical data'!D24)/2*365/'P&amp;L_historic'!E13</f>
        <v>#DIV/0!</v>
      </c>
      <c r="E28" s="154" t="e">
        <f>('Balance_sheet_Historical data'!F24+'Balance_sheet_Historical data'!E24)/2*365/'P&amp;L_historic'!F13</f>
        <v>#DIV/0!</v>
      </c>
    </row>
    <row r="29" spans="1:7" x14ac:dyDescent="0.35">
      <c r="A29" s="75" t="s">
        <v>71</v>
      </c>
      <c r="B29" s="154" t="e">
        <f>'P&amp;L_historic'!C13/'Balance_sheet_Historical data'!C27</f>
        <v>#DIV/0!</v>
      </c>
      <c r="C29" s="154" t="e">
        <f>'P&amp;L_historic'!D13/(('Balance_sheet_Historical data'!D27+'Balance_sheet_Historical data'!C27)/2)</f>
        <v>#DIV/0!</v>
      </c>
      <c r="D29" s="154" t="e">
        <f>'P&amp;L_historic'!E13/(('Balance_sheet_Historical data'!E27+'Balance_sheet_Historical data'!D27)/2)</f>
        <v>#DIV/0!</v>
      </c>
      <c r="E29" s="154" t="e">
        <f>'P&amp;L_historic'!F13/(('Balance_sheet_Historical data'!F27+'Balance_sheet_Historical data'!E27)/2)</f>
        <v>#DIV/0!</v>
      </c>
    </row>
    <row r="30" spans="1:7" x14ac:dyDescent="0.35">
      <c r="A30" s="75" t="s">
        <v>72</v>
      </c>
      <c r="B30" s="154" t="e">
        <f>'Balance_sheet_Historical data'!C23*365/'P&amp;L_historic'!C15</f>
        <v>#DIV/0!</v>
      </c>
      <c r="C30" s="154" t="e">
        <f>('Balance_sheet_Historical data'!D23+'Balance_sheet_Historical data'!C23)/2*365/'P&amp;L_historic'!D15</f>
        <v>#DIV/0!</v>
      </c>
      <c r="D30" s="154" t="e">
        <f>('Balance_sheet_Historical data'!E23+'Balance_sheet_Historical data'!D23)/2*365/'P&amp;L_historic'!E15</f>
        <v>#DIV/0!</v>
      </c>
      <c r="E30" s="154" t="e">
        <f>('Balance_sheet_Historical data'!F23+'Balance_sheet_Historical data'!E23)/2*365/'P&amp;L_historic'!F15</f>
        <v>#DIV/0!</v>
      </c>
    </row>
    <row r="32" spans="1:7" x14ac:dyDescent="0.35">
      <c r="A32" s="75" t="s">
        <v>73</v>
      </c>
      <c r="B32" s="154" t="e">
        <f>'Balance_sheet_Historical data'!C27/'Balance_sheet_Historical data'!C40</f>
        <v>#DIV/0!</v>
      </c>
      <c r="C32" s="154" t="e">
        <f>'Balance_sheet_Historical data'!D27/'Balance_sheet_Historical data'!D40</f>
        <v>#DIV/0!</v>
      </c>
      <c r="D32" s="154" t="e">
        <f>'Balance_sheet_Historical data'!E27/'Balance_sheet_Historical data'!E40</f>
        <v>#DIV/0!</v>
      </c>
      <c r="E32" s="154" t="e">
        <f>'Balance_sheet_Historical data'!F27/'Balance_sheet_Historical data'!F40</f>
        <v>#DIV/0!</v>
      </c>
    </row>
    <row r="33" spans="1:5" x14ac:dyDescent="0.35">
      <c r="A33" s="75" t="s">
        <v>74</v>
      </c>
      <c r="B33" s="154" t="e">
        <f>('Balance_sheet_Historical data'!C27-'Balance_sheet_Historical data'!C23)/'Balance_sheet_Historical data'!C40</f>
        <v>#DIV/0!</v>
      </c>
      <c r="C33" s="154" t="e">
        <f>('Balance_sheet_Historical data'!D27-'Balance_sheet_Historical data'!D23)/'Balance_sheet_Historical data'!D40</f>
        <v>#DIV/0!</v>
      </c>
      <c r="D33" s="154" t="e">
        <f>('Balance_sheet_Historical data'!E27-'Balance_sheet_Historical data'!E23)/'Balance_sheet_Historical data'!E40</f>
        <v>#DIV/0!</v>
      </c>
      <c r="E33" s="154" t="e">
        <f>('Balance_sheet_Historical data'!F27-'Balance_sheet_Historical data'!F23)/'Balance_sheet_Historical data'!F40</f>
        <v>#DIV/0!</v>
      </c>
    </row>
    <row r="35" spans="1:5" x14ac:dyDescent="0.35">
      <c r="A35" s="75" t="s">
        <v>75</v>
      </c>
      <c r="B35" s="154" t="e">
        <f>'Balance_sheet_Historical data'!C41/'Balance_sheet_Historical data'!C28</f>
        <v>#DIV/0!</v>
      </c>
      <c r="C35" s="154" t="e">
        <f>'Balance_sheet_Historical data'!D41/'Balance_sheet_Historical data'!D28</f>
        <v>#DIV/0!</v>
      </c>
      <c r="D35" s="154" t="e">
        <f>'Balance_sheet_Historical data'!E41/'Balance_sheet_Historical data'!E28</f>
        <v>#DIV/0!</v>
      </c>
      <c r="E35" s="154" t="e">
        <f>'Balance_sheet_Historical data'!F41/'Balance_sheet_Historical data'!F28</f>
        <v>#DIV/0!</v>
      </c>
    </row>
    <row r="36" spans="1:5" x14ac:dyDescent="0.35">
      <c r="A36" s="75" t="s">
        <v>76</v>
      </c>
      <c r="B36" s="154" t="e">
        <f>'Balance_sheet_Historical data'!C41/('Balance_sheet_Historical data'!C41+'Balance_sheet_Historical data'!C31)</f>
        <v>#DIV/0!</v>
      </c>
      <c r="C36" s="154" t="e">
        <f>'Balance_sheet_Historical data'!D41/('Balance_sheet_Historical data'!D41+'Balance_sheet_Historical data'!D31)</f>
        <v>#DIV/0!</v>
      </c>
      <c r="D36" s="154" t="e">
        <f>'Balance_sheet_Historical data'!E41/('Balance_sheet_Historical data'!E41+'Balance_sheet_Historical data'!E31)</f>
        <v>#DIV/0!</v>
      </c>
      <c r="E36" s="154" t="e">
        <f>'Balance_sheet_Historical data'!F41/('Balance_sheet_Historical data'!F41+'Balance_sheet_Historical data'!F31)</f>
        <v>#DIV/0!</v>
      </c>
    </row>
    <row r="37" spans="1:5" x14ac:dyDescent="0.35">
      <c r="A37" s="75" t="s">
        <v>77</v>
      </c>
      <c r="B37" s="154" t="e">
        <f>'Balance_sheet_Historical data'!C41/'Balance_sheet_Historical data'!C31</f>
        <v>#DIV/0!</v>
      </c>
      <c r="C37" s="154" t="e">
        <f>'Balance_sheet_Historical data'!D41/'Balance_sheet_Historical data'!D31</f>
        <v>#DIV/0!</v>
      </c>
      <c r="D37" s="154" t="e">
        <f>'Balance_sheet_Historical data'!E41/'Balance_sheet_Historical data'!E31</f>
        <v>#DIV/0!</v>
      </c>
      <c r="E37" s="154" t="e">
        <f>'Balance_sheet_Historical data'!F41/'Balance_sheet_Historical data'!F31</f>
        <v>#DIV/0!</v>
      </c>
    </row>
    <row r="38" spans="1:5" x14ac:dyDescent="0.35">
      <c r="A38" s="75" t="s">
        <v>78</v>
      </c>
      <c r="B38" s="154" t="e">
        <f>('P&amp;L_historic'!C13-'P&amp;L_historic'!C19)/'P&amp;L_historic'!C22</f>
        <v>#DIV/0!</v>
      </c>
      <c r="C38" s="154" t="e">
        <f>('P&amp;L_historic'!D13-'P&amp;L_historic'!D19)/'P&amp;L_historic'!D22</f>
        <v>#DIV/0!</v>
      </c>
      <c r="D38" s="154" t="e">
        <f>('P&amp;L_historic'!E13-'P&amp;L_historic'!E19)/'P&amp;L_historic'!E22</f>
        <v>#DIV/0!</v>
      </c>
      <c r="E38" s="154" t="e">
        <f>('P&amp;L_historic'!F13-'P&amp;L_historic'!F19)/'P&amp;L_historic'!F22</f>
        <v>#DIV/0!</v>
      </c>
    </row>
    <row r="39" spans="1:5" x14ac:dyDescent="0.35">
      <c r="A39" s="75" t="s">
        <v>79</v>
      </c>
      <c r="B39" s="154" t="e">
        <f>('P&amp;L_historic'!C31+'P&amp;L_historic'!C17)/'Balance_sheet_Historical data'!C35</f>
        <v>#DIV/0!</v>
      </c>
      <c r="C39" s="154" t="e">
        <f>('P&amp;L_historic'!D31+'P&amp;L_historic'!D17)/(('Balance_sheet_Historical data'!D35+'Balance_sheet_Historical data'!C35)/2)</f>
        <v>#DIV/0!</v>
      </c>
      <c r="D39" s="154" t="e">
        <f>('P&amp;L_historic'!E31+'P&amp;L_historic'!E17)/(('Balance_sheet_Historical data'!E35+'Balance_sheet_Historical data'!D35)/2)</f>
        <v>#DIV/0!</v>
      </c>
      <c r="E39" s="154" t="e">
        <f>('P&amp;L_historic'!F31+'P&amp;L_historic'!F17)/(('Balance_sheet_Historical data'!F35+'Balance_sheet_Historical data'!E35)/2)</f>
        <v>#DIV/0!</v>
      </c>
    </row>
  </sheetData>
  <sheetProtection algorithmName="SHA-512" hashValue="j8qzD6yicgRXndZqhWJkIeOJREkrH+cyC3mq1qwj5M2ByX62VVMf2sM9S+NIMxUVCzzb86DuF/YU6vhKO7Aq6g==" saltValue="vWmvmZ2ET+UALoZirN1Hcg==" spinCount="100000" sheet="1" objects="1" scenarios="1"/>
  <mergeCells count="3">
    <mergeCell ref="A2:E2"/>
    <mergeCell ref="C4:E4"/>
    <mergeCell ref="B5:E5"/>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F841-0760-4ED5-BAF4-E6DB82D216B5}">
  <sheetPr codeName="Sheet9"/>
  <dimension ref="B2:AA264"/>
  <sheetViews>
    <sheetView workbookViewId="0">
      <selection activeCell="J19" sqref="J19"/>
    </sheetView>
  </sheetViews>
  <sheetFormatPr defaultRowHeight="14.5" outlineLevelRow="3" x14ac:dyDescent="0.35"/>
  <cols>
    <col min="2" max="2" width="38.81640625" customWidth="1"/>
    <col min="3" max="3" width="37.54296875" customWidth="1"/>
    <col min="4" max="4" width="13.1796875" customWidth="1"/>
    <col min="9" max="27" width="6.26953125" bestFit="1" customWidth="1"/>
  </cols>
  <sheetData>
    <row r="2" spans="2:6" x14ac:dyDescent="0.35">
      <c r="B2" s="91" t="s">
        <v>80</v>
      </c>
    </row>
    <row r="3" spans="2:6" x14ac:dyDescent="0.35">
      <c r="B3" s="91"/>
    </row>
    <row r="4" spans="2:6" ht="15" thickBot="1" x14ac:dyDescent="0.4"/>
    <row r="5" spans="2:6" ht="15" thickTop="1" x14ac:dyDescent="0.35">
      <c r="B5" s="155"/>
      <c r="C5" s="156" t="s">
        <v>81</v>
      </c>
      <c r="D5" s="156" t="s">
        <v>82</v>
      </c>
      <c r="E5" s="156" t="s">
        <v>83</v>
      </c>
      <c r="F5" s="157" t="s">
        <v>84</v>
      </c>
    </row>
    <row r="6" spans="2:6" x14ac:dyDescent="0.35">
      <c r="B6" s="406" t="s">
        <v>85</v>
      </c>
      <c r="C6" s="104" t="s">
        <v>86</v>
      </c>
      <c r="D6" s="158">
        <v>0.1</v>
      </c>
      <c r="E6" s="112" t="e">
        <f>C38</f>
        <v>#NUM!</v>
      </c>
      <c r="F6" s="159" t="e">
        <f>C39</f>
        <v>#VALUE!</v>
      </c>
    </row>
    <row r="7" spans="2:6" x14ac:dyDescent="0.35">
      <c r="B7" s="406"/>
      <c r="C7" s="104" t="s">
        <v>87</v>
      </c>
      <c r="D7" s="158">
        <v>-0.1</v>
      </c>
      <c r="E7" s="112" t="e">
        <f>C58</f>
        <v>#NUM!</v>
      </c>
      <c r="F7" s="159" t="e">
        <f>C59</f>
        <v>#VALUE!</v>
      </c>
    </row>
    <row r="8" spans="2:6" x14ac:dyDescent="0.35">
      <c r="B8" s="406"/>
      <c r="C8" s="104" t="s">
        <v>88</v>
      </c>
      <c r="D8" s="158">
        <v>0.05</v>
      </c>
      <c r="E8" s="112">
        <f>C79</f>
        <v>0</v>
      </c>
      <c r="F8" s="159" t="e">
        <f>C80</f>
        <v>#NUM!</v>
      </c>
    </row>
    <row r="9" spans="2:6" x14ac:dyDescent="0.35">
      <c r="B9" s="406"/>
      <c r="C9" s="104" t="s">
        <v>89</v>
      </c>
      <c r="D9" s="158">
        <v>-0.05</v>
      </c>
      <c r="E9" s="112">
        <f>C99</f>
        <v>0</v>
      </c>
      <c r="F9" s="159" t="e">
        <f>C100</f>
        <v>#NUM!</v>
      </c>
    </row>
    <row r="10" spans="2:6" x14ac:dyDescent="0.35">
      <c r="B10" s="406" t="s">
        <v>32</v>
      </c>
      <c r="C10" s="104" t="s">
        <v>90</v>
      </c>
      <c r="D10" s="158">
        <v>0.1</v>
      </c>
      <c r="E10" s="112">
        <f>C120</f>
        <v>0</v>
      </c>
      <c r="F10" s="159" t="e">
        <f>C121</f>
        <v>#NUM!</v>
      </c>
    </row>
    <row r="11" spans="2:6" x14ac:dyDescent="0.35">
      <c r="B11" s="406"/>
      <c r="C11" s="104" t="s">
        <v>91</v>
      </c>
      <c r="D11" s="158">
        <v>-0.1</v>
      </c>
      <c r="E11" s="112">
        <f>C140</f>
        <v>0</v>
      </c>
      <c r="F11" s="159" t="e">
        <f>C141</f>
        <v>#NUM!</v>
      </c>
    </row>
    <row r="12" spans="2:6" x14ac:dyDescent="0.35">
      <c r="B12" s="406"/>
      <c r="C12" s="104" t="s">
        <v>92</v>
      </c>
      <c r="D12" s="158">
        <v>0.05</v>
      </c>
      <c r="E12" s="112">
        <f>C161</f>
        <v>0</v>
      </c>
      <c r="F12" s="159" t="e">
        <f>C162</f>
        <v>#NUM!</v>
      </c>
    </row>
    <row r="13" spans="2:6" x14ac:dyDescent="0.35">
      <c r="B13" s="406"/>
      <c r="C13" s="104" t="s">
        <v>93</v>
      </c>
      <c r="D13" s="158">
        <v>-0.05</v>
      </c>
      <c r="E13" s="112">
        <f>C181</f>
        <v>0</v>
      </c>
      <c r="F13" s="159" t="e">
        <f>C182</f>
        <v>#NUM!</v>
      </c>
    </row>
    <row r="14" spans="2:6" x14ac:dyDescent="0.35">
      <c r="B14" s="407" t="s">
        <v>94</v>
      </c>
      <c r="C14" s="104" t="s">
        <v>95</v>
      </c>
      <c r="D14" s="158">
        <v>0.1</v>
      </c>
      <c r="E14" s="112">
        <f>C202</f>
        <v>0</v>
      </c>
      <c r="F14" s="159" t="e">
        <f>C203</f>
        <v>#NUM!</v>
      </c>
    </row>
    <row r="15" spans="2:6" x14ac:dyDescent="0.35">
      <c r="B15" s="407"/>
      <c r="C15" s="104" t="s">
        <v>96</v>
      </c>
      <c r="D15" s="158">
        <v>-0.1</v>
      </c>
      <c r="E15" s="112">
        <f>C222</f>
        <v>0</v>
      </c>
      <c r="F15" s="159" t="e">
        <f>C223</f>
        <v>#NUM!</v>
      </c>
    </row>
    <row r="16" spans="2:6" x14ac:dyDescent="0.35">
      <c r="B16" s="407"/>
      <c r="C16" s="104" t="s">
        <v>97</v>
      </c>
      <c r="D16" s="158">
        <v>0.05</v>
      </c>
      <c r="E16" s="112">
        <f>C243</f>
        <v>0</v>
      </c>
      <c r="F16" s="159" t="e">
        <f>C244</f>
        <v>#NUM!</v>
      </c>
    </row>
    <row r="17" spans="2:27" ht="15" thickBot="1" x14ac:dyDescent="0.4">
      <c r="B17" s="408"/>
      <c r="C17" s="160" t="s">
        <v>98</v>
      </c>
      <c r="D17" s="161">
        <v>-0.05</v>
      </c>
      <c r="E17" s="162">
        <f>C263</f>
        <v>0</v>
      </c>
      <c r="F17" s="163" t="e">
        <f>C264</f>
        <v>#NUM!</v>
      </c>
    </row>
    <row r="18" spans="2:27" ht="15" thickTop="1" x14ac:dyDescent="0.35"/>
    <row r="21" spans="2:27" x14ac:dyDescent="0.35">
      <c r="B21" s="92" t="s">
        <v>99</v>
      </c>
    </row>
    <row r="22" spans="2:27" hidden="1" outlineLevel="1" x14ac:dyDescent="0.35">
      <c r="B22" s="405"/>
      <c r="C22" s="164" t="s">
        <v>27</v>
      </c>
      <c r="D22" s="164"/>
      <c r="E22" s="164"/>
      <c r="F22" s="164"/>
      <c r="G22" s="164"/>
      <c r="H22" s="164"/>
    </row>
    <row r="23" spans="2:27" hidden="1" outlineLevel="1" x14ac:dyDescent="0.35">
      <c r="B23" s="405"/>
      <c r="C23" s="165">
        <v>1</v>
      </c>
      <c r="D23" s="165">
        <v>2</v>
      </c>
      <c r="E23" s="165">
        <v>3</v>
      </c>
      <c r="F23" s="165">
        <v>4</v>
      </c>
      <c r="G23" s="165">
        <v>5</v>
      </c>
      <c r="H23" s="165">
        <v>6</v>
      </c>
      <c r="I23" s="165">
        <v>7</v>
      </c>
      <c r="J23" s="165">
        <v>8</v>
      </c>
      <c r="K23" s="165">
        <v>9</v>
      </c>
      <c r="L23" s="165">
        <v>10</v>
      </c>
      <c r="M23" s="165">
        <v>11</v>
      </c>
      <c r="N23" s="165">
        <v>12</v>
      </c>
      <c r="O23" s="165">
        <v>13</v>
      </c>
      <c r="P23" s="165">
        <v>14</v>
      </c>
      <c r="Q23" s="165">
        <v>15</v>
      </c>
      <c r="R23" s="165">
        <v>16</v>
      </c>
      <c r="S23" s="165">
        <v>17</v>
      </c>
      <c r="T23" s="165">
        <v>18</v>
      </c>
      <c r="U23" s="165">
        <v>19</v>
      </c>
      <c r="V23" s="165">
        <v>20</v>
      </c>
      <c r="W23" s="165">
        <v>21</v>
      </c>
      <c r="X23" s="165">
        <v>22</v>
      </c>
      <c r="Y23" s="165">
        <v>23</v>
      </c>
      <c r="Z23" s="165">
        <v>24</v>
      </c>
      <c r="AA23" s="165">
        <v>25</v>
      </c>
    </row>
    <row r="24" spans="2:27" hidden="1" outlineLevel="1" x14ac:dyDescent="0.35">
      <c r="B24" s="122" t="s">
        <v>35</v>
      </c>
      <c r="C24" s="124">
        <f>Project_profitability!C12*(1+'Sensitivity analysis project'!$D$6)</f>
        <v>0</v>
      </c>
      <c r="D24" s="124"/>
      <c r="E24" s="124"/>
      <c r="F24" s="123"/>
      <c r="G24" s="123"/>
      <c r="H24" s="123"/>
    </row>
    <row r="25" spans="2:27" hidden="1" outlineLevel="1" x14ac:dyDescent="0.35">
      <c r="B25" s="125" t="s">
        <v>36</v>
      </c>
      <c r="C25" s="95">
        <f>Project_profitability!C13</f>
        <v>0</v>
      </c>
      <c r="D25" s="95">
        <f>Project_profitability!D13</f>
        <v>0</v>
      </c>
      <c r="E25" s="95">
        <f>Project_profitability!E13</f>
        <v>0</v>
      </c>
      <c r="F25" s="95">
        <f>Project_profitability!F13</f>
        <v>0</v>
      </c>
      <c r="G25" s="95">
        <f>Project_profitability!G13</f>
        <v>0</v>
      </c>
      <c r="H25" s="95">
        <f>Project_profitability!H13</f>
        <v>0</v>
      </c>
      <c r="I25" s="95">
        <f>Project_profitability!I13</f>
        <v>0</v>
      </c>
      <c r="J25" s="95">
        <f>Project_profitability!J13</f>
        <v>0</v>
      </c>
      <c r="K25" s="95">
        <f>Project_profitability!K13</f>
        <v>0</v>
      </c>
      <c r="L25" s="95">
        <f>Project_profitability!L13</f>
        <v>0</v>
      </c>
      <c r="M25" s="95">
        <f>Project_profitability!M13</f>
        <v>0</v>
      </c>
      <c r="N25" s="95">
        <f>Project_profitability!N13</f>
        <v>0</v>
      </c>
      <c r="O25" s="95">
        <f>Project_profitability!O13</f>
        <v>0</v>
      </c>
      <c r="P25" s="95">
        <f>Project_profitability!P13</f>
        <v>0</v>
      </c>
      <c r="Q25" s="95">
        <f>Project_profitability!Q13</f>
        <v>0</v>
      </c>
      <c r="R25" s="95">
        <f>Project_profitability!R13</f>
        <v>0</v>
      </c>
      <c r="S25" s="95">
        <f>Project_profitability!S13</f>
        <v>0</v>
      </c>
      <c r="T25" s="95">
        <f>Project_profitability!T13</f>
        <v>0</v>
      </c>
      <c r="U25" s="95">
        <f>Project_profitability!U13</f>
        <v>0</v>
      </c>
      <c r="V25" s="95">
        <f>Project_profitability!V13</f>
        <v>0</v>
      </c>
      <c r="W25" s="95">
        <f>Project_profitability!W13</f>
        <v>0</v>
      </c>
      <c r="X25" s="95">
        <f>Project_profitability!X13</f>
        <v>0</v>
      </c>
      <c r="Y25" s="95">
        <f>Project_profitability!Y13</f>
        <v>0</v>
      </c>
      <c r="Z25" s="95">
        <f>Project_profitability!Z13</f>
        <v>0</v>
      </c>
      <c r="AA25" s="95">
        <f>Project_profitability!AA13</f>
        <v>0</v>
      </c>
    </row>
    <row r="26" spans="2:27" ht="29" hidden="1" outlineLevel="1" x14ac:dyDescent="0.35">
      <c r="B26" s="125" t="s">
        <v>100</v>
      </c>
      <c r="C26" s="95">
        <f>Project_profitability!C14</f>
        <v>0</v>
      </c>
      <c r="D26" s="95">
        <f>Project_profitability!D14</f>
        <v>0</v>
      </c>
      <c r="E26" s="95">
        <f>Project_profitability!E14</f>
        <v>0</v>
      </c>
      <c r="F26" s="95">
        <f>Project_profitability!F14</f>
        <v>0</v>
      </c>
      <c r="G26" s="95">
        <f>Project_profitability!G14</f>
        <v>0</v>
      </c>
      <c r="H26" s="95">
        <f>Project_profitability!H14</f>
        <v>0</v>
      </c>
      <c r="I26" s="95">
        <f>Project_profitability!I14</f>
        <v>0</v>
      </c>
      <c r="J26" s="95">
        <f>Project_profitability!J14</f>
        <v>0</v>
      </c>
      <c r="K26" s="95">
        <f>Project_profitability!K14</f>
        <v>0</v>
      </c>
      <c r="L26" s="95">
        <f>Project_profitability!L14</f>
        <v>0</v>
      </c>
      <c r="M26" s="95">
        <f>Project_profitability!M14</f>
        <v>0</v>
      </c>
      <c r="N26" s="95">
        <f>Project_profitability!N14</f>
        <v>0</v>
      </c>
      <c r="O26" s="95">
        <f>Project_profitability!O14</f>
        <v>0</v>
      </c>
      <c r="P26" s="95">
        <f>Project_profitability!P14</f>
        <v>0</v>
      </c>
      <c r="Q26" s="95">
        <f>Project_profitability!Q14</f>
        <v>0</v>
      </c>
      <c r="R26" s="95">
        <f>Project_profitability!R14</f>
        <v>0</v>
      </c>
      <c r="S26" s="95">
        <f>Project_profitability!S14</f>
        <v>0</v>
      </c>
      <c r="T26" s="95">
        <f>Project_profitability!T14</f>
        <v>0</v>
      </c>
      <c r="U26" s="95">
        <f>Project_profitability!U14</f>
        <v>0</v>
      </c>
      <c r="V26" s="95">
        <f>Project_profitability!V14</f>
        <v>0</v>
      </c>
      <c r="W26" s="95">
        <f>Project_profitability!W14</f>
        <v>0</v>
      </c>
      <c r="X26" s="95">
        <f>Project_profitability!X14</f>
        <v>0</v>
      </c>
      <c r="Y26" s="95">
        <f>Project_profitability!Y14</f>
        <v>0</v>
      </c>
      <c r="Z26" s="95">
        <f>Project_profitability!Z14</f>
        <v>0</v>
      </c>
      <c r="AA26" s="95">
        <f>Project_profitability!AA14</f>
        <v>0</v>
      </c>
    </row>
    <row r="27" spans="2:27" ht="29" hidden="1" outlineLevel="1" x14ac:dyDescent="0.35">
      <c r="B27" s="125" t="s">
        <v>101</v>
      </c>
      <c r="C27" s="126">
        <f t="shared" ref="C27:H27" si="0">C25-C26</f>
        <v>0</v>
      </c>
      <c r="D27" s="126">
        <f t="shared" si="0"/>
        <v>0</v>
      </c>
      <c r="E27" s="126">
        <f t="shared" si="0"/>
        <v>0</v>
      </c>
      <c r="F27" s="126">
        <f t="shared" si="0"/>
        <v>0</v>
      </c>
      <c r="G27" s="126">
        <f t="shared" si="0"/>
        <v>0</v>
      </c>
      <c r="H27" s="126">
        <f t="shared" si="0"/>
        <v>0</v>
      </c>
      <c r="I27" s="126">
        <f t="shared" ref="I27:AA27" si="1">I25-I26</f>
        <v>0</v>
      </c>
      <c r="J27" s="126">
        <f t="shared" si="1"/>
        <v>0</v>
      </c>
      <c r="K27" s="126">
        <f t="shared" si="1"/>
        <v>0</v>
      </c>
      <c r="L27" s="126">
        <f t="shared" si="1"/>
        <v>0</v>
      </c>
      <c r="M27" s="126">
        <f t="shared" si="1"/>
        <v>0</v>
      </c>
      <c r="N27" s="126">
        <f t="shared" si="1"/>
        <v>0</v>
      </c>
      <c r="O27" s="126">
        <f t="shared" si="1"/>
        <v>0</v>
      </c>
      <c r="P27" s="126">
        <f t="shared" si="1"/>
        <v>0</v>
      </c>
      <c r="Q27" s="126">
        <f t="shared" si="1"/>
        <v>0</v>
      </c>
      <c r="R27" s="126">
        <f t="shared" si="1"/>
        <v>0</v>
      </c>
      <c r="S27" s="126">
        <f t="shared" si="1"/>
        <v>0</v>
      </c>
      <c r="T27" s="126">
        <f t="shared" si="1"/>
        <v>0</v>
      </c>
      <c r="U27" s="126">
        <f t="shared" si="1"/>
        <v>0</v>
      </c>
      <c r="V27" s="126">
        <f t="shared" si="1"/>
        <v>0</v>
      </c>
      <c r="W27" s="126">
        <f t="shared" si="1"/>
        <v>0</v>
      </c>
      <c r="X27" s="126">
        <f t="shared" si="1"/>
        <v>0</v>
      </c>
      <c r="Y27" s="126">
        <f t="shared" si="1"/>
        <v>0</v>
      </c>
      <c r="Z27" s="126">
        <f t="shared" si="1"/>
        <v>0</v>
      </c>
      <c r="AA27" s="126">
        <f t="shared" si="1"/>
        <v>0</v>
      </c>
    </row>
    <row r="28" spans="2:27" hidden="1" outlineLevel="1" x14ac:dyDescent="0.35">
      <c r="B28" s="127" t="s">
        <v>102</v>
      </c>
      <c r="C28" s="128">
        <f>Project_profitability!C18*(1+'Sensitivity analysis project'!$D$6)</f>
        <v>0</v>
      </c>
      <c r="D28" s="128">
        <f>Project_profitability!D18*(1+'Sensitivity analysis project'!$D$6)</f>
        <v>0</v>
      </c>
      <c r="E28" s="128">
        <f>Project_profitability!E18*(1+'Sensitivity analysis project'!$D$6)</f>
        <v>0</v>
      </c>
      <c r="F28" s="128">
        <f>Project_profitability!F18*(1+'Sensitivity analysis project'!$D$6)</f>
        <v>0</v>
      </c>
      <c r="G28" s="128">
        <f>Project_profitability!G18*(1+'Sensitivity analysis project'!$D$6)</f>
        <v>0</v>
      </c>
      <c r="H28" s="128">
        <f>Project_profitability!H18*(1+'Sensitivity analysis project'!$D$6)</f>
        <v>0</v>
      </c>
      <c r="I28" s="128">
        <f>Project_profitability!I18*(1+'Sensitivity analysis project'!$D$6)</f>
        <v>0</v>
      </c>
      <c r="J28" s="128">
        <f>Project_profitability!J18*(1+'Sensitivity analysis project'!$D$6)</f>
        <v>0</v>
      </c>
      <c r="K28" s="128">
        <f>Project_profitability!K18*(1+'Sensitivity analysis project'!$D$6)</f>
        <v>0</v>
      </c>
      <c r="L28" s="128">
        <f>Project_profitability!L18*(1+'Sensitivity analysis project'!$D$6)</f>
        <v>0</v>
      </c>
      <c r="M28" s="128">
        <f>Project_profitability!M18*(1+'Sensitivity analysis project'!$D$6)</f>
        <v>0</v>
      </c>
      <c r="N28" s="128">
        <f>Project_profitability!N18*(1+'Sensitivity analysis project'!$D$6)</f>
        <v>0</v>
      </c>
      <c r="O28" s="128">
        <f>Project_profitability!O18*(1+'Sensitivity analysis project'!$D$6)</f>
        <v>0</v>
      </c>
      <c r="P28" s="128">
        <f>Project_profitability!P18*(1+'Sensitivity analysis project'!$D$6)</f>
        <v>0</v>
      </c>
      <c r="Q28" s="128">
        <f>Project_profitability!Q18*(1+'Sensitivity analysis project'!$D$6)</f>
        <v>0</v>
      </c>
      <c r="R28" s="128">
        <f>Project_profitability!R18*(1+'Sensitivity analysis project'!$D$6)</f>
        <v>0</v>
      </c>
      <c r="S28" s="128">
        <f>Project_profitability!S18*(1+'Sensitivity analysis project'!$D$6)</f>
        <v>0</v>
      </c>
      <c r="T28" s="128">
        <f>Project_profitability!T18*(1+'Sensitivity analysis project'!$D$6)</f>
        <v>0</v>
      </c>
      <c r="U28" s="128">
        <f>Project_profitability!U18*(1+'Sensitivity analysis project'!$D$6)</f>
        <v>0</v>
      </c>
      <c r="V28" s="128">
        <f>Project_profitability!V18*(1+'Sensitivity analysis project'!$D$6)</f>
        <v>0</v>
      </c>
      <c r="W28" s="128">
        <f>Project_profitability!W18*(1+'Sensitivity analysis project'!$D$6)</f>
        <v>0</v>
      </c>
      <c r="X28" s="128">
        <f>Project_profitability!X18*(1+'Sensitivity analysis project'!$D$6)</f>
        <v>0</v>
      </c>
      <c r="Y28" s="128">
        <f>Project_profitability!Y18*(1+'Sensitivity analysis project'!$D$6)</f>
        <v>0</v>
      </c>
      <c r="Z28" s="128">
        <f>Project_profitability!Z18*(1+'Sensitivity analysis project'!$D$6)</f>
        <v>0</v>
      </c>
      <c r="AA28" s="128">
        <f>Project_profitability!AA18*(1+'Sensitivity analysis project'!$D$6)</f>
        <v>0</v>
      </c>
    </row>
    <row r="29" spans="2:27" hidden="1" outlineLevel="1" x14ac:dyDescent="0.35">
      <c r="B29" s="122" t="s">
        <v>103</v>
      </c>
      <c r="C29" s="126">
        <f t="shared" ref="C29:H29" si="2">C27-C28</f>
        <v>0</v>
      </c>
      <c r="D29" s="126">
        <f t="shared" si="2"/>
        <v>0</v>
      </c>
      <c r="E29" s="126">
        <f t="shared" si="2"/>
        <v>0</v>
      </c>
      <c r="F29" s="126">
        <f t="shared" si="2"/>
        <v>0</v>
      </c>
      <c r="G29" s="126">
        <f t="shared" si="2"/>
        <v>0</v>
      </c>
      <c r="H29" s="126">
        <f t="shared" si="2"/>
        <v>0</v>
      </c>
      <c r="I29" s="126">
        <f t="shared" ref="I29:AA29" si="3">I27-I28</f>
        <v>0</v>
      </c>
      <c r="J29" s="126">
        <f t="shared" si="3"/>
        <v>0</v>
      </c>
      <c r="K29" s="126">
        <f t="shared" si="3"/>
        <v>0</v>
      </c>
      <c r="L29" s="126">
        <f t="shared" si="3"/>
        <v>0</v>
      </c>
      <c r="M29" s="126">
        <f t="shared" si="3"/>
        <v>0</v>
      </c>
      <c r="N29" s="126">
        <f t="shared" si="3"/>
        <v>0</v>
      </c>
      <c r="O29" s="126">
        <f t="shared" si="3"/>
        <v>0</v>
      </c>
      <c r="P29" s="126">
        <f t="shared" si="3"/>
        <v>0</v>
      </c>
      <c r="Q29" s="126">
        <f t="shared" si="3"/>
        <v>0</v>
      </c>
      <c r="R29" s="126">
        <f t="shared" si="3"/>
        <v>0</v>
      </c>
      <c r="S29" s="126">
        <f t="shared" si="3"/>
        <v>0</v>
      </c>
      <c r="T29" s="126">
        <f t="shared" si="3"/>
        <v>0</v>
      </c>
      <c r="U29" s="126">
        <f t="shared" si="3"/>
        <v>0</v>
      </c>
      <c r="V29" s="126">
        <f t="shared" si="3"/>
        <v>0</v>
      </c>
      <c r="W29" s="126">
        <f t="shared" si="3"/>
        <v>0</v>
      </c>
      <c r="X29" s="126">
        <f t="shared" si="3"/>
        <v>0</v>
      </c>
      <c r="Y29" s="126">
        <f t="shared" si="3"/>
        <v>0</v>
      </c>
      <c r="Z29" s="126">
        <f t="shared" si="3"/>
        <v>0</v>
      </c>
      <c r="AA29" s="126">
        <f t="shared" si="3"/>
        <v>0</v>
      </c>
    </row>
    <row r="30" spans="2:27" hidden="1" outlineLevel="1" x14ac:dyDescent="0.35">
      <c r="B30" s="129" t="s">
        <v>104</v>
      </c>
      <c r="C30" s="130">
        <f>C29</f>
        <v>0</v>
      </c>
      <c r="D30" s="130">
        <f t="shared" ref="D30:AA30" si="4">D29</f>
        <v>0</v>
      </c>
      <c r="E30" s="130">
        <f t="shared" si="4"/>
        <v>0</v>
      </c>
      <c r="F30" s="130">
        <f t="shared" si="4"/>
        <v>0</v>
      </c>
      <c r="G30" s="130">
        <f t="shared" si="4"/>
        <v>0</v>
      </c>
      <c r="H30" s="130">
        <f t="shared" si="4"/>
        <v>0</v>
      </c>
      <c r="I30" s="130">
        <f t="shared" si="4"/>
        <v>0</v>
      </c>
      <c r="J30" s="130">
        <f t="shared" si="4"/>
        <v>0</v>
      </c>
      <c r="K30" s="130">
        <f t="shared" si="4"/>
        <v>0</v>
      </c>
      <c r="L30" s="130">
        <f t="shared" si="4"/>
        <v>0</v>
      </c>
      <c r="M30" s="130">
        <f t="shared" si="4"/>
        <v>0</v>
      </c>
      <c r="N30" s="130">
        <f t="shared" si="4"/>
        <v>0</v>
      </c>
      <c r="O30" s="130">
        <f t="shared" si="4"/>
        <v>0</v>
      </c>
      <c r="P30" s="130">
        <f t="shared" si="4"/>
        <v>0</v>
      </c>
      <c r="Q30" s="130">
        <f t="shared" si="4"/>
        <v>0</v>
      </c>
      <c r="R30" s="130">
        <f t="shared" si="4"/>
        <v>0</v>
      </c>
      <c r="S30" s="130">
        <f t="shared" si="4"/>
        <v>0</v>
      </c>
      <c r="T30" s="130">
        <f t="shared" si="4"/>
        <v>0</v>
      </c>
      <c r="U30" s="130">
        <f t="shared" si="4"/>
        <v>0</v>
      </c>
      <c r="V30" s="130">
        <f t="shared" si="4"/>
        <v>0</v>
      </c>
      <c r="W30" s="130">
        <f t="shared" si="4"/>
        <v>0</v>
      </c>
      <c r="X30" s="130">
        <f t="shared" si="4"/>
        <v>0</v>
      </c>
      <c r="Y30" s="130">
        <f t="shared" si="4"/>
        <v>0</v>
      </c>
      <c r="Z30" s="130">
        <f t="shared" si="4"/>
        <v>0</v>
      </c>
      <c r="AA30" s="130">
        <f t="shared" si="4"/>
        <v>0</v>
      </c>
    </row>
    <row r="31" spans="2:27" hidden="1" outlineLevel="1" x14ac:dyDescent="0.35">
      <c r="B31" s="131" t="s">
        <v>105</v>
      </c>
      <c r="C31" s="132" t="e">
        <f>Project_profitability!C22</f>
        <v>#NUM!</v>
      </c>
      <c r="D31" s="132">
        <f>Project_profitability!D22</f>
        <v>0</v>
      </c>
      <c r="E31" s="132">
        <f>Project_profitability!E22</f>
        <v>0</v>
      </c>
      <c r="F31" s="132">
        <f>Project_profitability!F22</f>
        <v>0</v>
      </c>
      <c r="G31" s="132">
        <f>Project_profitability!G22</f>
        <v>0</v>
      </c>
      <c r="H31" s="132">
        <f>Project_profitability!H22</f>
        <v>0</v>
      </c>
      <c r="I31" s="132">
        <f>Project_profitability!I22</f>
        <v>0</v>
      </c>
      <c r="J31" s="132">
        <f>Project_profitability!J22</f>
        <v>0</v>
      </c>
      <c r="K31" s="132">
        <f>Project_profitability!K22</f>
        <v>0</v>
      </c>
      <c r="L31" s="132">
        <f>Project_profitability!L22</f>
        <v>0</v>
      </c>
      <c r="M31" s="132">
        <f>Project_profitability!M22</f>
        <v>0</v>
      </c>
      <c r="N31" s="132">
        <f>Project_profitability!N22</f>
        <v>0</v>
      </c>
      <c r="O31" s="132">
        <f>Project_profitability!O22</f>
        <v>0</v>
      </c>
      <c r="P31" s="132">
        <f>Project_profitability!P22</f>
        <v>0</v>
      </c>
      <c r="Q31" s="132">
        <f>Project_profitability!Q22</f>
        <v>0</v>
      </c>
      <c r="R31" s="132">
        <f>Project_profitability!R22</f>
        <v>0</v>
      </c>
      <c r="S31" s="132">
        <f>Project_profitability!S22</f>
        <v>0</v>
      </c>
      <c r="T31" s="132">
        <f>Project_profitability!T22</f>
        <v>0</v>
      </c>
      <c r="U31" s="132">
        <f>Project_profitability!U22</f>
        <v>0</v>
      </c>
      <c r="V31" s="132">
        <f>Project_profitability!V22</f>
        <v>0</v>
      </c>
      <c r="W31" s="132">
        <f>Project_profitability!W22</f>
        <v>0</v>
      </c>
      <c r="X31" s="132">
        <f>Project_profitability!X22</f>
        <v>0</v>
      </c>
      <c r="Y31" s="132">
        <f>Project_profitability!Y22</f>
        <v>0</v>
      </c>
      <c r="Z31" s="132">
        <f>Project_profitability!Z22</f>
        <v>0</v>
      </c>
      <c r="AA31" s="132">
        <f>Project_profitability!AA22</f>
        <v>0</v>
      </c>
    </row>
    <row r="32" spans="2:27" hidden="1" outlineLevel="1" x14ac:dyDescent="0.35">
      <c r="B32" s="133" t="s">
        <v>106</v>
      </c>
      <c r="C32" s="134" t="e">
        <f t="shared" ref="C32:AA32" si="5">C30+C28-C31</f>
        <v>#NUM!</v>
      </c>
      <c r="D32" s="134">
        <f t="shared" si="5"/>
        <v>0</v>
      </c>
      <c r="E32" s="134">
        <f t="shared" si="5"/>
        <v>0</v>
      </c>
      <c r="F32" s="134">
        <f t="shared" si="5"/>
        <v>0</v>
      </c>
      <c r="G32" s="134">
        <f t="shared" si="5"/>
        <v>0</v>
      </c>
      <c r="H32" s="134">
        <f t="shared" si="5"/>
        <v>0</v>
      </c>
      <c r="I32" s="134">
        <f t="shared" si="5"/>
        <v>0</v>
      </c>
      <c r="J32" s="134">
        <f t="shared" si="5"/>
        <v>0</v>
      </c>
      <c r="K32" s="134">
        <f t="shared" si="5"/>
        <v>0</v>
      </c>
      <c r="L32" s="134">
        <f t="shared" si="5"/>
        <v>0</v>
      </c>
      <c r="M32" s="134">
        <f t="shared" si="5"/>
        <v>0</v>
      </c>
      <c r="N32" s="134">
        <f t="shared" si="5"/>
        <v>0</v>
      </c>
      <c r="O32" s="134">
        <f t="shared" si="5"/>
        <v>0</v>
      </c>
      <c r="P32" s="134">
        <f t="shared" si="5"/>
        <v>0</v>
      </c>
      <c r="Q32" s="134">
        <f t="shared" si="5"/>
        <v>0</v>
      </c>
      <c r="R32" s="134">
        <f t="shared" si="5"/>
        <v>0</v>
      </c>
      <c r="S32" s="134">
        <f t="shared" si="5"/>
        <v>0</v>
      </c>
      <c r="T32" s="134">
        <f t="shared" si="5"/>
        <v>0</v>
      </c>
      <c r="U32" s="134">
        <f t="shared" si="5"/>
        <v>0</v>
      </c>
      <c r="V32" s="134">
        <f t="shared" si="5"/>
        <v>0</v>
      </c>
      <c r="W32" s="134">
        <f t="shared" si="5"/>
        <v>0</v>
      </c>
      <c r="X32" s="134">
        <f t="shared" si="5"/>
        <v>0</v>
      </c>
      <c r="Y32" s="134">
        <f t="shared" si="5"/>
        <v>0</v>
      </c>
      <c r="Z32" s="134">
        <f t="shared" si="5"/>
        <v>0</v>
      </c>
      <c r="AA32" s="134">
        <f t="shared" si="5"/>
        <v>0</v>
      </c>
    </row>
    <row r="33" spans="2:27" hidden="1" outlineLevel="1" x14ac:dyDescent="0.35">
      <c r="B33" s="135" t="s">
        <v>38</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f>Project_profitability!AB16</f>
        <v>0</v>
      </c>
    </row>
    <row r="34" spans="2:27" hidden="1" outlineLevel="1" x14ac:dyDescent="0.35">
      <c r="B34" s="136" t="s">
        <v>107</v>
      </c>
      <c r="C34" s="137" t="e">
        <f t="shared" ref="C34:AA34" si="6">C32-C24+C33</f>
        <v>#NUM!</v>
      </c>
      <c r="D34" s="137">
        <f t="shared" si="6"/>
        <v>0</v>
      </c>
      <c r="E34" s="137">
        <f t="shared" si="6"/>
        <v>0</v>
      </c>
      <c r="F34" s="137">
        <f t="shared" si="6"/>
        <v>0</v>
      </c>
      <c r="G34" s="137">
        <f t="shared" si="6"/>
        <v>0</v>
      </c>
      <c r="H34" s="137">
        <f t="shared" si="6"/>
        <v>0</v>
      </c>
      <c r="I34" s="137">
        <f t="shared" si="6"/>
        <v>0</v>
      </c>
      <c r="J34" s="137">
        <f t="shared" si="6"/>
        <v>0</v>
      </c>
      <c r="K34" s="137">
        <f t="shared" si="6"/>
        <v>0</v>
      </c>
      <c r="L34" s="137">
        <f t="shared" si="6"/>
        <v>0</v>
      </c>
      <c r="M34" s="137">
        <f t="shared" si="6"/>
        <v>0</v>
      </c>
      <c r="N34" s="137">
        <f t="shared" si="6"/>
        <v>0</v>
      </c>
      <c r="O34" s="137">
        <f t="shared" si="6"/>
        <v>0</v>
      </c>
      <c r="P34" s="137">
        <f t="shared" si="6"/>
        <v>0</v>
      </c>
      <c r="Q34" s="137">
        <f t="shared" si="6"/>
        <v>0</v>
      </c>
      <c r="R34" s="137">
        <f t="shared" si="6"/>
        <v>0</v>
      </c>
      <c r="S34" s="137">
        <f t="shared" si="6"/>
        <v>0</v>
      </c>
      <c r="T34" s="137">
        <f t="shared" si="6"/>
        <v>0</v>
      </c>
      <c r="U34" s="137">
        <f t="shared" si="6"/>
        <v>0</v>
      </c>
      <c r="V34" s="137">
        <f t="shared" si="6"/>
        <v>0</v>
      </c>
      <c r="W34" s="137">
        <f t="shared" si="6"/>
        <v>0</v>
      </c>
      <c r="X34" s="137">
        <f t="shared" si="6"/>
        <v>0</v>
      </c>
      <c r="Y34" s="137">
        <f t="shared" si="6"/>
        <v>0</v>
      </c>
      <c r="Z34" s="137">
        <f t="shared" si="6"/>
        <v>0</v>
      </c>
      <c r="AA34" s="137">
        <f t="shared" si="6"/>
        <v>0</v>
      </c>
    </row>
    <row r="35" spans="2:27" collapsed="1" x14ac:dyDescent="0.35">
      <c r="B35" s="121"/>
      <c r="C35" s="114"/>
      <c r="D35" s="114"/>
      <c r="E35" s="114"/>
      <c r="F35" s="114"/>
      <c r="G35" s="114"/>
      <c r="H35" s="114"/>
    </row>
    <row r="36" spans="2:27" x14ac:dyDescent="0.35">
      <c r="B36" s="121"/>
    </row>
    <row r="37" spans="2:27" x14ac:dyDescent="0.35">
      <c r="B37" s="138" t="s">
        <v>40</v>
      </c>
      <c r="C37" s="139">
        <v>0.04</v>
      </c>
    </row>
    <row r="38" spans="2:27" x14ac:dyDescent="0.35">
      <c r="B38" s="140" t="s">
        <v>41</v>
      </c>
      <c r="C38" s="141" t="e">
        <f>NPV(C37,C34:AA34)</f>
        <v>#NUM!</v>
      </c>
    </row>
    <row r="39" spans="2:27" x14ac:dyDescent="0.35">
      <c r="B39" s="142" t="s">
        <v>42</v>
      </c>
      <c r="C39" s="143" t="e">
        <f>IRR(C34:AA34,C37)</f>
        <v>#VALUE!</v>
      </c>
    </row>
    <row r="41" spans="2:27" x14ac:dyDescent="0.35">
      <c r="B41" s="92" t="s">
        <v>108</v>
      </c>
    </row>
    <row r="42" spans="2:27" hidden="1" outlineLevel="1" x14ac:dyDescent="0.35">
      <c r="B42" s="405"/>
      <c r="C42" s="164" t="s">
        <v>27</v>
      </c>
      <c r="D42" s="164"/>
      <c r="E42" s="164"/>
      <c r="F42" s="164"/>
      <c r="G42" s="164"/>
      <c r="H42" s="164"/>
    </row>
    <row r="43" spans="2:27" hidden="1" outlineLevel="1" x14ac:dyDescent="0.35">
      <c r="B43" s="405"/>
      <c r="C43" s="165">
        <v>1</v>
      </c>
      <c r="D43" s="165">
        <v>2</v>
      </c>
      <c r="E43" s="165">
        <v>3</v>
      </c>
      <c r="F43" s="165">
        <v>4</v>
      </c>
      <c r="G43" s="165">
        <v>5</v>
      </c>
      <c r="H43" s="165">
        <v>6</v>
      </c>
      <c r="I43" s="165">
        <v>7</v>
      </c>
      <c r="J43" s="165">
        <v>8</v>
      </c>
      <c r="K43" s="165">
        <v>9</v>
      </c>
      <c r="L43" s="165">
        <v>10</v>
      </c>
      <c r="M43" s="165">
        <v>11</v>
      </c>
      <c r="N43" s="165">
        <v>12</v>
      </c>
      <c r="O43" s="165">
        <v>13</v>
      </c>
      <c r="P43" s="165">
        <v>14</v>
      </c>
      <c r="Q43" s="165">
        <v>15</v>
      </c>
      <c r="R43" s="165">
        <v>16</v>
      </c>
      <c r="S43" s="165">
        <v>17</v>
      </c>
      <c r="T43" s="165">
        <v>18</v>
      </c>
      <c r="U43" s="165">
        <v>19</v>
      </c>
      <c r="V43" s="165">
        <v>20</v>
      </c>
      <c r="W43" s="165">
        <v>21</v>
      </c>
      <c r="X43" s="165">
        <v>22</v>
      </c>
      <c r="Y43" s="165">
        <v>23</v>
      </c>
      <c r="Z43" s="165">
        <v>24</v>
      </c>
      <c r="AA43" s="165">
        <v>25</v>
      </c>
    </row>
    <row r="44" spans="2:27" hidden="1" outlineLevel="1" x14ac:dyDescent="0.35">
      <c r="B44" s="122" t="s">
        <v>35</v>
      </c>
      <c r="C44" s="124">
        <f>Project_profitability!C12*(1+'Sensitivity analysis project'!D7)</f>
        <v>0</v>
      </c>
      <c r="D44" s="124"/>
      <c r="E44" s="124"/>
      <c r="F44" s="123"/>
      <c r="G44" s="123"/>
      <c r="H44" s="123"/>
    </row>
    <row r="45" spans="2:27" hidden="1" outlineLevel="1" x14ac:dyDescent="0.35">
      <c r="B45" s="125" t="s">
        <v>36</v>
      </c>
      <c r="C45" s="95">
        <f t="shared" ref="C45:AA45" si="7">C25</f>
        <v>0</v>
      </c>
      <c r="D45" s="95">
        <f t="shared" si="7"/>
        <v>0</v>
      </c>
      <c r="E45" s="95">
        <f t="shared" si="7"/>
        <v>0</v>
      </c>
      <c r="F45" s="95">
        <f t="shared" si="7"/>
        <v>0</v>
      </c>
      <c r="G45" s="95">
        <f t="shared" si="7"/>
        <v>0</v>
      </c>
      <c r="H45" s="95">
        <f t="shared" si="7"/>
        <v>0</v>
      </c>
      <c r="I45" s="95">
        <f t="shared" si="7"/>
        <v>0</v>
      </c>
      <c r="J45" s="95">
        <f t="shared" si="7"/>
        <v>0</v>
      </c>
      <c r="K45" s="95">
        <f t="shared" si="7"/>
        <v>0</v>
      </c>
      <c r="L45" s="95">
        <f t="shared" si="7"/>
        <v>0</v>
      </c>
      <c r="M45" s="95">
        <f t="shared" si="7"/>
        <v>0</v>
      </c>
      <c r="N45" s="95">
        <f t="shared" si="7"/>
        <v>0</v>
      </c>
      <c r="O45" s="95">
        <f t="shared" si="7"/>
        <v>0</v>
      </c>
      <c r="P45" s="95">
        <f t="shared" si="7"/>
        <v>0</v>
      </c>
      <c r="Q45" s="95">
        <f t="shared" si="7"/>
        <v>0</v>
      </c>
      <c r="R45" s="95">
        <f t="shared" si="7"/>
        <v>0</v>
      </c>
      <c r="S45" s="95">
        <f t="shared" si="7"/>
        <v>0</v>
      </c>
      <c r="T45" s="95">
        <f t="shared" si="7"/>
        <v>0</v>
      </c>
      <c r="U45" s="95">
        <f t="shared" si="7"/>
        <v>0</v>
      </c>
      <c r="V45" s="95">
        <f t="shared" si="7"/>
        <v>0</v>
      </c>
      <c r="W45" s="95">
        <f t="shared" si="7"/>
        <v>0</v>
      </c>
      <c r="X45" s="95">
        <f t="shared" si="7"/>
        <v>0</v>
      </c>
      <c r="Y45" s="95">
        <f t="shared" si="7"/>
        <v>0</v>
      </c>
      <c r="Z45" s="95">
        <f t="shared" si="7"/>
        <v>0</v>
      </c>
      <c r="AA45" s="95">
        <f t="shared" si="7"/>
        <v>0</v>
      </c>
    </row>
    <row r="46" spans="2:27" ht="29" hidden="1" outlineLevel="1" x14ac:dyDescent="0.35">
      <c r="B46" s="125" t="s">
        <v>100</v>
      </c>
      <c r="C46" s="95">
        <f t="shared" ref="C46:AA46" si="8">C26</f>
        <v>0</v>
      </c>
      <c r="D46" s="95">
        <f t="shared" si="8"/>
        <v>0</v>
      </c>
      <c r="E46" s="95">
        <f t="shared" si="8"/>
        <v>0</v>
      </c>
      <c r="F46" s="95">
        <f t="shared" si="8"/>
        <v>0</v>
      </c>
      <c r="G46" s="95">
        <f t="shared" si="8"/>
        <v>0</v>
      </c>
      <c r="H46" s="95">
        <f t="shared" si="8"/>
        <v>0</v>
      </c>
      <c r="I46" s="95">
        <f t="shared" si="8"/>
        <v>0</v>
      </c>
      <c r="J46" s="95">
        <f t="shared" si="8"/>
        <v>0</v>
      </c>
      <c r="K46" s="95">
        <f t="shared" si="8"/>
        <v>0</v>
      </c>
      <c r="L46" s="95">
        <f t="shared" si="8"/>
        <v>0</v>
      </c>
      <c r="M46" s="95">
        <f t="shared" si="8"/>
        <v>0</v>
      </c>
      <c r="N46" s="95">
        <f t="shared" si="8"/>
        <v>0</v>
      </c>
      <c r="O46" s="95">
        <f t="shared" si="8"/>
        <v>0</v>
      </c>
      <c r="P46" s="95">
        <f t="shared" si="8"/>
        <v>0</v>
      </c>
      <c r="Q46" s="95">
        <f t="shared" si="8"/>
        <v>0</v>
      </c>
      <c r="R46" s="95">
        <f t="shared" si="8"/>
        <v>0</v>
      </c>
      <c r="S46" s="95">
        <f t="shared" si="8"/>
        <v>0</v>
      </c>
      <c r="T46" s="95">
        <f t="shared" si="8"/>
        <v>0</v>
      </c>
      <c r="U46" s="95">
        <f t="shared" si="8"/>
        <v>0</v>
      </c>
      <c r="V46" s="95">
        <f t="shared" si="8"/>
        <v>0</v>
      </c>
      <c r="W46" s="95">
        <f t="shared" si="8"/>
        <v>0</v>
      </c>
      <c r="X46" s="95">
        <f t="shared" si="8"/>
        <v>0</v>
      </c>
      <c r="Y46" s="95">
        <f t="shared" si="8"/>
        <v>0</v>
      </c>
      <c r="Z46" s="95">
        <f t="shared" si="8"/>
        <v>0</v>
      </c>
      <c r="AA46" s="95">
        <f t="shared" si="8"/>
        <v>0</v>
      </c>
    </row>
    <row r="47" spans="2:27" ht="29" hidden="1" outlineLevel="1" x14ac:dyDescent="0.35">
      <c r="B47" s="125" t="s">
        <v>101</v>
      </c>
      <c r="C47" s="126">
        <f t="shared" ref="C47:H47" si="9">C45-C46</f>
        <v>0</v>
      </c>
      <c r="D47" s="126">
        <f t="shared" si="9"/>
        <v>0</v>
      </c>
      <c r="E47" s="126">
        <f t="shared" si="9"/>
        <v>0</v>
      </c>
      <c r="F47" s="126">
        <f t="shared" si="9"/>
        <v>0</v>
      </c>
      <c r="G47" s="126">
        <f t="shared" si="9"/>
        <v>0</v>
      </c>
      <c r="H47" s="126">
        <f t="shared" si="9"/>
        <v>0</v>
      </c>
      <c r="I47" s="126">
        <f t="shared" ref="I47:AA47" si="10">I45-I46</f>
        <v>0</v>
      </c>
      <c r="J47" s="126">
        <f t="shared" si="10"/>
        <v>0</v>
      </c>
      <c r="K47" s="126">
        <f t="shared" si="10"/>
        <v>0</v>
      </c>
      <c r="L47" s="126">
        <f t="shared" si="10"/>
        <v>0</v>
      </c>
      <c r="M47" s="126">
        <f t="shared" si="10"/>
        <v>0</v>
      </c>
      <c r="N47" s="126">
        <f t="shared" si="10"/>
        <v>0</v>
      </c>
      <c r="O47" s="126">
        <f t="shared" si="10"/>
        <v>0</v>
      </c>
      <c r="P47" s="126">
        <f t="shared" si="10"/>
        <v>0</v>
      </c>
      <c r="Q47" s="126">
        <f t="shared" si="10"/>
        <v>0</v>
      </c>
      <c r="R47" s="126">
        <f t="shared" si="10"/>
        <v>0</v>
      </c>
      <c r="S47" s="126">
        <f t="shared" si="10"/>
        <v>0</v>
      </c>
      <c r="T47" s="126">
        <f t="shared" si="10"/>
        <v>0</v>
      </c>
      <c r="U47" s="126">
        <f t="shared" si="10"/>
        <v>0</v>
      </c>
      <c r="V47" s="126">
        <f t="shared" si="10"/>
        <v>0</v>
      </c>
      <c r="W47" s="126">
        <f t="shared" si="10"/>
        <v>0</v>
      </c>
      <c r="X47" s="126">
        <f t="shared" si="10"/>
        <v>0</v>
      </c>
      <c r="Y47" s="126">
        <f t="shared" si="10"/>
        <v>0</v>
      </c>
      <c r="Z47" s="126">
        <f t="shared" si="10"/>
        <v>0</v>
      </c>
      <c r="AA47" s="126">
        <f t="shared" si="10"/>
        <v>0</v>
      </c>
    </row>
    <row r="48" spans="2:27" hidden="1" outlineLevel="1" x14ac:dyDescent="0.35">
      <c r="B48" s="127" t="s">
        <v>102</v>
      </c>
      <c r="C48" s="128">
        <f>(Project_profitability!C18*(1+'Sensitivity analysis project'!$D$7))</f>
        <v>0</v>
      </c>
      <c r="D48" s="128">
        <f>(Project_profitability!D18*(1+'Sensitivity analysis project'!$D$7))</f>
        <v>0</v>
      </c>
      <c r="E48" s="128">
        <f>(Project_profitability!E18*(1+'Sensitivity analysis project'!$D$7))</f>
        <v>0</v>
      </c>
      <c r="F48" s="128">
        <f>(Project_profitability!F18*(1+'Sensitivity analysis project'!$D$7))</f>
        <v>0</v>
      </c>
      <c r="G48" s="128">
        <f>(Project_profitability!G18*(1+'Sensitivity analysis project'!$D$7))</f>
        <v>0</v>
      </c>
      <c r="H48" s="128">
        <f>(Project_profitability!H18*(1+'Sensitivity analysis project'!$D$7))</f>
        <v>0</v>
      </c>
      <c r="I48" s="128">
        <f>(Project_profitability!I18*(1+'Sensitivity analysis project'!$D$7))</f>
        <v>0</v>
      </c>
      <c r="J48" s="128">
        <f>(Project_profitability!J18*(1+'Sensitivity analysis project'!$D$7))</f>
        <v>0</v>
      </c>
      <c r="K48" s="128">
        <f>(Project_profitability!K18*(1+'Sensitivity analysis project'!$D$7))</f>
        <v>0</v>
      </c>
      <c r="L48" s="128">
        <f>(Project_profitability!L18*(1+'Sensitivity analysis project'!$D$7))</f>
        <v>0</v>
      </c>
      <c r="M48" s="128">
        <f>(Project_profitability!M18*(1+'Sensitivity analysis project'!$D$7))</f>
        <v>0</v>
      </c>
      <c r="N48" s="128">
        <f>(Project_profitability!N18*(1+'Sensitivity analysis project'!$D$7))</f>
        <v>0</v>
      </c>
      <c r="O48" s="128">
        <f>(Project_profitability!O18*(1+'Sensitivity analysis project'!$D$7))</f>
        <v>0</v>
      </c>
      <c r="P48" s="128">
        <f>(Project_profitability!P18*(1+'Sensitivity analysis project'!$D$7))</f>
        <v>0</v>
      </c>
      <c r="Q48" s="128">
        <f>(Project_profitability!Q18*(1+'Sensitivity analysis project'!$D$7))</f>
        <v>0</v>
      </c>
      <c r="R48" s="128">
        <f>(Project_profitability!R18*(1+'Sensitivity analysis project'!$D$7))</f>
        <v>0</v>
      </c>
      <c r="S48" s="128">
        <f>(Project_profitability!S18*(1+'Sensitivity analysis project'!$D$7))</f>
        <v>0</v>
      </c>
      <c r="T48" s="128">
        <f>(Project_profitability!T18*(1+'Sensitivity analysis project'!$D$7))</f>
        <v>0</v>
      </c>
      <c r="U48" s="128">
        <f>(Project_profitability!U18*(1+'Sensitivity analysis project'!$D$7))</f>
        <v>0</v>
      </c>
      <c r="V48" s="128">
        <f>(Project_profitability!V18*(1+'Sensitivity analysis project'!$D$7))</f>
        <v>0</v>
      </c>
      <c r="W48" s="128">
        <f>(Project_profitability!W18*(1+'Sensitivity analysis project'!$D$7))</f>
        <v>0</v>
      </c>
      <c r="X48" s="128">
        <f>(Project_profitability!X18*(1+'Sensitivity analysis project'!$D$7))</f>
        <v>0</v>
      </c>
      <c r="Y48" s="128">
        <f>(Project_profitability!Y18*(1+'Sensitivity analysis project'!$D$7))</f>
        <v>0</v>
      </c>
      <c r="Z48" s="128">
        <f>(Project_profitability!Z18*(1+'Sensitivity analysis project'!$D$7))</f>
        <v>0</v>
      </c>
      <c r="AA48" s="128">
        <f>(Project_profitability!AA18*(1+'Sensitivity analysis project'!$D$7))</f>
        <v>0</v>
      </c>
    </row>
    <row r="49" spans="2:27" hidden="1" outlineLevel="1" x14ac:dyDescent="0.35">
      <c r="B49" s="122" t="s">
        <v>103</v>
      </c>
      <c r="C49" s="126">
        <f t="shared" ref="C49:H49" si="11">C47-C48</f>
        <v>0</v>
      </c>
      <c r="D49" s="126">
        <f t="shared" si="11"/>
        <v>0</v>
      </c>
      <c r="E49" s="126">
        <f t="shared" si="11"/>
        <v>0</v>
      </c>
      <c r="F49" s="126">
        <f t="shared" si="11"/>
        <v>0</v>
      </c>
      <c r="G49" s="126">
        <f t="shared" si="11"/>
        <v>0</v>
      </c>
      <c r="H49" s="126">
        <f t="shared" si="11"/>
        <v>0</v>
      </c>
      <c r="I49" s="126">
        <f t="shared" ref="I49:AA49" si="12">I47-I48</f>
        <v>0</v>
      </c>
      <c r="J49" s="126">
        <f t="shared" si="12"/>
        <v>0</v>
      </c>
      <c r="K49" s="126">
        <f t="shared" si="12"/>
        <v>0</v>
      </c>
      <c r="L49" s="126">
        <f t="shared" si="12"/>
        <v>0</v>
      </c>
      <c r="M49" s="126">
        <f t="shared" si="12"/>
        <v>0</v>
      </c>
      <c r="N49" s="126">
        <f t="shared" si="12"/>
        <v>0</v>
      </c>
      <c r="O49" s="126">
        <f t="shared" si="12"/>
        <v>0</v>
      </c>
      <c r="P49" s="126">
        <f t="shared" si="12"/>
        <v>0</v>
      </c>
      <c r="Q49" s="126">
        <f t="shared" si="12"/>
        <v>0</v>
      </c>
      <c r="R49" s="126">
        <f t="shared" si="12"/>
        <v>0</v>
      </c>
      <c r="S49" s="126">
        <f t="shared" si="12"/>
        <v>0</v>
      </c>
      <c r="T49" s="126">
        <f t="shared" si="12"/>
        <v>0</v>
      </c>
      <c r="U49" s="126">
        <f t="shared" si="12"/>
        <v>0</v>
      </c>
      <c r="V49" s="126">
        <f t="shared" si="12"/>
        <v>0</v>
      </c>
      <c r="W49" s="126">
        <f t="shared" si="12"/>
        <v>0</v>
      </c>
      <c r="X49" s="126">
        <f t="shared" si="12"/>
        <v>0</v>
      </c>
      <c r="Y49" s="126">
        <f t="shared" si="12"/>
        <v>0</v>
      </c>
      <c r="Z49" s="126">
        <f t="shared" si="12"/>
        <v>0</v>
      </c>
      <c r="AA49" s="126">
        <f t="shared" si="12"/>
        <v>0</v>
      </c>
    </row>
    <row r="50" spans="2:27" hidden="1" outlineLevel="1" x14ac:dyDescent="0.35">
      <c r="B50" s="129" t="s">
        <v>104</v>
      </c>
      <c r="C50" s="130">
        <f>C49</f>
        <v>0</v>
      </c>
      <c r="D50" s="130">
        <f t="shared" ref="D50:AA50" si="13">D49</f>
        <v>0</v>
      </c>
      <c r="E50" s="130">
        <f t="shared" si="13"/>
        <v>0</v>
      </c>
      <c r="F50" s="130">
        <f t="shared" si="13"/>
        <v>0</v>
      </c>
      <c r="G50" s="130">
        <f t="shared" si="13"/>
        <v>0</v>
      </c>
      <c r="H50" s="130">
        <f t="shared" si="13"/>
        <v>0</v>
      </c>
      <c r="I50" s="130">
        <f t="shared" si="13"/>
        <v>0</v>
      </c>
      <c r="J50" s="130">
        <f t="shared" si="13"/>
        <v>0</v>
      </c>
      <c r="K50" s="130">
        <f t="shared" si="13"/>
        <v>0</v>
      </c>
      <c r="L50" s="130">
        <f t="shared" si="13"/>
        <v>0</v>
      </c>
      <c r="M50" s="130">
        <f t="shared" si="13"/>
        <v>0</v>
      </c>
      <c r="N50" s="130">
        <f t="shared" si="13"/>
        <v>0</v>
      </c>
      <c r="O50" s="130">
        <f t="shared" si="13"/>
        <v>0</v>
      </c>
      <c r="P50" s="130">
        <f t="shared" si="13"/>
        <v>0</v>
      </c>
      <c r="Q50" s="130">
        <f t="shared" si="13"/>
        <v>0</v>
      </c>
      <c r="R50" s="130">
        <f t="shared" si="13"/>
        <v>0</v>
      </c>
      <c r="S50" s="130">
        <f t="shared" si="13"/>
        <v>0</v>
      </c>
      <c r="T50" s="130">
        <f t="shared" si="13"/>
        <v>0</v>
      </c>
      <c r="U50" s="130">
        <f t="shared" si="13"/>
        <v>0</v>
      </c>
      <c r="V50" s="130">
        <f t="shared" si="13"/>
        <v>0</v>
      </c>
      <c r="W50" s="130">
        <f t="shared" si="13"/>
        <v>0</v>
      </c>
      <c r="X50" s="130">
        <f t="shared" si="13"/>
        <v>0</v>
      </c>
      <c r="Y50" s="130">
        <f t="shared" si="13"/>
        <v>0</v>
      </c>
      <c r="Z50" s="130">
        <f t="shared" si="13"/>
        <v>0</v>
      </c>
      <c r="AA50" s="130">
        <f t="shared" si="13"/>
        <v>0</v>
      </c>
    </row>
    <row r="51" spans="2:27" hidden="1" outlineLevel="1" x14ac:dyDescent="0.35">
      <c r="B51" s="131" t="s">
        <v>105</v>
      </c>
      <c r="C51" s="132" t="e">
        <f t="shared" ref="C51:AA51" si="14">C31</f>
        <v>#NUM!</v>
      </c>
      <c r="D51" s="132">
        <f t="shared" si="14"/>
        <v>0</v>
      </c>
      <c r="E51" s="132">
        <f t="shared" si="14"/>
        <v>0</v>
      </c>
      <c r="F51" s="132">
        <f t="shared" si="14"/>
        <v>0</v>
      </c>
      <c r="G51" s="132">
        <f t="shared" si="14"/>
        <v>0</v>
      </c>
      <c r="H51" s="132">
        <f t="shared" si="14"/>
        <v>0</v>
      </c>
      <c r="I51" s="132">
        <f t="shared" si="14"/>
        <v>0</v>
      </c>
      <c r="J51" s="132">
        <f t="shared" si="14"/>
        <v>0</v>
      </c>
      <c r="K51" s="132">
        <f t="shared" si="14"/>
        <v>0</v>
      </c>
      <c r="L51" s="132">
        <f t="shared" si="14"/>
        <v>0</v>
      </c>
      <c r="M51" s="132">
        <f t="shared" si="14"/>
        <v>0</v>
      </c>
      <c r="N51" s="132">
        <f t="shared" si="14"/>
        <v>0</v>
      </c>
      <c r="O51" s="132">
        <f t="shared" si="14"/>
        <v>0</v>
      </c>
      <c r="P51" s="132">
        <f t="shared" si="14"/>
        <v>0</v>
      </c>
      <c r="Q51" s="132">
        <f t="shared" si="14"/>
        <v>0</v>
      </c>
      <c r="R51" s="132">
        <f t="shared" si="14"/>
        <v>0</v>
      </c>
      <c r="S51" s="132">
        <f t="shared" si="14"/>
        <v>0</v>
      </c>
      <c r="T51" s="132">
        <f t="shared" si="14"/>
        <v>0</v>
      </c>
      <c r="U51" s="132">
        <f t="shared" si="14"/>
        <v>0</v>
      </c>
      <c r="V51" s="132">
        <f t="shared" si="14"/>
        <v>0</v>
      </c>
      <c r="W51" s="132">
        <f t="shared" si="14"/>
        <v>0</v>
      </c>
      <c r="X51" s="132">
        <f t="shared" si="14"/>
        <v>0</v>
      </c>
      <c r="Y51" s="132">
        <f t="shared" si="14"/>
        <v>0</v>
      </c>
      <c r="Z51" s="132">
        <f t="shared" si="14"/>
        <v>0</v>
      </c>
      <c r="AA51" s="132">
        <f t="shared" si="14"/>
        <v>0</v>
      </c>
    </row>
    <row r="52" spans="2:27" hidden="1" outlineLevel="1" x14ac:dyDescent="0.35">
      <c r="B52" s="133" t="s">
        <v>106</v>
      </c>
      <c r="C52" s="134" t="e">
        <f t="shared" ref="C52:AA52" si="15">C50+C48-C51</f>
        <v>#NUM!</v>
      </c>
      <c r="D52" s="134">
        <f t="shared" si="15"/>
        <v>0</v>
      </c>
      <c r="E52" s="134">
        <f t="shared" si="15"/>
        <v>0</v>
      </c>
      <c r="F52" s="134">
        <f t="shared" si="15"/>
        <v>0</v>
      </c>
      <c r="G52" s="134">
        <f t="shared" si="15"/>
        <v>0</v>
      </c>
      <c r="H52" s="134">
        <f t="shared" si="15"/>
        <v>0</v>
      </c>
      <c r="I52" s="134">
        <f t="shared" si="15"/>
        <v>0</v>
      </c>
      <c r="J52" s="134">
        <f t="shared" si="15"/>
        <v>0</v>
      </c>
      <c r="K52" s="134">
        <f t="shared" si="15"/>
        <v>0</v>
      </c>
      <c r="L52" s="134">
        <f t="shared" si="15"/>
        <v>0</v>
      </c>
      <c r="M52" s="134">
        <f t="shared" si="15"/>
        <v>0</v>
      </c>
      <c r="N52" s="134">
        <f t="shared" si="15"/>
        <v>0</v>
      </c>
      <c r="O52" s="134">
        <f t="shared" si="15"/>
        <v>0</v>
      </c>
      <c r="P52" s="134">
        <f t="shared" si="15"/>
        <v>0</v>
      </c>
      <c r="Q52" s="134">
        <f t="shared" si="15"/>
        <v>0</v>
      </c>
      <c r="R52" s="134">
        <f t="shared" si="15"/>
        <v>0</v>
      </c>
      <c r="S52" s="134">
        <f t="shared" si="15"/>
        <v>0</v>
      </c>
      <c r="T52" s="134">
        <f t="shared" si="15"/>
        <v>0</v>
      </c>
      <c r="U52" s="134">
        <f t="shared" si="15"/>
        <v>0</v>
      </c>
      <c r="V52" s="134">
        <f t="shared" si="15"/>
        <v>0</v>
      </c>
      <c r="W52" s="134">
        <f t="shared" si="15"/>
        <v>0</v>
      </c>
      <c r="X52" s="134">
        <f t="shared" si="15"/>
        <v>0</v>
      </c>
      <c r="Y52" s="134">
        <f t="shared" si="15"/>
        <v>0</v>
      </c>
      <c r="Z52" s="134">
        <f t="shared" si="15"/>
        <v>0</v>
      </c>
      <c r="AA52" s="134">
        <f t="shared" si="15"/>
        <v>0</v>
      </c>
    </row>
    <row r="53" spans="2:27" hidden="1" outlineLevel="1" x14ac:dyDescent="0.35">
      <c r="B53" s="135" t="s">
        <v>38</v>
      </c>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f>AA33</f>
        <v>0</v>
      </c>
    </row>
    <row r="54" spans="2:27" hidden="1" outlineLevel="1" x14ac:dyDescent="0.35">
      <c r="B54" s="136" t="s">
        <v>107</v>
      </c>
      <c r="C54" s="137" t="e">
        <f t="shared" ref="C54:AA54" si="16">C52-C44+C53</f>
        <v>#NUM!</v>
      </c>
      <c r="D54" s="137">
        <f t="shared" si="16"/>
        <v>0</v>
      </c>
      <c r="E54" s="137">
        <f t="shared" si="16"/>
        <v>0</v>
      </c>
      <c r="F54" s="137">
        <f t="shared" si="16"/>
        <v>0</v>
      </c>
      <c r="G54" s="137">
        <f t="shared" si="16"/>
        <v>0</v>
      </c>
      <c r="H54" s="137">
        <f t="shared" si="16"/>
        <v>0</v>
      </c>
      <c r="I54" s="137">
        <f t="shared" si="16"/>
        <v>0</v>
      </c>
      <c r="J54" s="137">
        <f t="shared" si="16"/>
        <v>0</v>
      </c>
      <c r="K54" s="137">
        <f t="shared" si="16"/>
        <v>0</v>
      </c>
      <c r="L54" s="137">
        <f t="shared" si="16"/>
        <v>0</v>
      </c>
      <c r="M54" s="137">
        <f t="shared" si="16"/>
        <v>0</v>
      </c>
      <c r="N54" s="137">
        <f t="shared" si="16"/>
        <v>0</v>
      </c>
      <c r="O54" s="137">
        <f t="shared" si="16"/>
        <v>0</v>
      </c>
      <c r="P54" s="137">
        <f t="shared" si="16"/>
        <v>0</v>
      </c>
      <c r="Q54" s="137">
        <f t="shared" si="16"/>
        <v>0</v>
      </c>
      <c r="R54" s="137">
        <f t="shared" si="16"/>
        <v>0</v>
      </c>
      <c r="S54" s="137">
        <f t="shared" si="16"/>
        <v>0</v>
      </c>
      <c r="T54" s="137">
        <f t="shared" si="16"/>
        <v>0</v>
      </c>
      <c r="U54" s="137">
        <f t="shared" si="16"/>
        <v>0</v>
      </c>
      <c r="V54" s="137">
        <f t="shared" si="16"/>
        <v>0</v>
      </c>
      <c r="W54" s="137">
        <f t="shared" si="16"/>
        <v>0</v>
      </c>
      <c r="X54" s="137">
        <f t="shared" si="16"/>
        <v>0</v>
      </c>
      <c r="Y54" s="137">
        <f t="shared" si="16"/>
        <v>0</v>
      </c>
      <c r="Z54" s="137">
        <f t="shared" si="16"/>
        <v>0</v>
      </c>
      <c r="AA54" s="137">
        <f t="shared" si="16"/>
        <v>0</v>
      </c>
    </row>
    <row r="55" spans="2:27" collapsed="1" x14ac:dyDescent="0.35">
      <c r="B55" s="121"/>
      <c r="C55" s="114"/>
      <c r="D55" s="114"/>
      <c r="E55" s="114"/>
      <c r="F55" s="114"/>
      <c r="G55" s="114"/>
      <c r="H55" s="114"/>
    </row>
    <row r="56" spans="2:27" x14ac:dyDescent="0.35">
      <c r="B56" s="121"/>
    </row>
    <row r="57" spans="2:27" x14ac:dyDescent="0.35">
      <c r="B57" s="138" t="s">
        <v>40</v>
      </c>
      <c r="C57" s="139">
        <v>0.04</v>
      </c>
    </row>
    <row r="58" spans="2:27" x14ac:dyDescent="0.35">
      <c r="B58" s="140" t="s">
        <v>41</v>
      </c>
      <c r="C58" s="141" t="e">
        <f>NPV(C57,C54:AA54)</f>
        <v>#NUM!</v>
      </c>
    </row>
    <row r="59" spans="2:27" x14ac:dyDescent="0.35">
      <c r="B59" s="142" t="s">
        <v>42</v>
      </c>
      <c r="C59" s="143" t="e">
        <f>IRR(C54:AA54,C57)</f>
        <v>#VALUE!</v>
      </c>
    </row>
    <row r="62" spans="2:27" x14ac:dyDescent="0.35">
      <c r="B62" s="92" t="s">
        <v>109</v>
      </c>
    </row>
    <row r="63" spans="2:27" hidden="1" outlineLevel="1" x14ac:dyDescent="0.35">
      <c r="B63" s="405"/>
      <c r="C63" s="164" t="s">
        <v>27</v>
      </c>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row>
    <row r="64" spans="2:27" hidden="1" outlineLevel="1" x14ac:dyDescent="0.35">
      <c r="B64" s="405"/>
      <c r="C64" s="165">
        <v>1</v>
      </c>
      <c r="D64" s="165">
        <v>2</v>
      </c>
      <c r="E64" s="165">
        <v>3</v>
      </c>
      <c r="F64" s="165">
        <v>4</v>
      </c>
      <c r="G64" s="165">
        <v>5</v>
      </c>
      <c r="H64" s="165">
        <v>6</v>
      </c>
      <c r="I64" s="165">
        <v>7</v>
      </c>
      <c r="J64" s="165">
        <v>8</v>
      </c>
      <c r="K64" s="165">
        <v>9</v>
      </c>
      <c r="L64" s="165">
        <v>10</v>
      </c>
      <c r="M64" s="165">
        <v>11</v>
      </c>
      <c r="N64" s="165">
        <v>12</v>
      </c>
      <c r="O64" s="165">
        <v>13</v>
      </c>
      <c r="P64" s="165">
        <v>14</v>
      </c>
      <c r="Q64" s="165">
        <v>15</v>
      </c>
      <c r="R64" s="165">
        <v>16</v>
      </c>
      <c r="S64" s="165">
        <v>17</v>
      </c>
      <c r="T64" s="165">
        <v>18</v>
      </c>
      <c r="U64" s="165">
        <v>19</v>
      </c>
      <c r="V64" s="165">
        <v>20</v>
      </c>
      <c r="W64" s="165">
        <v>21</v>
      </c>
      <c r="X64" s="165">
        <v>22</v>
      </c>
      <c r="Y64" s="165">
        <v>23</v>
      </c>
      <c r="Z64" s="165">
        <v>24</v>
      </c>
      <c r="AA64" s="165">
        <v>25</v>
      </c>
    </row>
    <row r="65" spans="2:27" hidden="1" outlineLevel="1" x14ac:dyDescent="0.35">
      <c r="B65" s="122" t="s">
        <v>35</v>
      </c>
      <c r="C65" s="124">
        <f>Project_profitability!C12*(1+'Sensitivity analysis project'!D8)</f>
        <v>0</v>
      </c>
      <c r="D65" s="124"/>
      <c r="E65" s="124"/>
      <c r="F65" s="123"/>
      <c r="G65" s="123"/>
      <c r="H65" s="123"/>
      <c r="I65" s="123"/>
      <c r="J65" s="123"/>
      <c r="K65" s="123"/>
      <c r="L65" s="123"/>
      <c r="M65" s="123"/>
      <c r="N65" s="123"/>
      <c r="O65" s="123"/>
      <c r="P65" s="123"/>
      <c r="Q65" s="123"/>
      <c r="R65" s="123"/>
      <c r="S65" s="123"/>
      <c r="T65" s="123"/>
      <c r="U65" s="123"/>
      <c r="V65" s="123"/>
      <c r="W65" s="123"/>
      <c r="X65" s="123"/>
      <c r="Y65" s="123"/>
      <c r="Z65" s="123"/>
      <c r="AA65" s="123"/>
    </row>
    <row r="66" spans="2:27" hidden="1" outlineLevel="1" x14ac:dyDescent="0.35">
      <c r="B66" s="125" t="s">
        <v>36</v>
      </c>
      <c r="C66" s="95">
        <f t="shared" ref="C66:AA66" si="17">C45</f>
        <v>0</v>
      </c>
      <c r="D66" s="95">
        <f t="shared" si="17"/>
        <v>0</v>
      </c>
      <c r="E66" s="95">
        <f t="shared" si="17"/>
        <v>0</v>
      </c>
      <c r="F66" s="95">
        <f t="shared" si="17"/>
        <v>0</v>
      </c>
      <c r="G66" s="95">
        <f t="shared" si="17"/>
        <v>0</v>
      </c>
      <c r="H66" s="95">
        <f t="shared" si="17"/>
        <v>0</v>
      </c>
      <c r="I66" s="95">
        <f t="shared" si="17"/>
        <v>0</v>
      </c>
      <c r="J66" s="95">
        <f t="shared" si="17"/>
        <v>0</v>
      </c>
      <c r="K66" s="95">
        <f t="shared" si="17"/>
        <v>0</v>
      </c>
      <c r="L66" s="95">
        <f t="shared" si="17"/>
        <v>0</v>
      </c>
      <c r="M66" s="95">
        <f t="shared" si="17"/>
        <v>0</v>
      </c>
      <c r="N66" s="95">
        <f t="shared" si="17"/>
        <v>0</v>
      </c>
      <c r="O66" s="95">
        <f t="shared" si="17"/>
        <v>0</v>
      </c>
      <c r="P66" s="95">
        <f t="shared" si="17"/>
        <v>0</v>
      </c>
      <c r="Q66" s="95">
        <f t="shared" si="17"/>
        <v>0</v>
      </c>
      <c r="R66" s="95">
        <f t="shared" si="17"/>
        <v>0</v>
      </c>
      <c r="S66" s="95">
        <f t="shared" si="17"/>
        <v>0</v>
      </c>
      <c r="T66" s="95">
        <f t="shared" si="17"/>
        <v>0</v>
      </c>
      <c r="U66" s="95">
        <f t="shared" si="17"/>
        <v>0</v>
      </c>
      <c r="V66" s="95">
        <f t="shared" si="17"/>
        <v>0</v>
      </c>
      <c r="W66" s="95">
        <f t="shared" si="17"/>
        <v>0</v>
      </c>
      <c r="X66" s="95">
        <f t="shared" si="17"/>
        <v>0</v>
      </c>
      <c r="Y66" s="95">
        <f t="shared" si="17"/>
        <v>0</v>
      </c>
      <c r="Z66" s="95">
        <f t="shared" si="17"/>
        <v>0</v>
      </c>
      <c r="AA66" s="95">
        <f t="shared" si="17"/>
        <v>0</v>
      </c>
    </row>
    <row r="67" spans="2:27" ht="29" hidden="1" outlineLevel="1" x14ac:dyDescent="0.35">
      <c r="B67" s="125" t="s">
        <v>100</v>
      </c>
      <c r="C67" s="95">
        <f t="shared" ref="C67:AA67" si="18">C46</f>
        <v>0</v>
      </c>
      <c r="D67" s="95">
        <f t="shared" si="18"/>
        <v>0</v>
      </c>
      <c r="E67" s="95">
        <f t="shared" si="18"/>
        <v>0</v>
      </c>
      <c r="F67" s="95">
        <f t="shared" si="18"/>
        <v>0</v>
      </c>
      <c r="G67" s="95">
        <f t="shared" si="18"/>
        <v>0</v>
      </c>
      <c r="H67" s="95">
        <f t="shared" si="18"/>
        <v>0</v>
      </c>
      <c r="I67" s="95">
        <f t="shared" si="18"/>
        <v>0</v>
      </c>
      <c r="J67" s="95">
        <f t="shared" si="18"/>
        <v>0</v>
      </c>
      <c r="K67" s="95">
        <f t="shared" si="18"/>
        <v>0</v>
      </c>
      <c r="L67" s="95">
        <f t="shared" si="18"/>
        <v>0</v>
      </c>
      <c r="M67" s="95">
        <f t="shared" si="18"/>
        <v>0</v>
      </c>
      <c r="N67" s="95">
        <f t="shared" si="18"/>
        <v>0</v>
      </c>
      <c r="O67" s="95">
        <f t="shared" si="18"/>
        <v>0</v>
      </c>
      <c r="P67" s="95">
        <f t="shared" si="18"/>
        <v>0</v>
      </c>
      <c r="Q67" s="95">
        <f t="shared" si="18"/>
        <v>0</v>
      </c>
      <c r="R67" s="95">
        <f t="shared" si="18"/>
        <v>0</v>
      </c>
      <c r="S67" s="95">
        <f t="shared" si="18"/>
        <v>0</v>
      </c>
      <c r="T67" s="95">
        <f t="shared" si="18"/>
        <v>0</v>
      </c>
      <c r="U67" s="95">
        <f t="shared" si="18"/>
        <v>0</v>
      </c>
      <c r="V67" s="95">
        <f t="shared" si="18"/>
        <v>0</v>
      </c>
      <c r="W67" s="95">
        <f t="shared" si="18"/>
        <v>0</v>
      </c>
      <c r="X67" s="95">
        <f t="shared" si="18"/>
        <v>0</v>
      </c>
      <c r="Y67" s="95">
        <f t="shared" si="18"/>
        <v>0</v>
      </c>
      <c r="Z67" s="95">
        <f t="shared" si="18"/>
        <v>0</v>
      </c>
      <c r="AA67" s="95">
        <f t="shared" si="18"/>
        <v>0</v>
      </c>
    </row>
    <row r="68" spans="2:27" ht="29" hidden="1" outlineLevel="1" x14ac:dyDescent="0.35">
      <c r="B68" s="125" t="s">
        <v>101</v>
      </c>
      <c r="C68" s="126">
        <f t="shared" ref="C68:H68" si="19">C66-C67</f>
        <v>0</v>
      </c>
      <c r="D68" s="126">
        <f t="shared" si="19"/>
        <v>0</v>
      </c>
      <c r="E68" s="126">
        <f t="shared" si="19"/>
        <v>0</v>
      </c>
      <c r="F68" s="126">
        <f t="shared" si="19"/>
        <v>0</v>
      </c>
      <c r="G68" s="126">
        <f t="shared" si="19"/>
        <v>0</v>
      </c>
      <c r="H68" s="126">
        <f t="shared" si="19"/>
        <v>0</v>
      </c>
      <c r="I68" s="126">
        <f t="shared" ref="I68:AA68" si="20">I66-I67</f>
        <v>0</v>
      </c>
      <c r="J68" s="126">
        <f t="shared" si="20"/>
        <v>0</v>
      </c>
      <c r="K68" s="126">
        <f t="shared" si="20"/>
        <v>0</v>
      </c>
      <c r="L68" s="126">
        <f t="shared" si="20"/>
        <v>0</v>
      </c>
      <c r="M68" s="126">
        <f t="shared" si="20"/>
        <v>0</v>
      </c>
      <c r="N68" s="126">
        <f t="shared" si="20"/>
        <v>0</v>
      </c>
      <c r="O68" s="126">
        <f t="shared" si="20"/>
        <v>0</v>
      </c>
      <c r="P68" s="126">
        <f t="shared" si="20"/>
        <v>0</v>
      </c>
      <c r="Q68" s="126">
        <f t="shared" si="20"/>
        <v>0</v>
      </c>
      <c r="R68" s="126">
        <f t="shared" si="20"/>
        <v>0</v>
      </c>
      <c r="S68" s="126">
        <f t="shared" si="20"/>
        <v>0</v>
      </c>
      <c r="T68" s="126">
        <f t="shared" si="20"/>
        <v>0</v>
      </c>
      <c r="U68" s="126">
        <f t="shared" si="20"/>
        <v>0</v>
      </c>
      <c r="V68" s="126">
        <f t="shared" si="20"/>
        <v>0</v>
      </c>
      <c r="W68" s="126">
        <f t="shared" si="20"/>
        <v>0</v>
      </c>
      <c r="X68" s="126">
        <f t="shared" si="20"/>
        <v>0</v>
      </c>
      <c r="Y68" s="126">
        <f t="shared" si="20"/>
        <v>0</v>
      </c>
      <c r="Z68" s="126">
        <f t="shared" si="20"/>
        <v>0</v>
      </c>
      <c r="AA68" s="126">
        <f t="shared" si="20"/>
        <v>0</v>
      </c>
    </row>
    <row r="69" spans="2:27" hidden="1" outlineLevel="1" x14ac:dyDescent="0.35">
      <c r="B69" s="127" t="s">
        <v>102</v>
      </c>
      <c r="C69" s="128">
        <f>Project_profitability!C18*(1+'Sensitivity analysis project'!$D$8)</f>
        <v>0</v>
      </c>
      <c r="D69" s="128">
        <f>Project_profitability!D18*(1+'Sensitivity analysis project'!$D$8)</f>
        <v>0</v>
      </c>
      <c r="E69" s="128">
        <f>Project_profitability!E18*(1+'Sensitivity analysis project'!$D$8)</f>
        <v>0</v>
      </c>
      <c r="F69" s="128">
        <f>Project_profitability!F18*(1+'Sensitivity analysis project'!$D$8)</f>
        <v>0</v>
      </c>
      <c r="G69" s="128">
        <f>Project_profitability!G18*(1+'Sensitivity analysis project'!$D$8)</f>
        <v>0</v>
      </c>
      <c r="H69" s="128">
        <f>Project_profitability!H18*(1+'Sensitivity analysis project'!$D$8)</f>
        <v>0</v>
      </c>
      <c r="I69" s="128">
        <f>Project_profitability!I18*(1+'Sensitivity analysis project'!$D$8)</f>
        <v>0</v>
      </c>
      <c r="J69" s="128">
        <f>Project_profitability!J18*(1+'Sensitivity analysis project'!$D$8)</f>
        <v>0</v>
      </c>
      <c r="K69" s="128">
        <f>Project_profitability!K18*(1+'Sensitivity analysis project'!$D$8)</f>
        <v>0</v>
      </c>
      <c r="L69" s="128">
        <f>Project_profitability!L18*(1+'Sensitivity analysis project'!$D$8)</f>
        <v>0</v>
      </c>
      <c r="M69" s="128">
        <f>Project_profitability!M18*(1+'Sensitivity analysis project'!$D$8)</f>
        <v>0</v>
      </c>
      <c r="N69" s="128">
        <f>Project_profitability!N18*(1+'Sensitivity analysis project'!$D$8)</f>
        <v>0</v>
      </c>
      <c r="O69" s="128">
        <f>Project_profitability!O18*(1+'Sensitivity analysis project'!$D$8)</f>
        <v>0</v>
      </c>
      <c r="P69" s="128">
        <f>Project_profitability!P18*(1+'Sensitivity analysis project'!$D$8)</f>
        <v>0</v>
      </c>
      <c r="Q69" s="128">
        <f>Project_profitability!Q18*(1+'Sensitivity analysis project'!$D$8)</f>
        <v>0</v>
      </c>
      <c r="R69" s="128">
        <f>Project_profitability!R18*(1+'Sensitivity analysis project'!$D$8)</f>
        <v>0</v>
      </c>
      <c r="S69" s="128">
        <f>Project_profitability!S18*(1+'Sensitivity analysis project'!$D$8)</f>
        <v>0</v>
      </c>
      <c r="T69" s="128">
        <f>Project_profitability!T18*(1+'Sensitivity analysis project'!$D$8)</f>
        <v>0</v>
      </c>
      <c r="U69" s="128">
        <f>Project_profitability!U18*(1+'Sensitivity analysis project'!$D$8)</f>
        <v>0</v>
      </c>
      <c r="V69" s="128">
        <f>Project_profitability!V18*(1+'Sensitivity analysis project'!$D$8)</f>
        <v>0</v>
      </c>
      <c r="W69" s="128">
        <f>Project_profitability!W18*(1+'Sensitivity analysis project'!$D$8)</f>
        <v>0</v>
      </c>
      <c r="X69" s="128">
        <f>Project_profitability!X18*(1+'Sensitivity analysis project'!$D$8)</f>
        <v>0</v>
      </c>
      <c r="Y69" s="128">
        <f>Project_profitability!Y18*(1+'Sensitivity analysis project'!$D$8)</f>
        <v>0</v>
      </c>
      <c r="Z69" s="128">
        <f>Project_profitability!Z18*(1+'Sensitivity analysis project'!$D$8)</f>
        <v>0</v>
      </c>
      <c r="AA69" s="128">
        <f>Project_profitability!AA18*(1+'Sensitivity analysis project'!$D$8)</f>
        <v>0</v>
      </c>
    </row>
    <row r="70" spans="2:27" hidden="1" outlineLevel="1" x14ac:dyDescent="0.35">
      <c r="B70" s="122" t="s">
        <v>103</v>
      </c>
      <c r="C70" s="126">
        <f t="shared" ref="C70:H70" si="21">C68-C69</f>
        <v>0</v>
      </c>
      <c r="D70" s="126">
        <f t="shared" si="21"/>
        <v>0</v>
      </c>
      <c r="E70" s="126">
        <f t="shared" si="21"/>
        <v>0</v>
      </c>
      <c r="F70" s="126">
        <f t="shared" si="21"/>
        <v>0</v>
      </c>
      <c r="G70" s="126">
        <f t="shared" si="21"/>
        <v>0</v>
      </c>
      <c r="H70" s="126">
        <f t="shared" si="21"/>
        <v>0</v>
      </c>
      <c r="I70" s="126">
        <f t="shared" ref="I70:AA70" si="22">I68-I69</f>
        <v>0</v>
      </c>
      <c r="J70" s="126">
        <f t="shared" si="22"/>
        <v>0</v>
      </c>
      <c r="K70" s="126">
        <f t="shared" si="22"/>
        <v>0</v>
      </c>
      <c r="L70" s="126">
        <f t="shared" si="22"/>
        <v>0</v>
      </c>
      <c r="M70" s="126">
        <f t="shared" si="22"/>
        <v>0</v>
      </c>
      <c r="N70" s="126">
        <f t="shared" si="22"/>
        <v>0</v>
      </c>
      <c r="O70" s="126">
        <f t="shared" si="22"/>
        <v>0</v>
      </c>
      <c r="P70" s="126">
        <f t="shared" si="22"/>
        <v>0</v>
      </c>
      <c r="Q70" s="126">
        <f t="shared" si="22"/>
        <v>0</v>
      </c>
      <c r="R70" s="126">
        <f t="shared" si="22"/>
        <v>0</v>
      </c>
      <c r="S70" s="126">
        <f t="shared" si="22"/>
        <v>0</v>
      </c>
      <c r="T70" s="126">
        <f t="shared" si="22"/>
        <v>0</v>
      </c>
      <c r="U70" s="126">
        <f t="shared" si="22"/>
        <v>0</v>
      </c>
      <c r="V70" s="126">
        <f t="shared" si="22"/>
        <v>0</v>
      </c>
      <c r="W70" s="126">
        <f t="shared" si="22"/>
        <v>0</v>
      </c>
      <c r="X70" s="126">
        <f t="shared" si="22"/>
        <v>0</v>
      </c>
      <c r="Y70" s="126">
        <f t="shared" si="22"/>
        <v>0</v>
      </c>
      <c r="Z70" s="126">
        <f t="shared" si="22"/>
        <v>0</v>
      </c>
      <c r="AA70" s="126">
        <f t="shared" si="22"/>
        <v>0</v>
      </c>
    </row>
    <row r="71" spans="2:27" hidden="1" outlineLevel="1" x14ac:dyDescent="0.35">
      <c r="B71" s="129" t="s">
        <v>104</v>
      </c>
      <c r="C71" s="130">
        <f>C70</f>
        <v>0</v>
      </c>
      <c r="D71" s="130">
        <f t="shared" ref="D71:AA71" si="23">D70</f>
        <v>0</v>
      </c>
      <c r="E71" s="130">
        <f t="shared" si="23"/>
        <v>0</v>
      </c>
      <c r="F71" s="130">
        <f t="shared" si="23"/>
        <v>0</v>
      </c>
      <c r="G71" s="130">
        <f t="shared" si="23"/>
        <v>0</v>
      </c>
      <c r="H71" s="130">
        <f t="shared" si="23"/>
        <v>0</v>
      </c>
      <c r="I71" s="130">
        <f t="shared" si="23"/>
        <v>0</v>
      </c>
      <c r="J71" s="130">
        <f t="shared" si="23"/>
        <v>0</v>
      </c>
      <c r="K71" s="130">
        <f t="shared" si="23"/>
        <v>0</v>
      </c>
      <c r="L71" s="130">
        <f t="shared" si="23"/>
        <v>0</v>
      </c>
      <c r="M71" s="130">
        <f t="shared" si="23"/>
        <v>0</v>
      </c>
      <c r="N71" s="130">
        <f t="shared" si="23"/>
        <v>0</v>
      </c>
      <c r="O71" s="130">
        <f t="shared" si="23"/>
        <v>0</v>
      </c>
      <c r="P71" s="130">
        <f t="shared" si="23"/>
        <v>0</v>
      </c>
      <c r="Q71" s="130">
        <f t="shared" si="23"/>
        <v>0</v>
      </c>
      <c r="R71" s="130">
        <f t="shared" si="23"/>
        <v>0</v>
      </c>
      <c r="S71" s="130">
        <f t="shared" si="23"/>
        <v>0</v>
      </c>
      <c r="T71" s="130">
        <f t="shared" si="23"/>
        <v>0</v>
      </c>
      <c r="U71" s="130">
        <f t="shared" si="23"/>
        <v>0</v>
      </c>
      <c r="V71" s="130">
        <f t="shared" si="23"/>
        <v>0</v>
      </c>
      <c r="W71" s="130">
        <f t="shared" si="23"/>
        <v>0</v>
      </c>
      <c r="X71" s="130">
        <f t="shared" si="23"/>
        <v>0</v>
      </c>
      <c r="Y71" s="130">
        <f t="shared" si="23"/>
        <v>0</v>
      </c>
      <c r="Z71" s="130">
        <f t="shared" si="23"/>
        <v>0</v>
      </c>
      <c r="AA71" s="130">
        <f t="shared" si="23"/>
        <v>0</v>
      </c>
    </row>
    <row r="72" spans="2:27" hidden="1" outlineLevel="1" x14ac:dyDescent="0.35">
      <c r="B72" s="131" t="s">
        <v>105</v>
      </c>
      <c r="C72" s="132">
        <f>Project_profitability!C64</f>
        <v>0</v>
      </c>
      <c r="D72" s="132">
        <f>Project_profitability!D64</f>
        <v>0</v>
      </c>
      <c r="E72" s="132">
        <f>Project_profitability!E64</f>
        <v>0</v>
      </c>
      <c r="F72" s="132">
        <f>Project_profitability!F64</f>
        <v>0</v>
      </c>
      <c r="G72" s="132">
        <f>Project_profitability!G64</f>
        <v>0</v>
      </c>
      <c r="H72" s="132">
        <f>Project_profitability!H64</f>
        <v>0</v>
      </c>
      <c r="I72" s="132">
        <f>Project_profitability!I64</f>
        <v>0</v>
      </c>
      <c r="J72" s="132">
        <f>Project_profitability!J64</f>
        <v>0</v>
      </c>
      <c r="K72" s="132">
        <f>Project_profitability!K64</f>
        <v>0</v>
      </c>
      <c r="L72" s="132">
        <f>Project_profitability!L64</f>
        <v>0</v>
      </c>
      <c r="M72" s="132">
        <f>Project_profitability!M64</f>
        <v>0</v>
      </c>
      <c r="N72" s="132">
        <f>Project_profitability!N64</f>
        <v>0</v>
      </c>
      <c r="O72" s="132">
        <f>Project_profitability!O64</f>
        <v>0</v>
      </c>
      <c r="P72" s="132">
        <f>Project_profitability!P64</f>
        <v>0</v>
      </c>
      <c r="Q72" s="132">
        <f>Project_profitability!Q64</f>
        <v>0</v>
      </c>
      <c r="R72" s="132">
        <f>Project_profitability!R64</f>
        <v>0</v>
      </c>
      <c r="S72" s="132">
        <f>Project_profitability!S64</f>
        <v>0</v>
      </c>
      <c r="T72" s="132">
        <f>Project_profitability!T64</f>
        <v>0</v>
      </c>
      <c r="U72" s="132">
        <f>Project_profitability!U64</f>
        <v>0</v>
      </c>
      <c r="V72" s="132">
        <f>Project_profitability!V64</f>
        <v>0</v>
      </c>
      <c r="W72" s="132">
        <f>Project_profitability!W64</f>
        <v>0</v>
      </c>
      <c r="X72" s="132">
        <f>Project_profitability!X64</f>
        <v>0</v>
      </c>
      <c r="Y72" s="132">
        <f>Project_profitability!Y64</f>
        <v>0</v>
      </c>
      <c r="Z72" s="132">
        <f>Project_profitability!Z64</f>
        <v>0</v>
      </c>
      <c r="AA72" s="132">
        <f>Project_profitability!AA64</f>
        <v>0</v>
      </c>
    </row>
    <row r="73" spans="2:27" hidden="1" outlineLevel="1" x14ac:dyDescent="0.35">
      <c r="B73" s="133" t="s">
        <v>106</v>
      </c>
      <c r="C73" s="134">
        <f t="shared" ref="C73:AA73" si="24">C71+C69-C72</f>
        <v>0</v>
      </c>
      <c r="D73" s="134">
        <f t="shared" si="24"/>
        <v>0</v>
      </c>
      <c r="E73" s="134">
        <f t="shared" si="24"/>
        <v>0</v>
      </c>
      <c r="F73" s="134">
        <f t="shared" si="24"/>
        <v>0</v>
      </c>
      <c r="G73" s="134">
        <f t="shared" si="24"/>
        <v>0</v>
      </c>
      <c r="H73" s="134">
        <f t="shared" si="24"/>
        <v>0</v>
      </c>
      <c r="I73" s="134">
        <f t="shared" si="24"/>
        <v>0</v>
      </c>
      <c r="J73" s="134">
        <f t="shared" si="24"/>
        <v>0</v>
      </c>
      <c r="K73" s="134">
        <f t="shared" si="24"/>
        <v>0</v>
      </c>
      <c r="L73" s="134">
        <f t="shared" si="24"/>
        <v>0</v>
      </c>
      <c r="M73" s="134">
        <f t="shared" si="24"/>
        <v>0</v>
      </c>
      <c r="N73" s="134">
        <f t="shared" si="24"/>
        <v>0</v>
      </c>
      <c r="O73" s="134">
        <f t="shared" si="24"/>
        <v>0</v>
      </c>
      <c r="P73" s="134">
        <f t="shared" si="24"/>
        <v>0</v>
      </c>
      <c r="Q73" s="134">
        <f t="shared" si="24"/>
        <v>0</v>
      </c>
      <c r="R73" s="134">
        <f t="shared" si="24"/>
        <v>0</v>
      </c>
      <c r="S73" s="134">
        <f t="shared" si="24"/>
        <v>0</v>
      </c>
      <c r="T73" s="134">
        <f t="shared" si="24"/>
        <v>0</v>
      </c>
      <c r="U73" s="134">
        <f t="shared" si="24"/>
        <v>0</v>
      </c>
      <c r="V73" s="134">
        <f t="shared" si="24"/>
        <v>0</v>
      </c>
      <c r="W73" s="134">
        <f t="shared" si="24"/>
        <v>0</v>
      </c>
      <c r="X73" s="134">
        <f t="shared" si="24"/>
        <v>0</v>
      </c>
      <c r="Y73" s="134">
        <f t="shared" si="24"/>
        <v>0</v>
      </c>
      <c r="Z73" s="134">
        <f t="shared" si="24"/>
        <v>0</v>
      </c>
      <c r="AA73" s="134">
        <f t="shared" si="24"/>
        <v>0</v>
      </c>
    </row>
    <row r="74" spans="2:27" hidden="1" outlineLevel="1" x14ac:dyDescent="0.35">
      <c r="B74" s="135" t="s">
        <v>38</v>
      </c>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f>AA53</f>
        <v>0</v>
      </c>
    </row>
    <row r="75" spans="2:27" hidden="1" outlineLevel="3" x14ac:dyDescent="0.35">
      <c r="B75" s="136" t="s">
        <v>107</v>
      </c>
      <c r="C75" s="137">
        <f t="shared" ref="C75:AA75" si="25">C73-C65+C74</f>
        <v>0</v>
      </c>
      <c r="D75" s="137">
        <f t="shared" si="25"/>
        <v>0</v>
      </c>
      <c r="E75" s="137">
        <f t="shared" si="25"/>
        <v>0</v>
      </c>
      <c r="F75" s="137">
        <f t="shared" si="25"/>
        <v>0</v>
      </c>
      <c r="G75" s="137">
        <f t="shared" si="25"/>
        <v>0</v>
      </c>
      <c r="H75" s="137">
        <f t="shared" si="25"/>
        <v>0</v>
      </c>
      <c r="I75" s="137">
        <f t="shared" si="25"/>
        <v>0</v>
      </c>
      <c r="J75" s="137">
        <f t="shared" si="25"/>
        <v>0</v>
      </c>
      <c r="K75" s="137">
        <f t="shared" si="25"/>
        <v>0</v>
      </c>
      <c r="L75" s="137">
        <f t="shared" si="25"/>
        <v>0</v>
      </c>
      <c r="M75" s="137">
        <f t="shared" si="25"/>
        <v>0</v>
      </c>
      <c r="N75" s="137">
        <f t="shared" si="25"/>
        <v>0</v>
      </c>
      <c r="O75" s="137">
        <f t="shared" si="25"/>
        <v>0</v>
      </c>
      <c r="P75" s="137">
        <f t="shared" si="25"/>
        <v>0</v>
      </c>
      <c r="Q75" s="137">
        <f t="shared" si="25"/>
        <v>0</v>
      </c>
      <c r="R75" s="137">
        <f t="shared" si="25"/>
        <v>0</v>
      </c>
      <c r="S75" s="137">
        <f t="shared" si="25"/>
        <v>0</v>
      </c>
      <c r="T75" s="137">
        <f t="shared" si="25"/>
        <v>0</v>
      </c>
      <c r="U75" s="137">
        <f t="shared" si="25"/>
        <v>0</v>
      </c>
      <c r="V75" s="137">
        <f t="shared" si="25"/>
        <v>0</v>
      </c>
      <c r="W75" s="137">
        <f t="shared" si="25"/>
        <v>0</v>
      </c>
      <c r="X75" s="137">
        <f t="shared" si="25"/>
        <v>0</v>
      </c>
      <c r="Y75" s="137">
        <f t="shared" si="25"/>
        <v>0</v>
      </c>
      <c r="Z75" s="137">
        <f t="shared" si="25"/>
        <v>0</v>
      </c>
      <c r="AA75" s="137">
        <f t="shared" si="25"/>
        <v>0</v>
      </c>
    </row>
    <row r="76" spans="2:27" collapsed="1" x14ac:dyDescent="0.35">
      <c r="B76" s="121"/>
      <c r="C76" s="114"/>
      <c r="D76" s="114"/>
      <c r="E76" s="114"/>
      <c r="F76" s="114"/>
      <c r="G76" s="114"/>
      <c r="H76" s="114"/>
    </row>
    <row r="77" spans="2:27" x14ac:dyDescent="0.35">
      <c r="B77" s="121"/>
    </row>
    <row r="78" spans="2:27" x14ac:dyDescent="0.35">
      <c r="B78" s="138" t="s">
        <v>40</v>
      </c>
      <c r="C78" s="139">
        <v>0.04</v>
      </c>
    </row>
    <row r="79" spans="2:27" x14ac:dyDescent="0.35">
      <c r="B79" s="140" t="s">
        <v>41</v>
      </c>
      <c r="C79" s="141">
        <f>NPV(C78,C75:AA75)</f>
        <v>0</v>
      </c>
    </row>
    <row r="80" spans="2:27" x14ac:dyDescent="0.35">
      <c r="B80" s="142" t="s">
        <v>42</v>
      </c>
      <c r="C80" s="143" t="e">
        <f>IRR(C75:AA75,C78)</f>
        <v>#NUM!</v>
      </c>
    </row>
    <row r="82" spans="2:27" x14ac:dyDescent="0.35">
      <c r="B82" s="92" t="s">
        <v>110</v>
      </c>
    </row>
    <row r="83" spans="2:27" hidden="1" outlineLevel="1" x14ac:dyDescent="0.35">
      <c r="B83" s="405"/>
      <c r="C83" s="164" t="s">
        <v>27</v>
      </c>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row>
    <row r="84" spans="2:27" hidden="1" outlineLevel="1" x14ac:dyDescent="0.35">
      <c r="B84" s="405"/>
      <c r="C84" s="165">
        <v>1</v>
      </c>
      <c r="D84" s="165">
        <v>2</v>
      </c>
      <c r="E84" s="165">
        <v>3</v>
      </c>
      <c r="F84" s="165">
        <v>4</v>
      </c>
      <c r="G84" s="165">
        <v>5</v>
      </c>
      <c r="H84" s="165">
        <v>6</v>
      </c>
      <c r="I84" s="165">
        <v>7</v>
      </c>
      <c r="J84" s="165">
        <v>8</v>
      </c>
      <c r="K84" s="165">
        <v>9</v>
      </c>
      <c r="L84" s="165">
        <v>10</v>
      </c>
      <c r="M84" s="165">
        <v>11</v>
      </c>
      <c r="N84" s="165">
        <v>12</v>
      </c>
      <c r="O84" s="165">
        <v>13</v>
      </c>
      <c r="P84" s="165">
        <v>14</v>
      </c>
      <c r="Q84" s="165">
        <v>15</v>
      </c>
      <c r="R84" s="165">
        <v>16</v>
      </c>
      <c r="S84" s="165">
        <v>17</v>
      </c>
      <c r="T84" s="165">
        <v>18</v>
      </c>
      <c r="U84" s="165">
        <v>19</v>
      </c>
      <c r="V84" s="165">
        <v>20</v>
      </c>
      <c r="W84" s="165">
        <v>21</v>
      </c>
      <c r="X84" s="165">
        <v>22</v>
      </c>
      <c r="Y84" s="165">
        <v>23</v>
      </c>
      <c r="Z84" s="165">
        <v>24</v>
      </c>
      <c r="AA84" s="165">
        <v>25</v>
      </c>
    </row>
    <row r="85" spans="2:27" hidden="1" outlineLevel="1" x14ac:dyDescent="0.35">
      <c r="B85" s="122" t="s">
        <v>35</v>
      </c>
      <c r="C85" s="124">
        <f>(Project_profitability!C12)*(1+'Sensitivity analysis project'!D9)</f>
        <v>0</v>
      </c>
      <c r="D85" s="124"/>
      <c r="E85" s="124"/>
      <c r="F85" s="123"/>
      <c r="G85" s="123"/>
      <c r="H85" s="123"/>
      <c r="I85" s="123"/>
      <c r="J85" s="123"/>
      <c r="K85" s="123"/>
      <c r="L85" s="123"/>
      <c r="M85" s="123"/>
      <c r="N85" s="123"/>
      <c r="O85" s="123"/>
      <c r="P85" s="123"/>
      <c r="Q85" s="123"/>
      <c r="R85" s="123"/>
      <c r="S85" s="123"/>
      <c r="T85" s="123"/>
      <c r="U85" s="123"/>
      <c r="V85" s="123"/>
      <c r="W85" s="123"/>
      <c r="X85" s="123"/>
      <c r="Y85" s="123"/>
      <c r="Z85" s="123"/>
      <c r="AA85" s="123"/>
    </row>
    <row r="86" spans="2:27" hidden="1" outlineLevel="1" x14ac:dyDescent="0.35">
      <c r="B86" s="125" t="s">
        <v>36</v>
      </c>
      <c r="C86" s="95">
        <f>C66</f>
        <v>0</v>
      </c>
      <c r="D86" s="95">
        <f t="shared" ref="D86:H86" si="26">D66</f>
        <v>0</v>
      </c>
      <c r="E86" s="95">
        <f t="shared" si="26"/>
        <v>0</v>
      </c>
      <c r="F86" s="95">
        <f t="shared" si="26"/>
        <v>0</v>
      </c>
      <c r="G86" s="95">
        <f t="shared" si="26"/>
        <v>0</v>
      </c>
      <c r="H86" s="95">
        <f t="shared" si="26"/>
        <v>0</v>
      </c>
      <c r="I86" s="95">
        <f t="shared" ref="I86:AA86" si="27">I66</f>
        <v>0</v>
      </c>
      <c r="J86" s="95">
        <f t="shared" si="27"/>
        <v>0</v>
      </c>
      <c r="K86" s="95">
        <f t="shared" si="27"/>
        <v>0</v>
      </c>
      <c r="L86" s="95">
        <f t="shared" si="27"/>
        <v>0</v>
      </c>
      <c r="M86" s="95">
        <f t="shared" si="27"/>
        <v>0</v>
      </c>
      <c r="N86" s="95">
        <f t="shared" si="27"/>
        <v>0</v>
      </c>
      <c r="O86" s="95">
        <f t="shared" si="27"/>
        <v>0</v>
      </c>
      <c r="P86" s="95">
        <f t="shared" si="27"/>
        <v>0</v>
      </c>
      <c r="Q86" s="95">
        <f t="shared" si="27"/>
        <v>0</v>
      </c>
      <c r="R86" s="95">
        <f t="shared" si="27"/>
        <v>0</v>
      </c>
      <c r="S86" s="95">
        <f t="shared" si="27"/>
        <v>0</v>
      </c>
      <c r="T86" s="95">
        <f t="shared" si="27"/>
        <v>0</v>
      </c>
      <c r="U86" s="95">
        <f t="shared" si="27"/>
        <v>0</v>
      </c>
      <c r="V86" s="95">
        <f t="shared" si="27"/>
        <v>0</v>
      </c>
      <c r="W86" s="95">
        <f t="shared" si="27"/>
        <v>0</v>
      </c>
      <c r="X86" s="95">
        <f t="shared" si="27"/>
        <v>0</v>
      </c>
      <c r="Y86" s="95">
        <f t="shared" si="27"/>
        <v>0</v>
      </c>
      <c r="Z86" s="95">
        <f t="shared" si="27"/>
        <v>0</v>
      </c>
      <c r="AA86" s="95">
        <f t="shared" si="27"/>
        <v>0</v>
      </c>
    </row>
    <row r="87" spans="2:27" ht="29" hidden="1" outlineLevel="1" x14ac:dyDescent="0.35">
      <c r="B87" s="125" t="s">
        <v>100</v>
      </c>
      <c r="C87" s="95">
        <f>C67</f>
        <v>0</v>
      </c>
      <c r="D87" s="95">
        <f t="shared" ref="D87:H87" si="28">D67</f>
        <v>0</v>
      </c>
      <c r="E87" s="95">
        <f t="shared" si="28"/>
        <v>0</v>
      </c>
      <c r="F87" s="95">
        <f t="shared" si="28"/>
        <v>0</v>
      </c>
      <c r="G87" s="95">
        <f t="shared" si="28"/>
        <v>0</v>
      </c>
      <c r="H87" s="95">
        <f t="shared" si="28"/>
        <v>0</v>
      </c>
      <c r="I87" s="95">
        <f t="shared" ref="I87:AA87" si="29">I67</f>
        <v>0</v>
      </c>
      <c r="J87" s="95">
        <f t="shared" si="29"/>
        <v>0</v>
      </c>
      <c r="K87" s="95">
        <f t="shared" si="29"/>
        <v>0</v>
      </c>
      <c r="L87" s="95">
        <f t="shared" si="29"/>
        <v>0</v>
      </c>
      <c r="M87" s="95">
        <f t="shared" si="29"/>
        <v>0</v>
      </c>
      <c r="N87" s="95">
        <f t="shared" si="29"/>
        <v>0</v>
      </c>
      <c r="O87" s="95">
        <f t="shared" si="29"/>
        <v>0</v>
      </c>
      <c r="P87" s="95">
        <f t="shared" si="29"/>
        <v>0</v>
      </c>
      <c r="Q87" s="95">
        <f t="shared" si="29"/>
        <v>0</v>
      </c>
      <c r="R87" s="95">
        <f t="shared" si="29"/>
        <v>0</v>
      </c>
      <c r="S87" s="95">
        <f t="shared" si="29"/>
        <v>0</v>
      </c>
      <c r="T87" s="95">
        <f t="shared" si="29"/>
        <v>0</v>
      </c>
      <c r="U87" s="95">
        <f t="shared" si="29"/>
        <v>0</v>
      </c>
      <c r="V87" s="95">
        <f t="shared" si="29"/>
        <v>0</v>
      </c>
      <c r="W87" s="95">
        <f t="shared" si="29"/>
        <v>0</v>
      </c>
      <c r="X87" s="95">
        <f t="shared" si="29"/>
        <v>0</v>
      </c>
      <c r="Y87" s="95">
        <f t="shared" si="29"/>
        <v>0</v>
      </c>
      <c r="Z87" s="95">
        <f t="shared" si="29"/>
        <v>0</v>
      </c>
      <c r="AA87" s="95">
        <f t="shared" si="29"/>
        <v>0</v>
      </c>
    </row>
    <row r="88" spans="2:27" ht="29" hidden="1" outlineLevel="1" x14ac:dyDescent="0.35">
      <c r="B88" s="125" t="s">
        <v>101</v>
      </c>
      <c r="C88" s="126">
        <f t="shared" ref="C88:H88" si="30">C86-C87</f>
        <v>0</v>
      </c>
      <c r="D88" s="126">
        <f t="shared" si="30"/>
        <v>0</v>
      </c>
      <c r="E88" s="126">
        <f t="shared" si="30"/>
        <v>0</v>
      </c>
      <c r="F88" s="126">
        <f t="shared" si="30"/>
        <v>0</v>
      </c>
      <c r="G88" s="126">
        <f t="shared" si="30"/>
        <v>0</v>
      </c>
      <c r="H88" s="126">
        <f t="shared" si="30"/>
        <v>0</v>
      </c>
      <c r="I88" s="126">
        <f t="shared" ref="I88:AA88" si="31">I86-I87</f>
        <v>0</v>
      </c>
      <c r="J88" s="126">
        <f t="shared" si="31"/>
        <v>0</v>
      </c>
      <c r="K88" s="126">
        <f t="shared" si="31"/>
        <v>0</v>
      </c>
      <c r="L88" s="126">
        <f t="shared" si="31"/>
        <v>0</v>
      </c>
      <c r="M88" s="126">
        <f t="shared" si="31"/>
        <v>0</v>
      </c>
      <c r="N88" s="126">
        <f t="shared" si="31"/>
        <v>0</v>
      </c>
      <c r="O88" s="126">
        <f t="shared" si="31"/>
        <v>0</v>
      </c>
      <c r="P88" s="126">
        <f t="shared" si="31"/>
        <v>0</v>
      </c>
      <c r="Q88" s="126">
        <f t="shared" si="31"/>
        <v>0</v>
      </c>
      <c r="R88" s="126">
        <f t="shared" si="31"/>
        <v>0</v>
      </c>
      <c r="S88" s="126">
        <f t="shared" si="31"/>
        <v>0</v>
      </c>
      <c r="T88" s="126">
        <f t="shared" si="31"/>
        <v>0</v>
      </c>
      <c r="U88" s="126">
        <f t="shared" si="31"/>
        <v>0</v>
      </c>
      <c r="V88" s="126">
        <f t="shared" si="31"/>
        <v>0</v>
      </c>
      <c r="W88" s="126">
        <f t="shared" si="31"/>
        <v>0</v>
      </c>
      <c r="X88" s="126">
        <f t="shared" si="31"/>
        <v>0</v>
      </c>
      <c r="Y88" s="126">
        <f t="shared" si="31"/>
        <v>0</v>
      </c>
      <c r="Z88" s="126">
        <f t="shared" si="31"/>
        <v>0</v>
      </c>
      <c r="AA88" s="126">
        <f t="shared" si="31"/>
        <v>0</v>
      </c>
    </row>
    <row r="89" spans="2:27" hidden="1" outlineLevel="1" x14ac:dyDescent="0.35">
      <c r="B89" s="127" t="s">
        <v>102</v>
      </c>
      <c r="C89" s="128">
        <f>Project_profitability!C18*(1+'Sensitivity analysis project'!$D$9)</f>
        <v>0</v>
      </c>
      <c r="D89" s="128">
        <f>Project_profitability!D18*(1+'Sensitivity analysis project'!$D$9)</f>
        <v>0</v>
      </c>
      <c r="E89" s="128">
        <f>Project_profitability!E18*(1+'Sensitivity analysis project'!$D$9)</f>
        <v>0</v>
      </c>
      <c r="F89" s="128">
        <f>Project_profitability!F18*(1+'Sensitivity analysis project'!$D$9)</f>
        <v>0</v>
      </c>
      <c r="G89" s="128">
        <f>Project_profitability!G18*(1+'Sensitivity analysis project'!$D$9)</f>
        <v>0</v>
      </c>
      <c r="H89" s="128">
        <f>Project_profitability!H18*(1+'Sensitivity analysis project'!$D$9)</f>
        <v>0</v>
      </c>
      <c r="I89" s="128">
        <f>Project_profitability!I18*(1+'Sensitivity analysis project'!$D$9)</f>
        <v>0</v>
      </c>
      <c r="J89" s="128">
        <f>Project_profitability!J18*(1+'Sensitivity analysis project'!$D$9)</f>
        <v>0</v>
      </c>
      <c r="K89" s="128">
        <f>Project_profitability!K18*(1+'Sensitivity analysis project'!$D$9)</f>
        <v>0</v>
      </c>
      <c r="L89" s="128">
        <f>Project_profitability!L18*(1+'Sensitivity analysis project'!$D$9)</f>
        <v>0</v>
      </c>
      <c r="M89" s="128">
        <f>Project_profitability!M18*(1+'Sensitivity analysis project'!$D$9)</f>
        <v>0</v>
      </c>
      <c r="N89" s="128">
        <f>Project_profitability!N18*(1+'Sensitivity analysis project'!$D$9)</f>
        <v>0</v>
      </c>
      <c r="O89" s="128">
        <f>Project_profitability!O18*(1+'Sensitivity analysis project'!$D$9)</f>
        <v>0</v>
      </c>
      <c r="P89" s="128">
        <f>Project_profitability!P18*(1+'Sensitivity analysis project'!$D$9)</f>
        <v>0</v>
      </c>
      <c r="Q89" s="128">
        <f>Project_profitability!Q18*(1+'Sensitivity analysis project'!$D$9)</f>
        <v>0</v>
      </c>
      <c r="R89" s="128">
        <f>Project_profitability!R18*(1+'Sensitivity analysis project'!$D$9)</f>
        <v>0</v>
      </c>
      <c r="S89" s="128">
        <f>Project_profitability!S18*(1+'Sensitivity analysis project'!$D$9)</f>
        <v>0</v>
      </c>
      <c r="T89" s="128">
        <f>Project_profitability!T18*(1+'Sensitivity analysis project'!$D$9)</f>
        <v>0</v>
      </c>
      <c r="U89" s="128">
        <f>Project_profitability!U18*(1+'Sensitivity analysis project'!$D$9)</f>
        <v>0</v>
      </c>
      <c r="V89" s="128">
        <f>Project_profitability!V18*(1+'Sensitivity analysis project'!$D$9)</f>
        <v>0</v>
      </c>
      <c r="W89" s="128">
        <f>Project_profitability!W18*(1+'Sensitivity analysis project'!$D$9)</f>
        <v>0</v>
      </c>
      <c r="X89" s="128">
        <f>Project_profitability!X18*(1+'Sensitivity analysis project'!$D$9)</f>
        <v>0</v>
      </c>
      <c r="Y89" s="128">
        <f>Project_profitability!Y18*(1+'Sensitivity analysis project'!$D$9)</f>
        <v>0</v>
      </c>
      <c r="Z89" s="128">
        <f>Project_profitability!Z18*(1+'Sensitivity analysis project'!$D$9)</f>
        <v>0</v>
      </c>
      <c r="AA89" s="128">
        <f>Project_profitability!AA18*(1+'Sensitivity analysis project'!$D$9)</f>
        <v>0</v>
      </c>
    </row>
    <row r="90" spans="2:27" hidden="1" outlineLevel="1" x14ac:dyDescent="0.35">
      <c r="B90" s="122" t="s">
        <v>103</v>
      </c>
      <c r="C90" s="126">
        <f t="shared" ref="C90:H90" si="32">C88-C89</f>
        <v>0</v>
      </c>
      <c r="D90" s="126">
        <f t="shared" si="32"/>
        <v>0</v>
      </c>
      <c r="E90" s="126">
        <f t="shared" si="32"/>
        <v>0</v>
      </c>
      <c r="F90" s="126">
        <f t="shared" si="32"/>
        <v>0</v>
      </c>
      <c r="G90" s="126">
        <f t="shared" si="32"/>
        <v>0</v>
      </c>
      <c r="H90" s="126">
        <f t="shared" si="32"/>
        <v>0</v>
      </c>
      <c r="I90" s="126">
        <f t="shared" ref="I90:AA90" si="33">I88-I89</f>
        <v>0</v>
      </c>
      <c r="J90" s="126">
        <f t="shared" si="33"/>
        <v>0</v>
      </c>
      <c r="K90" s="126">
        <f t="shared" si="33"/>
        <v>0</v>
      </c>
      <c r="L90" s="126">
        <f t="shared" si="33"/>
        <v>0</v>
      </c>
      <c r="M90" s="126">
        <f t="shared" si="33"/>
        <v>0</v>
      </c>
      <c r="N90" s="126">
        <f t="shared" si="33"/>
        <v>0</v>
      </c>
      <c r="O90" s="126">
        <f t="shared" si="33"/>
        <v>0</v>
      </c>
      <c r="P90" s="126">
        <f t="shared" si="33"/>
        <v>0</v>
      </c>
      <c r="Q90" s="126">
        <f t="shared" si="33"/>
        <v>0</v>
      </c>
      <c r="R90" s="126">
        <f t="shared" si="33"/>
        <v>0</v>
      </c>
      <c r="S90" s="126">
        <f t="shared" si="33"/>
        <v>0</v>
      </c>
      <c r="T90" s="126">
        <f t="shared" si="33"/>
        <v>0</v>
      </c>
      <c r="U90" s="126">
        <f t="shared" si="33"/>
        <v>0</v>
      </c>
      <c r="V90" s="126">
        <f t="shared" si="33"/>
        <v>0</v>
      </c>
      <c r="W90" s="126">
        <f t="shared" si="33"/>
        <v>0</v>
      </c>
      <c r="X90" s="126">
        <f t="shared" si="33"/>
        <v>0</v>
      </c>
      <c r="Y90" s="126">
        <f t="shared" si="33"/>
        <v>0</v>
      </c>
      <c r="Z90" s="126">
        <f t="shared" si="33"/>
        <v>0</v>
      </c>
      <c r="AA90" s="126">
        <f t="shared" si="33"/>
        <v>0</v>
      </c>
    </row>
    <row r="91" spans="2:27" hidden="1" outlineLevel="1" x14ac:dyDescent="0.35">
      <c r="B91" s="129" t="s">
        <v>104</v>
      </c>
      <c r="C91" s="130">
        <f>C90</f>
        <v>0</v>
      </c>
      <c r="D91" s="130">
        <f t="shared" ref="D91:AA91" si="34">D90</f>
        <v>0</v>
      </c>
      <c r="E91" s="130">
        <f t="shared" si="34"/>
        <v>0</v>
      </c>
      <c r="F91" s="130">
        <f t="shared" si="34"/>
        <v>0</v>
      </c>
      <c r="G91" s="130">
        <f t="shared" si="34"/>
        <v>0</v>
      </c>
      <c r="H91" s="130">
        <f t="shared" si="34"/>
        <v>0</v>
      </c>
      <c r="I91" s="130">
        <f t="shared" si="34"/>
        <v>0</v>
      </c>
      <c r="J91" s="130">
        <f t="shared" si="34"/>
        <v>0</v>
      </c>
      <c r="K91" s="130">
        <f t="shared" si="34"/>
        <v>0</v>
      </c>
      <c r="L91" s="130">
        <f t="shared" si="34"/>
        <v>0</v>
      </c>
      <c r="M91" s="130">
        <f t="shared" si="34"/>
        <v>0</v>
      </c>
      <c r="N91" s="130">
        <f t="shared" si="34"/>
        <v>0</v>
      </c>
      <c r="O91" s="130">
        <f t="shared" si="34"/>
        <v>0</v>
      </c>
      <c r="P91" s="130">
        <f t="shared" si="34"/>
        <v>0</v>
      </c>
      <c r="Q91" s="130">
        <f t="shared" si="34"/>
        <v>0</v>
      </c>
      <c r="R91" s="130">
        <f t="shared" si="34"/>
        <v>0</v>
      </c>
      <c r="S91" s="130">
        <f t="shared" si="34"/>
        <v>0</v>
      </c>
      <c r="T91" s="130">
        <f t="shared" si="34"/>
        <v>0</v>
      </c>
      <c r="U91" s="130">
        <f t="shared" si="34"/>
        <v>0</v>
      </c>
      <c r="V91" s="130">
        <f t="shared" si="34"/>
        <v>0</v>
      </c>
      <c r="W91" s="130">
        <f t="shared" si="34"/>
        <v>0</v>
      </c>
      <c r="X91" s="130">
        <f t="shared" si="34"/>
        <v>0</v>
      </c>
      <c r="Y91" s="130">
        <f t="shared" si="34"/>
        <v>0</v>
      </c>
      <c r="Z91" s="130">
        <f t="shared" si="34"/>
        <v>0</v>
      </c>
      <c r="AA91" s="130">
        <f t="shared" si="34"/>
        <v>0</v>
      </c>
    </row>
    <row r="92" spans="2:27" hidden="1" outlineLevel="1" x14ac:dyDescent="0.35">
      <c r="B92" s="131" t="s">
        <v>105</v>
      </c>
      <c r="C92" s="132">
        <f t="shared" ref="C92:AA92" si="35">C72</f>
        <v>0</v>
      </c>
      <c r="D92" s="132">
        <f t="shared" si="35"/>
        <v>0</v>
      </c>
      <c r="E92" s="132">
        <f t="shared" si="35"/>
        <v>0</v>
      </c>
      <c r="F92" s="132">
        <f t="shared" si="35"/>
        <v>0</v>
      </c>
      <c r="G92" s="132">
        <f t="shared" si="35"/>
        <v>0</v>
      </c>
      <c r="H92" s="132">
        <f t="shared" si="35"/>
        <v>0</v>
      </c>
      <c r="I92" s="132">
        <f t="shared" si="35"/>
        <v>0</v>
      </c>
      <c r="J92" s="132">
        <f t="shared" si="35"/>
        <v>0</v>
      </c>
      <c r="K92" s="132">
        <f t="shared" si="35"/>
        <v>0</v>
      </c>
      <c r="L92" s="132">
        <f t="shared" si="35"/>
        <v>0</v>
      </c>
      <c r="M92" s="132">
        <f t="shared" si="35"/>
        <v>0</v>
      </c>
      <c r="N92" s="132">
        <f t="shared" si="35"/>
        <v>0</v>
      </c>
      <c r="O92" s="132">
        <f t="shared" si="35"/>
        <v>0</v>
      </c>
      <c r="P92" s="132">
        <f t="shared" si="35"/>
        <v>0</v>
      </c>
      <c r="Q92" s="132">
        <f t="shared" si="35"/>
        <v>0</v>
      </c>
      <c r="R92" s="132">
        <f t="shared" si="35"/>
        <v>0</v>
      </c>
      <c r="S92" s="132">
        <f t="shared" si="35"/>
        <v>0</v>
      </c>
      <c r="T92" s="132">
        <f t="shared" si="35"/>
        <v>0</v>
      </c>
      <c r="U92" s="132">
        <f t="shared" si="35"/>
        <v>0</v>
      </c>
      <c r="V92" s="132">
        <f t="shared" si="35"/>
        <v>0</v>
      </c>
      <c r="W92" s="132">
        <f t="shared" si="35"/>
        <v>0</v>
      </c>
      <c r="X92" s="132">
        <f t="shared" si="35"/>
        <v>0</v>
      </c>
      <c r="Y92" s="132">
        <f t="shared" si="35"/>
        <v>0</v>
      </c>
      <c r="Z92" s="132">
        <f t="shared" si="35"/>
        <v>0</v>
      </c>
      <c r="AA92" s="132">
        <f t="shared" si="35"/>
        <v>0</v>
      </c>
    </row>
    <row r="93" spans="2:27" hidden="1" outlineLevel="1" x14ac:dyDescent="0.35">
      <c r="B93" s="133" t="s">
        <v>106</v>
      </c>
      <c r="C93" s="134">
        <f t="shared" ref="C93:AA93" si="36">C91+C89-C92</f>
        <v>0</v>
      </c>
      <c r="D93" s="134">
        <f t="shared" si="36"/>
        <v>0</v>
      </c>
      <c r="E93" s="134">
        <f t="shared" si="36"/>
        <v>0</v>
      </c>
      <c r="F93" s="134">
        <f t="shared" si="36"/>
        <v>0</v>
      </c>
      <c r="G93" s="134">
        <f t="shared" si="36"/>
        <v>0</v>
      </c>
      <c r="H93" s="134">
        <f t="shared" si="36"/>
        <v>0</v>
      </c>
      <c r="I93" s="134">
        <f t="shared" si="36"/>
        <v>0</v>
      </c>
      <c r="J93" s="134">
        <f t="shared" si="36"/>
        <v>0</v>
      </c>
      <c r="K93" s="134">
        <f t="shared" si="36"/>
        <v>0</v>
      </c>
      <c r="L93" s="134">
        <f t="shared" si="36"/>
        <v>0</v>
      </c>
      <c r="M93" s="134">
        <f t="shared" si="36"/>
        <v>0</v>
      </c>
      <c r="N93" s="134">
        <f t="shared" si="36"/>
        <v>0</v>
      </c>
      <c r="O93" s="134">
        <f t="shared" si="36"/>
        <v>0</v>
      </c>
      <c r="P93" s="134">
        <f t="shared" si="36"/>
        <v>0</v>
      </c>
      <c r="Q93" s="134">
        <f t="shared" si="36"/>
        <v>0</v>
      </c>
      <c r="R93" s="134">
        <f t="shared" si="36"/>
        <v>0</v>
      </c>
      <c r="S93" s="134">
        <f t="shared" si="36"/>
        <v>0</v>
      </c>
      <c r="T93" s="134">
        <f t="shared" si="36"/>
        <v>0</v>
      </c>
      <c r="U93" s="134">
        <f t="shared" si="36"/>
        <v>0</v>
      </c>
      <c r="V93" s="134">
        <f t="shared" si="36"/>
        <v>0</v>
      </c>
      <c r="W93" s="134">
        <f t="shared" si="36"/>
        <v>0</v>
      </c>
      <c r="X93" s="134">
        <f t="shared" si="36"/>
        <v>0</v>
      </c>
      <c r="Y93" s="134">
        <f t="shared" si="36"/>
        <v>0</v>
      </c>
      <c r="Z93" s="134">
        <f t="shared" si="36"/>
        <v>0</v>
      </c>
      <c r="AA93" s="134">
        <f t="shared" si="36"/>
        <v>0</v>
      </c>
    </row>
    <row r="94" spans="2:27" hidden="1" outlineLevel="1" x14ac:dyDescent="0.35">
      <c r="B94" s="135" t="s">
        <v>38</v>
      </c>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f>AA74</f>
        <v>0</v>
      </c>
    </row>
    <row r="95" spans="2:27" hidden="1" outlineLevel="2" x14ac:dyDescent="0.35">
      <c r="B95" s="136" t="s">
        <v>107</v>
      </c>
      <c r="C95" s="137">
        <f t="shared" ref="C95:AA95" si="37">C93-C85+C94</f>
        <v>0</v>
      </c>
      <c r="D95" s="137">
        <f t="shared" si="37"/>
        <v>0</v>
      </c>
      <c r="E95" s="137">
        <f t="shared" si="37"/>
        <v>0</v>
      </c>
      <c r="F95" s="137">
        <f t="shared" si="37"/>
        <v>0</v>
      </c>
      <c r="G95" s="137">
        <f t="shared" si="37"/>
        <v>0</v>
      </c>
      <c r="H95" s="137">
        <f t="shared" si="37"/>
        <v>0</v>
      </c>
      <c r="I95" s="137">
        <f t="shared" si="37"/>
        <v>0</v>
      </c>
      <c r="J95" s="137">
        <f t="shared" si="37"/>
        <v>0</v>
      </c>
      <c r="K95" s="137">
        <f t="shared" si="37"/>
        <v>0</v>
      </c>
      <c r="L95" s="137">
        <f t="shared" si="37"/>
        <v>0</v>
      </c>
      <c r="M95" s="137">
        <f t="shared" si="37"/>
        <v>0</v>
      </c>
      <c r="N95" s="137">
        <f t="shared" si="37"/>
        <v>0</v>
      </c>
      <c r="O95" s="137">
        <f t="shared" si="37"/>
        <v>0</v>
      </c>
      <c r="P95" s="137">
        <f t="shared" si="37"/>
        <v>0</v>
      </c>
      <c r="Q95" s="137">
        <f t="shared" si="37"/>
        <v>0</v>
      </c>
      <c r="R95" s="137">
        <f t="shared" si="37"/>
        <v>0</v>
      </c>
      <c r="S95" s="137">
        <f t="shared" si="37"/>
        <v>0</v>
      </c>
      <c r="T95" s="137">
        <f t="shared" si="37"/>
        <v>0</v>
      </c>
      <c r="U95" s="137">
        <f t="shared" si="37"/>
        <v>0</v>
      </c>
      <c r="V95" s="137">
        <f t="shared" si="37"/>
        <v>0</v>
      </c>
      <c r="W95" s="137">
        <f t="shared" si="37"/>
        <v>0</v>
      </c>
      <c r="X95" s="137">
        <f t="shared" si="37"/>
        <v>0</v>
      </c>
      <c r="Y95" s="137">
        <f t="shared" si="37"/>
        <v>0</v>
      </c>
      <c r="Z95" s="137">
        <f t="shared" si="37"/>
        <v>0</v>
      </c>
      <c r="AA95" s="137">
        <f t="shared" si="37"/>
        <v>0</v>
      </c>
    </row>
    <row r="96" spans="2:27" collapsed="1" x14ac:dyDescent="0.35">
      <c r="B96" s="121"/>
      <c r="C96" s="114"/>
      <c r="D96" s="114"/>
      <c r="E96" s="114"/>
      <c r="F96" s="114"/>
      <c r="G96" s="114"/>
      <c r="H96" s="114"/>
    </row>
    <row r="97" spans="2:27" x14ac:dyDescent="0.35">
      <c r="B97" s="121"/>
    </row>
    <row r="98" spans="2:27" x14ac:dyDescent="0.35">
      <c r="B98" s="138" t="s">
        <v>40</v>
      </c>
      <c r="C98" s="139">
        <v>0.04</v>
      </c>
    </row>
    <row r="99" spans="2:27" x14ac:dyDescent="0.35">
      <c r="B99" s="140" t="s">
        <v>41</v>
      </c>
      <c r="C99" s="141">
        <f>NPV(C98,C95:AA95)</f>
        <v>0</v>
      </c>
    </row>
    <row r="100" spans="2:27" x14ac:dyDescent="0.35">
      <c r="B100" s="142" t="s">
        <v>42</v>
      </c>
      <c r="C100" s="143" t="e">
        <f>IRR(C95:AA95,C98)</f>
        <v>#NUM!</v>
      </c>
    </row>
    <row r="103" spans="2:27" x14ac:dyDescent="0.35">
      <c r="B103" s="92" t="s">
        <v>111</v>
      </c>
    </row>
    <row r="104" spans="2:27" hidden="1" outlineLevel="1" x14ac:dyDescent="0.35">
      <c r="B104" s="405"/>
      <c r="C104" s="164" t="s">
        <v>27</v>
      </c>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row>
    <row r="105" spans="2:27" hidden="1" outlineLevel="1" x14ac:dyDescent="0.35">
      <c r="B105" s="405"/>
      <c r="C105" s="165">
        <v>1</v>
      </c>
      <c r="D105" s="165">
        <v>2</v>
      </c>
      <c r="E105" s="165">
        <v>3</v>
      </c>
      <c r="F105" s="165">
        <v>4</v>
      </c>
      <c r="G105" s="165">
        <v>5</v>
      </c>
      <c r="H105" s="165">
        <v>6</v>
      </c>
      <c r="I105" s="165">
        <v>7</v>
      </c>
      <c r="J105" s="165">
        <v>8</v>
      </c>
      <c r="K105" s="165">
        <v>9</v>
      </c>
      <c r="L105" s="165">
        <v>10</v>
      </c>
      <c r="M105" s="165">
        <v>11</v>
      </c>
      <c r="N105" s="165">
        <v>12</v>
      </c>
      <c r="O105" s="165">
        <v>13</v>
      </c>
      <c r="P105" s="165">
        <v>14</v>
      </c>
      <c r="Q105" s="165">
        <v>15</v>
      </c>
      <c r="R105" s="165">
        <v>16</v>
      </c>
      <c r="S105" s="165">
        <v>17</v>
      </c>
      <c r="T105" s="165">
        <v>18</v>
      </c>
      <c r="U105" s="165">
        <v>19</v>
      </c>
      <c r="V105" s="165">
        <v>20</v>
      </c>
      <c r="W105" s="165">
        <v>21</v>
      </c>
      <c r="X105" s="165">
        <v>22</v>
      </c>
      <c r="Y105" s="165">
        <v>23</v>
      </c>
      <c r="Z105" s="165">
        <v>24</v>
      </c>
      <c r="AA105" s="165">
        <v>25</v>
      </c>
    </row>
    <row r="106" spans="2:27" hidden="1" outlineLevel="1" x14ac:dyDescent="0.35">
      <c r="B106" s="122" t="s">
        <v>35</v>
      </c>
      <c r="C106" s="124">
        <f>Project_profitability!C12</f>
        <v>0</v>
      </c>
      <c r="D106" s="124"/>
      <c r="E106" s="124"/>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row>
    <row r="107" spans="2:27" hidden="1" outlineLevel="1" x14ac:dyDescent="0.35">
      <c r="B107" s="125" t="s">
        <v>36</v>
      </c>
      <c r="C107" s="95">
        <f>Project_profitability!C13</f>
        <v>0</v>
      </c>
      <c r="D107" s="95">
        <f>Project_profitability!D13</f>
        <v>0</v>
      </c>
      <c r="E107" s="95">
        <f>Project_profitability!E13</f>
        <v>0</v>
      </c>
      <c r="F107" s="95">
        <f>Project_profitability!F13</f>
        <v>0</v>
      </c>
      <c r="G107" s="95">
        <f>Project_profitability!G13</f>
        <v>0</v>
      </c>
      <c r="H107" s="95">
        <f>Project_profitability!H13</f>
        <v>0</v>
      </c>
      <c r="I107" s="95">
        <f>Project_profitability!I13</f>
        <v>0</v>
      </c>
      <c r="J107" s="95">
        <f>Project_profitability!J13</f>
        <v>0</v>
      </c>
      <c r="K107" s="95">
        <f>Project_profitability!K13</f>
        <v>0</v>
      </c>
      <c r="L107" s="95">
        <f>Project_profitability!L13</f>
        <v>0</v>
      </c>
      <c r="M107" s="95">
        <f>Project_profitability!M13</f>
        <v>0</v>
      </c>
      <c r="N107" s="95">
        <f>Project_profitability!N13</f>
        <v>0</v>
      </c>
      <c r="O107" s="95">
        <f>Project_profitability!O13</f>
        <v>0</v>
      </c>
      <c r="P107" s="95">
        <f>Project_profitability!P13</f>
        <v>0</v>
      </c>
      <c r="Q107" s="95">
        <f>Project_profitability!Q13</f>
        <v>0</v>
      </c>
      <c r="R107" s="95">
        <f>Project_profitability!R13</f>
        <v>0</v>
      </c>
      <c r="S107" s="95">
        <f>Project_profitability!S13</f>
        <v>0</v>
      </c>
      <c r="T107" s="95">
        <f>Project_profitability!T13</f>
        <v>0</v>
      </c>
      <c r="U107" s="95">
        <f>Project_profitability!U13</f>
        <v>0</v>
      </c>
      <c r="V107" s="95">
        <f>Project_profitability!V13</f>
        <v>0</v>
      </c>
      <c r="W107" s="95">
        <f>Project_profitability!W13</f>
        <v>0</v>
      </c>
      <c r="X107" s="95">
        <f>Project_profitability!X13</f>
        <v>0</v>
      </c>
      <c r="Y107" s="95">
        <f>Project_profitability!Y13</f>
        <v>0</v>
      </c>
      <c r="Z107" s="95">
        <f>Project_profitability!Z13</f>
        <v>0</v>
      </c>
      <c r="AA107" s="95">
        <f>Project_profitability!AA13</f>
        <v>0</v>
      </c>
    </row>
    <row r="108" spans="2:27" ht="29" hidden="1" outlineLevel="1" x14ac:dyDescent="0.35">
      <c r="B108" s="125" t="s">
        <v>100</v>
      </c>
      <c r="C108" s="95">
        <f>Project_profitability!C14*(1+$D$10)</f>
        <v>0</v>
      </c>
      <c r="D108" s="95">
        <f>Project_profitability!D14*(1+$D$10)</f>
        <v>0</v>
      </c>
      <c r="E108" s="95">
        <f>Project_profitability!E14*(1+$D$10)</f>
        <v>0</v>
      </c>
      <c r="F108" s="95">
        <f>Project_profitability!F14*(1+$D$10)</f>
        <v>0</v>
      </c>
      <c r="G108" s="95">
        <f>Project_profitability!G14*(1+$D$10)</f>
        <v>0</v>
      </c>
      <c r="H108" s="95">
        <f>Project_profitability!H14*(1+$D$10)</f>
        <v>0</v>
      </c>
      <c r="I108" s="95">
        <f>Project_profitability!I14*(1+$D$10)</f>
        <v>0</v>
      </c>
      <c r="J108" s="95">
        <f>Project_profitability!J14*(1+$D$10)</f>
        <v>0</v>
      </c>
      <c r="K108" s="95">
        <f>Project_profitability!K14*(1+$D$10)</f>
        <v>0</v>
      </c>
      <c r="L108" s="95">
        <f>Project_profitability!L14*(1+$D$10)</f>
        <v>0</v>
      </c>
      <c r="M108" s="95">
        <f>Project_profitability!M14*(1+$D$10)</f>
        <v>0</v>
      </c>
      <c r="N108" s="95">
        <f>Project_profitability!N14*(1+$D$10)</f>
        <v>0</v>
      </c>
      <c r="O108" s="95">
        <f>Project_profitability!O14*(1+$D$10)</f>
        <v>0</v>
      </c>
      <c r="P108" s="95">
        <f>Project_profitability!P14*(1+$D$10)</f>
        <v>0</v>
      </c>
      <c r="Q108" s="95">
        <f>Project_profitability!Q14*(1+$D$10)</f>
        <v>0</v>
      </c>
      <c r="R108" s="95">
        <f>Project_profitability!R14*(1+$D$10)</f>
        <v>0</v>
      </c>
      <c r="S108" s="95">
        <f>Project_profitability!S14*(1+$D$10)</f>
        <v>0</v>
      </c>
      <c r="T108" s="95">
        <f>Project_profitability!T14*(1+$D$10)</f>
        <v>0</v>
      </c>
      <c r="U108" s="95">
        <f>Project_profitability!U14*(1+$D$10)</f>
        <v>0</v>
      </c>
      <c r="V108" s="95">
        <f>Project_profitability!V14*(1+$D$10)</f>
        <v>0</v>
      </c>
      <c r="W108" s="95">
        <f>Project_profitability!W14*(1+$D$10)</f>
        <v>0</v>
      </c>
      <c r="X108" s="95">
        <f>Project_profitability!X14*(1+$D$10)</f>
        <v>0</v>
      </c>
      <c r="Y108" s="95">
        <f>Project_profitability!Y14*(1+$D$10)</f>
        <v>0</v>
      </c>
      <c r="Z108" s="95">
        <f>Project_profitability!Z14*(1+$D$10)</f>
        <v>0</v>
      </c>
      <c r="AA108" s="95">
        <f>Project_profitability!AA14*(1+$D$10)</f>
        <v>0</v>
      </c>
    </row>
    <row r="109" spans="2:27" ht="29" hidden="1" outlineLevel="1" x14ac:dyDescent="0.35">
      <c r="B109" s="125" t="s">
        <v>101</v>
      </c>
      <c r="C109" s="126">
        <f t="shared" ref="C109:H109" si="38">C107-C108</f>
        <v>0</v>
      </c>
      <c r="D109" s="126">
        <f t="shared" si="38"/>
        <v>0</v>
      </c>
      <c r="E109" s="126">
        <f t="shared" si="38"/>
        <v>0</v>
      </c>
      <c r="F109" s="126">
        <f t="shared" si="38"/>
        <v>0</v>
      </c>
      <c r="G109" s="126">
        <f t="shared" si="38"/>
        <v>0</v>
      </c>
      <c r="H109" s="126">
        <f t="shared" si="38"/>
        <v>0</v>
      </c>
      <c r="I109" s="126">
        <f t="shared" ref="I109:AA109" si="39">I107-I108</f>
        <v>0</v>
      </c>
      <c r="J109" s="126">
        <f t="shared" si="39"/>
        <v>0</v>
      </c>
      <c r="K109" s="126">
        <f t="shared" si="39"/>
        <v>0</v>
      </c>
      <c r="L109" s="126">
        <f t="shared" si="39"/>
        <v>0</v>
      </c>
      <c r="M109" s="126">
        <f t="shared" si="39"/>
        <v>0</v>
      </c>
      <c r="N109" s="126">
        <f t="shared" si="39"/>
        <v>0</v>
      </c>
      <c r="O109" s="126">
        <f t="shared" si="39"/>
        <v>0</v>
      </c>
      <c r="P109" s="126">
        <f t="shared" si="39"/>
        <v>0</v>
      </c>
      <c r="Q109" s="126">
        <f t="shared" si="39"/>
        <v>0</v>
      </c>
      <c r="R109" s="126">
        <f t="shared" si="39"/>
        <v>0</v>
      </c>
      <c r="S109" s="126">
        <f t="shared" si="39"/>
        <v>0</v>
      </c>
      <c r="T109" s="126">
        <f t="shared" si="39"/>
        <v>0</v>
      </c>
      <c r="U109" s="126">
        <f t="shared" si="39"/>
        <v>0</v>
      </c>
      <c r="V109" s="126">
        <f t="shared" si="39"/>
        <v>0</v>
      </c>
      <c r="W109" s="126">
        <f t="shared" si="39"/>
        <v>0</v>
      </c>
      <c r="X109" s="126">
        <f t="shared" si="39"/>
        <v>0</v>
      </c>
      <c r="Y109" s="126">
        <f t="shared" si="39"/>
        <v>0</v>
      </c>
      <c r="Z109" s="126">
        <f t="shared" si="39"/>
        <v>0</v>
      </c>
      <c r="AA109" s="126">
        <f t="shared" si="39"/>
        <v>0</v>
      </c>
    </row>
    <row r="110" spans="2:27" hidden="1" outlineLevel="1" x14ac:dyDescent="0.35">
      <c r="B110" s="127" t="s">
        <v>102</v>
      </c>
      <c r="C110" s="128">
        <f>Project_profitability!C60*(1+'Sensitivity analysis project'!$D$8)</f>
        <v>0</v>
      </c>
      <c r="D110" s="128">
        <f>Project_profitability!D60*(1+'Sensitivity analysis project'!$D$8)</f>
        <v>0</v>
      </c>
      <c r="E110" s="128">
        <f>Project_profitability!E60*(1+'Sensitivity analysis project'!$D$8)</f>
        <v>0</v>
      </c>
      <c r="F110" s="128">
        <f>Project_profitability!F60*(1+'Sensitivity analysis project'!$D$8)</f>
        <v>0</v>
      </c>
      <c r="G110" s="128">
        <f>Project_profitability!G60*(1+'Sensitivity analysis project'!$D$8)</f>
        <v>0</v>
      </c>
      <c r="H110" s="128">
        <f>Project_profitability!H60*(1+'Sensitivity analysis project'!$D$8)</f>
        <v>0</v>
      </c>
      <c r="I110" s="128">
        <f>Project_profitability!I60*(1+'Sensitivity analysis project'!$D$8)</f>
        <v>0</v>
      </c>
      <c r="J110" s="128">
        <f>Project_profitability!J60*(1+'Sensitivity analysis project'!$D$8)</f>
        <v>0</v>
      </c>
      <c r="K110" s="128">
        <f>Project_profitability!K60*(1+'Sensitivity analysis project'!$D$8)</f>
        <v>0</v>
      </c>
      <c r="L110" s="128">
        <f>Project_profitability!L60*(1+'Sensitivity analysis project'!$D$8)</f>
        <v>0</v>
      </c>
      <c r="M110" s="128">
        <f>Project_profitability!M60*(1+'Sensitivity analysis project'!$D$8)</f>
        <v>0</v>
      </c>
      <c r="N110" s="128">
        <f>Project_profitability!N60*(1+'Sensitivity analysis project'!$D$8)</f>
        <v>0</v>
      </c>
      <c r="O110" s="128">
        <f>Project_profitability!O60*(1+'Sensitivity analysis project'!$D$8)</f>
        <v>0</v>
      </c>
      <c r="P110" s="128">
        <f>Project_profitability!P60*(1+'Sensitivity analysis project'!$D$8)</f>
        <v>0</v>
      </c>
      <c r="Q110" s="128">
        <f>Project_profitability!Q60*(1+'Sensitivity analysis project'!$D$8)</f>
        <v>0</v>
      </c>
      <c r="R110" s="128">
        <f>Project_profitability!R60*(1+'Sensitivity analysis project'!$D$8)</f>
        <v>0</v>
      </c>
      <c r="S110" s="128">
        <f>Project_profitability!S60*(1+'Sensitivity analysis project'!$D$8)</f>
        <v>0</v>
      </c>
      <c r="T110" s="128">
        <f>Project_profitability!T60*(1+'Sensitivity analysis project'!$D$8)</f>
        <v>0</v>
      </c>
      <c r="U110" s="128">
        <f>Project_profitability!U60*(1+'Sensitivity analysis project'!$D$8)</f>
        <v>0</v>
      </c>
      <c r="V110" s="128">
        <f>Project_profitability!V60*(1+'Sensitivity analysis project'!$D$8)</f>
        <v>0</v>
      </c>
      <c r="W110" s="128">
        <f>Project_profitability!W60*(1+'Sensitivity analysis project'!$D$8)</f>
        <v>0</v>
      </c>
      <c r="X110" s="128">
        <f>Project_profitability!X60*(1+'Sensitivity analysis project'!$D$8)</f>
        <v>0</v>
      </c>
      <c r="Y110" s="128">
        <f>Project_profitability!Y60*(1+'Sensitivity analysis project'!$D$8)</f>
        <v>0</v>
      </c>
      <c r="Z110" s="128">
        <f>Project_profitability!Z60*(1+'Sensitivity analysis project'!$D$8)</f>
        <v>0</v>
      </c>
      <c r="AA110" s="128">
        <f>Project_profitability!AA60*(1+'Sensitivity analysis project'!$D$8)</f>
        <v>0</v>
      </c>
    </row>
    <row r="111" spans="2:27" hidden="1" outlineLevel="1" x14ac:dyDescent="0.35">
      <c r="B111" s="122" t="s">
        <v>103</v>
      </c>
      <c r="C111" s="126">
        <f t="shared" ref="C111:H111" si="40">C109-C110</f>
        <v>0</v>
      </c>
      <c r="D111" s="126">
        <f t="shared" si="40"/>
        <v>0</v>
      </c>
      <c r="E111" s="126">
        <f t="shared" si="40"/>
        <v>0</v>
      </c>
      <c r="F111" s="126">
        <f t="shared" si="40"/>
        <v>0</v>
      </c>
      <c r="G111" s="126">
        <f t="shared" si="40"/>
        <v>0</v>
      </c>
      <c r="H111" s="126">
        <f t="shared" si="40"/>
        <v>0</v>
      </c>
      <c r="I111" s="126">
        <f t="shared" ref="I111:AA111" si="41">I109-I110</f>
        <v>0</v>
      </c>
      <c r="J111" s="126">
        <f t="shared" si="41"/>
        <v>0</v>
      </c>
      <c r="K111" s="126">
        <f t="shared" si="41"/>
        <v>0</v>
      </c>
      <c r="L111" s="126">
        <f t="shared" si="41"/>
        <v>0</v>
      </c>
      <c r="M111" s="126">
        <f t="shared" si="41"/>
        <v>0</v>
      </c>
      <c r="N111" s="126">
        <f t="shared" si="41"/>
        <v>0</v>
      </c>
      <c r="O111" s="126">
        <f t="shared" si="41"/>
        <v>0</v>
      </c>
      <c r="P111" s="126">
        <f t="shared" si="41"/>
        <v>0</v>
      </c>
      <c r="Q111" s="126">
        <f t="shared" si="41"/>
        <v>0</v>
      </c>
      <c r="R111" s="126">
        <f t="shared" si="41"/>
        <v>0</v>
      </c>
      <c r="S111" s="126">
        <f t="shared" si="41"/>
        <v>0</v>
      </c>
      <c r="T111" s="126">
        <f t="shared" si="41"/>
        <v>0</v>
      </c>
      <c r="U111" s="126">
        <f t="shared" si="41"/>
        <v>0</v>
      </c>
      <c r="V111" s="126">
        <f t="shared" si="41"/>
        <v>0</v>
      </c>
      <c r="W111" s="126">
        <f t="shared" si="41"/>
        <v>0</v>
      </c>
      <c r="X111" s="126">
        <f t="shared" si="41"/>
        <v>0</v>
      </c>
      <c r="Y111" s="126">
        <f t="shared" si="41"/>
        <v>0</v>
      </c>
      <c r="Z111" s="126">
        <f t="shared" si="41"/>
        <v>0</v>
      </c>
      <c r="AA111" s="126">
        <f t="shared" si="41"/>
        <v>0</v>
      </c>
    </row>
    <row r="112" spans="2:27" hidden="1" outlineLevel="1" x14ac:dyDescent="0.35">
      <c r="B112" s="129" t="s">
        <v>104</v>
      </c>
      <c r="C112" s="130">
        <f>C111</f>
        <v>0</v>
      </c>
      <c r="D112" s="130">
        <f t="shared" ref="D112:H112" si="42">D111</f>
        <v>0</v>
      </c>
      <c r="E112" s="130">
        <f t="shared" si="42"/>
        <v>0</v>
      </c>
      <c r="F112" s="130">
        <f t="shared" si="42"/>
        <v>0</v>
      </c>
      <c r="G112" s="130">
        <f t="shared" si="42"/>
        <v>0</v>
      </c>
      <c r="H112" s="130">
        <f t="shared" si="42"/>
        <v>0</v>
      </c>
      <c r="I112" s="130">
        <f t="shared" ref="I112" si="43">I111</f>
        <v>0</v>
      </c>
      <c r="J112" s="130">
        <f t="shared" ref="J112" si="44">J111</f>
        <v>0</v>
      </c>
      <c r="K112" s="130">
        <f t="shared" ref="K112" si="45">K111</f>
        <v>0</v>
      </c>
      <c r="L112" s="130">
        <f t="shared" ref="L112" si="46">L111</f>
        <v>0</v>
      </c>
      <c r="M112" s="130">
        <f t="shared" ref="M112" si="47">M111</f>
        <v>0</v>
      </c>
      <c r="N112" s="130">
        <f t="shared" ref="N112" si="48">N111</f>
        <v>0</v>
      </c>
      <c r="O112" s="130">
        <f t="shared" ref="O112" si="49">O111</f>
        <v>0</v>
      </c>
      <c r="P112" s="130">
        <f t="shared" ref="P112" si="50">P111</f>
        <v>0</v>
      </c>
      <c r="Q112" s="130">
        <f t="shared" ref="Q112" si="51">Q111</f>
        <v>0</v>
      </c>
      <c r="R112" s="130">
        <f t="shared" ref="R112" si="52">R111</f>
        <v>0</v>
      </c>
      <c r="S112" s="130">
        <f t="shared" ref="S112" si="53">S111</f>
        <v>0</v>
      </c>
      <c r="T112" s="130">
        <f t="shared" ref="T112" si="54">T111</f>
        <v>0</v>
      </c>
      <c r="U112" s="130">
        <f t="shared" ref="U112" si="55">U111</f>
        <v>0</v>
      </c>
      <c r="V112" s="130">
        <f t="shared" ref="V112" si="56">V111</f>
        <v>0</v>
      </c>
      <c r="W112" s="130">
        <f t="shared" ref="W112" si="57">W111</f>
        <v>0</v>
      </c>
      <c r="X112" s="130">
        <f t="shared" ref="X112" si="58">X111</f>
        <v>0</v>
      </c>
      <c r="Y112" s="130">
        <f t="shared" ref="Y112" si="59">Y111</f>
        <v>0</v>
      </c>
      <c r="Z112" s="130">
        <f t="shared" ref="Z112" si="60">Z111</f>
        <v>0</v>
      </c>
      <c r="AA112" s="130">
        <f t="shared" ref="AA112" si="61">AA111</f>
        <v>0</v>
      </c>
    </row>
    <row r="113" spans="2:27" hidden="1" outlineLevel="1" x14ac:dyDescent="0.35">
      <c r="B113" s="131" t="s">
        <v>105</v>
      </c>
      <c r="C113" s="132">
        <f>Project_profitability!C105</f>
        <v>0</v>
      </c>
      <c r="D113" s="132">
        <f>Project_profitability!D105</f>
        <v>0</v>
      </c>
      <c r="E113" s="132">
        <f>Project_profitability!E105</f>
        <v>0</v>
      </c>
      <c r="F113" s="132">
        <f>Project_profitability!F105</f>
        <v>0</v>
      </c>
      <c r="G113" s="132">
        <f>Project_profitability!G105</f>
        <v>0</v>
      </c>
      <c r="H113" s="132">
        <f>Project_profitability!H105</f>
        <v>0</v>
      </c>
      <c r="I113" s="132">
        <f>Project_profitability!I105</f>
        <v>0</v>
      </c>
      <c r="J113" s="132">
        <f>Project_profitability!J105</f>
        <v>0</v>
      </c>
      <c r="K113" s="132">
        <f>Project_profitability!K105</f>
        <v>0</v>
      </c>
      <c r="L113" s="132">
        <f>Project_profitability!L105</f>
        <v>0</v>
      </c>
      <c r="M113" s="132">
        <f>Project_profitability!M105</f>
        <v>0</v>
      </c>
      <c r="N113" s="132">
        <f>Project_profitability!N105</f>
        <v>0</v>
      </c>
      <c r="O113" s="132">
        <f>Project_profitability!O105</f>
        <v>0</v>
      </c>
      <c r="P113" s="132">
        <f>Project_profitability!P105</f>
        <v>0</v>
      </c>
      <c r="Q113" s="132">
        <f>Project_profitability!Q105</f>
        <v>0</v>
      </c>
      <c r="R113" s="132">
        <f>Project_profitability!R105</f>
        <v>0</v>
      </c>
      <c r="S113" s="132">
        <f>Project_profitability!S105</f>
        <v>0</v>
      </c>
      <c r="T113" s="132">
        <f>Project_profitability!T105</f>
        <v>0</v>
      </c>
      <c r="U113" s="132">
        <f>Project_profitability!U105</f>
        <v>0</v>
      </c>
      <c r="V113" s="132">
        <f>Project_profitability!V105</f>
        <v>0</v>
      </c>
      <c r="W113" s="132">
        <f>Project_profitability!W105</f>
        <v>0</v>
      </c>
      <c r="X113" s="132">
        <f>Project_profitability!X105</f>
        <v>0</v>
      </c>
      <c r="Y113" s="132">
        <f>Project_profitability!Y105</f>
        <v>0</v>
      </c>
      <c r="Z113" s="132">
        <f>Project_profitability!Z105</f>
        <v>0</v>
      </c>
      <c r="AA113" s="132">
        <f>Project_profitability!AA105</f>
        <v>0</v>
      </c>
    </row>
    <row r="114" spans="2:27" hidden="1" outlineLevel="1" x14ac:dyDescent="0.35">
      <c r="B114" s="133" t="s">
        <v>106</v>
      </c>
      <c r="C114" s="134">
        <f t="shared" ref="C114:H114" si="62">C112+C110-C113</f>
        <v>0</v>
      </c>
      <c r="D114" s="134">
        <f t="shared" si="62"/>
        <v>0</v>
      </c>
      <c r="E114" s="134">
        <f t="shared" si="62"/>
        <v>0</v>
      </c>
      <c r="F114" s="134">
        <f t="shared" si="62"/>
        <v>0</v>
      </c>
      <c r="G114" s="134">
        <f t="shared" si="62"/>
        <v>0</v>
      </c>
      <c r="H114" s="134">
        <f t="shared" si="62"/>
        <v>0</v>
      </c>
      <c r="I114" s="134">
        <f t="shared" ref="I114:AA114" si="63">I112+I110-I113</f>
        <v>0</v>
      </c>
      <c r="J114" s="134">
        <f t="shared" si="63"/>
        <v>0</v>
      </c>
      <c r="K114" s="134">
        <f t="shared" si="63"/>
        <v>0</v>
      </c>
      <c r="L114" s="134">
        <f t="shared" si="63"/>
        <v>0</v>
      </c>
      <c r="M114" s="134">
        <f t="shared" si="63"/>
        <v>0</v>
      </c>
      <c r="N114" s="134">
        <f t="shared" si="63"/>
        <v>0</v>
      </c>
      <c r="O114" s="134">
        <f t="shared" si="63"/>
        <v>0</v>
      </c>
      <c r="P114" s="134">
        <f t="shared" si="63"/>
        <v>0</v>
      </c>
      <c r="Q114" s="134">
        <f t="shared" si="63"/>
        <v>0</v>
      </c>
      <c r="R114" s="134">
        <f t="shared" si="63"/>
        <v>0</v>
      </c>
      <c r="S114" s="134">
        <f t="shared" si="63"/>
        <v>0</v>
      </c>
      <c r="T114" s="134">
        <f t="shared" si="63"/>
        <v>0</v>
      </c>
      <c r="U114" s="134">
        <f t="shared" si="63"/>
        <v>0</v>
      </c>
      <c r="V114" s="134">
        <f t="shared" si="63"/>
        <v>0</v>
      </c>
      <c r="W114" s="134">
        <f t="shared" si="63"/>
        <v>0</v>
      </c>
      <c r="X114" s="134">
        <f t="shared" si="63"/>
        <v>0</v>
      </c>
      <c r="Y114" s="134">
        <f t="shared" si="63"/>
        <v>0</v>
      </c>
      <c r="Z114" s="134">
        <f t="shared" si="63"/>
        <v>0</v>
      </c>
      <c r="AA114" s="134">
        <f t="shared" si="63"/>
        <v>0</v>
      </c>
    </row>
    <row r="115" spans="2:27" hidden="1" outlineLevel="1" x14ac:dyDescent="0.35">
      <c r="B115" s="135" t="s">
        <v>38</v>
      </c>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f>AA94*(1-D10)</f>
        <v>0</v>
      </c>
    </row>
    <row r="116" spans="2:27" hidden="1" outlineLevel="2" x14ac:dyDescent="0.35">
      <c r="B116" s="136" t="s">
        <v>107</v>
      </c>
      <c r="C116" s="137">
        <f t="shared" ref="C116:H116" si="64">C114-C106+C115</f>
        <v>0</v>
      </c>
      <c r="D116" s="137">
        <f t="shared" si="64"/>
        <v>0</v>
      </c>
      <c r="E116" s="137">
        <f t="shared" si="64"/>
        <v>0</v>
      </c>
      <c r="F116" s="137">
        <f t="shared" si="64"/>
        <v>0</v>
      </c>
      <c r="G116" s="137">
        <f t="shared" si="64"/>
        <v>0</v>
      </c>
      <c r="H116" s="137">
        <f t="shared" si="64"/>
        <v>0</v>
      </c>
      <c r="I116" s="137">
        <f t="shared" ref="I116:AA116" si="65">I114-I106+I115</f>
        <v>0</v>
      </c>
      <c r="J116" s="137">
        <f t="shared" si="65"/>
        <v>0</v>
      </c>
      <c r="K116" s="137">
        <f t="shared" si="65"/>
        <v>0</v>
      </c>
      <c r="L116" s="137">
        <f t="shared" si="65"/>
        <v>0</v>
      </c>
      <c r="M116" s="137">
        <f t="shared" si="65"/>
        <v>0</v>
      </c>
      <c r="N116" s="137">
        <f t="shared" si="65"/>
        <v>0</v>
      </c>
      <c r="O116" s="137">
        <f t="shared" si="65"/>
        <v>0</v>
      </c>
      <c r="P116" s="137">
        <f t="shared" si="65"/>
        <v>0</v>
      </c>
      <c r="Q116" s="137">
        <f t="shared" si="65"/>
        <v>0</v>
      </c>
      <c r="R116" s="137">
        <f t="shared" si="65"/>
        <v>0</v>
      </c>
      <c r="S116" s="137">
        <f t="shared" si="65"/>
        <v>0</v>
      </c>
      <c r="T116" s="137">
        <f t="shared" si="65"/>
        <v>0</v>
      </c>
      <c r="U116" s="137">
        <f t="shared" si="65"/>
        <v>0</v>
      </c>
      <c r="V116" s="137">
        <f t="shared" si="65"/>
        <v>0</v>
      </c>
      <c r="W116" s="137">
        <f t="shared" si="65"/>
        <v>0</v>
      </c>
      <c r="X116" s="137">
        <f t="shared" si="65"/>
        <v>0</v>
      </c>
      <c r="Y116" s="137">
        <f t="shared" si="65"/>
        <v>0</v>
      </c>
      <c r="Z116" s="137">
        <f t="shared" si="65"/>
        <v>0</v>
      </c>
      <c r="AA116" s="137">
        <f t="shared" si="65"/>
        <v>0</v>
      </c>
    </row>
    <row r="117" spans="2:27" collapsed="1" x14ac:dyDescent="0.35">
      <c r="B117" s="121"/>
      <c r="C117" s="114"/>
      <c r="D117" s="114"/>
      <c r="E117" s="114"/>
      <c r="F117" s="114"/>
      <c r="G117" s="114"/>
      <c r="H117" s="114"/>
    </row>
    <row r="118" spans="2:27" x14ac:dyDescent="0.35">
      <c r="B118" s="121"/>
    </row>
    <row r="119" spans="2:27" x14ac:dyDescent="0.35">
      <c r="B119" s="138" t="s">
        <v>40</v>
      </c>
      <c r="C119" s="139">
        <v>0.04</v>
      </c>
    </row>
    <row r="120" spans="2:27" x14ac:dyDescent="0.35">
      <c r="B120" s="140" t="s">
        <v>41</v>
      </c>
      <c r="C120" s="141">
        <f>NPV(C119,C116:AA116)</f>
        <v>0</v>
      </c>
    </row>
    <row r="121" spans="2:27" x14ac:dyDescent="0.35">
      <c r="B121" s="142" t="s">
        <v>42</v>
      </c>
      <c r="C121" s="143" t="e">
        <f>IRR(C116:AA116,C119)</f>
        <v>#NUM!</v>
      </c>
    </row>
    <row r="123" spans="2:27" x14ac:dyDescent="0.35">
      <c r="B123" s="92" t="s">
        <v>112</v>
      </c>
    </row>
    <row r="124" spans="2:27" hidden="1" outlineLevel="1" x14ac:dyDescent="0.35">
      <c r="B124" s="405"/>
      <c r="C124" s="164" t="s">
        <v>27</v>
      </c>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row>
    <row r="125" spans="2:27" hidden="1" outlineLevel="1" x14ac:dyDescent="0.35">
      <c r="B125" s="405"/>
      <c r="C125" s="165">
        <v>1</v>
      </c>
      <c r="D125" s="165">
        <v>2</v>
      </c>
      <c r="E125" s="165">
        <v>3</v>
      </c>
      <c r="F125" s="165">
        <v>4</v>
      </c>
      <c r="G125" s="165">
        <v>5</v>
      </c>
      <c r="H125" s="165">
        <v>6</v>
      </c>
      <c r="I125" s="165">
        <v>7</v>
      </c>
      <c r="J125" s="165">
        <v>8</v>
      </c>
      <c r="K125" s="165">
        <v>9</v>
      </c>
      <c r="L125" s="165">
        <v>10</v>
      </c>
      <c r="M125" s="165">
        <v>11</v>
      </c>
      <c r="N125" s="165">
        <v>12</v>
      </c>
      <c r="O125" s="165">
        <v>13</v>
      </c>
      <c r="P125" s="165">
        <v>14</v>
      </c>
      <c r="Q125" s="165">
        <v>15</v>
      </c>
      <c r="R125" s="165">
        <v>16</v>
      </c>
      <c r="S125" s="165">
        <v>17</v>
      </c>
      <c r="T125" s="165">
        <v>18</v>
      </c>
      <c r="U125" s="165">
        <v>19</v>
      </c>
      <c r="V125" s="165">
        <v>20</v>
      </c>
      <c r="W125" s="165">
        <v>21</v>
      </c>
      <c r="X125" s="165">
        <v>22</v>
      </c>
      <c r="Y125" s="165">
        <v>23</v>
      </c>
      <c r="Z125" s="165">
        <v>24</v>
      </c>
      <c r="AA125" s="165">
        <v>25</v>
      </c>
    </row>
    <row r="126" spans="2:27" hidden="1" outlineLevel="1" x14ac:dyDescent="0.35">
      <c r="B126" s="122" t="s">
        <v>35</v>
      </c>
      <c r="C126" s="124">
        <f>C106</f>
        <v>0</v>
      </c>
      <c r="D126" s="124"/>
      <c r="E126" s="124"/>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row>
    <row r="127" spans="2:27" hidden="1" outlineLevel="1" x14ac:dyDescent="0.35">
      <c r="B127" s="125" t="s">
        <v>36</v>
      </c>
      <c r="C127" s="95">
        <f>C107</f>
        <v>0</v>
      </c>
      <c r="D127" s="95">
        <f t="shared" ref="D127:H127" si="66">D107</f>
        <v>0</v>
      </c>
      <c r="E127" s="95">
        <f t="shared" si="66"/>
        <v>0</v>
      </c>
      <c r="F127" s="95">
        <f t="shared" si="66"/>
        <v>0</v>
      </c>
      <c r="G127" s="95">
        <f t="shared" si="66"/>
        <v>0</v>
      </c>
      <c r="H127" s="95">
        <f t="shared" si="66"/>
        <v>0</v>
      </c>
      <c r="I127" s="95">
        <f t="shared" ref="I127:AA127" si="67">I107</f>
        <v>0</v>
      </c>
      <c r="J127" s="95">
        <f t="shared" si="67"/>
        <v>0</v>
      </c>
      <c r="K127" s="95">
        <f t="shared" si="67"/>
        <v>0</v>
      </c>
      <c r="L127" s="95">
        <f t="shared" si="67"/>
        <v>0</v>
      </c>
      <c r="M127" s="95">
        <f t="shared" si="67"/>
        <v>0</v>
      </c>
      <c r="N127" s="95">
        <f t="shared" si="67"/>
        <v>0</v>
      </c>
      <c r="O127" s="95">
        <f t="shared" si="67"/>
        <v>0</v>
      </c>
      <c r="P127" s="95">
        <f t="shared" si="67"/>
        <v>0</v>
      </c>
      <c r="Q127" s="95">
        <f t="shared" si="67"/>
        <v>0</v>
      </c>
      <c r="R127" s="95">
        <f t="shared" si="67"/>
        <v>0</v>
      </c>
      <c r="S127" s="95">
        <f t="shared" si="67"/>
        <v>0</v>
      </c>
      <c r="T127" s="95">
        <f t="shared" si="67"/>
        <v>0</v>
      </c>
      <c r="U127" s="95">
        <f t="shared" si="67"/>
        <v>0</v>
      </c>
      <c r="V127" s="95">
        <f t="shared" si="67"/>
        <v>0</v>
      </c>
      <c r="W127" s="95">
        <f t="shared" si="67"/>
        <v>0</v>
      </c>
      <c r="X127" s="95">
        <f t="shared" si="67"/>
        <v>0</v>
      </c>
      <c r="Y127" s="95">
        <f t="shared" si="67"/>
        <v>0</v>
      </c>
      <c r="Z127" s="95">
        <f t="shared" si="67"/>
        <v>0</v>
      </c>
      <c r="AA127" s="95">
        <f t="shared" si="67"/>
        <v>0</v>
      </c>
    </row>
    <row r="128" spans="2:27" ht="29" hidden="1" outlineLevel="1" x14ac:dyDescent="0.35">
      <c r="B128" s="125" t="s">
        <v>100</v>
      </c>
      <c r="C128" s="95">
        <f>Project_profitability!C14*(1+'Sensitivity analysis project'!$D$11)</f>
        <v>0</v>
      </c>
      <c r="D128" s="95">
        <f>Project_profitability!D14*(1+'Sensitivity analysis project'!$D$11)</f>
        <v>0</v>
      </c>
      <c r="E128" s="95">
        <f>Project_profitability!E14*(1+'Sensitivity analysis project'!$D$11)</f>
        <v>0</v>
      </c>
      <c r="F128" s="95">
        <f>Project_profitability!F14*(1+'Sensitivity analysis project'!$D$11)</f>
        <v>0</v>
      </c>
      <c r="G128" s="95">
        <f>Project_profitability!G14*(1+'Sensitivity analysis project'!$D$11)</f>
        <v>0</v>
      </c>
      <c r="H128" s="95">
        <f>Project_profitability!H14*(1+'Sensitivity analysis project'!$D$11)</f>
        <v>0</v>
      </c>
      <c r="I128" s="95">
        <f>Project_profitability!I14*(1+'Sensitivity analysis project'!$D$11)</f>
        <v>0</v>
      </c>
      <c r="J128" s="95">
        <f>Project_profitability!J14*(1+'Sensitivity analysis project'!$D$11)</f>
        <v>0</v>
      </c>
      <c r="K128" s="95">
        <f>Project_profitability!K14*(1+'Sensitivity analysis project'!$D$11)</f>
        <v>0</v>
      </c>
      <c r="L128" s="95">
        <f>Project_profitability!L14*(1+'Sensitivity analysis project'!$D$11)</f>
        <v>0</v>
      </c>
      <c r="M128" s="95">
        <f>Project_profitability!M14*(1+'Sensitivity analysis project'!$D$11)</f>
        <v>0</v>
      </c>
      <c r="N128" s="95">
        <f>Project_profitability!N14*(1+'Sensitivity analysis project'!$D$11)</f>
        <v>0</v>
      </c>
      <c r="O128" s="95">
        <f>Project_profitability!O14*(1+'Sensitivity analysis project'!$D$11)</f>
        <v>0</v>
      </c>
      <c r="P128" s="95">
        <f>Project_profitability!P14*(1+'Sensitivity analysis project'!$D$11)</f>
        <v>0</v>
      </c>
      <c r="Q128" s="95">
        <f>Project_profitability!Q14*(1+'Sensitivity analysis project'!$D$11)</f>
        <v>0</v>
      </c>
      <c r="R128" s="95">
        <f>Project_profitability!R14*(1+'Sensitivity analysis project'!$D$11)</f>
        <v>0</v>
      </c>
      <c r="S128" s="95">
        <f>Project_profitability!S14*(1+'Sensitivity analysis project'!$D$11)</f>
        <v>0</v>
      </c>
      <c r="T128" s="95">
        <f>Project_profitability!T14*(1+'Sensitivity analysis project'!$D$11)</f>
        <v>0</v>
      </c>
      <c r="U128" s="95">
        <f>Project_profitability!U14*(1+'Sensitivity analysis project'!$D$11)</f>
        <v>0</v>
      </c>
      <c r="V128" s="95">
        <f>Project_profitability!V14*(1+'Sensitivity analysis project'!$D$11)</f>
        <v>0</v>
      </c>
      <c r="W128" s="95">
        <f>Project_profitability!W14*(1+'Sensitivity analysis project'!$D$11)</f>
        <v>0</v>
      </c>
      <c r="X128" s="95">
        <f>Project_profitability!X14*(1+'Sensitivity analysis project'!$D$11)</f>
        <v>0</v>
      </c>
      <c r="Y128" s="95">
        <f>Project_profitability!Y14*(1+'Sensitivity analysis project'!$D$11)</f>
        <v>0</v>
      </c>
      <c r="Z128" s="95">
        <f>Project_profitability!Z14*(1+'Sensitivity analysis project'!$D$11)</f>
        <v>0</v>
      </c>
      <c r="AA128" s="95">
        <f>Project_profitability!AA14*(1+'Sensitivity analysis project'!$D$11)</f>
        <v>0</v>
      </c>
    </row>
    <row r="129" spans="2:27" ht="29" hidden="1" outlineLevel="1" x14ac:dyDescent="0.35">
      <c r="B129" s="125" t="s">
        <v>101</v>
      </c>
      <c r="C129" s="126">
        <f t="shared" ref="C129:H129" si="68">C127-C128</f>
        <v>0</v>
      </c>
      <c r="D129" s="126">
        <f t="shared" si="68"/>
        <v>0</v>
      </c>
      <c r="E129" s="126">
        <f t="shared" si="68"/>
        <v>0</v>
      </c>
      <c r="F129" s="126">
        <f t="shared" si="68"/>
        <v>0</v>
      </c>
      <c r="G129" s="126">
        <f t="shared" si="68"/>
        <v>0</v>
      </c>
      <c r="H129" s="126">
        <f t="shared" si="68"/>
        <v>0</v>
      </c>
      <c r="I129" s="126">
        <f t="shared" ref="I129:AA129" si="69">I127-I128</f>
        <v>0</v>
      </c>
      <c r="J129" s="126">
        <f t="shared" si="69"/>
        <v>0</v>
      </c>
      <c r="K129" s="126">
        <f t="shared" si="69"/>
        <v>0</v>
      </c>
      <c r="L129" s="126">
        <f t="shared" si="69"/>
        <v>0</v>
      </c>
      <c r="M129" s="126">
        <f t="shared" si="69"/>
        <v>0</v>
      </c>
      <c r="N129" s="126">
        <f t="shared" si="69"/>
        <v>0</v>
      </c>
      <c r="O129" s="126">
        <f t="shared" si="69"/>
        <v>0</v>
      </c>
      <c r="P129" s="126">
        <f t="shared" si="69"/>
        <v>0</v>
      </c>
      <c r="Q129" s="126">
        <f t="shared" si="69"/>
        <v>0</v>
      </c>
      <c r="R129" s="126">
        <f t="shared" si="69"/>
        <v>0</v>
      </c>
      <c r="S129" s="126">
        <f t="shared" si="69"/>
        <v>0</v>
      </c>
      <c r="T129" s="126">
        <f t="shared" si="69"/>
        <v>0</v>
      </c>
      <c r="U129" s="126">
        <f t="shared" si="69"/>
        <v>0</v>
      </c>
      <c r="V129" s="126">
        <f t="shared" si="69"/>
        <v>0</v>
      </c>
      <c r="W129" s="126">
        <f t="shared" si="69"/>
        <v>0</v>
      </c>
      <c r="X129" s="126">
        <f t="shared" si="69"/>
        <v>0</v>
      </c>
      <c r="Y129" s="126">
        <f t="shared" si="69"/>
        <v>0</v>
      </c>
      <c r="Z129" s="126">
        <f t="shared" si="69"/>
        <v>0</v>
      </c>
      <c r="AA129" s="126">
        <f t="shared" si="69"/>
        <v>0</v>
      </c>
    </row>
    <row r="130" spans="2:27" hidden="1" outlineLevel="1" x14ac:dyDescent="0.35">
      <c r="B130" s="127" t="s">
        <v>102</v>
      </c>
      <c r="C130" s="128">
        <f>Project_profitability!C20</f>
        <v>0.04</v>
      </c>
      <c r="D130" s="128">
        <f>Project_profitability!D20</f>
        <v>0</v>
      </c>
      <c r="E130" s="128">
        <f>Project_profitability!E20</f>
        <v>0</v>
      </c>
      <c r="F130" s="128">
        <f>Project_profitability!F20</f>
        <v>0</v>
      </c>
      <c r="G130" s="128">
        <f>Project_profitability!G20</f>
        <v>0</v>
      </c>
      <c r="H130" s="128">
        <f>Project_profitability!H20</f>
        <v>0</v>
      </c>
      <c r="I130" s="128">
        <f>Project_profitability!I20</f>
        <v>0</v>
      </c>
      <c r="J130" s="128">
        <f>Project_profitability!J20</f>
        <v>0</v>
      </c>
      <c r="K130" s="128">
        <f>Project_profitability!K20</f>
        <v>0</v>
      </c>
      <c r="L130" s="128">
        <f>Project_profitability!L20</f>
        <v>0</v>
      </c>
      <c r="M130" s="128">
        <f>Project_profitability!M20</f>
        <v>0</v>
      </c>
      <c r="N130" s="128">
        <f>Project_profitability!N20</f>
        <v>0</v>
      </c>
      <c r="O130" s="128">
        <f>Project_profitability!O20</f>
        <v>0</v>
      </c>
      <c r="P130" s="128">
        <f>Project_profitability!P20</f>
        <v>0</v>
      </c>
      <c r="Q130" s="128">
        <f>Project_profitability!Q20</f>
        <v>0</v>
      </c>
      <c r="R130" s="128">
        <f>Project_profitability!R20</f>
        <v>0</v>
      </c>
      <c r="S130" s="128">
        <f>Project_profitability!S20</f>
        <v>0</v>
      </c>
      <c r="T130" s="128">
        <f>Project_profitability!T20</f>
        <v>0</v>
      </c>
      <c r="U130" s="128">
        <f>Project_profitability!U20</f>
        <v>0</v>
      </c>
      <c r="V130" s="128">
        <f>Project_profitability!V20</f>
        <v>0</v>
      </c>
      <c r="W130" s="128">
        <f>Project_profitability!W20</f>
        <v>0</v>
      </c>
      <c r="X130" s="128">
        <f>Project_profitability!X20</f>
        <v>0</v>
      </c>
      <c r="Y130" s="128">
        <f>Project_profitability!Y20</f>
        <v>0</v>
      </c>
      <c r="Z130" s="128">
        <f>Project_profitability!Z20</f>
        <v>0</v>
      </c>
      <c r="AA130" s="128">
        <f>Project_profitability!AA20</f>
        <v>0</v>
      </c>
    </row>
    <row r="131" spans="2:27" hidden="1" outlineLevel="1" x14ac:dyDescent="0.35">
      <c r="B131" s="122" t="s">
        <v>103</v>
      </c>
      <c r="C131" s="126">
        <f t="shared" ref="C131:H131" si="70">C129-C130</f>
        <v>-0.04</v>
      </c>
      <c r="D131" s="126">
        <f t="shared" si="70"/>
        <v>0</v>
      </c>
      <c r="E131" s="126">
        <f t="shared" si="70"/>
        <v>0</v>
      </c>
      <c r="F131" s="126">
        <f t="shared" si="70"/>
        <v>0</v>
      </c>
      <c r="G131" s="126">
        <f t="shared" si="70"/>
        <v>0</v>
      </c>
      <c r="H131" s="126">
        <f t="shared" si="70"/>
        <v>0</v>
      </c>
      <c r="I131" s="126">
        <f t="shared" ref="I131:AA131" si="71">I129-I130</f>
        <v>0</v>
      </c>
      <c r="J131" s="126">
        <f t="shared" si="71"/>
        <v>0</v>
      </c>
      <c r="K131" s="126">
        <f t="shared" si="71"/>
        <v>0</v>
      </c>
      <c r="L131" s="126">
        <f t="shared" si="71"/>
        <v>0</v>
      </c>
      <c r="M131" s="126">
        <f t="shared" si="71"/>
        <v>0</v>
      </c>
      <c r="N131" s="126">
        <f t="shared" si="71"/>
        <v>0</v>
      </c>
      <c r="O131" s="126">
        <f t="shared" si="71"/>
        <v>0</v>
      </c>
      <c r="P131" s="126">
        <f t="shared" si="71"/>
        <v>0</v>
      </c>
      <c r="Q131" s="126">
        <f t="shared" si="71"/>
        <v>0</v>
      </c>
      <c r="R131" s="126">
        <f t="shared" si="71"/>
        <v>0</v>
      </c>
      <c r="S131" s="126">
        <f t="shared" si="71"/>
        <v>0</v>
      </c>
      <c r="T131" s="126">
        <f t="shared" si="71"/>
        <v>0</v>
      </c>
      <c r="U131" s="126">
        <f t="shared" si="71"/>
        <v>0</v>
      </c>
      <c r="V131" s="126">
        <f t="shared" si="71"/>
        <v>0</v>
      </c>
      <c r="W131" s="126">
        <f t="shared" si="71"/>
        <v>0</v>
      </c>
      <c r="X131" s="126">
        <f t="shared" si="71"/>
        <v>0</v>
      </c>
      <c r="Y131" s="126">
        <f t="shared" si="71"/>
        <v>0</v>
      </c>
      <c r="Z131" s="126">
        <f t="shared" si="71"/>
        <v>0</v>
      </c>
      <c r="AA131" s="126">
        <f t="shared" si="71"/>
        <v>0</v>
      </c>
    </row>
    <row r="132" spans="2:27" hidden="1" outlineLevel="1" x14ac:dyDescent="0.35">
      <c r="B132" s="129" t="s">
        <v>104</v>
      </c>
      <c r="C132" s="130">
        <f>C131</f>
        <v>-0.04</v>
      </c>
      <c r="D132" s="130">
        <f t="shared" ref="D132:H132" si="72">D131</f>
        <v>0</v>
      </c>
      <c r="E132" s="130">
        <f t="shared" si="72"/>
        <v>0</v>
      </c>
      <c r="F132" s="130">
        <f t="shared" si="72"/>
        <v>0</v>
      </c>
      <c r="G132" s="130">
        <f t="shared" si="72"/>
        <v>0</v>
      </c>
      <c r="H132" s="130">
        <f t="shared" si="72"/>
        <v>0</v>
      </c>
      <c r="I132" s="130">
        <f t="shared" ref="I132" si="73">I131</f>
        <v>0</v>
      </c>
      <c r="J132" s="130">
        <f t="shared" ref="J132" si="74">J131</f>
        <v>0</v>
      </c>
      <c r="K132" s="130">
        <f t="shared" ref="K132" si="75">K131</f>
        <v>0</v>
      </c>
      <c r="L132" s="130">
        <f t="shared" ref="L132" si="76">L131</f>
        <v>0</v>
      </c>
      <c r="M132" s="130">
        <f t="shared" ref="M132" si="77">M131</f>
        <v>0</v>
      </c>
      <c r="N132" s="130">
        <f t="shared" ref="N132" si="78">N131</f>
        <v>0</v>
      </c>
      <c r="O132" s="130">
        <f t="shared" ref="O132" si="79">O131</f>
        <v>0</v>
      </c>
      <c r="P132" s="130">
        <f t="shared" ref="P132" si="80">P131</f>
        <v>0</v>
      </c>
      <c r="Q132" s="130">
        <f t="shared" ref="Q132" si="81">Q131</f>
        <v>0</v>
      </c>
      <c r="R132" s="130">
        <f t="shared" ref="R132" si="82">R131</f>
        <v>0</v>
      </c>
      <c r="S132" s="130">
        <f t="shared" ref="S132" si="83">S131</f>
        <v>0</v>
      </c>
      <c r="T132" s="130">
        <f t="shared" ref="T132" si="84">T131</f>
        <v>0</v>
      </c>
      <c r="U132" s="130">
        <f t="shared" ref="U132" si="85">U131</f>
        <v>0</v>
      </c>
      <c r="V132" s="130">
        <f t="shared" ref="V132" si="86">V131</f>
        <v>0</v>
      </c>
      <c r="W132" s="130">
        <f t="shared" ref="W132" si="87">W131</f>
        <v>0</v>
      </c>
      <c r="X132" s="130">
        <f t="shared" ref="X132" si="88">X131</f>
        <v>0</v>
      </c>
      <c r="Y132" s="130">
        <f t="shared" ref="Y132" si="89">Y131</f>
        <v>0</v>
      </c>
      <c r="Z132" s="130">
        <f t="shared" ref="Z132" si="90">Z131</f>
        <v>0</v>
      </c>
      <c r="AA132" s="130">
        <f t="shared" ref="AA132" si="91">AA131</f>
        <v>0</v>
      </c>
    </row>
    <row r="133" spans="2:27" hidden="1" outlineLevel="1" x14ac:dyDescent="0.35">
      <c r="B133" s="131" t="s">
        <v>105</v>
      </c>
      <c r="C133" s="132">
        <f t="shared" ref="C133:H133" si="92">C113</f>
        <v>0</v>
      </c>
      <c r="D133" s="132">
        <f t="shared" si="92"/>
        <v>0</v>
      </c>
      <c r="E133" s="132">
        <f t="shared" si="92"/>
        <v>0</v>
      </c>
      <c r="F133" s="132">
        <f t="shared" si="92"/>
        <v>0</v>
      </c>
      <c r="G133" s="132">
        <f t="shared" si="92"/>
        <v>0</v>
      </c>
      <c r="H133" s="132">
        <f t="shared" si="92"/>
        <v>0</v>
      </c>
      <c r="I133" s="132">
        <f t="shared" ref="I133:AA133" si="93">I113</f>
        <v>0</v>
      </c>
      <c r="J133" s="132">
        <f t="shared" si="93"/>
        <v>0</v>
      </c>
      <c r="K133" s="132">
        <f t="shared" si="93"/>
        <v>0</v>
      </c>
      <c r="L133" s="132">
        <f t="shared" si="93"/>
        <v>0</v>
      </c>
      <c r="M133" s="132">
        <f t="shared" si="93"/>
        <v>0</v>
      </c>
      <c r="N133" s="132">
        <f t="shared" si="93"/>
        <v>0</v>
      </c>
      <c r="O133" s="132">
        <f t="shared" si="93"/>
        <v>0</v>
      </c>
      <c r="P133" s="132">
        <f t="shared" si="93"/>
        <v>0</v>
      </c>
      <c r="Q133" s="132">
        <f t="shared" si="93"/>
        <v>0</v>
      </c>
      <c r="R133" s="132">
        <f t="shared" si="93"/>
        <v>0</v>
      </c>
      <c r="S133" s="132">
        <f t="shared" si="93"/>
        <v>0</v>
      </c>
      <c r="T133" s="132">
        <f t="shared" si="93"/>
        <v>0</v>
      </c>
      <c r="U133" s="132">
        <f t="shared" si="93"/>
        <v>0</v>
      </c>
      <c r="V133" s="132">
        <f t="shared" si="93"/>
        <v>0</v>
      </c>
      <c r="W133" s="132">
        <f t="shared" si="93"/>
        <v>0</v>
      </c>
      <c r="X133" s="132">
        <f t="shared" si="93"/>
        <v>0</v>
      </c>
      <c r="Y133" s="132">
        <f t="shared" si="93"/>
        <v>0</v>
      </c>
      <c r="Z133" s="132">
        <f t="shared" si="93"/>
        <v>0</v>
      </c>
      <c r="AA133" s="132">
        <f t="shared" si="93"/>
        <v>0</v>
      </c>
    </row>
    <row r="134" spans="2:27" hidden="1" outlineLevel="1" x14ac:dyDescent="0.35">
      <c r="B134" s="133" t="s">
        <v>106</v>
      </c>
      <c r="C134" s="134">
        <f t="shared" ref="C134:H134" si="94">C132+C130-C133</f>
        <v>0</v>
      </c>
      <c r="D134" s="134">
        <f t="shared" si="94"/>
        <v>0</v>
      </c>
      <c r="E134" s="134">
        <f t="shared" si="94"/>
        <v>0</v>
      </c>
      <c r="F134" s="134">
        <f t="shared" si="94"/>
        <v>0</v>
      </c>
      <c r="G134" s="134">
        <f t="shared" si="94"/>
        <v>0</v>
      </c>
      <c r="H134" s="134">
        <f t="shared" si="94"/>
        <v>0</v>
      </c>
      <c r="I134" s="134">
        <f t="shared" ref="I134:AA134" si="95">I132+I130-I133</f>
        <v>0</v>
      </c>
      <c r="J134" s="134">
        <f t="shared" si="95"/>
        <v>0</v>
      </c>
      <c r="K134" s="134">
        <f t="shared" si="95"/>
        <v>0</v>
      </c>
      <c r="L134" s="134">
        <f t="shared" si="95"/>
        <v>0</v>
      </c>
      <c r="M134" s="134">
        <f t="shared" si="95"/>
        <v>0</v>
      </c>
      <c r="N134" s="134">
        <f t="shared" si="95"/>
        <v>0</v>
      </c>
      <c r="O134" s="134">
        <f t="shared" si="95"/>
        <v>0</v>
      </c>
      <c r="P134" s="134">
        <f t="shared" si="95"/>
        <v>0</v>
      </c>
      <c r="Q134" s="134">
        <f t="shared" si="95"/>
        <v>0</v>
      </c>
      <c r="R134" s="134">
        <f t="shared" si="95"/>
        <v>0</v>
      </c>
      <c r="S134" s="134">
        <f t="shared" si="95"/>
        <v>0</v>
      </c>
      <c r="T134" s="134">
        <f t="shared" si="95"/>
        <v>0</v>
      </c>
      <c r="U134" s="134">
        <f t="shared" si="95"/>
        <v>0</v>
      </c>
      <c r="V134" s="134">
        <f t="shared" si="95"/>
        <v>0</v>
      </c>
      <c r="W134" s="134">
        <f t="shared" si="95"/>
        <v>0</v>
      </c>
      <c r="X134" s="134">
        <f t="shared" si="95"/>
        <v>0</v>
      </c>
      <c r="Y134" s="134">
        <f t="shared" si="95"/>
        <v>0</v>
      </c>
      <c r="Z134" s="134">
        <f t="shared" si="95"/>
        <v>0</v>
      </c>
      <c r="AA134" s="134">
        <f t="shared" si="95"/>
        <v>0</v>
      </c>
    </row>
    <row r="135" spans="2:27" hidden="1" outlineLevel="1" x14ac:dyDescent="0.35">
      <c r="B135" s="135" t="s">
        <v>38</v>
      </c>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f>AA94*(1-D11)</f>
        <v>0</v>
      </c>
    </row>
    <row r="136" spans="2:27" hidden="1" outlineLevel="2" x14ac:dyDescent="0.35">
      <c r="B136" s="136" t="s">
        <v>107</v>
      </c>
      <c r="C136" s="137">
        <f t="shared" ref="C136:H136" si="96">C134-C126+C135</f>
        <v>0</v>
      </c>
      <c r="D136" s="137">
        <f t="shared" si="96"/>
        <v>0</v>
      </c>
      <c r="E136" s="137">
        <f t="shared" si="96"/>
        <v>0</v>
      </c>
      <c r="F136" s="137">
        <f t="shared" si="96"/>
        <v>0</v>
      </c>
      <c r="G136" s="137">
        <f t="shared" si="96"/>
        <v>0</v>
      </c>
      <c r="H136" s="137">
        <f t="shared" si="96"/>
        <v>0</v>
      </c>
      <c r="I136" s="137">
        <f t="shared" ref="I136:AA136" si="97">I134-I126+I135</f>
        <v>0</v>
      </c>
      <c r="J136" s="137">
        <f t="shared" si="97"/>
        <v>0</v>
      </c>
      <c r="K136" s="137">
        <f t="shared" si="97"/>
        <v>0</v>
      </c>
      <c r="L136" s="137">
        <f t="shared" si="97"/>
        <v>0</v>
      </c>
      <c r="M136" s="137">
        <f t="shared" si="97"/>
        <v>0</v>
      </c>
      <c r="N136" s="137">
        <f t="shared" si="97"/>
        <v>0</v>
      </c>
      <c r="O136" s="137">
        <f t="shared" si="97"/>
        <v>0</v>
      </c>
      <c r="P136" s="137">
        <f t="shared" si="97"/>
        <v>0</v>
      </c>
      <c r="Q136" s="137">
        <f t="shared" si="97"/>
        <v>0</v>
      </c>
      <c r="R136" s="137">
        <f t="shared" si="97"/>
        <v>0</v>
      </c>
      <c r="S136" s="137">
        <f t="shared" si="97"/>
        <v>0</v>
      </c>
      <c r="T136" s="137">
        <f t="shared" si="97"/>
        <v>0</v>
      </c>
      <c r="U136" s="137">
        <f t="shared" si="97"/>
        <v>0</v>
      </c>
      <c r="V136" s="137">
        <f t="shared" si="97"/>
        <v>0</v>
      </c>
      <c r="W136" s="137">
        <f t="shared" si="97"/>
        <v>0</v>
      </c>
      <c r="X136" s="137">
        <f t="shared" si="97"/>
        <v>0</v>
      </c>
      <c r="Y136" s="137">
        <f t="shared" si="97"/>
        <v>0</v>
      </c>
      <c r="Z136" s="137">
        <f t="shared" si="97"/>
        <v>0</v>
      </c>
      <c r="AA136" s="137">
        <f t="shared" si="97"/>
        <v>0</v>
      </c>
    </row>
    <row r="137" spans="2:27" collapsed="1" x14ac:dyDescent="0.35">
      <c r="B137" s="121"/>
      <c r="C137" s="114"/>
      <c r="D137" s="114"/>
      <c r="E137" s="114"/>
      <c r="F137" s="114"/>
      <c r="G137" s="114"/>
      <c r="H137" s="114"/>
    </row>
    <row r="138" spans="2:27" x14ac:dyDescent="0.35">
      <c r="B138" s="121"/>
    </row>
    <row r="139" spans="2:27" x14ac:dyDescent="0.35">
      <c r="B139" s="138" t="s">
        <v>40</v>
      </c>
      <c r="C139" s="139">
        <v>0.04</v>
      </c>
    </row>
    <row r="140" spans="2:27" x14ac:dyDescent="0.35">
      <c r="B140" s="140" t="s">
        <v>41</v>
      </c>
      <c r="C140" s="141">
        <f>NPV(C139,C136:AA136)</f>
        <v>0</v>
      </c>
    </row>
    <row r="141" spans="2:27" x14ac:dyDescent="0.35">
      <c r="B141" s="142" t="s">
        <v>42</v>
      </c>
      <c r="C141" s="143" t="e">
        <f>IRR(C136:AA136,C139)</f>
        <v>#NUM!</v>
      </c>
    </row>
    <row r="144" spans="2:27" x14ac:dyDescent="0.35">
      <c r="B144" s="92" t="s">
        <v>113</v>
      </c>
    </row>
    <row r="145" spans="2:27" hidden="1" outlineLevel="1" x14ac:dyDescent="0.35">
      <c r="B145" s="405"/>
      <c r="C145" s="164" t="s">
        <v>27</v>
      </c>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row>
    <row r="146" spans="2:27" hidden="1" outlineLevel="1" x14ac:dyDescent="0.35">
      <c r="B146" s="405"/>
      <c r="C146" s="165">
        <v>1</v>
      </c>
      <c r="D146" s="165">
        <v>2</v>
      </c>
      <c r="E146" s="165">
        <v>3</v>
      </c>
      <c r="F146" s="165">
        <v>4</v>
      </c>
      <c r="G146" s="165">
        <v>5</v>
      </c>
      <c r="H146" s="165">
        <v>6</v>
      </c>
      <c r="I146" s="165">
        <v>7</v>
      </c>
      <c r="J146" s="165">
        <v>8</v>
      </c>
      <c r="K146" s="165">
        <v>9</v>
      </c>
      <c r="L146" s="165">
        <v>10</v>
      </c>
      <c r="M146" s="165">
        <v>11</v>
      </c>
      <c r="N146" s="165">
        <v>12</v>
      </c>
      <c r="O146" s="165">
        <v>13</v>
      </c>
      <c r="P146" s="165">
        <v>14</v>
      </c>
      <c r="Q146" s="165">
        <v>15</v>
      </c>
      <c r="R146" s="165">
        <v>16</v>
      </c>
      <c r="S146" s="165">
        <v>17</v>
      </c>
      <c r="T146" s="165">
        <v>18</v>
      </c>
      <c r="U146" s="165">
        <v>19</v>
      </c>
      <c r="V146" s="165">
        <v>20</v>
      </c>
      <c r="W146" s="165">
        <v>21</v>
      </c>
      <c r="X146" s="165">
        <v>22</v>
      </c>
      <c r="Y146" s="165">
        <v>23</v>
      </c>
      <c r="Z146" s="165">
        <v>24</v>
      </c>
      <c r="AA146" s="165">
        <v>25</v>
      </c>
    </row>
    <row r="147" spans="2:27" hidden="1" outlineLevel="1" x14ac:dyDescent="0.35">
      <c r="B147" s="122" t="s">
        <v>35</v>
      </c>
      <c r="C147" s="124">
        <f>C126</f>
        <v>0</v>
      </c>
      <c r="D147" s="124"/>
      <c r="E147" s="124"/>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row>
    <row r="148" spans="2:27" hidden="1" outlineLevel="1" x14ac:dyDescent="0.35">
      <c r="B148" s="125" t="s">
        <v>36</v>
      </c>
      <c r="C148" s="95">
        <f>C127</f>
        <v>0</v>
      </c>
      <c r="D148" s="95">
        <f t="shared" ref="D148:H148" si="98">D127</f>
        <v>0</v>
      </c>
      <c r="E148" s="95">
        <f t="shared" si="98"/>
        <v>0</v>
      </c>
      <c r="F148" s="95">
        <f t="shared" si="98"/>
        <v>0</v>
      </c>
      <c r="G148" s="95">
        <f t="shared" si="98"/>
        <v>0</v>
      </c>
      <c r="H148" s="95">
        <f t="shared" si="98"/>
        <v>0</v>
      </c>
      <c r="I148" s="95">
        <f t="shared" ref="I148:AA148" si="99">I127</f>
        <v>0</v>
      </c>
      <c r="J148" s="95">
        <f t="shared" si="99"/>
        <v>0</v>
      </c>
      <c r="K148" s="95">
        <f t="shared" si="99"/>
        <v>0</v>
      </c>
      <c r="L148" s="95">
        <f t="shared" si="99"/>
        <v>0</v>
      </c>
      <c r="M148" s="95">
        <f t="shared" si="99"/>
        <v>0</v>
      </c>
      <c r="N148" s="95">
        <f t="shared" si="99"/>
        <v>0</v>
      </c>
      <c r="O148" s="95">
        <f t="shared" si="99"/>
        <v>0</v>
      </c>
      <c r="P148" s="95">
        <f t="shared" si="99"/>
        <v>0</v>
      </c>
      <c r="Q148" s="95">
        <f t="shared" si="99"/>
        <v>0</v>
      </c>
      <c r="R148" s="95">
        <f t="shared" si="99"/>
        <v>0</v>
      </c>
      <c r="S148" s="95">
        <f t="shared" si="99"/>
        <v>0</v>
      </c>
      <c r="T148" s="95">
        <f t="shared" si="99"/>
        <v>0</v>
      </c>
      <c r="U148" s="95">
        <f t="shared" si="99"/>
        <v>0</v>
      </c>
      <c r="V148" s="95">
        <f t="shared" si="99"/>
        <v>0</v>
      </c>
      <c r="W148" s="95">
        <f t="shared" si="99"/>
        <v>0</v>
      </c>
      <c r="X148" s="95">
        <f t="shared" si="99"/>
        <v>0</v>
      </c>
      <c r="Y148" s="95">
        <f t="shared" si="99"/>
        <v>0</v>
      </c>
      <c r="Z148" s="95">
        <f t="shared" si="99"/>
        <v>0</v>
      </c>
      <c r="AA148" s="95">
        <f t="shared" si="99"/>
        <v>0</v>
      </c>
    </row>
    <row r="149" spans="2:27" ht="29" hidden="1" outlineLevel="1" x14ac:dyDescent="0.35">
      <c r="B149" s="125" t="s">
        <v>100</v>
      </c>
      <c r="C149" s="95">
        <f>Project_profitability!C14*(1+'Sensitivity analysis project'!$D$12)</f>
        <v>0</v>
      </c>
      <c r="D149" s="95">
        <f>Project_profitability!D14*(1+'Sensitivity analysis project'!$D$12)</f>
        <v>0</v>
      </c>
      <c r="E149" s="95">
        <f>Project_profitability!E14*(1+'Sensitivity analysis project'!$D$12)</f>
        <v>0</v>
      </c>
      <c r="F149" s="95">
        <f>Project_profitability!F14*(1+'Sensitivity analysis project'!$D$12)</f>
        <v>0</v>
      </c>
      <c r="G149" s="95">
        <f>Project_profitability!G14*(1+'Sensitivity analysis project'!$D$12)</f>
        <v>0</v>
      </c>
      <c r="H149" s="95">
        <f>Project_profitability!H14*(1+'Sensitivity analysis project'!$D$12)</f>
        <v>0</v>
      </c>
      <c r="I149" s="95">
        <f>Project_profitability!I14*(1+'Sensitivity analysis project'!$D$12)</f>
        <v>0</v>
      </c>
      <c r="J149" s="95">
        <f>Project_profitability!J14*(1+'Sensitivity analysis project'!$D$12)</f>
        <v>0</v>
      </c>
      <c r="K149" s="95">
        <f>Project_profitability!K14*(1+'Sensitivity analysis project'!$D$12)</f>
        <v>0</v>
      </c>
      <c r="L149" s="95">
        <f>Project_profitability!L14*(1+'Sensitivity analysis project'!$D$12)</f>
        <v>0</v>
      </c>
      <c r="M149" s="95">
        <f>Project_profitability!M14*(1+'Sensitivity analysis project'!$D$12)</f>
        <v>0</v>
      </c>
      <c r="N149" s="95">
        <f>Project_profitability!N14*(1+'Sensitivity analysis project'!$D$12)</f>
        <v>0</v>
      </c>
      <c r="O149" s="95">
        <f>Project_profitability!O14*(1+'Sensitivity analysis project'!$D$12)</f>
        <v>0</v>
      </c>
      <c r="P149" s="95">
        <f>Project_profitability!P14*(1+'Sensitivity analysis project'!$D$12)</f>
        <v>0</v>
      </c>
      <c r="Q149" s="95">
        <f>Project_profitability!Q14*(1+'Sensitivity analysis project'!$D$12)</f>
        <v>0</v>
      </c>
      <c r="R149" s="95">
        <f>Project_profitability!R14*(1+'Sensitivity analysis project'!$D$12)</f>
        <v>0</v>
      </c>
      <c r="S149" s="95">
        <f>Project_profitability!S14*(1+'Sensitivity analysis project'!$D$12)</f>
        <v>0</v>
      </c>
      <c r="T149" s="95">
        <f>Project_profitability!T14*(1+'Sensitivity analysis project'!$D$12)</f>
        <v>0</v>
      </c>
      <c r="U149" s="95">
        <f>Project_profitability!U14*(1+'Sensitivity analysis project'!$D$12)</f>
        <v>0</v>
      </c>
      <c r="V149" s="95">
        <f>Project_profitability!V14*(1+'Sensitivity analysis project'!$D$12)</f>
        <v>0</v>
      </c>
      <c r="W149" s="95">
        <f>Project_profitability!W14*(1+'Sensitivity analysis project'!$D$12)</f>
        <v>0</v>
      </c>
      <c r="X149" s="95">
        <f>Project_profitability!X14*(1+'Sensitivity analysis project'!$D$12)</f>
        <v>0</v>
      </c>
      <c r="Y149" s="95">
        <f>Project_profitability!Y14*(1+'Sensitivity analysis project'!$D$12)</f>
        <v>0</v>
      </c>
      <c r="Z149" s="95">
        <f>Project_profitability!Z14*(1+'Sensitivity analysis project'!$D$12)</f>
        <v>0</v>
      </c>
      <c r="AA149" s="95">
        <f>Project_profitability!AA14*(1+'Sensitivity analysis project'!$D$12)</f>
        <v>0</v>
      </c>
    </row>
    <row r="150" spans="2:27" ht="29" hidden="1" outlineLevel="1" x14ac:dyDescent="0.35">
      <c r="B150" s="125" t="s">
        <v>101</v>
      </c>
      <c r="C150" s="126">
        <f t="shared" ref="C150:H150" si="100">C148-C149</f>
        <v>0</v>
      </c>
      <c r="D150" s="126">
        <f t="shared" si="100"/>
        <v>0</v>
      </c>
      <c r="E150" s="126">
        <f t="shared" si="100"/>
        <v>0</v>
      </c>
      <c r="F150" s="126">
        <f t="shared" si="100"/>
        <v>0</v>
      </c>
      <c r="G150" s="126">
        <f t="shared" si="100"/>
        <v>0</v>
      </c>
      <c r="H150" s="126">
        <f t="shared" si="100"/>
        <v>0</v>
      </c>
      <c r="I150" s="126">
        <f t="shared" ref="I150:AA150" si="101">I148-I149</f>
        <v>0</v>
      </c>
      <c r="J150" s="126">
        <f t="shared" si="101"/>
        <v>0</v>
      </c>
      <c r="K150" s="126">
        <f t="shared" si="101"/>
        <v>0</v>
      </c>
      <c r="L150" s="126">
        <f t="shared" si="101"/>
        <v>0</v>
      </c>
      <c r="M150" s="126">
        <f t="shared" si="101"/>
        <v>0</v>
      </c>
      <c r="N150" s="126">
        <f t="shared" si="101"/>
        <v>0</v>
      </c>
      <c r="O150" s="126">
        <f t="shared" si="101"/>
        <v>0</v>
      </c>
      <c r="P150" s="126">
        <f t="shared" si="101"/>
        <v>0</v>
      </c>
      <c r="Q150" s="126">
        <f t="shared" si="101"/>
        <v>0</v>
      </c>
      <c r="R150" s="126">
        <f t="shared" si="101"/>
        <v>0</v>
      </c>
      <c r="S150" s="126">
        <f t="shared" si="101"/>
        <v>0</v>
      </c>
      <c r="T150" s="126">
        <f t="shared" si="101"/>
        <v>0</v>
      </c>
      <c r="U150" s="126">
        <f t="shared" si="101"/>
        <v>0</v>
      </c>
      <c r="V150" s="126">
        <f t="shared" si="101"/>
        <v>0</v>
      </c>
      <c r="W150" s="126">
        <f t="shared" si="101"/>
        <v>0</v>
      </c>
      <c r="X150" s="126">
        <f t="shared" si="101"/>
        <v>0</v>
      </c>
      <c r="Y150" s="126">
        <f t="shared" si="101"/>
        <v>0</v>
      </c>
      <c r="Z150" s="126">
        <f t="shared" si="101"/>
        <v>0</v>
      </c>
      <c r="AA150" s="126">
        <f t="shared" si="101"/>
        <v>0</v>
      </c>
    </row>
    <row r="151" spans="2:27" hidden="1" outlineLevel="1" x14ac:dyDescent="0.35">
      <c r="B151" s="127" t="s">
        <v>102</v>
      </c>
      <c r="C151" s="128">
        <f>Project_profitability!C18</f>
        <v>0</v>
      </c>
      <c r="D151" s="128">
        <f>Project_profitability!D18</f>
        <v>0</v>
      </c>
      <c r="E151" s="128">
        <f>Project_profitability!E18</f>
        <v>0</v>
      </c>
      <c r="F151" s="128">
        <f>Project_profitability!F18</f>
        <v>0</v>
      </c>
      <c r="G151" s="128">
        <f>Project_profitability!G18</f>
        <v>0</v>
      </c>
      <c r="H151" s="128">
        <f>Project_profitability!H18</f>
        <v>0</v>
      </c>
      <c r="I151" s="128">
        <f>Project_profitability!I18</f>
        <v>0</v>
      </c>
      <c r="J151" s="128">
        <f>Project_profitability!J18</f>
        <v>0</v>
      </c>
      <c r="K151" s="128">
        <f>Project_profitability!K18</f>
        <v>0</v>
      </c>
      <c r="L151" s="128">
        <f>Project_profitability!L18</f>
        <v>0</v>
      </c>
      <c r="M151" s="128">
        <f>Project_profitability!M18</f>
        <v>0</v>
      </c>
      <c r="N151" s="128">
        <f>Project_profitability!N18</f>
        <v>0</v>
      </c>
      <c r="O151" s="128">
        <f>Project_profitability!O18</f>
        <v>0</v>
      </c>
      <c r="P151" s="128">
        <f>Project_profitability!P18</f>
        <v>0</v>
      </c>
      <c r="Q151" s="128">
        <f>Project_profitability!Q18</f>
        <v>0</v>
      </c>
      <c r="R151" s="128">
        <f>Project_profitability!R18</f>
        <v>0</v>
      </c>
      <c r="S151" s="128">
        <f>Project_profitability!S18</f>
        <v>0</v>
      </c>
      <c r="T151" s="128">
        <f>Project_profitability!T18</f>
        <v>0</v>
      </c>
      <c r="U151" s="128">
        <f>Project_profitability!U18</f>
        <v>0</v>
      </c>
      <c r="V151" s="128">
        <f>Project_profitability!V18</f>
        <v>0</v>
      </c>
      <c r="W151" s="128">
        <f>Project_profitability!W18</f>
        <v>0</v>
      </c>
      <c r="X151" s="128">
        <f>Project_profitability!X18</f>
        <v>0</v>
      </c>
      <c r="Y151" s="128">
        <f>Project_profitability!Y18</f>
        <v>0</v>
      </c>
      <c r="Z151" s="128">
        <f>Project_profitability!Z18</f>
        <v>0</v>
      </c>
      <c r="AA151" s="128">
        <f>Project_profitability!AA18</f>
        <v>0</v>
      </c>
    </row>
    <row r="152" spans="2:27" hidden="1" outlineLevel="1" x14ac:dyDescent="0.35">
      <c r="B152" s="122" t="s">
        <v>103</v>
      </c>
      <c r="C152" s="126">
        <f t="shared" ref="C152:H152" si="102">C150-C151</f>
        <v>0</v>
      </c>
      <c r="D152" s="126">
        <f t="shared" si="102"/>
        <v>0</v>
      </c>
      <c r="E152" s="126">
        <f t="shared" si="102"/>
        <v>0</v>
      </c>
      <c r="F152" s="126">
        <f t="shared" si="102"/>
        <v>0</v>
      </c>
      <c r="G152" s="126">
        <f t="shared" si="102"/>
        <v>0</v>
      </c>
      <c r="H152" s="126">
        <f t="shared" si="102"/>
        <v>0</v>
      </c>
      <c r="I152" s="126">
        <f t="shared" ref="I152:AA152" si="103">I150-I151</f>
        <v>0</v>
      </c>
      <c r="J152" s="126">
        <f t="shared" si="103"/>
        <v>0</v>
      </c>
      <c r="K152" s="126">
        <f t="shared" si="103"/>
        <v>0</v>
      </c>
      <c r="L152" s="126">
        <f t="shared" si="103"/>
        <v>0</v>
      </c>
      <c r="M152" s="126">
        <f t="shared" si="103"/>
        <v>0</v>
      </c>
      <c r="N152" s="126">
        <f t="shared" si="103"/>
        <v>0</v>
      </c>
      <c r="O152" s="126">
        <f t="shared" si="103"/>
        <v>0</v>
      </c>
      <c r="P152" s="126">
        <f t="shared" si="103"/>
        <v>0</v>
      </c>
      <c r="Q152" s="126">
        <f t="shared" si="103"/>
        <v>0</v>
      </c>
      <c r="R152" s="126">
        <f t="shared" si="103"/>
        <v>0</v>
      </c>
      <c r="S152" s="126">
        <f t="shared" si="103"/>
        <v>0</v>
      </c>
      <c r="T152" s="126">
        <f t="shared" si="103"/>
        <v>0</v>
      </c>
      <c r="U152" s="126">
        <f t="shared" si="103"/>
        <v>0</v>
      </c>
      <c r="V152" s="126">
        <f t="shared" si="103"/>
        <v>0</v>
      </c>
      <c r="W152" s="126">
        <f t="shared" si="103"/>
        <v>0</v>
      </c>
      <c r="X152" s="126">
        <f t="shared" si="103"/>
        <v>0</v>
      </c>
      <c r="Y152" s="126">
        <f t="shared" si="103"/>
        <v>0</v>
      </c>
      <c r="Z152" s="126">
        <f t="shared" si="103"/>
        <v>0</v>
      </c>
      <c r="AA152" s="126">
        <f t="shared" si="103"/>
        <v>0</v>
      </c>
    </row>
    <row r="153" spans="2:27" hidden="1" outlineLevel="1" x14ac:dyDescent="0.35">
      <c r="B153" s="129" t="s">
        <v>104</v>
      </c>
      <c r="C153" s="130">
        <f>C152</f>
        <v>0</v>
      </c>
      <c r="D153" s="130">
        <f t="shared" ref="D153:H153" si="104">D152</f>
        <v>0</v>
      </c>
      <c r="E153" s="130">
        <f t="shared" si="104"/>
        <v>0</v>
      </c>
      <c r="F153" s="130">
        <f t="shared" si="104"/>
        <v>0</v>
      </c>
      <c r="G153" s="130">
        <f t="shared" si="104"/>
        <v>0</v>
      </c>
      <c r="H153" s="130">
        <f t="shared" si="104"/>
        <v>0</v>
      </c>
      <c r="I153" s="130">
        <f t="shared" ref="I153" si="105">I152</f>
        <v>0</v>
      </c>
      <c r="J153" s="130">
        <f t="shared" ref="J153" si="106">J152</f>
        <v>0</v>
      </c>
      <c r="K153" s="130">
        <f t="shared" ref="K153" si="107">K152</f>
        <v>0</v>
      </c>
      <c r="L153" s="130">
        <f t="shared" ref="L153" si="108">L152</f>
        <v>0</v>
      </c>
      <c r="M153" s="130">
        <f t="shared" ref="M153" si="109">M152</f>
        <v>0</v>
      </c>
      <c r="N153" s="130">
        <f t="shared" ref="N153" si="110">N152</f>
        <v>0</v>
      </c>
      <c r="O153" s="130">
        <f t="shared" ref="O153" si="111">O152</f>
        <v>0</v>
      </c>
      <c r="P153" s="130">
        <f t="shared" ref="P153" si="112">P152</f>
        <v>0</v>
      </c>
      <c r="Q153" s="130">
        <f t="shared" ref="Q153" si="113">Q152</f>
        <v>0</v>
      </c>
      <c r="R153" s="130">
        <f t="shared" ref="R153" si="114">R152</f>
        <v>0</v>
      </c>
      <c r="S153" s="130">
        <f t="shared" ref="S153" si="115">S152</f>
        <v>0</v>
      </c>
      <c r="T153" s="130">
        <f t="shared" ref="T153" si="116">T152</f>
        <v>0</v>
      </c>
      <c r="U153" s="130">
        <f t="shared" ref="U153" si="117">U152</f>
        <v>0</v>
      </c>
      <c r="V153" s="130">
        <f t="shared" ref="V153" si="118">V152</f>
        <v>0</v>
      </c>
      <c r="W153" s="130">
        <f t="shared" ref="W153" si="119">W152</f>
        <v>0</v>
      </c>
      <c r="X153" s="130">
        <f t="shared" ref="X153" si="120">X152</f>
        <v>0</v>
      </c>
      <c r="Y153" s="130">
        <f t="shared" ref="Y153" si="121">Y152</f>
        <v>0</v>
      </c>
      <c r="Z153" s="130">
        <f t="shared" ref="Z153" si="122">Z152</f>
        <v>0</v>
      </c>
      <c r="AA153" s="130">
        <f t="shared" ref="AA153" si="123">AA152</f>
        <v>0</v>
      </c>
    </row>
    <row r="154" spans="2:27" hidden="1" outlineLevel="1" x14ac:dyDescent="0.35">
      <c r="B154" s="131" t="s">
        <v>105</v>
      </c>
      <c r="C154" s="132">
        <f>Project_profitability!C146</f>
        <v>0</v>
      </c>
      <c r="D154" s="132">
        <f>Project_profitability!D146</f>
        <v>0</v>
      </c>
      <c r="E154" s="132">
        <f>Project_profitability!E146</f>
        <v>0</v>
      </c>
      <c r="F154" s="132">
        <f>Project_profitability!F146</f>
        <v>0</v>
      </c>
      <c r="G154" s="132">
        <f>Project_profitability!G146</f>
        <v>0</v>
      </c>
      <c r="H154" s="132">
        <f>Project_profitability!H146</f>
        <v>0</v>
      </c>
      <c r="I154" s="132">
        <f>Project_profitability!I146</f>
        <v>0</v>
      </c>
      <c r="J154" s="132">
        <f>Project_profitability!J146</f>
        <v>0</v>
      </c>
      <c r="K154" s="132">
        <f>Project_profitability!K146</f>
        <v>0</v>
      </c>
      <c r="L154" s="132">
        <f>Project_profitability!L146</f>
        <v>0</v>
      </c>
      <c r="M154" s="132">
        <f>Project_profitability!M146</f>
        <v>0</v>
      </c>
      <c r="N154" s="132">
        <f>Project_profitability!N146</f>
        <v>0</v>
      </c>
      <c r="O154" s="132">
        <f>Project_profitability!O146</f>
        <v>0</v>
      </c>
      <c r="P154" s="132">
        <f>Project_profitability!P146</f>
        <v>0</v>
      </c>
      <c r="Q154" s="132">
        <f>Project_profitability!Q146</f>
        <v>0</v>
      </c>
      <c r="R154" s="132">
        <f>Project_profitability!R146</f>
        <v>0</v>
      </c>
      <c r="S154" s="132">
        <f>Project_profitability!S146</f>
        <v>0</v>
      </c>
      <c r="T154" s="132">
        <f>Project_profitability!T146</f>
        <v>0</v>
      </c>
      <c r="U154" s="132">
        <f>Project_profitability!U146</f>
        <v>0</v>
      </c>
      <c r="V154" s="132">
        <f>Project_profitability!V146</f>
        <v>0</v>
      </c>
      <c r="W154" s="132">
        <f>Project_profitability!W146</f>
        <v>0</v>
      </c>
      <c r="X154" s="132">
        <f>Project_profitability!X146</f>
        <v>0</v>
      </c>
      <c r="Y154" s="132">
        <f>Project_profitability!Y146</f>
        <v>0</v>
      </c>
      <c r="Z154" s="132">
        <f>Project_profitability!Z146</f>
        <v>0</v>
      </c>
      <c r="AA154" s="132">
        <f>Project_profitability!AA146</f>
        <v>0</v>
      </c>
    </row>
    <row r="155" spans="2:27" hidden="1" outlineLevel="1" x14ac:dyDescent="0.35">
      <c r="B155" s="133" t="s">
        <v>106</v>
      </c>
      <c r="C155" s="134">
        <f t="shared" ref="C155:H155" si="124">C153+C151-C154</f>
        <v>0</v>
      </c>
      <c r="D155" s="134">
        <f t="shared" si="124"/>
        <v>0</v>
      </c>
      <c r="E155" s="134">
        <f t="shared" si="124"/>
        <v>0</v>
      </c>
      <c r="F155" s="134">
        <f t="shared" si="124"/>
        <v>0</v>
      </c>
      <c r="G155" s="134">
        <f t="shared" si="124"/>
        <v>0</v>
      </c>
      <c r="H155" s="134">
        <f t="shared" si="124"/>
        <v>0</v>
      </c>
      <c r="I155" s="134">
        <f t="shared" ref="I155:AA155" si="125">I153+I151-I154</f>
        <v>0</v>
      </c>
      <c r="J155" s="134">
        <f t="shared" si="125"/>
        <v>0</v>
      </c>
      <c r="K155" s="134">
        <f t="shared" si="125"/>
        <v>0</v>
      </c>
      <c r="L155" s="134">
        <f t="shared" si="125"/>
        <v>0</v>
      </c>
      <c r="M155" s="134">
        <f t="shared" si="125"/>
        <v>0</v>
      </c>
      <c r="N155" s="134">
        <f t="shared" si="125"/>
        <v>0</v>
      </c>
      <c r="O155" s="134">
        <f t="shared" si="125"/>
        <v>0</v>
      </c>
      <c r="P155" s="134">
        <f t="shared" si="125"/>
        <v>0</v>
      </c>
      <c r="Q155" s="134">
        <f t="shared" si="125"/>
        <v>0</v>
      </c>
      <c r="R155" s="134">
        <f t="shared" si="125"/>
        <v>0</v>
      </c>
      <c r="S155" s="134">
        <f t="shared" si="125"/>
        <v>0</v>
      </c>
      <c r="T155" s="134">
        <f t="shared" si="125"/>
        <v>0</v>
      </c>
      <c r="U155" s="134">
        <f t="shared" si="125"/>
        <v>0</v>
      </c>
      <c r="V155" s="134">
        <f t="shared" si="125"/>
        <v>0</v>
      </c>
      <c r="W155" s="134">
        <f t="shared" si="125"/>
        <v>0</v>
      </c>
      <c r="X155" s="134">
        <f t="shared" si="125"/>
        <v>0</v>
      </c>
      <c r="Y155" s="134">
        <f t="shared" si="125"/>
        <v>0</v>
      </c>
      <c r="Z155" s="134">
        <f t="shared" si="125"/>
        <v>0</v>
      </c>
      <c r="AA155" s="134">
        <f t="shared" si="125"/>
        <v>0</v>
      </c>
    </row>
    <row r="156" spans="2:27" hidden="1" outlineLevel="1" x14ac:dyDescent="0.35">
      <c r="B156" s="135" t="s">
        <v>38</v>
      </c>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f>Project_profitability!AB16*(1-'Sensitivity analysis project'!D12)</f>
        <v>0</v>
      </c>
    </row>
    <row r="157" spans="2:27" hidden="1" outlineLevel="2" x14ac:dyDescent="0.35">
      <c r="B157" s="136" t="s">
        <v>107</v>
      </c>
      <c r="C157" s="137">
        <f t="shared" ref="C157:H157" si="126">C155-C147+C156</f>
        <v>0</v>
      </c>
      <c r="D157" s="137">
        <f t="shared" si="126"/>
        <v>0</v>
      </c>
      <c r="E157" s="137">
        <f t="shared" si="126"/>
        <v>0</v>
      </c>
      <c r="F157" s="137">
        <f t="shared" si="126"/>
        <v>0</v>
      </c>
      <c r="G157" s="137">
        <f t="shared" si="126"/>
        <v>0</v>
      </c>
      <c r="H157" s="137">
        <f t="shared" si="126"/>
        <v>0</v>
      </c>
      <c r="I157" s="137">
        <f t="shared" ref="I157:AA157" si="127">I155-I147+I156</f>
        <v>0</v>
      </c>
      <c r="J157" s="137">
        <f t="shared" si="127"/>
        <v>0</v>
      </c>
      <c r="K157" s="137">
        <f t="shared" si="127"/>
        <v>0</v>
      </c>
      <c r="L157" s="137">
        <f t="shared" si="127"/>
        <v>0</v>
      </c>
      <c r="M157" s="137">
        <f t="shared" si="127"/>
        <v>0</v>
      </c>
      <c r="N157" s="137">
        <f t="shared" si="127"/>
        <v>0</v>
      </c>
      <c r="O157" s="137">
        <f t="shared" si="127"/>
        <v>0</v>
      </c>
      <c r="P157" s="137">
        <f t="shared" si="127"/>
        <v>0</v>
      </c>
      <c r="Q157" s="137">
        <f t="shared" si="127"/>
        <v>0</v>
      </c>
      <c r="R157" s="137">
        <f t="shared" si="127"/>
        <v>0</v>
      </c>
      <c r="S157" s="137">
        <f t="shared" si="127"/>
        <v>0</v>
      </c>
      <c r="T157" s="137">
        <f t="shared" si="127"/>
        <v>0</v>
      </c>
      <c r="U157" s="137">
        <f t="shared" si="127"/>
        <v>0</v>
      </c>
      <c r="V157" s="137">
        <f t="shared" si="127"/>
        <v>0</v>
      </c>
      <c r="W157" s="137">
        <f t="shared" si="127"/>
        <v>0</v>
      </c>
      <c r="X157" s="137">
        <f t="shared" si="127"/>
        <v>0</v>
      </c>
      <c r="Y157" s="137">
        <f t="shared" si="127"/>
        <v>0</v>
      </c>
      <c r="Z157" s="137">
        <f t="shared" si="127"/>
        <v>0</v>
      </c>
      <c r="AA157" s="137">
        <f t="shared" si="127"/>
        <v>0</v>
      </c>
    </row>
    <row r="158" spans="2:27" collapsed="1" x14ac:dyDescent="0.35">
      <c r="B158" s="121"/>
      <c r="C158" s="114"/>
      <c r="D158" s="114"/>
      <c r="E158" s="114"/>
      <c r="F158" s="114"/>
      <c r="G158" s="114"/>
      <c r="H158" s="114"/>
    </row>
    <row r="159" spans="2:27" x14ac:dyDescent="0.35">
      <c r="B159" s="121"/>
    </row>
    <row r="160" spans="2:27" x14ac:dyDescent="0.35">
      <c r="B160" s="138" t="s">
        <v>40</v>
      </c>
      <c r="C160" s="139">
        <v>0.04</v>
      </c>
    </row>
    <row r="161" spans="2:27" x14ac:dyDescent="0.35">
      <c r="B161" s="140" t="s">
        <v>41</v>
      </c>
      <c r="C161" s="141">
        <f>NPV(C160,C157:AA157)</f>
        <v>0</v>
      </c>
    </row>
    <row r="162" spans="2:27" x14ac:dyDescent="0.35">
      <c r="B162" s="142" t="s">
        <v>42</v>
      </c>
      <c r="C162" s="143" t="e">
        <f>IRR(C157:AA157,C160)</f>
        <v>#NUM!</v>
      </c>
    </row>
    <row r="164" spans="2:27" x14ac:dyDescent="0.35">
      <c r="B164" s="92" t="s">
        <v>114</v>
      </c>
    </row>
    <row r="165" spans="2:27" hidden="1" outlineLevel="1" x14ac:dyDescent="0.35">
      <c r="B165" s="405"/>
      <c r="C165" s="164" t="s">
        <v>27</v>
      </c>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row>
    <row r="166" spans="2:27" hidden="1" outlineLevel="1" x14ac:dyDescent="0.35">
      <c r="B166" s="405"/>
      <c r="C166" s="165">
        <v>1</v>
      </c>
      <c r="D166" s="165">
        <v>2</v>
      </c>
      <c r="E166" s="165">
        <v>3</v>
      </c>
      <c r="F166" s="165">
        <v>4</v>
      </c>
      <c r="G166" s="165">
        <v>5</v>
      </c>
      <c r="H166" s="165">
        <v>6</v>
      </c>
      <c r="I166" s="165">
        <v>7</v>
      </c>
      <c r="J166" s="165">
        <v>8</v>
      </c>
      <c r="K166" s="165">
        <v>9</v>
      </c>
      <c r="L166" s="165">
        <v>10</v>
      </c>
      <c r="M166" s="165">
        <v>11</v>
      </c>
      <c r="N166" s="165">
        <v>12</v>
      </c>
      <c r="O166" s="165">
        <v>13</v>
      </c>
      <c r="P166" s="165">
        <v>14</v>
      </c>
      <c r="Q166" s="165">
        <v>15</v>
      </c>
      <c r="R166" s="165">
        <v>16</v>
      </c>
      <c r="S166" s="165">
        <v>17</v>
      </c>
      <c r="T166" s="165">
        <v>18</v>
      </c>
      <c r="U166" s="165">
        <v>19</v>
      </c>
      <c r="V166" s="165">
        <v>20</v>
      </c>
      <c r="W166" s="165">
        <v>21</v>
      </c>
      <c r="X166" s="165">
        <v>22</v>
      </c>
      <c r="Y166" s="165">
        <v>23</v>
      </c>
      <c r="Z166" s="165">
        <v>24</v>
      </c>
      <c r="AA166" s="165">
        <v>25</v>
      </c>
    </row>
    <row r="167" spans="2:27" hidden="1" outlineLevel="1" x14ac:dyDescent="0.35">
      <c r="B167" s="122" t="s">
        <v>35</v>
      </c>
      <c r="C167" s="124">
        <f>C147</f>
        <v>0</v>
      </c>
      <c r="D167" s="124"/>
      <c r="E167" s="124"/>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row>
    <row r="168" spans="2:27" hidden="1" outlineLevel="1" x14ac:dyDescent="0.35">
      <c r="B168" s="125" t="s">
        <v>36</v>
      </c>
      <c r="C168" s="95">
        <f>C148</f>
        <v>0</v>
      </c>
      <c r="D168" s="95">
        <f t="shared" ref="D168:AA168" si="128">D148</f>
        <v>0</v>
      </c>
      <c r="E168" s="95">
        <f t="shared" si="128"/>
        <v>0</v>
      </c>
      <c r="F168" s="95">
        <f t="shared" si="128"/>
        <v>0</v>
      </c>
      <c r="G168" s="95">
        <f t="shared" si="128"/>
        <v>0</v>
      </c>
      <c r="H168" s="95">
        <f t="shared" si="128"/>
        <v>0</v>
      </c>
      <c r="I168" s="95">
        <f t="shared" si="128"/>
        <v>0</v>
      </c>
      <c r="J168" s="95">
        <f t="shared" si="128"/>
        <v>0</v>
      </c>
      <c r="K168" s="95">
        <f t="shared" si="128"/>
        <v>0</v>
      </c>
      <c r="L168" s="95">
        <f t="shared" si="128"/>
        <v>0</v>
      </c>
      <c r="M168" s="95">
        <f t="shared" si="128"/>
        <v>0</v>
      </c>
      <c r="N168" s="95">
        <f t="shared" si="128"/>
        <v>0</v>
      </c>
      <c r="O168" s="95">
        <f t="shared" si="128"/>
        <v>0</v>
      </c>
      <c r="P168" s="95">
        <f t="shared" si="128"/>
        <v>0</v>
      </c>
      <c r="Q168" s="95">
        <f t="shared" si="128"/>
        <v>0</v>
      </c>
      <c r="R168" s="95">
        <f t="shared" si="128"/>
        <v>0</v>
      </c>
      <c r="S168" s="95">
        <f t="shared" si="128"/>
        <v>0</v>
      </c>
      <c r="T168" s="95">
        <f t="shared" si="128"/>
        <v>0</v>
      </c>
      <c r="U168" s="95">
        <f t="shared" si="128"/>
        <v>0</v>
      </c>
      <c r="V168" s="95">
        <f t="shared" si="128"/>
        <v>0</v>
      </c>
      <c r="W168" s="95">
        <f t="shared" si="128"/>
        <v>0</v>
      </c>
      <c r="X168" s="95">
        <f t="shared" si="128"/>
        <v>0</v>
      </c>
      <c r="Y168" s="95">
        <f t="shared" si="128"/>
        <v>0</v>
      </c>
      <c r="Z168" s="95">
        <f t="shared" si="128"/>
        <v>0</v>
      </c>
      <c r="AA168" s="95">
        <f t="shared" si="128"/>
        <v>0</v>
      </c>
    </row>
    <row r="169" spans="2:27" ht="29" hidden="1" outlineLevel="1" x14ac:dyDescent="0.35">
      <c r="B169" s="125" t="s">
        <v>100</v>
      </c>
      <c r="C169" s="95">
        <f>Project_profitability!C14*(1+'Sensitivity analysis project'!$D$13)</f>
        <v>0</v>
      </c>
      <c r="D169" s="95">
        <f>Project_profitability!D14*(1+'Sensitivity analysis project'!$D$13)</f>
        <v>0</v>
      </c>
      <c r="E169" s="95">
        <f>Project_profitability!E14*(1+'Sensitivity analysis project'!$D$13)</f>
        <v>0</v>
      </c>
      <c r="F169" s="95">
        <f>Project_profitability!F14*(1+'Sensitivity analysis project'!$D$13)</f>
        <v>0</v>
      </c>
      <c r="G169" s="95">
        <f>Project_profitability!G14*(1+'Sensitivity analysis project'!$D$13)</f>
        <v>0</v>
      </c>
      <c r="H169" s="95">
        <f>Project_profitability!H14*(1+'Sensitivity analysis project'!$D$13)</f>
        <v>0</v>
      </c>
      <c r="I169" s="95">
        <f>Project_profitability!I14*(1+'Sensitivity analysis project'!$D$13)</f>
        <v>0</v>
      </c>
      <c r="J169" s="95">
        <f>Project_profitability!J14*(1+'Sensitivity analysis project'!$D$13)</f>
        <v>0</v>
      </c>
      <c r="K169" s="95">
        <f>Project_profitability!K14*(1+'Sensitivity analysis project'!$D$13)</f>
        <v>0</v>
      </c>
      <c r="L169" s="95">
        <f>Project_profitability!L14*(1+'Sensitivity analysis project'!$D$13)</f>
        <v>0</v>
      </c>
      <c r="M169" s="95">
        <f>Project_profitability!M14*(1+'Sensitivity analysis project'!$D$13)</f>
        <v>0</v>
      </c>
      <c r="N169" s="95">
        <f>Project_profitability!N14*(1+'Sensitivity analysis project'!$D$13)</f>
        <v>0</v>
      </c>
      <c r="O169" s="95">
        <f>Project_profitability!O14*(1+'Sensitivity analysis project'!$D$13)</f>
        <v>0</v>
      </c>
      <c r="P169" s="95">
        <f>Project_profitability!P14*(1+'Sensitivity analysis project'!$D$13)</f>
        <v>0</v>
      </c>
      <c r="Q169" s="95">
        <f>Project_profitability!Q14*(1+'Sensitivity analysis project'!$D$13)</f>
        <v>0</v>
      </c>
      <c r="R169" s="95">
        <f>Project_profitability!R14*(1+'Sensitivity analysis project'!$D$13)</f>
        <v>0</v>
      </c>
      <c r="S169" s="95">
        <f>Project_profitability!S14*(1+'Sensitivity analysis project'!$D$13)</f>
        <v>0</v>
      </c>
      <c r="T169" s="95">
        <f>Project_profitability!T14*(1+'Sensitivity analysis project'!$D$13)</f>
        <v>0</v>
      </c>
      <c r="U169" s="95">
        <f>Project_profitability!U14*(1+'Sensitivity analysis project'!$D$13)</f>
        <v>0</v>
      </c>
      <c r="V169" s="95">
        <f>Project_profitability!V14*(1+'Sensitivity analysis project'!$D$13)</f>
        <v>0</v>
      </c>
      <c r="W169" s="95">
        <f>Project_profitability!W14*(1+'Sensitivity analysis project'!$D$13)</f>
        <v>0</v>
      </c>
      <c r="X169" s="95">
        <f>Project_profitability!X14*(1+'Sensitivity analysis project'!$D$13)</f>
        <v>0</v>
      </c>
      <c r="Y169" s="95">
        <f>Project_profitability!Y14*(1+'Sensitivity analysis project'!$D$13)</f>
        <v>0</v>
      </c>
      <c r="Z169" s="95">
        <f>Project_profitability!Z14*(1+'Sensitivity analysis project'!$D$13)</f>
        <v>0</v>
      </c>
      <c r="AA169" s="95">
        <f>Project_profitability!AA14*(1+'Sensitivity analysis project'!$D$13)</f>
        <v>0</v>
      </c>
    </row>
    <row r="170" spans="2:27" ht="29" hidden="1" outlineLevel="1" x14ac:dyDescent="0.35">
      <c r="B170" s="125" t="s">
        <v>101</v>
      </c>
      <c r="C170" s="126">
        <f t="shared" ref="C170" si="129">C168-C169</f>
        <v>0</v>
      </c>
      <c r="D170" s="126">
        <f t="shared" ref="D170:H170" si="130">D168-D169</f>
        <v>0</v>
      </c>
      <c r="E170" s="126">
        <f t="shared" si="130"/>
        <v>0</v>
      </c>
      <c r="F170" s="126">
        <f t="shared" si="130"/>
        <v>0</v>
      </c>
      <c r="G170" s="126">
        <f t="shared" si="130"/>
        <v>0</v>
      </c>
      <c r="H170" s="126">
        <f t="shared" si="130"/>
        <v>0</v>
      </c>
      <c r="I170" s="126">
        <f t="shared" ref="I170:AA170" si="131">I168-I169</f>
        <v>0</v>
      </c>
      <c r="J170" s="126">
        <f t="shared" si="131"/>
        <v>0</v>
      </c>
      <c r="K170" s="126">
        <f t="shared" si="131"/>
        <v>0</v>
      </c>
      <c r="L170" s="126">
        <f t="shared" si="131"/>
        <v>0</v>
      </c>
      <c r="M170" s="126">
        <f t="shared" si="131"/>
        <v>0</v>
      </c>
      <c r="N170" s="126">
        <f t="shared" si="131"/>
        <v>0</v>
      </c>
      <c r="O170" s="126">
        <f t="shared" si="131"/>
        <v>0</v>
      </c>
      <c r="P170" s="126">
        <f t="shared" si="131"/>
        <v>0</v>
      </c>
      <c r="Q170" s="126">
        <f t="shared" si="131"/>
        <v>0</v>
      </c>
      <c r="R170" s="126">
        <f t="shared" si="131"/>
        <v>0</v>
      </c>
      <c r="S170" s="126">
        <f t="shared" si="131"/>
        <v>0</v>
      </c>
      <c r="T170" s="126">
        <f t="shared" si="131"/>
        <v>0</v>
      </c>
      <c r="U170" s="126">
        <f t="shared" si="131"/>
        <v>0</v>
      </c>
      <c r="V170" s="126">
        <f t="shared" si="131"/>
        <v>0</v>
      </c>
      <c r="W170" s="126">
        <f t="shared" si="131"/>
        <v>0</v>
      </c>
      <c r="X170" s="126">
        <f t="shared" si="131"/>
        <v>0</v>
      </c>
      <c r="Y170" s="126">
        <f t="shared" si="131"/>
        <v>0</v>
      </c>
      <c r="Z170" s="126">
        <f t="shared" si="131"/>
        <v>0</v>
      </c>
      <c r="AA170" s="126">
        <f t="shared" si="131"/>
        <v>0</v>
      </c>
    </row>
    <row r="171" spans="2:27" hidden="1" outlineLevel="1" x14ac:dyDescent="0.35">
      <c r="B171" s="127" t="s">
        <v>102</v>
      </c>
      <c r="C171" s="128">
        <f>Project_profitability!C18</f>
        <v>0</v>
      </c>
      <c r="D171" s="128">
        <f>Project_profitability!D18</f>
        <v>0</v>
      </c>
      <c r="E171" s="128">
        <f>Project_profitability!E18</f>
        <v>0</v>
      </c>
      <c r="F171" s="128">
        <f>Project_profitability!F18</f>
        <v>0</v>
      </c>
      <c r="G171" s="128">
        <f>Project_profitability!G18</f>
        <v>0</v>
      </c>
      <c r="H171" s="128">
        <f>Project_profitability!H18</f>
        <v>0</v>
      </c>
      <c r="I171" s="128">
        <f>Project_profitability!I18</f>
        <v>0</v>
      </c>
      <c r="J171" s="128">
        <f>Project_profitability!J18</f>
        <v>0</v>
      </c>
      <c r="K171" s="128">
        <f>Project_profitability!K18</f>
        <v>0</v>
      </c>
      <c r="L171" s="128">
        <f>Project_profitability!L18</f>
        <v>0</v>
      </c>
      <c r="M171" s="128">
        <f>Project_profitability!M18</f>
        <v>0</v>
      </c>
      <c r="N171" s="128">
        <f>Project_profitability!N18</f>
        <v>0</v>
      </c>
      <c r="O171" s="128">
        <f>Project_profitability!O18</f>
        <v>0</v>
      </c>
      <c r="P171" s="128">
        <f>Project_profitability!P18</f>
        <v>0</v>
      </c>
      <c r="Q171" s="128">
        <f>Project_profitability!Q18</f>
        <v>0</v>
      </c>
      <c r="R171" s="128">
        <f>Project_profitability!R18</f>
        <v>0</v>
      </c>
      <c r="S171" s="128">
        <f>Project_profitability!S18</f>
        <v>0</v>
      </c>
      <c r="T171" s="128">
        <f>Project_profitability!T18</f>
        <v>0</v>
      </c>
      <c r="U171" s="128">
        <f>Project_profitability!U18</f>
        <v>0</v>
      </c>
      <c r="V171" s="128">
        <f>Project_profitability!V18</f>
        <v>0</v>
      </c>
      <c r="W171" s="128">
        <f>Project_profitability!W18</f>
        <v>0</v>
      </c>
      <c r="X171" s="128">
        <f>Project_profitability!X18</f>
        <v>0</v>
      </c>
      <c r="Y171" s="128">
        <f>Project_profitability!Y18</f>
        <v>0</v>
      </c>
      <c r="Z171" s="128">
        <f>Project_profitability!Z18</f>
        <v>0</v>
      </c>
      <c r="AA171" s="128">
        <f>Project_profitability!AA18</f>
        <v>0</v>
      </c>
    </row>
    <row r="172" spans="2:27" hidden="1" outlineLevel="1" x14ac:dyDescent="0.35">
      <c r="B172" s="122" t="s">
        <v>103</v>
      </c>
      <c r="C172" s="126">
        <f t="shared" ref="C172:H172" si="132">C170-C171</f>
        <v>0</v>
      </c>
      <c r="D172" s="126">
        <f t="shared" si="132"/>
        <v>0</v>
      </c>
      <c r="E172" s="126">
        <f t="shared" si="132"/>
        <v>0</v>
      </c>
      <c r="F172" s="126">
        <f t="shared" si="132"/>
        <v>0</v>
      </c>
      <c r="G172" s="126">
        <f t="shared" si="132"/>
        <v>0</v>
      </c>
      <c r="H172" s="126">
        <f t="shared" si="132"/>
        <v>0</v>
      </c>
      <c r="I172" s="126">
        <f t="shared" ref="I172:AA172" si="133">I170-I171</f>
        <v>0</v>
      </c>
      <c r="J172" s="126">
        <f t="shared" si="133"/>
        <v>0</v>
      </c>
      <c r="K172" s="126">
        <f t="shared" si="133"/>
        <v>0</v>
      </c>
      <c r="L172" s="126">
        <f t="shared" si="133"/>
        <v>0</v>
      </c>
      <c r="M172" s="126">
        <f t="shared" si="133"/>
        <v>0</v>
      </c>
      <c r="N172" s="126">
        <f t="shared" si="133"/>
        <v>0</v>
      </c>
      <c r="O172" s="126">
        <f t="shared" si="133"/>
        <v>0</v>
      </c>
      <c r="P172" s="126">
        <f t="shared" si="133"/>
        <v>0</v>
      </c>
      <c r="Q172" s="126">
        <f t="shared" si="133"/>
        <v>0</v>
      </c>
      <c r="R172" s="126">
        <f t="shared" si="133"/>
        <v>0</v>
      </c>
      <c r="S172" s="126">
        <f t="shared" si="133"/>
        <v>0</v>
      </c>
      <c r="T172" s="126">
        <f t="shared" si="133"/>
        <v>0</v>
      </c>
      <c r="U172" s="126">
        <f t="shared" si="133"/>
        <v>0</v>
      </c>
      <c r="V172" s="126">
        <f t="shared" si="133"/>
        <v>0</v>
      </c>
      <c r="W172" s="126">
        <f t="shared" si="133"/>
        <v>0</v>
      </c>
      <c r="X172" s="126">
        <f t="shared" si="133"/>
        <v>0</v>
      </c>
      <c r="Y172" s="126">
        <f t="shared" si="133"/>
        <v>0</v>
      </c>
      <c r="Z172" s="126">
        <f t="shared" si="133"/>
        <v>0</v>
      </c>
      <c r="AA172" s="126">
        <f t="shared" si="133"/>
        <v>0</v>
      </c>
    </row>
    <row r="173" spans="2:27" hidden="1" outlineLevel="1" x14ac:dyDescent="0.35">
      <c r="B173" s="129" t="s">
        <v>104</v>
      </c>
      <c r="C173" s="130">
        <f>C172</f>
        <v>0</v>
      </c>
      <c r="D173" s="130">
        <f t="shared" ref="D173:H173" si="134">D172</f>
        <v>0</v>
      </c>
      <c r="E173" s="130">
        <f t="shared" si="134"/>
        <v>0</v>
      </c>
      <c r="F173" s="130">
        <f t="shared" si="134"/>
        <v>0</v>
      </c>
      <c r="G173" s="130">
        <f t="shared" si="134"/>
        <v>0</v>
      </c>
      <c r="H173" s="130">
        <f t="shared" si="134"/>
        <v>0</v>
      </c>
      <c r="I173" s="130">
        <f t="shared" ref="I173" si="135">I172</f>
        <v>0</v>
      </c>
      <c r="J173" s="130">
        <f t="shared" ref="J173" si="136">J172</f>
        <v>0</v>
      </c>
      <c r="K173" s="130">
        <f t="shared" ref="K173" si="137">K172</f>
        <v>0</v>
      </c>
      <c r="L173" s="130">
        <f t="shared" ref="L173" si="138">L172</f>
        <v>0</v>
      </c>
      <c r="M173" s="130">
        <f t="shared" ref="M173" si="139">M172</f>
        <v>0</v>
      </c>
      <c r="N173" s="130">
        <f t="shared" ref="N173" si="140">N172</f>
        <v>0</v>
      </c>
      <c r="O173" s="130">
        <f t="shared" ref="O173" si="141">O172</f>
        <v>0</v>
      </c>
      <c r="P173" s="130">
        <f t="shared" ref="P173" si="142">P172</f>
        <v>0</v>
      </c>
      <c r="Q173" s="130">
        <f t="shared" ref="Q173" si="143">Q172</f>
        <v>0</v>
      </c>
      <c r="R173" s="130">
        <f t="shared" ref="R173" si="144">R172</f>
        <v>0</v>
      </c>
      <c r="S173" s="130">
        <f t="shared" ref="S173" si="145">S172</f>
        <v>0</v>
      </c>
      <c r="T173" s="130">
        <f t="shared" ref="T173" si="146">T172</f>
        <v>0</v>
      </c>
      <c r="U173" s="130">
        <f t="shared" ref="U173" si="147">U172</f>
        <v>0</v>
      </c>
      <c r="V173" s="130">
        <f t="shared" ref="V173" si="148">V172</f>
        <v>0</v>
      </c>
      <c r="W173" s="130">
        <f t="shared" ref="W173" si="149">W172</f>
        <v>0</v>
      </c>
      <c r="X173" s="130">
        <f t="shared" ref="X173" si="150">X172</f>
        <v>0</v>
      </c>
      <c r="Y173" s="130">
        <f t="shared" ref="Y173" si="151">Y172</f>
        <v>0</v>
      </c>
      <c r="Z173" s="130">
        <f t="shared" ref="Z173" si="152">Z172</f>
        <v>0</v>
      </c>
      <c r="AA173" s="130">
        <f t="shared" ref="AA173" si="153">AA172</f>
        <v>0</v>
      </c>
    </row>
    <row r="174" spans="2:27" hidden="1" outlineLevel="1" x14ac:dyDescent="0.35">
      <c r="B174" s="131" t="s">
        <v>105</v>
      </c>
      <c r="C174" s="132">
        <f t="shared" ref="C174:H174" si="154">C154</f>
        <v>0</v>
      </c>
      <c r="D174" s="132">
        <f t="shared" si="154"/>
        <v>0</v>
      </c>
      <c r="E174" s="132">
        <f t="shared" si="154"/>
        <v>0</v>
      </c>
      <c r="F174" s="132">
        <f t="shared" si="154"/>
        <v>0</v>
      </c>
      <c r="G174" s="132">
        <f t="shared" si="154"/>
        <v>0</v>
      </c>
      <c r="H174" s="132">
        <f t="shared" si="154"/>
        <v>0</v>
      </c>
      <c r="I174" s="132">
        <f t="shared" ref="I174:AA174" si="155">I154</f>
        <v>0</v>
      </c>
      <c r="J174" s="132">
        <f t="shared" si="155"/>
        <v>0</v>
      </c>
      <c r="K174" s="132">
        <f t="shared" si="155"/>
        <v>0</v>
      </c>
      <c r="L174" s="132">
        <f t="shared" si="155"/>
        <v>0</v>
      </c>
      <c r="M174" s="132">
        <f t="shared" si="155"/>
        <v>0</v>
      </c>
      <c r="N174" s="132">
        <f t="shared" si="155"/>
        <v>0</v>
      </c>
      <c r="O174" s="132">
        <f t="shared" si="155"/>
        <v>0</v>
      </c>
      <c r="P174" s="132">
        <f t="shared" si="155"/>
        <v>0</v>
      </c>
      <c r="Q174" s="132">
        <f t="shared" si="155"/>
        <v>0</v>
      </c>
      <c r="R174" s="132">
        <f t="shared" si="155"/>
        <v>0</v>
      </c>
      <c r="S174" s="132">
        <f t="shared" si="155"/>
        <v>0</v>
      </c>
      <c r="T174" s="132">
        <f t="shared" si="155"/>
        <v>0</v>
      </c>
      <c r="U174" s="132">
        <f t="shared" si="155"/>
        <v>0</v>
      </c>
      <c r="V174" s="132">
        <f t="shared" si="155"/>
        <v>0</v>
      </c>
      <c r="W174" s="132">
        <f t="shared" si="155"/>
        <v>0</v>
      </c>
      <c r="X174" s="132">
        <f t="shared" si="155"/>
        <v>0</v>
      </c>
      <c r="Y174" s="132">
        <f t="shared" si="155"/>
        <v>0</v>
      </c>
      <c r="Z174" s="132">
        <f t="shared" si="155"/>
        <v>0</v>
      </c>
      <c r="AA174" s="132">
        <f t="shared" si="155"/>
        <v>0</v>
      </c>
    </row>
    <row r="175" spans="2:27" hidden="1" outlineLevel="1" x14ac:dyDescent="0.35">
      <c r="B175" s="133" t="s">
        <v>106</v>
      </c>
      <c r="C175" s="134">
        <f t="shared" ref="C175:H175" si="156">C173+C171-C174</f>
        <v>0</v>
      </c>
      <c r="D175" s="134">
        <f t="shared" si="156"/>
        <v>0</v>
      </c>
      <c r="E175" s="134">
        <f t="shared" si="156"/>
        <v>0</v>
      </c>
      <c r="F175" s="134">
        <f t="shared" si="156"/>
        <v>0</v>
      </c>
      <c r="G175" s="134">
        <f t="shared" si="156"/>
        <v>0</v>
      </c>
      <c r="H175" s="134">
        <f t="shared" si="156"/>
        <v>0</v>
      </c>
      <c r="I175" s="134">
        <f t="shared" ref="I175:AA175" si="157">I173+I171-I174</f>
        <v>0</v>
      </c>
      <c r="J175" s="134">
        <f t="shared" si="157"/>
        <v>0</v>
      </c>
      <c r="K175" s="134">
        <f t="shared" si="157"/>
        <v>0</v>
      </c>
      <c r="L175" s="134">
        <f t="shared" si="157"/>
        <v>0</v>
      </c>
      <c r="M175" s="134">
        <f t="shared" si="157"/>
        <v>0</v>
      </c>
      <c r="N175" s="134">
        <f t="shared" si="157"/>
        <v>0</v>
      </c>
      <c r="O175" s="134">
        <f t="shared" si="157"/>
        <v>0</v>
      </c>
      <c r="P175" s="134">
        <f t="shared" si="157"/>
        <v>0</v>
      </c>
      <c r="Q175" s="134">
        <f t="shared" si="157"/>
        <v>0</v>
      </c>
      <c r="R175" s="134">
        <f t="shared" si="157"/>
        <v>0</v>
      </c>
      <c r="S175" s="134">
        <f t="shared" si="157"/>
        <v>0</v>
      </c>
      <c r="T175" s="134">
        <f t="shared" si="157"/>
        <v>0</v>
      </c>
      <c r="U175" s="134">
        <f t="shared" si="157"/>
        <v>0</v>
      </c>
      <c r="V175" s="134">
        <f t="shared" si="157"/>
        <v>0</v>
      </c>
      <c r="W175" s="134">
        <f t="shared" si="157"/>
        <v>0</v>
      </c>
      <c r="X175" s="134">
        <f t="shared" si="157"/>
        <v>0</v>
      </c>
      <c r="Y175" s="134">
        <f t="shared" si="157"/>
        <v>0</v>
      </c>
      <c r="Z175" s="134">
        <f t="shared" si="157"/>
        <v>0</v>
      </c>
      <c r="AA175" s="134">
        <f t="shared" si="157"/>
        <v>0</v>
      </c>
    </row>
    <row r="176" spans="2:27" hidden="1" outlineLevel="1" x14ac:dyDescent="0.35">
      <c r="B176" s="135" t="s">
        <v>38</v>
      </c>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f>Project_profitability!AB16*(1-'Sensitivity analysis project'!D13)</f>
        <v>0</v>
      </c>
    </row>
    <row r="177" spans="2:27" hidden="1" outlineLevel="2" x14ac:dyDescent="0.35">
      <c r="B177" s="136" t="s">
        <v>107</v>
      </c>
      <c r="C177" s="137">
        <f t="shared" ref="C177:H177" si="158">C175-C167+C176</f>
        <v>0</v>
      </c>
      <c r="D177" s="137">
        <f t="shared" si="158"/>
        <v>0</v>
      </c>
      <c r="E177" s="137">
        <f t="shared" si="158"/>
        <v>0</v>
      </c>
      <c r="F177" s="137">
        <f t="shared" si="158"/>
        <v>0</v>
      </c>
      <c r="G177" s="137">
        <f t="shared" si="158"/>
        <v>0</v>
      </c>
      <c r="H177" s="137">
        <f t="shared" si="158"/>
        <v>0</v>
      </c>
      <c r="I177" s="137">
        <f t="shared" ref="I177:AA177" si="159">I175-I167+I176</f>
        <v>0</v>
      </c>
      <c r="J177" s="137">
        <f t="shared" si="159"/>
        <v>0</v>
      </c>
      <c r="K177" s="137">
        <f t="shared" si="159"/>
        <v>0</v>
      </c>
      <c r="L177" s="137">
        <f t="shared" si="159"/>
        <v>0</v>
      </c>
      <c r="M177" s="137">
        <f t="shared" si="159"/>
        <v>0</v>
      </c>
      <c r="N177" s="137">
        <f t="shared" si="159"/>
        <v>0</v>
      </c>
      <c r="O177" s="137">
        <f t="shared" si="159"/>
        <v>0</v>
      </c>
      <c r="P177" s="137">
        <f t="shared" si="159"/>
        <v>0</v>
      </c>
      <c r="Q177" s="137">
        <f t="shared" si="159"/>
        <v>0</v>
      </c>
      <c r="R177" s="137">
        <f t="shared" si="159"/>
        <v>0</v>
      </c>
      <c r="S177" s="137">
        <f t="shared" si="159"/>
        <v>0</v>
      </c>
      <c r="T177" s="137">
        <f t="shared" si="159"/>
        <v>0</v>
      </c>
      <c r="U177" s="137">
        <f t="shared" si="159"/>
        <v>0</v>
      </c>
      <c r="V177" s="137">
        <f t="shared" si="159"/>
        <v>0</v>
      </c>
      <c r="W177" s="137">
        <f t="shared" si="159"/>
        <v>0</v>
      </c>
      <c r="X177" s="137">
        <f t="shared" si="159"/>
        <v>0</v>
      </c>
      <c r="Y177" s="137">
        <f t="shared" si="159"/>
        <v>0</v>
      </c>
      <c r="Z177" s="137">
        <f t="shared" si="159"/>
        <v>0</v>
      </c>
      <c r="AA177" s="137">
        <f t="shared" si="159"/>
        <v>0</v>
      </c>
    </row>
    <row r="178" spans="2:27" collapsed="1" x14ac:dyDescent="0.35">
      <c r="B178" s="121"/>
      <c r="C178" s="114"/>
      <c r="D178" s="114"/>
      <c r="E178" s="114"/>
      <c r="F178" s="114"/>
      <c r="G178" s="114"/>
      <c r="H178" s="114"/>
    </row>
    <row r="179" spans="2:27" x14ac:dyDescent="0.35">
      <c r="B179" s="121"/>
    </row>
    <row r="180" spans="2:27" x14ac:dyDescent="0.35">
      <c r="B180" s="138" t="s">
        <v>40</v>
      </c>
      <c r="C180" s="139">
        <v>0.04</v>
      </c>
    </row>
    <row r="181" spans="2:27" x14ac:dyDescent="0.35">
      <c r="B181" s="140" t="s">
        <v>41</v>
      </c>
      <c r="C181" s="141">
        <f>NPV(C180,C177:AA177)</f>
        <v>0</v>
      </c>
    </row>
    <row r="182" spans="2:27" x14ac:dyDescent="0.35">
      <c r="B182" s="142" t="s">
        <v>42</v>
      </c>
      <c r="C182" s="143" t="e">
        <f>IRR(C177:AA177,C180)</f>
        <v>#NUM!</v>
      </c>
    </row>
    <row r="185" spans="2:27" x14ac:dyDescent="0.35">
      <c r="B185" s="92" t="s">
        <v>115</v>
      </c>
    </row>
    <row r="186" spans="2:27" hidden="1" outlineLevel="1" x14ac:dyDescent="0.35">
      <c r="B186" s="405"/>
      <c r="C186" s="164" t="s">
        <v>27</v>
      </c>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row>
    <row r="187" spans="2:27" hidden="1" outlineLevel="1" x14ac:dyDescent="0.35">
      <c r="B187" s="405"/>
      <c r="C187" s="165">
        <v>1</v>
      </c>
      <c r="D187" s="165">
        <v>2</v>
      </c>
      <c r="E187" s="165">
        <v>3</v>
      </c>
      <c r="F187" s="165">
        <v>4</v>
      </c>
      <c r="G187" s="165">
        <v>5</v>
      </c>
      <c r="H187" s="165">
        <v>6</v>
      </c>
      <c r="I187" s="165">
        <v>7</v>
      </c>
      <c r="J187" s="165">
        <v>8</v>
      </c>
      <c r="K187" s="165">
        <v>9</v>
      </c>
      <c r="L187" s="165">
        <v>10</v>
      </c>
      <c r="M187" s="165">
        <v>11</v>
      </c>
      <c r="N187" s="165">
        <v>12</v>
      </c>
      <c r="O187" s="165">
        <v>13</v>
      </c>
      <c r="P187" s="165">
        <v>14</v>
      </c>
      <c r="Q187" s="165">
        <v>15</v>
      </c>
      <c r="R187" s="165">
        <v>16</v>
      </c>
      <c r="S187" s="165">
        <v>17</v>
      </c>
      <c r="T187" s="165">
        <v>18</v>
      </c>
      <c r="U187" s="165">
        <v>19</v>
      </c>
      <c r="V187" s="165">
        <v>20</v>
      </c>
      <c r="W187" s="165">
        <v>21</v>
      </c>
      <c r="X187" s="165">
        <v>22</v>
      </c>
      <c r="Y187" s="165">
        <v>23</v>
      </c>
      <c r="Z187" s="165">
        <v>24</v>
      </c>
      <c r="AA187" s="165">
        <v>25</v>
      </c>
    </row>
    <row r="188" spans="2:27" hidden="1" outlineLevel="1" x14ac:dyDescent="0.35">
      <c r="B188" s="122" t="s">
        <v>35</v>
      </c>
      <c r="C188" s="124">
        <f>Project_profitability!C12</f>
        <v>0</v>
      </c>
      <c r="D188" s="124"/>
      <c r="E188" s="124"/>
      <c r="F188" s="123"/>
      <c r="G188" s="123"/>
      <c r="H188" s="123"/>
      <c r="I188" s="123"/>
      <c r="J188" s="123"/>
      <c r="K188" s="123"/>
      <c r="L188" s="123"/>
      <c r="M188" s="123"/>
      <c r="N188" s="123"/>
      <c r="O188" s="123"/>
      <c r="P188" s="123"/>
      <c r="Q188" s="123"/>
      <c r="R188" s="123"/>
      <c r="S188" s="123"/>
      <c r="T188" s="123"/>
      <c r="U188" s="123"/>
      <c r="V188" s="123"/>
      <c r="W188" s="123"/>
      <c r="X188" s="123"/>
      <c r="Y188" s="123"/>
      <c r="Z188" s="123"/>
      <c r="AA188" s="123"/>
    </row>
    <row r="189" spans="2:27" hidden="1" outlineLevel="1" x14ac:dyDescent="0.35">
      <c r="B189" s="125" t="s">
        <v>36</v>
      </c>
      <c r="C189" s="95">
        <f>Project_profitability!C13*(1+'Sensitivity analysis project'!$D$14)</f>
        <v>0</v>
      </c>
      <c r="D189" s="95">
        <f>Project_profitability!D13*(1+'Sensitivity analysis project'!$D$14)</f>
        <v>0</v>
      </c>
      <c r="E189" s="95">
        <f>Project_profitability!E13*(1+'Sensitivity analysis project'!$D$14)</f>
        <v>0</v>
      </c>
      <c r="F189" s="95">
        <f>Project_profitability!F13*(1+'Sensitivity analysis project'!$D$14)</f>
        <v>0</v>
      </c>
      <c r="G189" s="95">
        <f>Project_profitability!G13*(1+'Sensitivity analysis project'!$D$14)</f>
        <v>0</v>
      </c>
      <c r="H189" s="95">
        <f>Project_profitability!H13*(1+'Sensitivity analysis project'!$D$14)</f>
        <v>0</v>
      </c>
      <c r="I189" s="95">
        <f>Project_profitability!I13*(1+'Sensitivity analysis project'!$D$14)</f>
        <v>0</v>
      </c>
      <c r="J189" s="95">
        <f>Project_profitability!J13*(1+'Sensitivity analysis project'!$D$14)</f>
        <v>0</v>
      </c>
      <c r="K189" s="95">
        <f>Project_profitability!K13*(1+'Sensitivity analysis project'!$D$14)</f>
        <v>0</v>
      </c>
      <c r="L189" s="95">
        <f>Project_profitability!L13*(1+'Sensitivity analysis project'!$D$14)</f>
        <v>0</v>
      </c>
      <c r="M189" s="95">
        <f>Project_profitability!M13*(1+'Sensitivity analysis project'!$D$14)</f>
        <v>0</v>
      </c>
      <c r="N189" s="95">
        <f>Project_profitability!N13*(1+'Sensitivity analysis project'!$D$14)</f>
        <v>0</v>
      </c>
      <c r="O189" s="95">
        <f>Project_profitability!O13*(1+'Sensitivity analysis project'!$D$14)</f>
        <v>0</v>
      </c>
      <c r="P189" s="95">
        <f>Project_profitability!P13*(1+'Sensitivity analysis project'!$D$14)</f>
        <v>0</v>
      </c>
      <c r="Q189" s="95">
        <f>Project_profitability!Q13*(1+'Sensitivity analysis project'!$D$14)</f>
        <v>0</v>
      </c>
      <c r="R189" s="95">
        <f>Project_profitability!R13*(1+'Sensitivity analysis project'!$D$14)</f>
        <v>0</v>
      </c>
      <c r="S189" s="95">
        <f>Project_profitability!S13*(1+'Sensitivity analysis project'!$D$14)</f>
        <v>0</v>
      </c>
      <c r="T189" s="95">
        <f>Project_profitability!T13*(1+'Sensitivity analysis project'!$D$14)</f>
        <v>0</v>
      </c>
      <c r="U189" s="95">
        <f>Project_profitability!U13*(1+'Sensitivity analysis project'!$D$14)</f>
        <v>0</v>
      </c>
      <c r="V189" s="95">
        <f>Project_profitability!V13*(1+'Sensitivity analysis project'!$D$14)</f>
        <v>0</v>
      </c>
      <c r="W189" s="95">
        <f>Project_profitability!W13*(1+'Sensitivity analysis project'!$D$14)</f>
        <v>0</v>
      </c>
      <c r="X189" s="95">
        <f>Project_profitability!X13*(1+'Sensitivity analysis project'!$D$14)</f>
        <v>0</v>
      </c>
      <c r="Y189" s="95">
        <f>Project_profitability!Y13*(1+'Sensitivity analysis project'!$D$14)</f>
        <v>0</v>
      </c>
      <c r="Z189" s="95">
        <f>Project_profitability!Z13*(1+'Sensitivity analysis project'!$D$14)</f>
        <v>0</v>
      </c>
      <c r="AA189" s="95">
        <f>Project_profitability!AA13*(1+'Sensitivity analysis project'!$D$14)</f>
        <v>0</v>
      </c>
    </row>
    <row r="190" spans="2:27" ht="29" hidden="1" outlineLevel="1" x14ac:dyDescent="0.35">
      <c r="B190" s="125" t="s">
        <v>100</v>
      </c>
      <c r="C190" s="95">
        <f>Project_profitability!C14</f>
        <v>0</v>
      </c>
      <c r="D190" s="95">
        <f>Project_profitability!D14</f>
        <v>0</v>
      </c>
      <c r="E190" s="95">
        <f>Project_profitability!E14</f>
        <v>0</v>
      </c>
      <c r="F190" s="95">
        <f>Project_profitability!F14</f>
        <v>0</v>
      </c>
      <c r="G190" s="95">
        <f>Project_profitability!G14</f>
        <v>0</v>
      </c>
      <c r="H190" s="95">
        <f>Project_profitability!H14</f>
        <v>0</v>
      </c>
      <c r="I190" s="95">
        <f>Project_profitability!I14</f>
        <v>0</v>
      </c>
      <c r="J190" s="95">
        <f>Project_profitability!J14</f>
        <v>0</v>
      </c>
      <c r="K190" s="95">
        <f>Project_profitability!K14</f>
        <v>0</v>
      </c>
      <c r="L190" s="95">
        <f>Project_profitability!L14</f>
        <v>0</v>
      </c>
      <c r="M190" s="95">
        <f>Project_profitability!M14</f>
        <v>0</v>
      </c>
      <c r="N190" s="95">
        <f>Project_profitability!N14</f>
        <v>0</v>
      </c>
      <c r="O190" s="95">
        <f>Project_profitability!O14</f>
        <v>0</v>
      </c>
      <c r="P190" s="95">
        <f>Project_profitability!P14</f>
        <v>0</v>
      </c>
      <c r="Q190" s="95">
        <f>Project_profitability!Q14</f>
        <v>0</v>
      </c>
      <c r="R190" s="95">
        <f>Project_profitability!R14</f>
        <v>0</v>
      </c>
      <c r="S190" s="95">
        <f>Project_profitability!S14</f>
        <v>0</v>
      </c>
      <c r="T190" s="95">
        <f>Project_profitability!T14</f>
        <v>0</v>
      </c>
      <c r="U190" s="95">
        <f>Project_profitability!U14</f>
        <v>0</v>
      </c>
      <c r="V190" s="95">
        <f>Project_profitability!V14</f>
        <v>0</v>
      </c>
      <c r="W190" s="95">
        <f>Project_profitability!W14</f>
        <v>0</v>
      </c>
      <c r="X190" s="95">
        <f>Project_profitability!X14</f>
        <v>0</v>
      </c>
      <c r="Y190" s="95">
        <f>Project_profitability!Y14</f>
        <v>0</v>
      </c>
      <c r="Z190" s="95">
        <f>Project_profitability!Z14</f>
        <v>0</v>
      </c>
      <c r="AA190" s="95">
        <f>Project_profitability!AA14</f>
        <v>0</v>
      </c>
    </row>
    <row r="191" spans="2:27" ht="29" hidden="1" outlineLevel="1" x14ac:dyDescent="0.35">
      <c r="B191" s="125" t="s">
        <v>101</v>
      </c>
      <c r="C191" s="126">
        <f t="shared" ref="C191:H191" si="160">C189-C190</f>
        <v>0</v>
      </c>
      <c r="D191" s="126">
        <f t="shared" si="160"/>
        <v>0</v>
      </c>
      <c r="E191" s="126">
        <f t="shared" si="160"/>
        <v>0</v>
      </c>
      <c r="F191" s="126">
        <f t="shared" si="160"/>
        <v>0</v>
      </c>
      <c r="G191" s="126">
        <f t="shared" si="160"/>
        <v>0</v>
      </c>
      <c r="H191" s="126">
        <f t="shared" si="160"/>
        <v>0</v>
      </c>
      <c r="I191" s="126">
        <f t="shared" ref="I191:AA191" si="161">I189-I190</f>
        <v>0</v>
      </c>
      <c r="J191" s="126">
        <f t="shared" si="161"/>
        <v>0</v>
      </c>
      <c r="K191" s="126">
        <f t="shared" si="161"/>
        <v>0</v>
      </c>
      <c r="L191" s="126">
        <f t="shared" si="161"/>
        <v>0</v>
      </c>
      <c r="M191" s="126">
        <f t="shared" si="161"/>
        <v>0</v>
      </c>
      <c r="N191" s="126">
        <f t="shared" si="161"/>
        <v>0</v>
      </c>
      <c r="O191" s="126">
        <f t="shared" si="161"/>
        <v>0</v>
      </c>
      <c r="P191" s="126">
        <f t="shared" si="161"/>
        <v>0</v>
      </c>
      <c r="Q191" s="126">
        <f t="shared" si="161"/>
        <v>0</v>
      </c>
      <c r="R191" s="126">
        <f t="shared" si="161"/>
        <v>0</v>
      </c>
      <c r="S191" s="126">
        <f t="shared" si="161"/>
        <v>0</v>
      </c>
      <c r="T191" s="126">
        <f t="shared" si="161"/>
        <v>0</v>
      </c>
      <c r="U191" s="126">
        <f t="shared" si="161"/>
        <v>0</v>
      </c>
      <c r="V191" s="126">
        <f t="shared" si="161"/>
        <v>0</v>
      </c>
      <c r="W191" s="126">
        <f t="shared" si="161"/>
        <v>0</v>
      </c>
      <c r="X191" s="126">
        <f t="shared" si="161"/>
        <v>0</v>
      </c>
      <c r="Y191" s="126">
        <f t="shared" si="161"/>
        <v>0</v>
      </c>
      <c r="Z191" s="126">
        <f t="shared" si="161"/>
        <v>0</v>
      </c>
      <c r="AA191" s="126">
        <f t="shared" si="161"/>
        <v>0</v>
      </c>
    </row>
    <row r="192" spans="2:27" hidden="1" outlineLevel="1" x14ac:dyDescent="0.35">
      <c r="B192" s="127" t="s">
        <v>102</v>
      </c>
      <c r="C192" s="128">
        <f>Project_profitability!C18</f>
        <v>0</v>
      </c>
      <c r="D192" s="128">
        <f>Project_profitability!D18</f>
        <v>0</v>
      </c>
      <c r="E192" s="128">
        <f>Project_profitability!E18</f>
        <v>0</v>
      </c>
      <c r="F192" s="128">
        <f>Project_profitability!F18</f>
        <v>0</v>
      </c>
      <c r="G192" s="128">
        <f>Project_profitability!G18</f>
        <v>0</v>
      </c>
      <c r="H192" s="128">
        <f>Project_profitability!H18</f>
        <v>0</v>
      </c>
      <c r="I192" s="128">
        <f>Project_profitability!I18</f>
        <v>0</v>
      </c>
      <c r="J192" s="128">
        <f>Project_profitability!J18</f>
        <v>0</v>
      </c>
      <c r="K192" s="128">
        <f>Project_profitability!K18</f>
        <v>0</v>
      </c>
      <c r="L192" s="128">
        <f>Project_profitability!L18</f>
        <v>0</v>
      </c>
      <c r="M192" s="128">
        <f>Project_profitability!M18</f>
        <v>0</v>
      </c>
      <c r="N192" s="128">
        <f>Project_profitability!N18</f>
        <v>0</v>
      </c>
      <c r="O192" s="128">
        <f>Project_profitability!O18</f>
        <v>0</v>
      </c>
      <c r="P192" s="128">
        <f>Project_profitability!P18</f>
        <v>0</v>
      </c>
      <c r="Q192" s="128">
        <f>Project_profitability!Q18</f>
        <v>0</v>
      </c>
      <c r="R192" s="128">
        <f>Project_profitability!R18</f>
        <v>0</v>
      </c>
      <c r="S192" s="128">
        <f>Project_profitability!S18</f>
        <v>0</v>
      </c>
      <c r="T192" s="128">
        <f>Project_profitability!T18</f>
        <v>0</v>
      </c>
      <c r="U192" s="128">
        <f>Project_profitability!U18</f>
        <v>0</v>
      </c>
      <c r="V192" s="128">
        <f>Project_profitability!V18</f>
        <v>0</v>
      </c>
      <c r="W192" s="128">
        <f>Project_profitability!W18</f>
        <v>0</v>
      </c>
      <c r="X192" s="128">
        <f>Project_profitability!X18</f>
        <v>0</v>
      </c>
      <c r="Y192" s="128">
        <f>Project_profitability!Y18</f>
        <v>0</v>
      </c>
      <c r="Z192" s="128">
        <f>Project_profitability!Z18</f>
        <v>0</v>
      </c>
      <c r="AA192" s="128">
        <f>Project_profitability!AA18</f>
        <v>0</v>
      </c>
    </row>
    <row r="193" spans="2:27" hidden="1" outlineLevel="1" x14ac:dyDescent="0.35">
      <c r="B193" s="122" t="s">
        <v>103</v>
      </c>
      <c r="C193" s="126">
        <f t="shared" ref="C193:H193" si="162">C191-C192</f>
        <v>0</v>
      </c>
      <c r="D193" s="126">
        <f t="shared" si="162"/>
        <v>0</v>
      </c>
      <c r="E193" s="126">
        <f t="shared" si="162"/>
        <v>0</v>
      </c>
      <c r="F193" s="126">
        <f t="shared" si="162"/>
        <v>0</v>
      </c>
      <c r="G193" s="126">
        <f t="shared" si="162"/>
        <v>0</v>
      </c>
      <c r="H193" s="126">
        <f t="shared" si="162"/>
        <v>0</v>
      </c>
      <c r="I193" s="126">
        <f t="shared" ref="I193:AA193" si="163">I191-I192</f>
        <v>0</v>
      </c>
      <c r="J193" s="126">
        <f t="shared" si="163"/>
        <v>0</v>
      </c>
      <c r="K193" s="126">
        <f t="shared" si="163"/>
        <v>0</v>
      </c>
      <c r="L193" s="126">
        <f t="shared" si="163"/>
        <v>0</v>
      </c>
      <c r="M193" s="126">
        <f t="shared" si="163"/>
        <v>0</v>
      </c>
      <c r="N193" s="126">
        <f t="shared" si="163"/>
        <v>0</v>
      </c>
      <c r="O193" s="126">
        <f t="shared" si="163"/>
        <v>0</v>
      </c>
      <c r="P193" s="126">
        <f t="shared" si="163"/>
        <v>0</v>
      </c>
      <c r="Q193" s="126">
        <f t="shared" si="163"/>
        <v>0</v>
      </c>
      <c r="R193" s="126">
        <f t="shared" si="163"/>
        <v>0</v>
      </c>
      <c r="S193" s="126">
        <f t="shared" si="163"/>
        <v>0</v>
      </c>
      <c r="T193" s="126">
        <f t="shared" si="163"/>
        <v>0</v>
      </c>
      <c r="U193" s="126">
        <f t="shared" si="163"/>
        <v>0</v>
      </c>
      <c r="V193" s="126">
        <f t="shared" si="163"/>
        <v>0</v>
      </c>
      <c r="W193" s="126">
        <f t="shared" si="163"/>
        <v>0</v>
      </c>
      <c r="X193" s="126">
        <f t="shared" si="163"/>
        <v>0</v>
      </c>
      <c r="Y193" s="126">
        <f t="shared" si="163"/>
        <v>0</v>
      </c>
      <c r="Z193" s="126">
        <f t="shared" si="163"/>
        <v>0</v>
      </c>
      <c r="AA193" s="126">
        <f t="shared" si="163"/>
        <v>0</v>
      </c>
    </row>
    <row r="194" spans="2:27" hidden="1" outlineLevel="1" x14ac:dyDescent="0.35">
      <c r="B194" s="129" t="s">
        <v>104</v>
      </c>
      <c r="C194" s="130">
        <f>C193</f>
        <v>0</v>
      </c>
      <c r="D194" s="130">
        <f t="shared" ref="D194:H194" si="164">D193</f>
        <v>0</v>
      </c>
      <c r="E194" s="130">
        <f t="shared" si="164"/>
        <v>0</v>
      </c>
      <c r="F194" s="130">
        <f t="shared" si="164"/>
        <v>0</v>
      </c>
      <c r="G194" s="130">
        <f t="shared" si="164"/>
        <v>0</v>
      </c>
      <c r="H194" s="130">
        <f t="shared" si="164"/>
        <v>0</v>
      </c>
      <c r="I194" s="130">
        <f t="shared" ref="I194" si="165">I193</f>
        <v>0</v>
      </c>
      <c r="J194" s="130">
        <f t="shared" ref="J194" si="166">J193</f>
        <v>0</v>
      </c>
      <c r="K194" s="130">
        <f t="shared" ref="K194" si="167">K193</f>
        <v>0</v>
      </c>
      <c r="L194" s="130">
        <f t="shared" ref="L194" si="168">L193</f>
        <v>0</v>
      </c>
      <c r="M194" s="130">
        <f t="shared" ref="M194" si="169">M193</f>
        <v>0</v>
      </c>
      <c r="N194" s="130">
        <f t="shared" ref="N194" si="170">N193</f>
        <v>0</v>
      </c>
      <c r="O194" s="130">
        <f t="shared" ref="O194" si="171">O193</f>
        <v>0</v>
      </c>
      <c r="P194" s="130">
        <f t="shared" ref="P194" si="172">P193</f>
        <v>0</v>
      </c>
      <c r="Q194" s="130">
        <f t="shared" ref="Q194" si="173">Q193</f>
        <v>0</v>
      </c>
      <c r="R194" s="130">
        <f t="shared" ref="R194" si="174">R193</f>
        <v>0</v>
      </c>
      <c r="S194" s="130">
        <f t="shared" ref="S194" si="175">S193</f>
        <v>0</v>
      </c>
      <c r="T194" s="130">
        <f t="shared" ref="T194" si="176">T193</f>
        <v>0</v>
      </c>
      <c r="U194" s="130">
        <f t="shared" ref="U194" si="177">U193</f>
        <v>0</v>
      </c>
      <c r="V194" s="130">
        <f t="shared" ref="V194" si="178">V193</f>
        <v>0</v>
      </c>
      <c r="W194" s="130">
        <f t="shared" ref="W194" si="179">W193</f>
        <v>0</v>
      </c>
      <c r="X194" s="130">
        <f t="shared" ref="X194" si="180">X193</f>
        <v>0</v>
      </c>
      <c r="Y194" s="130">
        <f t="shared" ref="Y194" si="181">Y193</f>
        <v>0</v>
      </c>
      <c r="Z194" s="130">
        <f t="shared" ref="Z194" si="182">Z193</f>
        <v>0</v>
      </c>
      <c r="AA194" s="130">
        <f t="shared" ref="AA194" si="183">AA193</f>
        <v>0</v>
      </c>
    </row>
    <row r="195" spans="2:27" hidden="1" outlineLevel="1" x14ac:dyDescent="0.35">
      <c r="B195" s="131" t="s">
        <v>105</v>
      </c>
      <c r="C195" s="132">
        <f>Project_profitability!C187</f>
        <v>0</v>
      </c>
      <c r="D195" s="132">
        <f>Project_profitability!D187</f>
        <v>0</v>
      </c>
      <c r="E195" s="132">
        <f>Project_profitability!E187</f>
        <v>0</v>
      </c>
      <c r="F195" s="132">
        <f>Project_profitability!F187</f>
        <v>0</v>
      </c>
      <c r="G195" s="132">
        <f>Project_profitability!G187</f>
        <v>0</v>
      </c>
      <c r="H195" s="132">
        <f>Project_profitability!H187</f>
        <v>0</v>
      </c>
      <c r="I195" s="132">
        <f>Project_profitability!I187</f>
        <v>0</v>
      </c>
      <c r="J195" s="132">
        <f>Project_profitability!J187</f>
        <v>0</v>
      </c>
      <c r="K195" s="132">
        <f>Project_profitability!K187</f>
        <v>0</v>
      </c>
      <c r="L195" s="132">
        <f>Project_profitability!L187</f>
        <v>0</v>
      </c>
      <c r="M195" s="132">
        <f>Project_profitability!M187</f>
        <v>0</v>
      </c>
      <c r="N195" s="132">
        <f>Project_profitability!N187</f>
        <v>0</v>
      </c>
      <c r="O195" s="132">
        <f>Project_profitability!O187</f>
        <v>0</v>
      </c>
      <c r="P195" s="132">
        <f>Project_profitability!P187</f>
        <v>0</v>
      </c>
      <c r="Q195" s="132">
        <f>Project_profitability!Q187</f>
        <v>0</v>
      </c>
      <c r="R195" s="132">
        <f>Project_profitability!R187</f>
        <v>0</v>
      </c>
      <c r="S195" s="132">
        <f>Project_profitability!S187</f>
        <v>0</v>
      </c>
      <c r="T195" s="132">
        <f>Project_profitability!T187</f>
        <v>0</v>
      </c>
      <c r="U195" s="132">
        <f>Project_profitability!U187</f>
        <v>0</v>
      </c>
      <c r="V195" s="132">
        <f>Project_profitability!V187</f>
        <v>0</v>
      </c>
      <c r="W195" s="132">
        <f>Project_profitability!W187</f>
        <v>0</v>
      </c>
      <c r="X195" s="132">
        <f>Project_profitability!X187</f>
        <v>0</v>
      </c>
      <c r="Y195" s="132">
        <f>Project_profitability!Y187</f>
        <v>0</v>
      </c>
      <c r="Z195" s="132">
        <f>Project_profitability!Z187</f>
        <v>0</v>
      </c>
      <c r="AA195" s="132">
        <f>Project_profitability!AA187</f>
        <v>0</v>
      </c>
    </row>
    <row r="196" spans="2:27" hidden="1" outlineLevel="1" x14ac:dyDescent="0.35">
      <c r="B196" s="133" t="s">
        <v>106</v>
      </c>
      <c r="C196" s="134">
        <f t="shared" ref="C196:H196" si="184">C194+C192-C195</f>
        <v>0</v>
      </c>
      <c r="D196" s="134">
        <f t="shared" si="184"/>
        <v>0</v>
      </c>
      <c r="E196" s="134">
        <f t="shared" si="184"/>
        <v>0</v>
      </c>
      <c r="F196" s="134">
        <f t="shared" si="184"/>
        <v>0</v>
      </c>
      <c r="G196" s="134">
        <f t="shared" si="184"/>
        <v>0</v>
      </c>
      <c r="H196" s="134">
        <f t="shared" si="184"/>
        <v>0</v>
      </c>
      <c r="I196" s="134">
        <f t="shared" ref="I196:AA196" si="185">I194+I192-I195</f>
        <v>0</v>
      </c>
      <c r="J196" s="134">
        <f t="shared" si="185"/>
        <v>0</v>
      </c>
      <c r="K196" s="134">
        <f t="shared" si="185"/>
        <v>0</v>
      </c>
      <c r="L196" s="134">
        <f t="shared" si="185"/>
        <v>0</v>
      </c>
      <c r="M196" s="134">
        <f t="shared" si="185"/>
        <v>0</v>
      </c>
      <c r="N196" s="134">
        <f t="shared" si="185"/>
        <v>0</v>
      </c>
      <c r="O196" s="134">
        <f t="shared" si="185"/>
        <v>0</v>
      </c>
      <c r="P196" s="134">
        <f t="shared" si="185"/>
        <v>0</v>
      </c>
      <c r="Q196" s="134">
        <f t="shared" si="185"/>
        <v>0</v>
      </c>
      <c r="R196" s="134">
        <f t="shared" si="185"/>
        <v>0</v>
      </c>
      <c r="S196" s="134">
        <f t="shared" si="185"/>
        <v>0</v>
      </c>
      <c r="T196" s="134">
        <f t="shared" si="185"/>
        <v>0</v>
      </c>
      <c r="U196" s="134">
        <f t="shared" si="185"/>
        <v>0</v>
      </c>
      <c r="V196" s="134">
        <f t="shared" si="185"/>
        <v>0</v>
      </c>
      <c r="W196" s="134">
        <f t="shared" si="185"/>
        <v>0</v>
      </c>
      <c r="X196" s="134">
        <f t="shared" si="185"/>
        <v>0</v>
      </c>
      <c r="Y196" s="134">
        <f t="shared" si="185"/>
        <v>0</v>
      </c>
      <c r="Z196" s="134">
        <f t="shared" si="185"/>
        <v>0</v>
      </c>
      <c r="AA196" s="134">
        <f t="shared" si="185"/>
        <v>0</v>
      </c>
    </row>
    <row r="197" spans="2:27" hidden="1" outlineLevel="1" x14ac:dyDescent="0.35">
      <c r="B197" s="135" t="s">
        <v>38</v>
      </c>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f>Project_profitability!AB16*(1+'Sensitivity analysis project'!D14)</f>
        <v>0</v>
      </c>
    </row>
    <row r="198" spans="2:27" hidden="1" outlineLevel="2" x14ac:dyDescent="0.35">
      <c r="B198" s="136" t="s">
        <v>107</v>
      </c>
      <c r="C198" s="137">
        <f t="shared" ref="C198:H198" si="186">C196-C188+C197</f>
        <v>0</v>
      </c>
      <c r="D198" s="137">
        <f t="shared" si="186"/>
        <v>0</v>
      </c>
      <c r="E198" s="137">
        <f t="shared" si="186"/>
        <v>0</v>
      </c>
      <c r="F198" s="137">
        <f t="shared" si="186"/>
        <v>0</v>
      </c>
      <c r="G198" s="137">
        <f t="shared" si="186"/>
        <v>0</v>
      </c>
      <c r="H198" s="137">
        <f t="shared" si="186"/>
        <v>0</v>
      </c>
      <c r="I198" s="137">
        <f t="shared" ref="I198:AA198" si="187">I196-I188+I197</f>
        <v>0</v>
      </c>
      <c r="J198" s="137">
        <f t="shared" si="187"/>
        <v>0</v>
      </c>
      <c r="K198" s="137">
        <f t="shared" si="187"/>
        <v>0</v>
      </c>
      <c r="L198" s="137">
        <f t="shared" si="187"/>
        <v>0</v>
      </c>
      <c r="M198" s="137">
        <f t="shared" si="187"/>
        <v>0</v>
      </c>
      <c r="N198" s="137">
        <f t="shared" si="187"/>
        <v>0</v>
      </c>
      <c r="O198" s="137">
        <f t="shared" si="187"/>
        <v>0</v>
      </c>
      <c r="P198" s="137">
        <f t="shared" si="187"/>
        <v>0</v>
      </c>
      <c r="Q198" s="137">
        <f t="shared" si="187"/>
        <v>0</v>
      </c>
      <c r="R198" s="137">
        <f t="shared" si="187"/>
        <v>0</v>
      </c>
      <c r="S198" s="137">
        <f t="shared" si="187"/>
        <v>0</v>
      </c>
      <c r="T198" s="137">
        <f t="shared" si="187"/>
        <v>0</v>
      </c>
      <c r="U198" s="137">
        <f t="shared" si="187"/>
        <v>0</v>
      </c>
      <c r="V198" s="137">
        <f t="shared" si="187"/>
        <v>0</v>
      </c>
      <c r="W198" s="137">
        <f t="shared" si="187"/>
        <v>0</v>
      </c>
      <c r="X198" s="137">
        <f t="shared" si="187"/>
        <v>0</v>
      </c>
      <c r="Y198" s="137">
        <f t="shared" si="187"/>
        <v>0</v>
      </c>
      <c r="Z198" s="137">
        <f t="shared" si="187"/>
        <v>0</v>
      </c>
      <c r="AA198" s="137">
        <f t="shared" si="187"/>
        <v>0</v>
      </c>
    </row>
    <row r="199" spans="2:27" collapsed="1" x14ac:dyDescent="0.35">
      <c r="B199" s="121"/>
      <c r="C199" s="114"/>
      <c r="D199" s="114"/>
      <c r="E199" s="114"/>
      <c r="F199" s="114"/>
      <c r="G199" s="114"/>
      <c r="H199" s="114"/>
    </row>
    <row r="200" spans="2:27" x14ac:dyDescent="0.35">
      <c r="B200" s="121"/>
    </row>
    <row r="201" spans="2:27" x14ac:dyDescent="0.35">
      <c r="B201" s="138" t="s">
        <v>40</v>
      </c>
      <c r="C201" s="139">
        <v>0.04</v>
      </c>
    </row>
    <row r="202" spans="2:27" x14ac:dyDescent="0.35">
      <c r="B202" s="140" t="s">
        <v>41</v>
      </c>
      <c r="C202" s="141">
        <f>NPV(C201,C198:AA198)</f>
        <v>0</v>
      </c>
    </row>
    <row r="203" spans="2:27" x14ac:dyDescent="0.35">
      <c r="B203" s="142" t="s">
        <v>42</v>
      </c>
      <c r="C203" s="143" t="e">
        <f>IRR(C198:AA198,C201)</f>
        <v>#NUM!</v>
      </c>
    </row>
    <row r="205" spans="2:27" x14ac:dyDescent="0.35">
      <c r="B205" s="92" t="s">
        <v>116</v>
      </c>
    </row>
    <row r="206" spans="2:27" hidden="1" outlineLevel="1" x14ac:dyDescent="0.35">
      <c r="B206" s="405"/>
      <c r="C206" s="164" t="s">
        <v>27</v>
      </c>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row>
    <row r="207" spans="2:27" hidden="1" outlineLevel="1" x14ac:dyDescent="0.35">
      <c r="B207" s="405"/>
      <c r="C207" s="165">
        <v>1</v>
      </c>
      <c r="D207" s="165">
        <v>2</v>
      </c>
      <c r="E207" s="165">
        <v>3</v>
      </c>
      <c r="F207" s="165">
        <v>4</v>
      </c>
      <c r="G207" s="165">
        <v>5</v>
      </c>
      <c r="H207" s="165">
        <v>6</v>
      </c>
      <c r="I207" s="165">
        <v>7</v>
      </c>
      <c r="J207" s="165">
        <v>8</v>
      </c>
      <c r="K207" s="165">
        <v>9</v>
      </c>
      <c r="L207" s="165">
        <v>10</v>
      </c>
      <c r="M207" s="165">
        <v>11</v>
      </c>
      <c r="N207" s="165">
        <v>12</v>
      </c>
      <c r="O207" s="165">
        <v>13</v>
      </c>
      <c r="P207" s="165">
        <v>14</v>
      </c>
      <c r="Q207" s="165">
        <v>15</v>
      </c>
      <c r="R207" s="165">
        <v>16</v>
      </c>
      <c r="S207" s="165">
        <v>17</v>
      </c>
      <c r="T207" s="165">
        <v>18</v>
      </c>
      <c r="U207" s="165">
        <v>19</v>
      </c>
      <c r="V207" s="165">
        <v>20</v>
      </c>
      <c r="W207" s="165">
        <v>21</v>
      </c>
      <c r="X207" s="165">
        <v>22</v>
      </c>
      <c r="Y207" s="165">
        <v>23</v>
      </c>
      <c r="Z207" s="165">
        <v>24</v>
      </c>
      <c r="AA207" s="165">
        <v>25</v>
      </c>
    </row>
    <row r="208" spans="2:27" hidden="1" outlineLevel="1" x14ac:dyDescent="0.35">
      <c r="B208" s="122" t="s">
        <v>35</v>
      </c>
      <c r="C208" s="124">
        <f>Project_profitability!C12</f>
        <v>0</v>
      </c>
      <c r="D208" s="124"/>
      <c r="E208" s="124"/>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row>
    <row r="209" spans="2:27" hidden="1" outlineLevel="1" x14ac:dyDescent="0.35">
      <c r="B209" s="125" t="s">
        <v>36</v>
      </c>
      <c r="C209" s="95">
        <f>Project_profitability!C13*(1+'Sensitivity analysis project'!$D$15)</f>
        <v>0</v>
      </c>
      <c r="D209" s="95">
        <f>Project_profitability!D13*(1+'Sensitivity analysis project'!$D$15)</f>
        <v>0</v>
      </c>
      <c r="E209" s="95">
        <f>Project_profitability!E13*(1+'Sensitivity analysis project'!$D$15)</f>
        <v>0</v>
      </c>
      <c r="F209" s="95">
        <f>Project_profitability!F13*(1+'Sensitivity analysis project'!$D$15)</f>
        <v>0</v>
      </c>
      <c r="G209" s="95">
        <f>Project_profitability!G13*(1+'Sensitivity analysis project'!$D$15)</f>
        <v>0</v>
      </c>
      <c r="H209" s="95">
        <f>Project_profitability!H13*(1+'Sensitivity analysis project'!$D$15)</f>
        <v>0</v>
      </c>
      <c r="I209" s="95">
        <f>Project_profitability!I13*(1+'Sensitivity analysis project'!$D$15)</f>
        <v>0</v>
      </c>
      <c r="J209" s="95">
        <f>Project_profitability!J13*(1+'Sensitivity analysis project'!$D$15)</f>
        <v>0</v>
      </c>
      <c r="K209" s="95">
        <f>Project_profitability!K13*(1+'Sensitivity analysis project'!$D$15)</f>
        <v>0</v>
      </c>
      <c r="L209" s="95">
        <f>Project_profitability!L13*(1+'Sensitivity analysis project'!$D$15)</f>
        <v>0</v>
      </c>
      <c r="M209" s="95">
        <f>Project_profitability!M13*(1+'Sensitivity analysis project'!$D$15)</f>
        <v>0</v>
      </c>
      <c r="N209" s="95">
        <f>Project_profitability!N13*(1+'Sensitivity analysis project'!$D$15)</f>
        <v>0</v>
      </c>
      <c r="O209" s="95">
        <f>Project_profitability!O13*(1+'Sensitivity analysis project'!$D$15)</f>
        <v>0</v>
      </c>
      <c r="P209" s="95">
        <f>Project_profitability!P13*(1+'Sensitivity analysis project'!$D$15)</f>
        <v>0</v>
      </c>
      <c r="Q209" s="95">
        <f>Project_profitability!Q13*(1+'Sensitivity analysis project'!$D$15)</f>
        <v>0</v>
      </c>
      <c r="R209" s="95">
        <f>Project_profitability!R13*(1+'Sensitivity analysis project'!$D$15)</f>
        <v>0</v>
      </c>
      <c r="S209" s="95">
        <f>Project_profitability!S13*(1+'Sensitivity analysis project'!$D$15)</f>
        <v>0</v>
      </c>
      <c r="T209" s="95">
        <f>Project_profitability!T13*(1+'Sensitivity analysis project'!$D$15)</f>
        <v>0</v>
      </c>
      <c r="U209" s="95">
        <f>Project_profitability!U13*(1+'Sensitivity analysis project'!$D$15)</f>
        <v>0</v>
      </c>
      <c r="V209" s="95">
        <f>Project_profitability!V13*(1+'Sensitivity analysis project'!$D$15)</f>
        <v>0</v>
      </c>
      <c r="W209" s="95">
        <f>Project_profitability!W13*(1+'Sensitivity analysis project'!$D$15)</f>
        <v>0</v>
      </c>
      <c r="X209" s="95">
        <f>Project_profitability!X13*(1+'Sensitivity analysis project'!$D$15)</f>
        <v>0</v>
      </c>
      <c r="Y209" s="95">
        <f>Project_profitability!Y13*(1+'Sensitivity analysis project'!$D$15)</f>
        <v>0</v>
      </c>
      <c r="Z209" s="95">
        <f>Project_profitability!Z13*(1+'Sensitivity analysis project'!$D$15)</f>
        <v>0</v>
      </c>
      <c r="AA209" s="95">
        <f>Project_profitability!AA13*(1+'Sensitivity analysis project'!$D$15)</f>
        <v>0</v>
      </c>
    </row>
    <row r="210" spans="2:27" ht="29" hidden="1" outlineLevel="1" x14ac:dyDescent="0.35">
      <c r="B210" s="125" t="s">
        <v>100</v>
      </c>
      <c r="C210" s="95">
        <f>Project_profitability!C14</f>
        <v>0</v>
      </c>
      <c r="D210" s="95">
        <f>Project_profitability!D14</f>
        <v>0</v>
      </c>
      <c r="E210" s="95">
        <f>Project_profitability!E14</f>
        <v>0</v>
      </c>
      <c r="F210" s="95">
        <f>Project_profitability!F14</f>
        <v>0</v>
      </c>
      <c r="G210" s="95">
        <f>Project_profitability!G14</f>
        <v>0</v>
      </c>
      <c r="H210" s="95">
        <f>Project_profitability!H14</f>
        <v>0</v>
      </c>
      <c r="I210" s="95">
        <f>Project_profitability!I14</f>
        <v>0</v>
      </c>
      <c r="J210" s="95">
        <f>Project_profitability!J14</f>
        <v>0</v>
      </c>
      <c r="K210" s="95">
        <f>Project_profitability!K14</f>
        <v>0</v>
      </c>
      <c r="L210" s="95">
        <f>Project_profitability!L14</f>
        <v>0</v>
      </c>
      <c r="M210" s="95">
        <f>Project_profitability!M14</f>
        <v>0</v>
      </c>
      <c r="N210" s="95">
        <f>Project_profitability!N14</f>
        <v>0</v>
      </c>
      <c r="O210" s="95">
        <f>Project_profitability!O14</f>
        <v>0</v>
      </c>
      <c r="P210" s="95">
        <f>Project_profitability!P14</f>
        <v>0</v>
      </c>
      <c r="Q210" s="95">
        <f>Project_profitability!Q14</f>
        <v>0</v>
      </c>
      <c r="R210" s="95">
        <f>Project_profitability!R14</f>
        <v>0</v>
      </c>
      <c r="S210" s="95">
        <f>Project_profitability!S14</f>
        <v>0</v>
      </c>
      <c r="T210" s="95">
        <f>Project_profitability!T14</f>
        <v>0</v>
      </c>
      <c r="U210" s="95">
        <f>Project_profitability!U14</f>
        <v>0</v>
      </c>
      <c r="V210" s="95">
        <f>Project_profitability!V14</f>
        <v>0</v>
      </c>
      <c r="W210" s="95">
        <f>Project_profitability!W14</f>
        <v>0</v>
      </c>
      <c r="X210" s="95">
        <f>Project_profitability!X14</f>
        <v>0</v>
      </c>
      <c r="Y210" s="95">
        <f>Project_profitability!Y14</f>
        <v>0</v>
      </c>
      <c r="Z210" s="95">
        <f>Project_profitability!Z14</f>
        <v>0</v>
      </c>
      <c r="AA210" s="95">
        <f>Project_profitability!AA14</f>
        <v>0</v>
      </c>
    </row>
    <row r="211" spans="2:27" ht="29" hidden="1" outlineLevel="1" x14ac:dyDescent="0.35">
      <c r="B211" s="125" t="s">
        <v>101</v>
      </c>
      <c r="C211" s="126">
        <f t="shared" ref="C211:H211" si="188">C209-C210</f>
        <v>0</v>
      </c>
      <c r="D211" s="126">
        <f t="shared" si="188"/>
        <v>0</v>
      </c>
      <c r="E211" s="126">
        <f t="shared" si="188"/>
        <v>0</v>
      </c>
      <c r="F211" s="126">
        <f t="shared" si="188"/>
        <v>0</v>
      </c>
      <c r="G211" s="126">
        <f t="shared" si="188"/>
        <v>0</v>
      </c>
      <c r="H211" s="126">
        <f t="shared" si="188"/>
        <v>0</v>
      </c>
      <c r="I211" s="126">
        <f t="shared" ref="I211:AA211" si="189">I209-I210</f>
        <v>0</v>
      </c>
      <c r="J211" s="126">
        <f t="shared" si="189"/>
        <v>0</v>
      </c>
      <c r="K211" s="126">
        <f t="shared" si="189"/>
        <v>0</v>
      </c>
      <c r="L211" s="126">
        <f t="shared" si="189"/>
        <v>0</v>
      </c>
      <c r="M211" s="126">
        <f t="shared" si="189"/>
        <v>0</v>
      </c>
      <c r="N211" s="126">
        <f t="shared" si="189"/>
        <v>0</v>
      </c>
      <c r="O211" s="126">
        <f t="shared" si="189"/>
        <v>0</v>
      </c>
      <c r="P211" s="126">
        <f t="shared" si="189"/>
        <v>0</v>
      </c>
      <c r="Q211" s="126">
        <f t="shared" si="189"/>
        <v>0</v>
      </c>
      <c r="R211" s="126">
        <f t="shared" si="189"/>
        <v>0</v>
      </c>
      <c r="S211" s="126">
        <f t="shared" si="189"/>
        <v>0</v>
      </c>
      <c r="T211" s="126">
        <f t="shared" si="189"/>
        <v>0</v>
      </c>
      <c r="U211" s="126">
        <f t="shared" si="189"/>
        <v>0</v>
      </c>
      <c r="V211" s="126">
        <f t="shared" si="189"/>
        <v>0</v>
      </c>
      <c r="W211" s="126">
        <f t="shared" si="189"/>
        <v>0</v>
      </c>
      <c r="X211" s="126">
        <f t="shared" si="189"/>
        <v>0</v>
      </c>
      <c r="Y211" s="126">
        <f t="shared" si="189"/>
        <v>0</v>
      </c>
      <c r="Z211" s="126">
        <f t="shared" si="189"/>
        <v>0</v>
      </c>
      <c r="AA211" s="126">
        <f t="shared" si="189"/>
        <v>0</v>
      </c>
    </row>
    <row r="212" spans="2:27" hidden="1" outlineLevel="1" x14ac:dyDescent="0.35">
      <c r="B212" s="127" t="s">
        <v>102</v>
      </c>
      <c r="C212" s="128">
        <f>Project_profitability!C18</f>
        <v>0</v>
      </c>
      <c r="D212" s="128">
        <f>Project_profitability!D18</f>
        <v>0</v>
      </c>
      <c r="E212" s="128">
        <f>Project_profitability!E18</f>
        <v>0</v>
      </c>
      <c r="F212" s="128">
        <f>Project_profitability!F18</f>
        <v>0</v>
      </c>
      <c r="G212" s="128">
        <f>Project_profitability!G18</f>
        <v>0</v>
      </c>
      <c r="H212" s="128">
        <f>Project_profitability!H18</f>
        <v>0</v>
      </c>
      <c r="I212" s="128">
        <f>Project_profitability!I18</f>
        <v>0</v>
      </c>
      <c r="J212" s="128">
        <f>Project_profitability!J18</f>
        <v>0</v>
      </c>
      <c r="K212" s="128">
        <f>Project_profitability!K18</f>
        <v>0</v>
      </c>
      <c r="L212" s="128">
        <f>Project_profitability!L18</f>
        <v>0</v>
      </c>
      <c r="M212" s="128">
        <f>Project_profitability!M18</f>
        <v>0</v>
      </c>
      <c r="N212" s="128">
        <f>Project_profitability!N18</f>
        <v>0</v>
      </c>
      <c r="O212" s="128">
        <f>Project_profitability!O18</f>
        <v>0</v>
      </c>
      <c r="P212" s="128">
        <f>Project_profitability!P18</f>
        <v>0</v>
      </c>
      <c r="Q212" s="128">
        <f>Project_profitability!Q18</f>
        <v>0</v>
      </c>
      <c r="R212" s="128">
        <f>Project_profitability!R18</f>
        <v>0</v>
      </c>
      <c r="S212" s="128">
        <f>Project_profitability!S18</f>
        <v>0</v>
      </c>
      <c r="T212" s="128">
        <f>Project_profitability!T18</f>
        <v>0</v>
      </c>
      <c r="U212" s="128">
        <f>Project_profitability!U18</f>
        <v>0</v>
      </c>
      <c r="V212" s="128">
        <f>Project_profitability!V18</f>
        <v>0</v>
      </c>
      <c r="W212" s="128">
        <f>Project_profitability!W18</f>
        <v>0</v>
      </c>
      <c r="X212" s="128">
        <f>Project_profitability!X18</f>
        <v>0</v>
      </c>
      <c r="Y212" s="128">
        <f>Project_profitability!Y18</f>
        <v>0</v>
      </c>
      <c r="Z212" s="128">
        <f>Project_profitability!Z18</f>
        <v>0</v>
      </c>
      <c r="AA212" s="128">
        <f>Project_profitability!AA18</f>
        <v>0</v>
      </c>
    </row>
    <row r="213" spans="2:27" hidden="1" outlineLevel="1" x14ac:dyDescent="0.35">
      <c r="B213" s="122" t="s">
        <v>103</v>
      </c>
      <c r="C213" s="126">
        <f t="shared" ref="C213:H213" si="190">C211-C212</f>
        <v>0</v>
      </c>
      <c r="D213" s="126">
        <f t="shared" si="190"/>
        <v>0</v>
      </c>
      <c r="E213" s="126">
        <f t="shared" si="190"/>
        <v>0</v>
      </c>
      <c r="F213" s="126">
        <f t="shared" si="190"/>
        <v>0</v>
      </c>
      <c r="G213" s="126">
        <f t="shared" si="190"/>
        <v>0</v>
      </c>
      <c r="H213" s="126">
        <f t="shared" si="190"/>
        <v>0</v>
      </c>
      <c r="I213" s="126">
        <f t="shared" ref="I213:AA213" si="191">I211-I212</f>
        <v>0</v>
      </c>
      <c r="J213" s="126">
        <f t="shared" si="191"/>
        <v>0</v>
      </c>
      <c r="K213" s="126">
        <f t="shared" si="191"/>
        <v>0</v>
      </c>
      <c r="L213" s="126">
        <f t="shared" si="191"/>
        <v>0</v>
      </c>
      <c r="M213" s="126">
        <f t="shared" si="191"/>
        <v>0</v>
      </c>
      <c r="N213" s="126">
        <f t="shared" si="191"/>
        <v>0</v>
      </c>
      <c r="O213" s="126">
        <f t="shared" si="191"/>
        <v>0</v>
      </c>
      <c r="P213" s="126">
        <f t="shared" si="191"/>
        <v>0</v>
      </c>
      <c r="Q213" s="126">
        <f t="shared" si="191"/>
        <v>0</v>
      </c>
      <c r="R213" s="126">
        <f t="shared" si="191"/>
        <v>0</v>
      </c>
      <c r="S213" s="126">
        <f t="shared" si="191"/>
        <v>0</v>
      </c>
      <c r="T213" s="126">
        <f t="shared" si="191"/>
        <v>0</v>
      </c>
      <c r="U213" s="126">
        <f t="shared" si="191"/>
        <v>0</v>
      </c>
      <c r="V213" s="126">
        <f t="shared" si="191"/>
        <v>0</v>
      </c>
      <c r="W213" s="126">
        <f t="shared" si="191"/>
        <v>0</v>
      </c>
      <c r="X213" s="126">
        <f t="shared" si="191"/>
        <v>0</v>
      </c>
      <c r="Y213" s="126">
        <f t="shared" si="191"/>
        <v>0</v>
      </c>
      <c r="Z213" s="126">
        <f t="shared" si="191"/>
        <v>0</v>
      </c>
      <c r="AA213" s="126">
        <f t="shared" si="191"/>
        <v>0</v>
      </c>
    </row>
    <row r="214" spans="2:27" hidden="1" outlineLevel="1" x14ac:dyDescent="0.35">
      <c r="B214" s="129" t="s">
        <v>104</v>
      </c>
      <c r="C214" s="130">
        <f>C213</f>
        <v>0</v>
      </c>
      <c r="D214" s="130">
        <f t="shared" ref="D214:H214" si="192">D213</f>
        <v>0</v>
      </c>
      <c r="E214" s="130">
        <f t="shared" si="192"/>
        <v>0</v>
      </c>
      <c r="F214" s="130">
        <f t="shared" si="192"/>
        <v>0</v>
      </c>
      <c r="G214" s="130">
        <f t="shared" si="192"/>
        <v>0</v>
      </c>
      <c r="H214" s="130">
        <f t="shared" si="192"/>
        <v>0</v>
      </c>
      <c r="I214" s="130">
        <f t="shared" ref="I214" si="193">I213</f>
        <v>0</v>
      </c>
      <c r="J214" s="130">
        <f t="shared" ref="J214" si="194">J213</f>
        <v>0</v>
      </c>
      <c r="K214" s="130">
        <f t="shared" ref="K214" si="195">K213</f>
        <v>0</v>
      </c>
      <c r="L214" s="130">
        <f t="shared" ref="L214" si="196">L213</f>
        <v>0</v>
      </c>
      <c r="M214" s="130">
        <f t="shared" ref="M214" si="197">M213</f>
        <v>0</v>
      </c>
      <c r="N214" s="130">
        <f t="shared" ref="N214" si="198">N213</f>
        <v>0</v>
      </c>
      <c r="O214" s="130">
        <f t="shared" ref="O214" si="199">O213</f>
        <v>0</v>
      </c>
      <c r="P214" s="130">
        <f t="shared" ref="P214" si="200">P213</f>
        <v>0</v>
      </c>
      <c r="Q214" s="130">
        <f t="shared" ref="Q214" si="201">Q213</f>
        <v>0</v>
      </c>
      <c r="R214" s="130">
        <f t="shared" ref="R214" si="202">R213</f>
        <v>0</v>
      </c>
      <c r="S214" s="130">
        <f t="shared" ref="S214" si="203">S213</f>
        <v>0</v>
      </c>
      <c r="T214" s="130">
        <f t="shared" ref="T214" si="204">T213</f>
        <v>0</v>
      </c>
      <c r="U214" s="130">
        <f t="shared" ref="U214" si="205">U213</f>
        <v>0</v>
      </c>
      <c r="V214" s="130">
        <f t="shared" ref="V214" si="206">V213</f>
        <v>0</v>
      </c>
      <c r="W214" s="130">
        <f t="shared" ref="W214" si="207">W213</f>
        <v>0</v>
      </c>
      <c r="X214" s="130">
        <f t="shared" ref="X214" si="208">X213</f>
        <v>0</v>
      </c>
      <c r="Y214" s="130">
        <f t="shared" ref="Y214" si="209">Y213</f>
        <v>0</v>
      </c>
      <c r="Z214" s="130">
        <f t="shared" ref="Z214" si="210">Z213</f>
        <v>0</v>
      </c>
      <c r="AA214" s="130">
        <f t="shared" ref="AA214" si="211">AA213</f>
        <v>0</v>
      </c>
    </row>
    <row r="215" spans="2:27" hidden="1" outlineLevel="1" x14ac:dyDescent="0.35">
      <c r="B215" s="131" t="s">
        <v>105</v>
      </c>
      <c r="C215" s="132">
        <f t="shared" ref="C215:H215" si="212">C195</f>
        <v>0</v>
      </c>
      <c r="D215" s="132">
        <f t="shared" si="212"/>
        <v>0</v>
      </c>
      <c r="E215" s="132">
        <f t="shared" si="212"/>
        <v>0</v>
      </c>
      <c r="F215" s="132">
        <f t="shared" si="212"/>
        <v>0</v>
      </c>
      <c r="G215" s="132">
        <f t="shared" si="212"/>
        <v>0</v>
      </c>
      <c r="H215" s="132">
        <f t="shared" si="212"/>
        <v>0</v>
      </c>
      <c r="I215" s="132">
        <f t="shared" ref="I215:AA215" si="213">I195</f>
        <v>0</v>
      </c>
      <c r="J215" s="132">
        <f t="shared" si="213"/>
        <v>0</v>
      </c>
      <c r="K215" s="132">
        <f t="shared" si="213"/>
        <v>0</v>
      </c>
      <c r="L215" s="132">
        <f t="shared" si="213"/>
        <v>0</v>
      </c>
      <c r="M215" s="132">
        <f t="shared" si="213"/>
        <v>0</v>
      </c>
      <c r="N215" s="132">
        <f t="shared" si="213"/>
        <v>0</v>
      </c>
      <c r="O215" s="132">
        <f t="shared" si="213"/>
        <v>0</v>
      </c>
      <c r="P215" s="132">
        <f t="shared" si="213"/>
        <v>0</v>
      </c>
      <c r="Q215" s="132">
        <f t="shared" si="213"/>
        <v>0</v>
      </c>
      <c r="R215" s="132">
        <f t="shared" si="213"/>
        <v>0</v>
      </c>
      <c r="S215" s="132">
        <f t="shared" si="213"/>
        <v>0</v>
      </c>
      <c r="T215" s="132">
        <f t="shared" si="213"/>
        <v>0</v>
      </c>
      <c r="U215" s="132">
        <f t="shared" si="213"/>
        <v>0</v>
      </c>
      <c r="V215" s="132">
        <f t="shared" si="213"/>
        <v>0</v>
      </c>
      <c r="W215" s="132">
        <f t="shared" si="213"/>
        <v>0</v>
      </c>
      <c r="X215" s="132">
        <f t="shared" si="213"/>
        <v>0</v>
      </c>
      <c r="Y215" s="132">
        <f t="shared" si="213"/>
        <v>0</v>
      </c>
      <c r="Z215" s="132">
        <f t="shared" si="213"/>
        <v>0</v>
      </c>
      <c r="AA215" s="132">
        <f t="shared" si="213"/>
        <v>0</v>
      </c>
    </row>
    <row r="216" spans="2:27" hidden="1" outlineLevel="1" x14ac:dyDescent="0.35">
      <c r="B216" s="133" t="s">
        <v>106</v>
      </c>
      <c r="C216" s="134">
        <f t="shared" ref="C216:H216" si="214">C214+C212-C215</f>
        <v>0</v>
      </c>
      <c r="D216" s="134">
        <f t="shared" si="214"/>
        <v>0</v>
      </c>
      <c r="E216" s="134">
        <f t="shared" si="214"/>
        <v>0</v>
      </c>
      <c r="F216" s="134">
        <f t="shared" si="214"/>
        <v>0</v>
      </c>
      <c r="G216" s="134">
        <f t="shared" si="214"/>
        <v>0</v>
      </c>
      <c r="H216" s="134">
        <f t="shared" si="214"/>
        <v>0</v>
      </c>
      <c r="I216" s="134">
        <f t="shared" ref="I216:AA216" si="215">I214+I212-I215</f>
        <v>0</v>
      </c>
      <c r="J216" s="134">
        <f t="shared" si="215"/>
        <v>0</v>
      </c>
      <c r="K216" s="134">
        <f t="shared" si="215"/>
        <v>0</v>
      </c>
      <c r="L216" s="134">
        <f t="shared" si="215"/>
        <v>0</v>
      </c>
      <c r="M216" s="134">
        <f t="shared" si="215"/>
        <v>0</v>
      </c>
      <c r="N216" s="134">
        <f t="shared" si="215"/>
        <v>0</v>
      </c>
      <c r="O216" s="134">
        <f t="shared" si="215"/>
        <v>0</v>
      </c>
      <c r="P216" s="134">
        <f t="shared" si="215"/>
        <v>0</v>
      </c>
      <c r="Q216" s="134">
        <f t="shared" si="215"/>
        <v>0</v>
      </c>
      <c r="R216" s="134">
        <f t="shared" si="215"/>
        <v>0</v>
      </c>
      <c r="S216" s="134">
        <f t="shared" si="215"/>
        <v>0</v>
      </c>
      <c r="T216" s="134">
        <f t="shared" si="215"/>
        <v>0</v>
      </c>
      <c r="U216" s="134">
        <f t="shared" si="215"/>
        <v>0</v>
      </c>
      <c r="V216" s="134">
        <f t="shared" si="215"/>
        <v>0</v>
      </c>
      <c r="W216" s="134">
        <f t="shared" si="215"/>
        <v>0</v>
      </c>
      <c r="X216" s="134">
        <f t="shared" si="215"/>
        <v>0</v>
      </c>
      <c r="Y216" s="134">
        <f t="shared" si="215"/>
        <v>0</v>
      </c>
      <c r="Z216" s="134">
        <f t="shared" si="215"/>
        <v>0</v>
      </c>
      <c r="AA216" s="134">
        <f t="shared" si="215"/>
        <v>0</v>
      </c>
    </row>
    <row r="217" spans="2:27" hidden="1" outlineLevel="1" x14ac:dyDescent="0.35">
      <c r="B217" s="135" t="s">
        <v>38</v>
      </c>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f>Project_profitability!AB16*(1+'Sensitivity analysis project'!D15)</f>
        <v>0</v>
      </c>
    </row>
    <row r="218" spans="2:27" hidden="1" outlineLevel="2" x14ac:dyDescent="0.35">
      <c r="B218" s="136" t="s">
        <v>107</v>
      </c>
      <c r="C218" s="137">
        <f t="shared" ref="C218:H218" si="216">C216-C208+C217</f>
        <v>0</v>
      </c>
      <c r="D218" s="137">
        <f t="shared" si="216"/>
        <v>0</v>
      </c>
      <c r="E218" s="137">
        <f t="shared" si="216"/>
        <v>0</v>
      </c>
      <c r="F218" s="137">
        <f t="shared" si="216"/>
        <v>0</v>
      </c>
      <c r="G218" s="137">
        <f t="shared" si="216"/>
        <v>0</v>
      </c>
      <c r="H218" s="137">
        <f t="shared" si="216"/>
        <v>0</v>
      </c>
      <c r="I218" s="137">
        <f t="shared" ref="I218:AA218" si="217">I216-I208+I217</f>
        <v>0</v>
      </c>
      <c r="J218" s="137">
        <f t="shared" si="217"/>
        <v>0</v>
      </c>
      <c r="K218" s="137">
        <f t="shared" si="217"/>
        <v>0</v>
      </c>
      <c r="L218" s="137">
        <f t="shared" si="217"/>
        <v>0</v>
      </c>
      <c r="M218" s="137">
        <f t="shared" si="217"/>
        <v>0</v>
      </c>
      <c r="N218" s="137">
        <f t="shared" si="217"/>
        <v>0</v>
      </c>
      <c r="O218" s="137">
        <f t="shared" si="217"/>
        <v>0</v>
      </c>
      <c r="P218" s="137">
        <f t="shared" si="217"/>
        <v>0</v>
      </c>
      <c r="Q218" s="137">
        <f t="shared" si="217"/>
        <v>0</v>
      </c>
      <c r="R218" s="137">
        <f t="shared" si="217"/>
        <v>0</v>
      </c>
      <c r="S218" s="137">
        <f t="shared" si="217"/>
        <v>0</v>
      </c>
      <c r="T218" s="137">
        <f t="shared" si="217"/>
        <v>0</v>
      </c>
      <c r="U218" s="137">
        <f t="shared" si="217"/>
        <v>0</v>
      </c>
      <c r="V218" s="137">
        <f t="shared" si="217"/>
        <v>0</v>
      </c>
      <c r="W218" s="137">
        <f t="shared" si="217"/>
        <v>0</v>
      </c>
      <c r="X218" s="137">
        <f t="shared" si="217"/>
        <v>0</v>
      </c>
      <c r="Y218" s="137">
        <f t="shared" si="217"/>
        <v>0</v>
      </c>
      <c r="Z218" s="137">
        <f t="shared" si="217"/>
        <v>0</v>
      </c>
      <c r="AA218" s="137">
        <f t="shared" si="217"/>
        <v>0</v>
      </c>
    </row>
    <row r="219" spans="2:27" collapsed="1" x14ac:dyDescent="0.35">
      <c r="B219" s="121"/>
      <c r="C219" s="114"/>
      <c r="D219" s="114"/>
      <c r="E219" s="114"/>
      <c r="F219" s="114"/>
      <c r="G219" s="114"/>
      <c r="H219" s="114"/>
    </row>
    <row r="220" spans="2:27" x14ac:dyDescent="0.35">
      <c r="B220" s="121"/>
    </row>
    <row r="221" spans="2:27" x14ac:dyDescent="0.35">
      <c r="B221" s="138" t="s">
        <v>40</v>
      </c>
      <c r="C221" s="139">
        <v>0.04</v>
      </c>
    </row>
    <row r="222" spans="2:27" x14ac:dyDescent="0.35">
      <c r="B222" s="140" t="s">
        <v>41</v>
      </c>
      <c r="C222" s="141">
        <f>NPV(C221,C218:AA218)</f>
        <v>0</v>
      </c>
    </row>
    <row r="223" spans="2:27" x14ac:dyDescent="0.35">
      <c r="B223" s="142" t="s">
        <v>42</v>
      </c>
      <c r="C223" s="143" t="e">
        <f>IRR(C218:AA218,C221)</f>
        <v>#NUM!</v>
      </c>
    </row>
    <row r="226" spans="2:27" x14ac:dyDescent="0.35">
      <c r="B226" s="92" t="s">
        <v>117</v>
      </c>
    </row>
    <row r="227" spans="2:27" hidden="1" outlineLevel="1" x14ac:dyDescent="0.35">
      <c r="B227" s="405"/>
      <c r="C227" s="164" t="s">
        <v>27</v>
      </c>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row>
    <row r="228" spans="2:27" hidden="1" outlineLevel="1" x14ac:dyDescent="0.35">
      <c r="B228" s="405"/>
      <c r="C228" s="165">
        <v>1</v>
      </c>
      <c r="D228" s="165">
        <v>2</v>
      </c>
      <c r="E228" s="165">
        <v>3</v>
      </c>
      <c r="F228" s="165">
        <v>4</v>
      </c>
      <c r="G228" s="165">
        <v>5</v>
      </c>
      <c r="H228" s="165">
        <v>6</v>
      </c>
      <c r="I228" s="165">
        <v>7</v>
      </c>
      <c r="J228" s="165">
        <v>8</v>
      </c>
      <c r="K228" s="165">
        <v>9</v>
      </c>
      <c r="L228" s="165">
        <v>10</v>
      </c>
      <c r="M228" s="165">
        <v>11</v>
      </c>
      <c r="N228" s="165">
        <v>12</v>
      </c>
      <c r="O228" s="165">
        <v>13</v>
      </c>
      <c r="P228" s="165">
        <v>14</v>
      </c>
      <c r="Q228" s="165">
        <v>15</v>
      </c>
      <c r="R228" s="165">
        <v>16</v>
      </c>
      <c r="S228" s="165">
        <v>17</v>
      </c>
      <c r="T228" s="165">
        <v>18</v>
      </c>
      <c r="U228" s="165">
        <v>19</v>
      </c>
      <c r="V228" s="165">
        <v>20</v>
      </c>
      <c r="W228" s="165">
        <v>21</v>
      </c>
      <c r="X228" s="165">
        <v>22</v>
      </c>
      <c r="Y228" s="165">
        <v>23</v>
      </c>
      <c r="Z228" s="165">
        <v>24</v>
      </c>
      <c r="AA228" s="165">
        <v>25</v>
      </c>
    </row>
    <row r="229" spans="2:27" hidden="1" outlineLevel="1" x14ac:dyDescent="0.35">
      <c r="B229" s="122" t="s">
        <v>35</v>
      </c>
      <c r="C229" s="124">
        <f>Project_profitability!C12</f>
        <v>0</v>
      </c>
      <c r="D229" s="124"/>
      <c r="E229" s="124"/>
      <c r="F229" s="123"/>
      <c r="G229" s="123"/>
      <c r="H229" s="123"/>
      <c r="I229" s="123"/>
      <c r="J229" s="123"/>
      <c r="K229" s="123"/>
      <c r="L229" s="123"/>
      <c r="M229" s="123"/>
      <c r="N229" s="123"/>
      <c r="O229" s="123"/>
      <c r="P229" s="123"/>
      <c r="Q229" s="123"/>
      <c r="R229" s="123"/>
      <c r="S229" s="123"/>
      <c r="T229" s="123"/>
      <c r="U229" s="123"/>
      <c r="V229" s="123"/>
      <c r="W229" s="123"/>
      <c r="X229" s="123"/>
      <c r="Y229" s="123"/>
      <c r="Z229" s="123"/>
      <c r="AA229" s="123"/>
    </row>
    <row r="230" spans="2:27" hidden="1" outlineLevel="1" x14ac:dyDescent="0.35">
      <c r="B230" s="125" t="s">
        <v>36</v>
      </c>
      <c r="C230" s="95">
        <f>Project_profitability!C13*(1+'Sensitivity analysis project'!$D$16)</f>
        <v>0</v>
      </c>
      <c r="D230" s="95">
        <f>Project_profitability!D13*(1+'Sensitivity analysis project'!$D$16)</f>
        <v>0</v>
      </c>
      <c r="E230" s="95">
        <f>Project_profitability!E13*(1+'Sensitivity analysis project'!$D$16)</f>
        <v>0</v>
      </c>
      <c r="F230" s="95">
        <f>Project_profitability!F13*(1+'Sensitivity analysis project'!$D$16)</f>
        <v>0</v>
      </c>
      <c r="G230" s="95">
        <f>Project_profitability!G13*(1+'Sensitivity analysis project'!$D$16)</f>
        <v>0</v>
      </c>
      <c r="H230" s="95">
        <f>Project_profitability!H13*(1+'Sensitivity analysis project'!$D$16)</f>
        <v>0</v>
      </c>
      <c r="I230" s="95">
        <f>Project_profitability!I13*(1+'Sensitivity analysis project'!$D$16)</f>
        <v>0</v>
      </c>
      <c r="J230" s="95">
        <f>Project_profitability!J13*(1+'Sensitivity analysis project'!$D$16)</f>
        <v>0</v>
      </c>
      <c r="K230" s="95">
        <f>Project_profitability!K13*(1+'Sensitivity analysis project'!$D$16)</f>
        <v>0</v>
      </c>
      <c r="L230" s="95">
        <f>Project_profitability!L13*(1+'Sensitivity analysis project'!$D$16)</f>
        <v>0</v>
      </c>
      <c r="M230" s="95">
        <f>Project_profitability!M13*(1+'Sensitivity analysis project'!$D$16)</f>
        <v>0</v>
      </c>
      <c r="N230" s="95">
        <f>Project_profitability!N13*(1+'Sensitivity analysis project'!$D$16)</f>
        <v>0</v>
      </c>
      <c r="O230" s="95">
        <f>Project_profitability!O13*(1+'Sensitivity analysis project'!$D$16)</f>
        <v>0</v>
      </c>
      <c r="P230" s="95">
        <f>Project_profitability!P13*(1+'Sensitivity analysis project'!$D$16)</f>
        <v>0</v>
      </c>
      <c r="Q230" s="95">
        <f>Project_profitability!Q13*(1+'Sensitivity analysis project'!$D$16)</f>
        <v>0</v>
      </c>
      <c r="R230" s="95">
        <f>Project_profitability!R13*(1+'Sensitivity analysis project'!$D$16)</f>
        <v>0</v>
      </c>
      <c r="S230" s="95">
        <f>Project_profitability!S13*(1+'Sensitivity analysis project'!$D$16)</f>
        <v>0</v>
      </c>
      <c r="T230" s="95">
        <f>Project_profitability!T13*(1+'Sensitivity analysis project'!$D$16)</f>
        <v>0</v>
      </c>
      <c r="U230" s="95">
        <f>Project_profitability!U13*(1+'Sensitivity analysis project'!$D$16)</f>
        <v>0</v>
      </c>
      <c r="V230" s="95">
        <f>Project_profitability!V13*(1+'Sensitivity analysis project'!$D$16)</f>
        <v>0</v>
      </c>
      <c r="W230" s="95">
        <f>Project_profitability!W13*(1+'Sensitivity analysis project'!$D$16)</f>
        <v>0</v>
      </c>
      <c r="X230" s="95">
        <f>Project_profitability!X13*(1+'Sensitivity analysis project'!$D$16)</f>
        <v>0</v>
      </c>
      <c r="Y230" s="95">
        <f>Project_profitability!Y13*(1+'Sensitivity analysis project'!$D$16)</f>
        <v>0</v>
      </c>
      <c r="Z230" s="95">
        <f>Project_profitability!Z13*(1+'Sensitivity analysis project'!$D$16)</f>
        <v>0</v>
      </c>
      <c r="AA230" s="95">
        <f>Project_profitability!AA13*(1+'Sensitivity analysis project'!$D$16)</f>
        <v>0</v>
      </c>
    </row>
    <row r="231" spans="2:27" ht="29" hidden="1" outlineLevel="1" x14ac:dyDescent="0.35">
      <c r="B231" s="125" t="s">
        <v>100</v>
      </c>
      <c r="C231" s="95">
        <f>Project_profitability!C14</f>
        <v>0</v>
      </c>
      <c r="D231" s="95">
        <f>Project_profitability!D14</f>
        <v>0</v>
      </c>
      <c r="E231" s="95">
        <f>Project_profitability!E14</f>
        <v>0</v>
      </c>
      <c r="F231" s="95">
        <f>Project_profitability!F14</f>
        <v>0</v>
      </c>
      <c r="G231" s="95">
        <f>Project_profitability!G14</f>
        <v>0</v>
      </c>
      <c r="H231" s="95">
        <f>Project_profitability!H14</f>
        <v>0</v>
      </c>
      <c r="I231" s="95">
        <f>Project_profitability!I14</f>
        <v>0</v>
      </c>
      <c r="J231" s="95">
        <f>Project_profitability!J14</f>
        <v>0</v>
      </c>
      <c r="K231" s="95">
        <f>Project_profitability!K14</f>
        <v>0</v>
      </c>
      <c r="L231" s="95">
        <f>Project_profitability!L14</f>
        <v>0</v>
      </c>
      <c r="M231" s="95">
        <f>Project_profitability!M14</f>
        <v>0</v>
      </c>
      <c r="N231" s="95">
        <f>Project_profitability!N14</f>
        <v>0</v>
      </c>
      <c r="O231" s="95">
        <f>Project_profitability!O14</f>
        <v>0</v>
      </c>
      <c r="P231" s="95">
        <f>Project_profitability!P14</f>
        <v>0</v>
      </c>
      <c r="Q231" s="95">
        <f>Project_profitability!Q14</f>
        <v>0</v>
      </c>
      <c r="R231" s="95">
        <f>Project_profitability!R14</f>
        <v>0</v>
      </c>
      <c r="S231" s="95">
        <f>Project_profitability!S14</f>
        <v>0</v>
      </c>
      <c r="T231" s="95">
        <f>Project_profitability!T14</f>
        <v>0</v>
      </c>
      <c r="U231" s="95">
        <f>Project_profitability!U14</f>
        <v>0</v>
      </c>
      <c r="V231" s="95">
        <f>Project_profitability!V14</f>
        <v>0</v>
      </c>
      <c r="W231" s="95">
        <f>Project_profitability!W14</f>
        <v>0</v>
      </c>
      <c r="X231" s="95">
        <f>Project_profitability!X14</f>
        <v>0</v>
      </c>
      <c r="Y231" s="95">
        <f>Project_profitability!Y14</f>
        <v>0</v>
      </c>
      <c r="Z231" s="95">
        <f>Project_profitability!Z14</f>
        <v>0</v>
      </c>
      <c r="AA231" s="95">
        <f>Project_profitability!AA14</f>
        <v>0</v>
      </c>
    </row>
    <row r="232" spans="2:27" ht="29" hidden="1" outlineLevel="1" x14ac:dyDescent="0.35">
      <c r="B232" s="125" t="s">
        <v>101</v>
      </c>
      <c r="C232" s="126">
        <f t="shared" ref="C232:H232" si="218">C230-C231</f>
        <v>0</v>
      </c>
      <c r="D232" s="126">
        <f t="shared" si="218"/>
        <v>0</v>
      </c>
      <c r="E232" s="126">
        <f t="shared" si="218"/>
        <v>0</v>
      </c>
      <c r="F232" s="126">
        <f t="shared" si="218"/>
        <v>0</v>
      </c>
      <c r="G232" s="126">
        <f t="shared" si="218"/>
        <v>0</v>
      </c>
      <c r="H232" s="126">
        <f t="shared" si="218"/>
        <v>0</v>
      </c>
      <c r="I232" s="126">
        <f t="shared" ref="I232:AA232" si="219">I230-I231</f>
        <v>0</v>
      </c>
      <c r="J232" s="126">
        <f t="shared" si="219"/>
        <v>0</v>
      </c>
      <c r="K232" s="126">
        <f t="shared" si="219"/>
        <v>0</v>
      </c>
      <c r="L232" s="126">
        <f t="shared" si="219"/>
        <v>0</v>
      </c>
      <c r="M232" s="126">
        <f t="shared" si="219"/>
        <v>0</v>
      </c>
      <c r="N232" s="126">
        <f t="shared" si="219"/>
        <v>0</v>
      </c>
      <c r="O232" s="126">
        <f t="shared" si="219"/>
        <v>0</v>
      </c>
      <c r="P232" s="126">
        <f t="shared" si="219"/>
        <v>0</v>
      </c>
      <c r="Q232" s="126">
        <f t="shared" si="219"/>
        <v>0</v>
      </c>
      <c r="R232" s="126">
        <f t="shared" si="219"/>
        <v>0</v>
      </c>
      <c r="S232" s="126">
        <f t="shared" si="219"/>
        <v>0</v>
      </c>
      <c r="T232" s="126">
        <f t="shared" si="219"/>
        <v>0</v>
      </c>
      <c r="U232" s="126">
        <f t="shared" si="219"/>
        <v>0</v>
      </c>
      <c r="V232" s="126">
        <f t="shared" si="219"/>
        <v>0</v>
      </c>
      <c r="W232" s="126">
        <f t="shared" si="219"/>
        <v>0</v>
      </c>
      <c r="X232" s="126">
        <f t="shared" si="219"/>
        <v>0</v>
      </c>
      <c r="Y232" s="126">
        <f t="shared" si="219"/>
        <v>0</v>
      </c>
      <c r="Z232" s="126">
        <f t="shared" si="219"/>
        <v>0</v>
      </c>
      <c r="AA232" s="126">
        <f t="shared" si="219"/>
        <v>0</v>
      </c>
    </row>
    <row r="233" spans="2:27" hidden="1" outlineLevel="1" x14ac:dyDescent="0.35">
      <c r="B233" s="127" t="s">
        <v>102</v>
      </c>
      <c r="C233" s="128">
        <f>Project_profitability!C18</f>
        <v>0</v>
      </c>
      <c r="D233" s="128">
        <f>Project_profitability!D18</f>
        <v>0</v>
      </c>
      <c r="E233" s="128">
        <f>Project_profitability!E18</f>
        <v>0</v>
      </c>
      <c r="F233" s="128">
        <f>Project_profitability!F18</f>
        <v>0</v>
      </c>
      <c r="G233" s="128">
        <f>Project_profitability!G18</f>
        <v>0</v>
      </c>
      <c r="H233" s="128">
        <f>Project_profitability!H18</f>
        <v>0</v>
      </c>
      <c r="I233" s="128">
        <f>Project_profitability!I18</f>
        <v>0</v>
      </c>
      <c r="J233" s="128">
        <f>Project_profitability!J18</f>
        <v>0</v>
      </c>
      <c r="K233" s="128">
        <f>Project_profitability!K18</f>
        <v>0</v>
      </c>
      <c r="L233" s="128">
        <f>Project_profitability!L18</f>
        <v>0</v>
      </c>
      <c r="M233" s="128">
        <f>Project_profitability!M18</f>
        <v>0</v>
      </c>
      <c r="N233" s="128">
        <f>Project_profitability!N18</f>
        <v>0</v>
      </c>
      <c r="O233" s="128">
        <f>Project_profitability!O18</f>
        <v>0</v>
      </c>
      <c r="P233" s="128">
        <f>Project_profitability!P18</f>
        <v>0</v>
      </c>
      <c r="Q233" s="128">
        <f>Project_profitability!Q18</f>
        <v>0</v>
      </c>
      <c r="R233" s="128">
        <f>Project_profitability!R18</f>
        <v>0</v>
      </c>
      <c r="S233" s="128">
        <f>Project_profitability!S18</f>
        <v>0</v>
      </c>
      <c r="T233" s="128">
        <f>Project_profitability!T18</f>
        <v>0</v>
      </c>
      <c r="U233" s="128">
        <f>Project_profitability!U18</f>
        <v>0</v>
      </c>
      <c r="V233" s="128">
        <f>Project_profitability!V18</f>
        <v>0</v>
      </c>
      <c r="W233" s="128">
        <f>Project_profitability!W18</f>
        <v>0</v>
      </c>
      <c r="X233" s="128">
        <f>Project_profitability!X18</f>
        <v>0</v>
      </c>
      <c r="Y233" s="128">
        <f>Project_profitability!Y18</f>
        <v>0</v>
      </c>
      <c r="Z233" s="128">
        <f>Project_profitability!Z18</f>
        <v>0</v>
      </c>
      <c r="AA233" s="128">
        <f>Project_profitability!AA18</f>
        <v>0</v>
      </c>
    </row>
    <row r="234" spans="2:27" hidden="1" outlineLevel="1" x14ac:dyDescent="0.35">
      <c r="B234" s="122" t="s">
        <v>103</v>
      </c>
      <c r="C234" s="126">
        <f t="shared" ref="C234:H234" si="220">C232-C233</f>
        <v>0</v>
      </c>
      <c r="D234" s="126">
        <f t="shared" si="220"/>
        <v>0</v>
      </c>
      <c r="E234" s="126">
        <f t="shared" si="220"/>
        <v>0</v>
      </c>
      <c r="F234" s="126">
        <f t="shared" si="220"/>
        <v>0</v>
      </c>
      <c r="G234" s="126">
        <f t="shared" si="220"/>
        <v>0</v>
      </c>
      <c r="H234" s="126">
        <f t="shared" si="220"/>
        <v>0</v>
      </c>
      <c r="I234" s="126">
        <f t="shared" ref="I234:AA234" si="221">I232-I233</f>
        <v>0</v>
      </c>
      <c r="J234" s="126">
        <f t="shared" si="221"/>
        <v>0</v>
      </c>
      <c r="K234" s="126">
        <f t="shared" si="221"/>
        <v>0</v>
      </c>
      <c r="L234" s="126">
        <f t="shared" si="221"/>
        <v>0</v>
      </c>
      <c r="M234" s="126">
        <f t="shared" si="221"/>
        <v>0</v>
      </c>
      <c r="N234" s="126">
        <f t="shared" si="221"/>
        <v>0</v>
      </c>
      <c r="O234" s="126">
        <f t="shared" si="221"/>
        <v>0</v>
      </c>
      <c r="P234" s="126">
        <f t="shared" si="221"/>
        <v>0</v>
      </c>
      <c r="Q234" s="126">
        <f t="shared" si="221"/>
        <v>0</v>
      </c>
      <c r="R234" s="126">
        <f t="shared" si="221"/>
        <v>0</v>
      </c>
      <c r="S234" s="126">
        <f t="shared" si="221"/>
        <v>0</v>
      </c>
      <c r="T234" s="126">
        <f t="shared" si="221"/>
        <v>0</v>
      </c>
      <c r="U234" s="126">
        <f t="shared" si="221"/>
        <v>0</v>
      </c>
      <c r="V234" s="126">
        <f t="shared" si="221"/>
        <v>0</v>
      </c>
      <c r="W234" s="126">
        <f t="shared" si="221"/>
        <v>0</v>
      </c>
      <c r="X234" s="126">
        <f t="shared" si="221"/>
        <v>0</v>
      </c>
      <c r="Y234" s="126">
        <f t="shared" si="221"/>
        <v>0</v>
      </c>
      <c r="Z234" s="126">
        <f t="shared" si="221"/>
        <v>0</v>
      </c>
      <c r="AA234" s="126">
        <f t="shared" si="221"/>
        <v>0</v>
      </c>
    </row>
    <row r="235" spans="2:27" hidden="1" outlineLevel="1" x14ac:dyDescent="0.35">
      <c r="B235" s="129" t="s">
        <v>104</v>
      </c>
      <c r="C235" s="130">
        <f>C234</f>
        <v>0</v>
      </c>
      <c r="D235" s="130">
        <f t="shared" ref="D235:H235" si="222">D234</f>
        <v>0</v>
      </c>
      <c r="E235" s="130">
        <f t="shared" si="222"/>
        <v>0</v>
      </c>
      <c r="F235" s="130">
        <f t="shared" si="222"/>
        <v>0</v>
      </c>
      <c r="G235" s="130">
        <f t="shared" si="222"/>
        <v>0</v>
      </c>
      <c r="H235" s="130">
        <f t="shared" si="222"/>
        <v>0</v>
      </c>
      <c r="I235" s="130">
        <f t="shared" ref="I235" si="223">I234</f>
        <v>0</v>
      </c>
      <c r="J235" s="130">
        <f t="shared" ref="J235" si="224">J234</f>
        <v>0</v>
      </c>
      <c r="K235" s="130">
        <f t="shared" ref="K235" si="225">K234</f>
        <v>0</v>
      </c>
      <c r="L235" s="130">
        <f t="shared" ref="L235" si="226">L234</f>
        <v>0</v>
      </c>
      <c r="M235" s="130">
        <f t="shared" ref="M235" si="227">M234</f>
        <v>0</v>
      </c>
      <c r="N235" s="130">
        <f t="shared" ref="N235" si="228">N234</f>
        <v>0</v>
      </c>
      <c r="O235" s="130">
        <f t="shared" ref="O235" si="229">O234</f>
        <v>0</v>
      </c>
      <c r="P235" s="130">
        <f t="shared" ref="P235" si="230">P234</f>
        <v>0</v>
      </c>
      <c r="Q235" s="130">
        <f t="shared" ref="Q235" si="231">Q234</f>
        <v>0</v>
      </c>
      <c r="R235" s="130">
        <f t="shared" ref="R235" si="232">R234</f>
        <v>0</v>
      </c>
      <c r="S235" s="130">
        <f t="shared" ref="S235" si="233">S234</f>
        <v>0</v>
      </c>
      <c r="T235" s="130">
        <f t="shared" ref="T235" si="234">T234</f>
        <v>0</v>
      </c>
      <c r="U235" s="130">
        <f t="shared" ref="U235" si="235">U234</f>
        <v>0</v>
      </c>
      <c r="V235" s="130">
        <f t="shared" ref="V235" si="236">V234</f>
        <v>0</v>
      </c>
      <c r="W235" s="130">
        <f t="shared" ref="W235" si="237">W234</f>
        <v>0</v>
      </c>
      <c r="X235" s="130">
        <f t="shared" ref="X235" si="238">X234</f>
        <v>0</v>
      </c>
      <c r="Y235" s="130">
        <f t="shared" ref="Y235" si="239">Y234</f>
        <v>0</v>
      </c>
      <c r="Z235" s="130">
        <f t="shared" ref="Z235" si="240">Z234</f>
        <v>0</v>
      </c>
      <c r="AA235" s="130">
        <f t="shared" ref="AA235" si="241">AA234</f>
        <v>0</v>
      </c>
    </row>
    <row r="236" spans="2:27" hidden="1" outlineLevel="1" x14ac:dyDescent="0.35">
      <c r="B236" s="131" t="s">
        <v>105</v>
      </c>
      <c r="C236" s="132">
        <f>Project_profitability!C228</f>
        <v>0</v>
      </c>
      <c r="D236" s="132">
        <f>Project_profitability!D228</f>
        <v>0</v>
      </c>
      <c r="E236" s="132">
        <f>Project_profitability!E228</f>
        <v>0</v>
      </c>
      <c r="F236" s="132">
        <f>Project_profitability!F228</f>
        <v>0</v>
      </c>
      <c r="G236" s="132">
        <f>Project_profitability!G228</f>
        <v>0</v>
      </c>
      <c r="H236" s="132">
        <f>Project_profitability!H228</f>
        <v>0</v>
      </c>
      <c r="I236" s="132">
        <f>Project_profitability!I228</f>
        <v>0</v>
      </c>
      <c r="J236" s="132">
        <f>Project_profitability!J228</f>
        <v>0</v>
      </c>
      <c r="K236" s="132">
        <f>Project_profitability!K228</f>
        <v>0</v>
      </c>
      <c r="L236" s="132">
        <f>Project_profitability!L228</f>
        <v>0</v>
      </c>
      <c r="M236" s="132">
        <f>Project_profitability!M228</f>
        <v>0</v>
      </c>
      <c r="N236" s="132">
        <f>Project_profitability!N228</f>
        <v>0</v>
      </c>
      <c r="O236" s="132">
        <f>Project_profitability!O228</f>
        <v>0</v>
      </c>
      <c r="P236" s="132">
        <f>Project_profitability!P228</f>
        <v>0</v>
      </c>
      <c r="Q236" s="132">
        <f>Project_profitability!Q228</f>
        <v>0</v>
      </c>
      <c r="R236" s="132">
        <f>Project_profitability!R228</f>
        <v>0</v>
      </c>
      <c r="S236" s="132">
        <f>Project_profitability!S228</f>
        <v>0</v>
      </c>
      <c r="T236" s="132">
        <f>Project_profitability!T228</f>
        <v>0</v>
      </c>
      <c r="U236" s="132">
        <f>Project_profitability!U228</f>
        <v>0</v>
      </c>
      <c r="V236" s="132">
        <f>Project_profitability!V228</f>
        <v>0</v>
      </c>
      <c r="W236" s="132">
        <f>Project_profitability!W228</f>
        <v>0</v>
      </c>
      <c r="X236" s="132">
        <f>Project_profitability!X228</f>
        <v>0</v>
      </c>
      <c r="Y236" s="132">
        <f>Project_profitability!Y228</f>
        <v>0</v>
      </c>
      <c r="Z236" s="132">
        <f>Project_profitability!Z228</f>
        <v>0</v>
      </c>
      <c r="AA236" s="132">
        <f>Project_profitability!AA228</f>
        <v>0</v>
      </c>
    </row>
    <row r="237" spans="2:27" hidden="1" outlineLevel="1" x14ac:dyDescent="0.35">
      <c r="B237" s="133" t="s">
        <v>106</v>
      </c>
      <c r="C237" s="134">
        <f t="shared" ref="C237:H237" si="242">C235+C233-C236</f>
        <v>0</v>
      </c>
      <c r="D237" s="134">
        <f t="shared" si="242"/>
        <v>0</v>
      </c>
      <c r="E237" s="134">
        <f t="shared" si="242"/>
        <v>0</v>
      </c>
      <c r="F237" s="134">
        <f t="shared" si="242"/>
        <v>0</v>
      </c>
      <c r="G237" s="134">
        <f t="shared" si="242"/>
        <v>0</v>
      </c>
      <c r="H237" s="134">
        <f t="shared" si="242"/>
        <v>0</v>
      </c>
      <c r="I237" s="134">
        <f t="shared" ref="I237:AA237" si="243">I235+I233-I236</f>
        <v>0</v>
      </c>
      <c r="J237" s="134">
        <f t="shared" si="243"/>
        <v>0</v>
      </c>
      <c r="K237" s="134">
        <f t="shared" si="243"/>
        <v>0</v>
      </c>
      <c r="L237" s="134">
        <f t="shared" si="243"/>
        <v>0</v>
      </c>
      <c r="M237" s="134">
        <f t="shared" si="243"/>
        <v>0</v>
      </c>
      <c r="N237" s="134">
        <f t="shared" si="243"/>
        <v>0</v>
      </c>
      <c r="O237" s="134">
        <f t="shared" si="243"/>
        <v>0</v>
      </c>
      <c r="P237" s="134">
        <f t="shared" si="243"/>
        <v>0</v>
      </c>
      <c r="Q237" s="134">
        <f t="shared" si="243"/>
        <v>0</v>
      </c>
      <c r="R237" s="134">
        <f t="shared" si="243"/>
        <v>0</v>
      </c>
      <c r="S237" s="134">
        <f t="shared" si="243"/>
        <v>0</v>
      </c>
      <c r="T237" s="134">
        <f t="shared" si="243"/>
        <v>0</v>
      </c>
      <c r="U237" s="134">
        <f t="shared" si="243"/>
        <v>0</v>
      </c>
      <c r="V237" s="134">
        <f t="shared" si="243"/>
        <v>0</v>
      </c>
      <c r="W237" s="134">
        <f t="shared" si="243"/>
        <v>0</v>
      </c>
      <c r="X237" s="134">
        <f t="shared" si="243"/>
        <v>0</v>
      </c>
      <c r="Y237" s="134">
        <f t="shared" si="243"/>
        <v>0</v>
      </c>
      <c r="Z237" s="134">
        <f t="shared" si="243"/>
        <v>0</v>
      </c>
      <c r="AA237" s="134">
        <f t="shared" si="243"/>
        <v>0</v>
      </c>
    </row>
    <row r="238" spans="2:27" hidden="1" outlineLevel="1" x14ac:dyDescent="0.35">
      <c r="B238" s="135" t="s">
        <v>38</v>
      </c>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f>Project_profitability!AB16*(1+'Sensitivity analysis project'!D16)</f>
        <v>0</v>
      </c>
    </row>
    <row r="239" spans="2:27" hidden="1" outlineLevel="2" x14ac:dyDescent="0.35">
      <c r="B239" s="136" t="s">
        <v>107</v>
      </c>
      <c r="C239" s="137">
        <f t="shared" ref="C239:H239" si="244">C237-C229+C238</f>
        <v>0</v>
      </c>
      <c r="D239" s="137">
        <f t="shared" si="244"/>
        <v>0</v>
      </c>
      <c r="E239" s="137">
        <f t="shared" si="244"/>
        <v>0</v>
      </c>
      <c r="F239" s="137">
        <f t="shared" si="244"/>
        <v>0</v>
      </c>
      <c r="G239" s="137">
        <f t="shared" si="244"/>
        <v>0</v>
      </c>
      <c r="H239" s="137">
        <f t="shared" si="244"/>
        <v>0</v>
      </c>
      <c r="I239" s="137">
        <f t="shared" ref="I239:AA239" si="245">I237-I229+I238</f>
        <v>0</v>
      </c>
      <c r="J239" s="137">
        <f t="shared" si="245"/>
        <v>0</v>
      </c>
      <c r="K239" s="137">
        <f t="shared" si="245"/>
        <v>0</v>
      </c>
      <c r="L239" s="137">
        <f t="shared" si="245"/>
        <v>0</v>
      </c>
      <c r="M239" s="137">
        <f t="shared" si="245"/>
        <v>0</v>
      </c>
      <c r="N239" s="137">
        <f t="shared" si="245"/>
        <v>0</v>
      </c>
      <c r="O239" s="137">
        <f t="shared" si="245"/>
        <v>0</v>
      </c>
      <c r="P239" s="137">
        <f t="shared" si="245"/>
        <v>0</v>
      </c>
      <c r="Q239" s="137">
        <f t="shared" si="245"/>
        <v>0</v>
      </c>
      <c r="R239" s="137">
        <f t="shared" si="245"/>
        <v>0</v>
      </c>
      <c r="S239" s="137">
        <f t="shared" si="245"/>
        <v>0</v>
      </c>
      <c r="T239" s="137">
        <f t="shared" si="245"/>
        <v>0</v>
      </c>
      <c r="U239" s="137">
        <f t="shared" si="245"/>
        <v>0</v>
      </c>
      <c r="V239" s="137">
        <f t="shared" si="245"/>
        <v>0</v>
      </c>
      <c r="W239" s="137">
        <f t="shared" si="245"/>
        <v>0</v>
      </c>
      <c r="X239" s="137">
        <f t="shared" si="245"/>
        <v>0</v>
      </c>
      <c r="Y239" s="137">
        <f t="shared" si="245"/>
        <v>0</v>
      </c>
      <c r="Z239" s="137">
        <f t="shared" si="245"/>
        <v>0</v>
      </c>
      <c r="AA239" s="137">
        <f t="shared" si="245"/>
        <v>0</v>
      </c>
    </row>
    <row r="240" spans="2:27" collapsed="1" x14ac:dyDescent="0.35">
      <c r="B240" s="121"/>
      <c r="C240" s="114"/>
      <c r="D240" s="114"/>
      <c r="E240" s="114"/>
      <c r="F240" s="114"/>
      <c r="G240" s="114"/>
      <c r="H240" s="114"/>
    </row>
    <row r="241" spans="2:27" x14ac:dyDescent="0.35">
      <c r="B241" s="121"/>
    </row>
    <row r="242" spans="2:27" x14ac:dyDescent="0.35">
      <c r="B242" s="138" t="s">
        <v>40</v>
      </c>
      <c r="C242" s="139">
        <v>0.04</v>
      </c>
    </row>
    <row r="243" spans="2:27" x14ac:dyDescent="0.35">
      <c r="B243" s="140" t="s">
        <v>41</v>
      </c>
      <c r="C243" s="141">
        <f>NPV(C242,C239:AA239)</f>
        <v>0</v>
      </c>
    </row>
    <row r="244" spans="2:27" x14ac:dyDescent="0.35">
      <c r="B244" s="142" t="s">
        <v>42</v>
      </c>
      <c r="C244" s="143" t="e">
        <f>IRR(C239:AA239,C242)</f>
        <v>#NUM!</v>
      </c>
    </row>
    <row r="246" spans="2:27" x14ac:dyDescent="0.35">
      <c r="B246" s="92" t="s">
        <v>118</v>
      </c>
    </row>
    <row r="247" spans="2:27" hidden="1" outlineLevel="1" x14ac:dyDescent="0.35">
      <c r="B247" s="405"/>
      <c r="C247" s="164" t="s">
        <v>27</v>
      </c>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row>
    <row r="248" spans="2:27" hidden="1" outlineLevel="1" x14ac:dyDescent="0.35">
      <c r="B248" s="405"/>
      <c r="C248" s="165">
        <v>1</v>
      </c>
      <c r="D248" s="165">
        <v>2</v>
      </c>
      <c r="E248" s="165">
        <v>3</v>
      </c>
      <c r="F248" s="165">
        <v>4</v>
      </c>
      <c r="G248" s="165">
        <v>5</v>
      </c>
      <c r="H248" s="165">
        <v>6</v>
      </c>
      <c r="I248" s="165">
        <v>7</v>
      </c>
      <c r="J248" s="165">
        <v>8</v>
      </c>
      <c r="K248" s="165">
        <v>9</v>
      </c>
      <c r="L248" s="165">
        <v>10</v>
      </c>
      <c r="M248" s="165">
        <v>11</v>
      </c>
      <c r="N248" s="165">
        <v>12</v>
      </c>
      <c r="O248" s="165">
        <v>13</v>
      </c>
      <c r="P248" s="165">
        <v>14</v>
      </c>
      <c r="Q248" s="165">
        <v>15</v>
      </c>
      <c r="R248" s="165">
        <v>16</v>
      </c>
      <c r="S248" s="165">
        <v>17</v>
      </c>
      <c r="T248" s="165">
        <v>18</v>
      </c>
      <c r="U248" s="165">
        <v>19</v>
      </c>
      <c r="V248" s="165">
        <v>20</v>
      </c>
      <c r="W248" s="165">
        <v>21</v>
      </c>
      <c r="X248" s="165">
        <v>22</v>
      </c>
      <c r="Y248" s="165">
        <v>23</v>
      </c>
      <c r="Z248" s="165">
        <v>24</v>
      </c>
      <c r="AA248" s="165">
        <v>25</v>
      </c>
    </row>
    <row r="249" spans="2:27" hidden="1" outlineLevel="1" x14ac:dyDescent="0.35">
      <c r="B249" s="122" t="s">
        <v>35</v>
      </c>
      <c r="C249" s="124">
        <f>Project_profitability!C12</f>
        <v>0</v>
      </c>
      <c r="D249" s="124"/>
      <c r="E249" s="124"/>
      <c r="F249" s="123"/>
      <c r="G249" s="123"/>
      <c r="H249" s="123"/>
      <c r="I249" s="123"/>
      <c r="J249" s="123"/>
      <c r="K249" s="123"/>
      <c r="L249" s="123"/>
      <c r="M249" s="123"/>
      <c r="N249" s="123"/>
      <c r="O249" s="123"/>
      <c r="P249" s="123"/>
      <c r="Q249" s="123"/>
      <c r="R249" s="123"/>
      <c r="S249" s="123"/>
      <c r="T249" s="123"/>
      <c r="U249" s="123"/>
      <c r="V249" s="123"/>
      <c r="W249" s="123"/>
      <c r="X249" s="123"/>
      <c r="Y249" s="123"/>
      <c r="Z249" s="123"/>
      <c r="AA249" s="123"/>
    </row>
    <row r="250" spans="2:27" hidden="1" outlineLevel="1" x14ac:dyDescent="0.35">
      <c r="B250" s="125" t="s">
        <v>36</v>
      </c>
      <c r="C250" s="95">
        <f>Project_profitability!C13*(1+'Sensitivity analysis project'!$D$17)</f>
        <v>0</v>
      </c>
      <c r="D250" s="95">
        <f>Project_profitability!D13*(1+'Sensitivity analysis project'!$D$17)</f>
        <v>0</v>
      </c>
      <c r="E250" s="95">
        <f>Project_profitability!E13*(1+'Sensitivity analysis project'!$D$17)</f>
        <v>0</v>
      </c>
      <c r="F250" s="95">
        <f>Project_profitability!F13*(1+'Sensitivity analysis project'!$D$17)</f>
        <v>0</v>
      </c>
      <c r="G250" s="95">
        <f>Project_profitability!G13*(1+'Sensitivity analysis project'!$D$17)</f>
        <v>0</v>
      </c>
      <c r="H250" s="95">
        <f>Project_profitability!H13*(1+'Sensitivity analysis project'!$D$17)</f>
        <v>0</v>
      </c>
      <c r="I250" s="95">
        <f>Project_profitability!I13*(1+'Sensitivity analysis project'!$D$17)</f>
        <v>0</v>
      </c>
      <c r="J250" s="95">
        <f>Project_profitability!J13*(1+'Sensitivity analysis project'!$D$17)</f>
        <v>0</v>
      </c>
      <c r="K250" s="95">
        <f>Project_profitability!K13*(1+'Sensitivity analysis project'!$D$17)</f>
        <v>0</v>
      </c>
      <c r="L250" s="95">
        <f>Project_profitability!L13*(1+'Sensitivity analysis project'!$D$17)</f>
        <v>0</v>
      </c>
      <c r="M250" s="95">
        <f>Project_profitability!M13*(1+'Sensitivity analysis project'!$D$17)</f>
        <v>0</v>
      </c>
      <c r="N250" s="95">
        <f>Project_profitability!N13*(1+'Sensitivity analysis project'!$D$17)</f>
        <v>0</v>
      </c>
      <c r="O250" s="95">
        <f>Project_profitability!O13*(1+'Sensitivity analysis project'!$D$17)</f>
        <v>0</v>
      </c>
      <c r="P250" s="95">
        <f>Project_profitability!P13*(1+'Sensitivity analysis project'!$D$17)</f>
        <v>0</v>
      </c>
      <c r="Q250" s="95">
        <f>Project_profitability!Q13*(1+'Sensitivity analysis project'!$D$17)</f>
        <v>0</v>
      </c>
      <c r="R250" s="95">
        <f>Project_profitability!R13*(1+'Sensitivity analysis project'!$D$17)</f>
        <v>0</v>
      </c>
      <c r="S250" s="95">
        <f>Project_profitability!S13*(1+'Sensitivity analysis project'!$D$17)</f>
        <v>0</v>
      </c>
      <c r="T250" s="95">
        <f>Project_profitability!T13*(1+'Sensitivity analysis project'!$D$17)</f>
        <v>0</v>
      </c>
      <c r="U250" s="95">
        <f>Project_profitability!U13*(1+'Sensitivity analysis project'!$D$17)</f>
        <v>0</v>
      </c>
      <c r="V250" s="95">
        <f>Project_profitability!V13*(1+'Sensitivity analysis project'!$D$17)</f>
        <v>0</v>
      </c>
      <c r="W250" s="95">
        <f>Project_profitability!W13*(1+'Sensitivity analysis project'!$D$17)</f>
        <v>0</v>
      </c>
      <c r="X250" s="95">
        <f>Project_profitability!X13*(1+'Sensitivity analysis project'!$D$17)</f>
        <v>0</v>
      </c>
      <c r="Y250" s="95">
        <f>Project_profitability!Y13*(1+'Sensitivity analysis project'!$D$17)</f>
        <v>0</v>
      </c>
      <c r="Z250" s="95">
        <f>Project_profitability!Z13*(1+'Sensitivity analysis project'!$D$17)</f>
        <v>0</v>
      </c>
      <c r="AA250" s="95">
        <f>Project_profitability!AA13*(1+'Sensitivity analysis project'!$D$17)</f>
        <v>0</v>
      </c>
    </row>
    <row r="251" spans="2:27" ht="29" hidden="1" outlineLevel="1" x14ac:dyDescent="0.35">
      <c r="B251" s="125" t="s">
        <v>100</v>
      </c>
      <c r="C251" s="95">
        <f>Project_profitability!C14</f>
        <v>0</v>
      </c>
      <c r="D251" s="95">
        <f>Project_profitability!D14</f>
        <v>0</v>
      </c>
      <c r="E251" s="95">
        <f>Project_profitability!E14</f>
        <v>0</v>
      </c>
      <c r="F251" s="95">
        <f>Project_profitability!F14</f>
        <v>0</v>
      </c>
      <c r="G251" s="95">
        <f>Project_profitability!G14</f>
        <v>0</v>
      </c>
      <c r="H251" s="95">
        <f>Project_profitability!H14</f>
        <v>0</v>
      </c>
      <c r="I251" s="95">
        <f>Project_profitability!I14</f>
        <v>0</v>
      </c>
      <c r="J251" s="95">
        <f>Project_profitability!J14</f>
        <v>0</v>
      </c>
      <c r="K251" s="95">
        <f>Project_profitability!K14</f>
        <v>0</v>
      </c>
      <c r="L251" s="95">
        <f>Project_profitability!L14</f>
        <v>0</v>
      </c>
      <c r="M251" s="95">
        <f>Project_profitability!M14</f>
        <v>0</v>
      </c>
      <c r="N251" s="95">
        <f>Project_profitability!N14</f>
        <v>0</v>
      </c>
      <c r="O251" s="95">
        <f>Project_profitability!O14</f>
        <v>0</v>
      </c>
      <c r="P251" s="95">
        <f>Project_profitability!P14</f>
        <v>0</v>
      </c>
      <c r="Q251" s="95">
        <f>Project_profitability!Q14</f>
        <v>0</v>
      </c>
      <c r="R251" s="95">
        <f>Project_profitability!R14</f>
        <v>0</v>
      </c>
      <c r="S251" s="95">
        <f>Project_profitability!S14</f>
        <v>0</v>
      </c>
      <c r="T251" s="95">
        <f>Project_profitability!T14</f>
        <v>0</v>
      </c>
      <c r="U251" s="95">
        <f>Project_profitability!U14</f>
        <v>0</v>
      </c>
      <c r="V251" s="95">
        <f>Project_profitability!V14</f>
        <v>0</v>
      </c>
      <c r="W251" s="95">
        <f>Project_profitability!W14</f>
        <v>0</v>
      </c>
      <c r="X251" s="95">
        <f>Project_profitability!X14</f>
        <v>0</v>
      </c>
      <c r="Y251" s="95">
        <f>Project_profitability!Y14</f>
        <v>0</v>
      </c>
      <c r="Z251" s="95">
        <f>Project_profitability!Z14</f>
        <v>0</v>
      </c>
      <c r="AA251" s="95">
        <f>Project_profitability!AA14</f>
        <v>0</v>
      </c>
    </row>
    <row r="252" spans="2:27" ht="29" hidden="1" outlineLevel="1" x14ac:dyDescent="0.35">
      <c r="B252" s="125" t="s">
        <v>101</v>
      </c>
      <c r="C252" s="126">
        <f t="shared" ref="C252:H252" si="246">C250-C251</f>
        <v>0</v>
      </c>
      <c r="D252" s="126">
        <f t="shared" si="246"/>
        <v>0</v>
      </c>
      <c r="E252" s="126">
        <f t="shared" si="246"/>
        <v>0</v>
      </c>
      <c r="F252" s="126">
        <f t="shared" si="246"/>
        <v>0</v>
      </c>
      <c r="G252" s="126">
        <f t="shared" si="246"/>
        <v>0</v>
      </c>
      <c r="H252" s="126">
        <f t="shared" si="246"/>
        <v>0</v>
      </c>
      <c r="I252" s="126">
        <f t="shared" ref="I252:AA252" si="247">I250-I251</f>
        <v>0</v>
      </c>
      <c r="J252" s="126">
        <f t="shared" si="247"/>
        <v>0</v>
      </c>
      <c r="K252" s="126">
        <f t="shared" si="247"/>
        <v>0</v>
      </c>
      <c r="L252" s="126">
        <f t="shared" si="247"/>
        <v>0</v>
      </c>
      <c r="M252" s="126">
        <f t="shared" si="247"/>
        <v>0</v>
      </c>
      <c r="N252" s="126">
        <f t="shared" si="247"/>
        <v>0</v>
      </c>
      <c r="O252" s="126">
        <f t="shared" si="247"/>
        <v>0</v>
      </c>
      <c r="P252" s="126">
        <f t="shared" si="247"/>
        <v>0</v>
      </c>
      <c r="Q252" s="126">
        <f t="shared" si="247"/>
        <v>0</v>
      </c>
      <c r="R252" s="126">
        <f t="shared" si="247"/>
        <v>0</v>
      </c>
      <c r="S252" s="126">
        <f t="shared" si="247"/>
        <v>0</v>
      </c>
      <c r="T252" s="126">
        <f t="shared" si="247"/>
        <v>0</v>
      </c>
      <c r="U252" s="126">
        <f t="shared" si="247"/>
        <v>0</v>
      </c>
      <c r="V252" s="126">
        <f t="shared" si="247"/>
        <v>0</v>
      </c>
      <c r="W252" s="126">
        <f t="shared" si="247"/>
        <v>0</v>
      </c>
      <c r="X252" s="126">
        <f t="shared" si="247"/>
        <v>0</v>
      </c>
      <c r="Y252" s="126">
        <f t="shared" si="247"/>
        <v>0</v>
      </c>
      <c r="Z252" s="126">
        <f t="shared" si="247"/>
        <v>0</v>
      </c>
      <c r="AA252" s="126">
        <f t="shared" si="247"/>
        <v>0</v>
      </c>
    </row>
    <row r="253" spans="2:27" hidden="1" outlineLevel="1" x14ac:dyDescent="0.35">
      <c r="B253" s="127" t="s">
        <v>102</v>
      </c>
      <c r="C253" s="128">
        <f>Project_profitability!C18</f>
        <v>0</v>
      </c>
      <c r="D253" s="128">
        <f>Project_profitability!D18</f>
        <v>0</v>
      </c>
      <c r="E253" s="128">
        <f>Project_profitability!E18</f>
        <v>0</v>
      </c>
      <c r="F253" s="128">
        <f>Project_profitability!F18</f>
        <v>0</v>
      </c>
      <c r="G253" s="128">
        <f>Project_profitability!G18</f>
        <v>0</v>
      </c>
      <c r="H253" s="128">
        <f>Project_profitability!H18</f>
        <v>0</v>
      </c>
      <c r="I253" s="128">
        <f>Project_profitability!I18</f>
        <v>0</v>
      </c>
      <c r="J253" s="128">
        <f>Project_profitability!J18</f>
        <v>0</v>
      </c>
      <c r="K253" s="128">
        <f>Project_profitability!K18</f>
        <v>0</v>
      </c>
      <c r="L253" s="128">
        <f>Project_profitability!L18</f>
        <v>0</v>
      </c>
      <c r="M253" s="128">
        <f>Project_profitability!M18</f>
        <v>0</v>
      </c>
      <c r="N253" s="128">
        <f>Project_profitability!N18</f>
        <v>0</v>
      </c>
      <c r="O253" s="128">
        <f>Project_profitability!O18</f>
        <v>0</v>
      </c>
      <c r="P253" s="128">
        <f>Project_profitability!P18</f>
        <v>0</v>
      </c>
      <c r="Q253" s="128">
        <f>Project_profitability!Q18</f>
        <v>0</v>
      </c>
      <c r="R253" s="128">
        <f>Project_profitability!R18</f>
        <v>0</v>
      </c>
      <c r="S253" s="128">
        <f>Project_profitability!S18</f>
        <v>0</v>
      </c>
      <c r="T253" s="128">
        <f>Project_profitability!T18</f>
        <v>0</v>
      </c>
      <c r="U253" s="128">
        <f>Project_profitability!U18</f>
        <v>0</v>
      </c>
      <c r="V253" s="128">
        <f>Project_profitability!V18</f>
        <v>0</v>
      </c>
      <c r="W253" s="128">
        <f>Project_profitability!W18</f>
        <v>0</v>
      </c>
      <c r="X253" s="128">
        <f>Project_profitability!X18</f>
        <v>0</v>
      </c>
      <c r="Y253" s="128">
        <f>Project_profitability!Y18</f>
        <v>0</v>
      </c>
      <c r="Z253" s="128">
        <f>Project_profitability!Z18</f>
        <v>0</v>
      </c>
      <c r="AA253" s="128">
        <f>Project_profitability!AA18</f>
        <v>0</v>
      </c>
    </row>
    <row r="254" spans="2:27" hidden="1" outlineLevel="1" x14ac:dyDescent="0.35">
      <c r="B254" s="122" t="s">
        <v>103</v>
      </c>
      <c r="C254" s="126">
        <f t="shared" ref="C254:H254" si="248">C252-C253</f>
        <v>0</v>
      </c>
      <c r="D254" s="126">
        <f t="shared" si="248"/>
        <v>0</v>
      </c>
      <c r="E254" s="126">
        <f t="shared" si="248"/>
        <v>0</v>
      </c>
      <c r="F254" s="126">
        <f t="shared" si="248"/>
        <v>0</v>
      </c>
      <c r="G254" s="126">
        <f t="shared" si="248"/>
        <v>0</v>
      </c>
      <c r="H254" s="126">
        <f t="shared" si="248"/>
        <v>0</v>
      </c>
      <c r="I254" s="126">
        <f t="shared" ref="I254:AA254" si="249">I252-I253</f>
        <v>0</v>
      </c>
      <c r="J254" s="126">
        <f t="shared" si="249"/>
        <v>0</v>
      </c>
      <c r="K254" s="126">
        <f t="shared" si="249"/>
        <v>0</v>
      </c>
      <c r="L254" s="126">
        <f t="shared" si="249"/>
        <v>0</v>
      </c>
      <c r="M254" s="126">
        <f t="shared" si="249"/>
        <v>0</v>
      </c>
      <c r="N254" s="126">
        <f t="shared" si="249"/>
        <v>0</v>
      </c>
      <c r="O254" s="126">
        <f t="shared" si="249"/>
        <v>0</v>
      </c>
      <c r="P254" s="126">
        <f t="shared" si="249"/>
        <v>0</v>
      </c>
      <c r="Q254" s="126">
        <f t="shared" si="249"/>
        <v>0</v>
      </c>
      <c r="R254" s="126">
        <f t="shared" si="249"/>
        <v>0</v>
      </c>
      <c r="S254" s="126">
        <f t="shared" si="249"/>
        <v>0</v>
      </c>
      <c r="T254" s="126">
        <f t="shared" si="249"/>
        <v>0</v>
      </c>
      <c r="U254" s="126">
        <f t="shared" si="249"/>
        <v>0</v>
      </c>
      <c r="V254" s="126">
        <f t="shared" si="249"/>
        <v>0</v>
      </c>
      <c r="W254" s="126">
        <f t="shared" si="249"/>
        <v>0</v>
      </c>
      <c r="X254" s="126">
        <f t="shared" si="249"/>
        <v>0</v>
      </c>
      <c r="Y254" s="126">
        <f t="shared" si="249"/>
        <v>0</v>
      </c>
      <c r="Z254" s="126">
        <f t="shared" si="249"/>
        <v>0</v>
      </c>
      <c r="AA254" s="126">
        <f t="shared" si="249"/>
        <v>0</v>
      </c>
    </row>
    <row r="255" spans="2:27" hidden="1" outlineLevel="1" x14ac:dyDescent="0.35">
      <c r="B255" s="129" t="s">
        <v>104</v>
      </c>
      <c r="C255" s="130">
        <f>C254</f>
        <v>0</v>
      </c>
      <c r="D255" s="130">
        <f t="shared" ref="D255:H255" si="250">D254</f>
        <v>0</v>
      </c>
      <c r="E255" s="130">
        <f t="shared" si="250"/>
        <v>0</v>
      </c>
      <c r="F255" s="130">
        <f t="shared" si="250"/>
        <v>0</v>
      </c>
      <c r="G255" s="130">
        <f t="shared" si="250"/>
        <v>0</v>
      </c>
      <c r="H255" s="130">
        <f t="shared" si="250"/>
        <v>0</v>
      </c>
      <c r="I255" s="130">
        <f t="shared" ref="I255" si="251">I254</f>
        <v>0</v>
      </c>
      <c r="J255" s="130">
        <f t="shared" ref="J255" si="252">J254</f>
        <v>0</v>
      </c>
      <c r="K255" s="130">
        <f t="shared" ref="K255" si="253">K254</f>
        <v>0</v>
      </c>
      <c r="L255" s="130">
        <f t="shared" ref="L255" si="254">L254</f>
        <v>0</v>
      </c>
      <c r="M255" s="130">
        <f t="shared" ref="M255" si="255">M254</f>
        <v>0</v>
      </c>
      <c r="N255" s="130">
        <f t="shared" ref="N255" si="256">N254</f>
        <v>0</v>
      </c>
      <c r="O255" s="130">
        <f t="shared" ref="O255" si="257">O254</f>
        <v>0</v>
      </c>
      <c r="P255" s="130">
        <f t="shared" ref="P255" si="258">P254</f>
        <v>0</v>
      </c>
      <c r="Q255" s="130">
        <f t="shared" ref="Q255" si="259">Q254</f>
        <v>0</v>
      </c>
      <c r="R255" s="130">
        <f t="shared" ref="R255" si="260">R254</f>
        <v>0</v>
      </c>
      <c r="S255" s="130">
        <f t="shared" ref="S255" si="261">S254</f>
        <v>0</v>
      </c>
      <c r="T255" s="130">
        <f t="shared" ref="T255" si="262">T254</f>
        <v>0</v>
      </c>
      <c r="U255" s="130">
        <f t="shared" ref="U255" si="263">U254</f>
        <v>0</v>
      </c>
      <c r="V255" s="130">
        <f t="shared" ref="V255" si="264">V254</f>
        <v>0</v>
      </c>
      <c r="W255" s="130">
        <f t="shared" ref="W255" si="265">W254</f>
        <v>0</v>
      </c>
      <c r="X255" s="130">
        <f t="shared" ref="X255" si="266">X254</f>
        <v>0</v>
      </c>
      <c r="Y255" s="130">
        <f t="shared" ref="Y255" si="267">Y254</f>
        <v>0</v>
      </c>
      <c r="Z255" s="130">
        <f t="shared" ref="Z255" si="268">Z254</f>
        <v>0</v>
      </c>
      <c r="AA255" s="130">
        <f t="shared" ref="AA255" si="269">AA254</f>
        <v>0</v>
      </c>
    </row>
    <row r="256" spans="2:27" hidden="1" outlineLevel="1" x14ac:dyDescent="0.35">
      <c r="B256" s="131" t="s">
        <v>105</v>
      </c>
      <c r="C256" s="132">
        <f t="shared" ref="C256:H256" si="270">C236</f>
        <v>0</v>
      </c>
      <c r="D256" s="132">
        <f t="shared" si="270"/>
        <v>0</v>
      </c>
      <c r="E256" s="132">
        <f t="shared" si="270"/>
        <v>0</v>
      </c>
      <c r="F256" s="132">
        <f t="shared" si="270"/>
        <v>0</v>
      </c>
      <c r="G256" s="132">
        <f t="shared" si="270"/>
        <v>0</v>
      </c>
      <c r="H256" s="132">
        <f t="shared" si="270"/>
        <v>0</v>
      </c>
      <c r="I256" s="132">
        <f t="shared" ref="I256:AA256" si="271">I236</f>
        <v>0</v>
      </c>
      <c r="J256" s="132">
        <f t="shared" si="271"/>
        <v>0</v>
      </c>
      <c r="K256" s="132">
        <f t="shared" si="271"/>
        <v>0</v>
      </c>
      <c r="L256" s="132">
        <f t="shared" si="271"/>
        <v>0</v>
      </c>
      <c r="M256" s="132">
        <f t="shared" si="271"/>
        <v>0</v>
      </c>
      <c r="N256" s="132">
        <f t="shared" si="271"/>
        <v>0</v>
      </c>
      <c r="O256" s="132">
        <f t="shared" si="271"/>
        <v>0</v>
      </c>
      <c r="P256" s="132">
        <f t="shared" si="271"/>
        <v>0</v>
      </c>
      <c r="Q256" s="132">
        <f t="shared" si="271"/>
        <v>0</v>
      </c>
      <c r="R256" s="132">
        <f t="shared" si="271"/>
        <v>0</v>
      </c>
      <c r="S256" s="132">
        <f t="shared" si="271"/>
        <v>0</v>
      </c>
      <c r="T256" s="132">
        <f t="shared" si="271"/>
        <v>0</v>
      </c>
      <c r="U256" s="132">
        <f t="shared" si="271"/>
        <v>0</v>
      </c>
      <c r="V256" s="132">
        <f t="shared" si="271"/>
        <v>0</v>
      </c>
      <c r="W256" s="132">
        <f t="shared" si="271"/>
        <v>0</v>
      </c>
      <c r="X256" s="132">
        <f t="shared" si="271"/>
        <v>0</v>
      </c>
      <c r="Y256" s="132">
        <f t="shared" si="271"/>
        <v>0</v>
      </c>
      <c r="Z256" s="132">
        <f t="shared" si="271"/>
        <v>0</v>
      </c>
      <c r="AA256" s="132">
        <f t="shared" si="271"/>
        <v>0</v>
      </c>
    </row>
    <row r="257" spans="2:27" hidden="1" outlineLevel="1" x14ac:dyDescent="0.35">
      <c r="B257" s="133" t="s">
        <v>106</v>
      </c>
      <c r="C257" s="134">
        <f t="shared" ref="C257:H257" si="272">C255+C253-C256</f>
        <v>0</v>
      </c>
      <c r="D257" s="134">
        <f t="shared" si="272"/>
        <v>0</v>
      </c>
      <c r="E257" s="134">
        <f t="shared" si="272"/>
        <v>0</v>
      </c>
      <c r="F257" s="134">
        <f t="shared" si="272"/>
        <v>0</v>
      </c>
      <c r="G257" s="134">
        <f t="shared" si="272"/>
        <v>0</v>
      </c>
      <c r="H257" s="134">
        <f t="shared" si="272"/>
        <v>0</v>
      </c>
      <c r="I257" s="134">
        <f t="shared" ref="I257:AA257" si="273">I255+I253-I256</f>
        <v>0</v>
      </c>
      <c r="J257" s="134">
        <f t="shared" si="273"/>
        <v>0</v>
      </c>
      <c r="K257" s="134">
        <f t="shared" si="273"/>
        <v>0</v>
      </c>
      <c r="L257" s="134">
        <f t="shared" si="273"/>
        <v>0</v>
      </c>
      <c r="M257" s="134">
        <f t="shared" si="273"/>
        <v>0</v>
      </c>
      <c r="N257" s="134">
        <f t="shared" si="273"/>
        <v>0</v>
      </c>
      <c r="O257" s="134">
        <f t="shared" si="273"/>
        <v>0</v>
      </c>
      <c r="P257" s="134">
        <f t="shared" si="273"/>
        <v>0</v>
      </c>
      <c r="Q257" s="134">
        <f t="shared" si="273"/>
        <v>0</v>
      </c>
      <c r="R257" s="134">
        <f t="shared" si="273"/>
        <v>0</v>
      </c>
      <c r="S257" s="134">
        <f t="shared" si="273"/>
        <v>0</v>
      </c>
      <c r="T257" s="134">
        <f t="shared" si="273"/>
        <v>0</v>
      </c>
      <c r="U257" s="134">
        <f t="shared" si="273"/>
        <v>0</v>
      </c>
      <c r="V257" s="134">
        <f t="shared" si="273"/>
        <v>0</v>
      </c>
      <c r="W257" s="134">
        <f t="shared" si="273"/>
        <v>0</v>
      </c>
      <c r="X257" s="134">
        <f t="shared" si="273"/>
        <v>0</v>
      </c>
      <c r="Y257" s="134">
        <f t="shared" si="273"/>
        <v>0</v>
      </c>
      <c r="Z257" s="134">
        <f t="shared" si="273"/>
        <v>0</v>
      </c>
      <c r="AA257" s="134">
        <f t="shared" si="273"/>
        <v>0</v>
      </c>
    </row>
    <row r="258" spans="2:27" hidden="1" outlineLevel="1" x14ac:dyDescent="0.35">
      <c r="B258" s="135" t="s">
        <v>38</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f>Project_profitability!AB16*(1+'Sensitivity analysis project'!D17)</f>
        <v>0</v>
      </c>
    </row>
    <row r="259" spans="2:27" hidden="1" outlineLevel="2" x14ac:dyDescent="0.35">
      <c r="B259" s="136" t="s">
        <v>107</v>
      </c>
      <c r="C259" s="137">
        <f t="shared" ref="C259:H259" si="274">C257-C249+C258</f>
        <v>0</v>
      </c>
      <c r="D259" s="137">
        <f t="shared" si="274"/>
        <v>0</v>
      </c>
      <c r="E259" s="137">
        <f t="shared" si="274"/>
        <v>0</v>
      </c>
      <c r="F259" s="137">
        <f t="shared" si="274"/>
        <v>0</v>
      </c>
      <c r="G259" s="137">
        <f t="shared" si="274"/>
        <v>0</v>
      </c>
      <c r="H259" s="137">
        <f t="shared" si="274"/>
        <v>0</v>
      </c>
      <c r="I259" s="137">
        <f t="shared" ref="I259:AA259" si="275">I257-I249+I258</f>
        <v>0</v>
      </c>
      <c r="J259" s="137">
        <f t="shared" si="275"/>
        <v>0</v>
      </c>
      <c r="K259" s="137">
        <f t="shared" si="275"/>
        <v>0</v>
      </c>
      <c r="L259" s="137">
        <f t="shared" si="275"/>
        <v>0</v>
      </c>
      <c r="M259" s="137">
        <f t="shared" si="275"/>
        <v>0</v>
      </c>
      <c r="N259" s="137">
        <f t="shared" si="275"/>
        <v>0</v>
      </c>
      <c r="O259" s="137">
        <f t="shared" si="275"/>
        <v>0</v>
      </c>
      <c r="P259" s="137">
        <f t="shared" si="275"/>
        <v>0</v>
      </c>
      <c r="Q259" s="137">
        <f t="shared" si="275"/>
        <v>0</v>
      </c>
      <c r="R259" s="137">
        <f t="shared" si="275"/>
        <v>0</v>
      </c>
      <c r="S259" s="137">
        <f t="shared" si="275"/>
        <v>0</v>
      </c>
      <c r="T259" s="137">
        <f t="shared" si="275"/>
        <v>0</v>
      </c>
      <c r="U259" s="137">
        <f t="shared" si="275"/>
        <v>0</v>
      </c>
      <c r="V259" s="137">
        <f t="shared" si="275"/>
        <v>0</v>
      </c>
      <c r="W259" s="137">
        <f t="shared" si="275"/>
        <v>0</v>
      </c>
      <c r="X259" s="137">
        <f t="shared" si="275"/>
        <v>0</v>
      </c>
      <c r="Y259" s="137">
        <f t="shared" si="275"/>
        <v>0</v>
      </c>
      <c r="Z259" s="137">
        <f t="shared" si="275"/>
        <v>0</v>
      </c>
      <c r="AA259" s="137">
        <f t="shared" si="275"/>
        <v>0</v>
      </c>
    </row>
    <row r="260" spans="2:27" collapsed="1" x14ac:dyDescent="0.35">
      <c r="B260" s="121"/>
      <c r="C260" s="114"/>
      <c r="D260" s="114"/>
      <c r="E260" s="114"/>
      <c r="F260" s="114"/>
      <c r="G260" s="114"/>
      <c r="H260" s="114"/>
    </row>
    <row r="261" spans="2:27" x14ac:dyDescent="0.35">
      <c r="B261" s="121"/>
    </row>
    <row r="262" spans="2:27" x14ac:dyDescent="0.35">
      <c r="B262" s="138" t="s">
        <v>40</v>
      </c>
      <c r="C262" s="139">
        <v>0.04</v>
      </c>
    </row>
    <row r="263" spans="2:27" x14ac:dyDescent="0.35">
      <c r="B263" s="140" t="s">
        <v>41</v>
      </c>
      <c r="C263" s="141">
        <f>NPV(C262,C259:AA259)</f>
        <v>0</v>
      </c>
    </row>
    <row r="264" spans="2:27" x14ac:dyDescent="0.35">
      <c r="B264" s="142" t="s">
        <v>42</v>
      </c>
      <c r="C264" s="143" t="e">
        <f>IRR(C259:AA259,C262)</f>
        <v>#NUM!</v>
      </c>
    </row>
  </sheetData>
  <sheetProtection algorithmName="SHA-512" hashValue="Oh8IS5/qJDF6QFp5W9nwxSxzK+U98FUtbZ4IrWp2gnHVbFFHC2LYocGLtJ/89QKzYumrZzKrnBWGeBTV6GEhFQ==" saltValue="CjdmV4ydP5pI6ec5XY39Lg==" spinCount="100000" sheet="1" objects="1" scenarios="1"/>
  <mergeCells count="15">
    <mergeCell ref="B63:B64"/>
    <mergeCell ref="B6:B9"/>
    <mergeCell ref="B10:B13"/>
    <mergeCell ref="B14:B17"/>
    <mergeCell ref="B22:B23"/>
    <mergeCell ref="B42:B43"/>
    <mergeCell ref="B206:B207"/>
    <mergeCell ref="B227:B228"/>
    <mergeCell ref="B247:B248"/>
    <mergeCell ref="B83:B84"/>
    <mergeCell ref="B104:B105"/>
    <mergeCell ref="B124:B125"/>
    <mergeCell ref="B145:B146"/>
    <mergeCell ref="B165:B166"/>
    <mergeCell ref="B186:B187"/>
  </mergeCells>
  <conditionalFormatting sqref="E6:E17">
    <cfRule type="cellIs" dxfId="3" priority="2" stopIfTrue="1" operator="lessThan">
      <formula>0</formula>
    </cfRule>
    <cfRule type="cellIs" dxfId="2" priority="3" stopIfTrue="1" operator="lessThan">
      <formula>-15870</formula>
    </cfRule>
  </conditionalFormatting>
  <conditionalFormatting sqref="F6:F17">
    <cfRule type="cellIs" dxfId="1" priority="1" stopIfTrue="1" operator="lessThan">
      <formula>0.04</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4E8B-2E61-487C-BC49-C4E58BEE16F4}">
  <sheetPr codeName="Sheet10"/>
  <dimension ref="B2:H12"/>
  <sheetViews>
    <sheetView workbookViewId="0">
      <selection activeCell="J7" sqref="J7"/>
    </sheetView>
  </sheetViews>
  <sheetFormatPr defaultRowHeight="14.5" x14ac:dyDescent="0.35"/>
  <cols>
    <col min="2" max="2" width="29.1796875" bestFit="1" customWidth="1"/>
    <col min="3" max="3" width="13.81640625" bestFit="1" customWidth="1"/>
  </cols>
  <sheetData>
    <row r="2" spans="2:8" x14ac:dyDescent="0.35">
      <c r="B2" s="374" t="s">
        <v>119</v>
      </c>
      <c r="C2" s="374"/>
      <c r="D2" s="374"/>
      <c r="E2" s="374"/>
      <c r="F2" s="374"/>
      <c r="G2" s="374"/>
      <c r="H2" s="374"/>
    </row>
    <row r="4" spans="2:8" ht="29" x14ac:dyDescent="0.35">
      <c r="B4" s="113" t="s">
        <v>120</v>
      </c>
      <c r="C4" s="112">
        <f>'Balance_sheet_Historical data'!F30</f>
        <v>0</v>
      </c>
    </row>
    <row r="5" spans="2:8" x14ac:dyDescent="0.35">
      <c r="B5" s="111" t="s">
        <v>121</v>
      </c>
      <c r="C5" s="166">
        <f>C4</f>
        <v>0</v>
      </c>
    </row>
    <row r="6" spans="2:8" x14ac:dyDescent="0.35">
      <c r="B6" s="104" t="s">
        <v>22</v>
      </c>
      <c r="C6" s="167">
        <f>'Balance_sheet_Historical data'!F11</f>
        <v>0</v>
      </c>
    </row>
    <row r="7" spans="2:8" ht="29" x14ac:dyDescent="0.35">
      <c r="B7" s="84" t="s">
        <v>122</v>
      </c>
      <c r="C7" s="167">
        <f>'Balance_sheet_Historical data'!F12+'Balance_sheet_Historical data'!F13</f>
        <v>0</v>
      </c>
    </row>
    <row r="8" spans="2:8" x14ac:dyDescent="0.35">
      <c r="B8" s="111" t="s">
        <v>123</v>
      </c>
      <c r="C8" s="166">
        <f>SUM(C7:C7)+C5</f>
        <v>0</v>
      </c>
    </row>
    <row r="10" spans="2:8" x14ac:dyDescent="0.35">
      <c r="B10" s="91" t="s">
        <v>124</v>
      </c>
      <c r="C10" s="374" t="str">
        <f>CONCATENATE("The applicant is ",IF(C5&gt;=0,"not ",IF(C8&gt;=0,"not ", IF(ABS(C8)&gt;C6/2,"","not "))),"undertaking in difficulty")</f>
        <v>The applicant is not undertaking in difficulty</v>
      </c>
      <c r="D10" s="374"/>
      <c r="E10" s="374"/>
      <c r="F10" s="374"/>
      <c r="G10" s="374"/>
    </row>
    <row r="12" spans="2:8" x14ac:dyDescent="0.35">
      <c r="B12" s="103" t="s">
        <v>125</v>
      </c>
    </row>
  </sheetData>
  <sheetProtection algorithmName="SHA-512" hashValue="Pu8uwRUhFC73XsK4xTsV/QLxjU2N727SDZ2fDSCnfK6wjDw9ufHwpENFgBJhBxCFZCXtIl1oPgvaQ7eeU/UzAg==" saltValue="Ww8/4iiMoihB4DBsiGsUcQ==" spinCount="100000" sheet="1" objects="1" scenarios="1"/>
  <mergeCells count="2">
    <mergeCell ref="B2:H2"/>
    <mergeCell ref="C10:G10"/>
  </mergeCells>
  <conditionalFormatting sqref="C10">
    <cfRule type="containsText" dxfId="0" priority="1" operator="containsText" text="The applicant is undertaking in difficulty">
      <formula>NOT(ISERROR(SEARCH("The applicant is undertaking in difficulty",C10)))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V200"/>
  <sheetViews>
    <sheetView topLeftCell="R181" zoomScaleNormal="100" workbookViewId="0">
      <selection activeCell="Y200" sqref="Y200"/>
    </sheetView>
  </sheetViews>
  <sheetFormatPr defaultColWidth="9.1796875" defaultRowHeight="14.5" x14ac:dyDescent="0.35"/>
  <cols>
    <col min="1" max="24" width="21.36328125" style="2" customWidth="1"/>
    <col min="25" max="25" width="21.36328125" style="90" customWidth="1"/>
    <col min="26" max="30" width="21.36328125" style="2" customWidth="1"/>
    <col min="31" max="43" width="14.36328125" style="2" customWidth="1"/>
    <col min="44" max="46" width="9.1796875" style="2"/>
    <col min="47" max="47" width="16.7265625" style="2" bestFit="1" customWidth="1"/>
    <col min="48" max="48" width="15.54296875" style="2" bestFit="1" customWidth="1"/>
    <col min="49" max="16384" width="9.1796875" style="2"/>
  </cols>
  <sheetData>
    <row r="1" spans="1:48" ht="45" customHeight="1" x14ac:dyDescent="0.35">
      <c r="A1" s="66" t="s">
        <v>126</v>
      </c>
      <c r="B1" s="66" t="s">
        <v>127</v>
      </c>
      <c r="C1" s="66" t="s">
        <v>128</v>
      </c>
      <c r="D1" s="66" t="s">
        <v>129</v>
      </c>
      <c r="E1" s="66" t="s">
        <v>130</v>
      </c>
      <c r="F1" s="66" t="s">
        <v>131</v>
      </c>
      <c r="G1" s="66" t="s">
        <v>132</v>
      </c>
      <c r="H1" s="66" t="s">
        <v>133</v>
      </c>
      <c r="I1" s="66" t="s">
        <v>134</v>
      </c>
      <c r="J1" s="67" t="s">
        <v>135</v>
      </c>
      <c r="K1" s="67" t="s">
        <v>136</v>
      </c>
      <c r="L1" s="67" t="s">
        <v>137</v>
      </c>
      <c r="M1" s="67" t="s">
        <v>138</v>
      </c>
      <c r="N1" s="68" t="s">
        <v>139</v>
      </c>
      <c r="O1" s="69" t="s">
        <v>140</v>
      </c>
      <c r="P1" s="69" t="s">
        <v>141</v>
      </c>
      <c r="Q1" s="69" t="s">
        <v>142</v>
      </c>
      <c r="R1" s="69" t="s">
        <v>143</v>
      </c>
      <c r="S1" s="69" t="s">
        <v>144</v>
      </c>
      <c r="T1" s="69" t="s">
        <v>145</v>
      </c>
      <c r="U1" s="69" t="s">
        <v>146</v>
      </c>
      <c r="V1" s="69" t="s">
        <v>147</v>
      </c>
      <c r="W1" s="69" t="s">
        <v>148</v>
      </c>
      <c r="X1" s="69" t="s">
        <v>144</v>
      </c>
      <c r="Y1" s="70" t="s">
        <v>149</v>
      </c>
      <c r="Z1" s="67" t="s">
        <v>150</v>
      </c>
      <c r="AA1" s="67" t="s">
        <v>151</v>
      </c>
      <c r="AB1" s="70" t="s">
        <v>152</v>
      </c>
      <c r="AC1" s="67" t="s">
        <v>153</v>
      </c>
      <c r="AD1" s="67" t="s">
        <v>196</v>
      </c>
      <c r="AU1" s="243" t="s">
        <v>154</v>
      </c>
      <c r="AV1" s="243" t="s">
        <v>155</v>
      </c>
    </row>
    <row r="2" spans="1:48" x14ac:dyDescent="0.35">
      <c r="A2" s="71" t="s">
        <v>2</v>
      </c>
      <c r="B2" s="71" t="s">
        <v>2</v>
      </c>
      <c r="C2" s="71" t="s">
        <v>2</v>
      </c>
      <c r="D2" s="72" t="s">
        <v>2</v>
      </c>
      <c r="E2" s="73" t="s">
        <v>12</v>
      </c>
      <c r="F2" s="74" t="s">
        <v>2</v>
      </c>
      <c r="G2" s="75" t="s">
        <v>2</v>
      </c>
      <c r="H2" s="75" t="s">
        <v>2</v>
      </c>
      <c r="I2" s="71" t="s">
        <v>2</v>
      </c>
      <c r="J2" s="71" t="s">
        <v>2</v>
      </c>
      <c r="K2" s="71" t="s">
        <v>2</v>
      </c>
      <c r="L2" s="76" t="str">
        <f>VLOOKUP("yes",K15:L25,2,FALSE)</f>
        <v>Select…</v>
      </c>
      <c r="M2" s="76" t="str">
        <f>VLOOKUP("yes",M15:N25,2,FALSE)</f>
        <v>Select…</v>
      </c>
      <c r="N2" s="77" t="s">
        <v>2</v>
      </c>
      <c r="O2" s="77" t="b">
        <f>('Detailed Budget'!J12&lt;&gt;"YES")</f>
        <v>1</v>
      </c>
      <c r="P2" s="78">
        <f>'Detailed Budget'!A18</f>
        <v>0</v>
      </c>
      <c r="Q2" s="78">
        <f>VLOOKUP(TRUE,O2:P3,2,FALSE)</f>
        <v>0</v>
      </c>
      <c r="R2" s="78">
        <f>'Detailed Budget'!F18</f>
        <v>0</v>
      </c>
      <c r="S2" s="78">
        <f>VLOOKUP(TRUE,O2:R3,4,FALSE)</f>
        <v>0</v>
      </c>
      <c r="T2" s="78" t="e">
        <f>(#REF!&lt;&gt;"YES")</f>
        <v>#REF!</v>
      </c>
      <c r="U2" s="78" t="e">
        <f>#REF!</f>
        <v>#REF!</v>
      </c>
      <c r="V2" s="78" t="e">
        <f>VLOOKUP(TRUE,T2:U3,2,FALSE)</f>
        <v>#N/A</v>
      </c>
      <c r="W2" s="78" t="e">
        <f>#REF!</f>
        <v>#REF!</v>
      </c>
      <c r="X2" s="78" t="e">
        <f>VLOOKUP(TRUE,T2:W3,4,FALSE)</f>
        <v>#N/A</v>
      </c>
      <c r="Y2" s="79">
        <f>_xlfn.IFS('Detailed Budget'!J12="Select…",0,'Detailed Budget'!J12="NO",0,'Detailed Budget'!J12="YES",1)</f>
        <v>0</v>
      </c>
      <c r="Z2" s="79" t="e">
        <f>_xlfn.IFS(#REF!="Select…",0,#REF!="NO",0,#REF!="YES",1)</f>
        <v>#REF!</v>
      </c>
      <c r="AA2" s="80" t="e">
        <f>_xlfn.IFS(#REF!="Select…",0,#REF!=1,1,#REF!=2,2,#REF!=3,3,#REF!=4,4,#REF!=5,5,#REF!=6,6,#REF!=7,7,#REF!=8,8,#REF!=9,9,#REF!=10,10)</f>
        <v>#REF!</v>
      </c>
      <c r="AB2" s="79" t="e">
        <f>_xlfn.IFS(#REF!="Select…",0,#REF!="NO",0,#REF!="YES",17)</f>
        <v>#REF!</v>
      </c>
      <c r="AC2" s="90" t="s">
        <v>2</v>
      </c>
      <c r="AD2" s="2" t="s">
        <v>197</v>
      </c>
      <c r="AU2" s="75" t="s">
        <v>2</v>
      </c>
      <c r="AV2" s="75">
        <v>25</v>
      </c>
    </row>
    <row r="3" spans="1:48" x14ac:dyDescent="0.35">
      <c r="A3" s="77">
        <v>1</v>
      </c>
      <c r="B3" s="75" t="s">
        <v>157</v>
      </c>
      <c r="C3" s="75" t="str">
        <f>IF('Detailed Budget'!$C$1="English","Aid to SMEs","Consultanta pentru IMM-uri")</f>
        <v>Aid to SMEs</v>
      </c>
      <c r="D3" s="81" t="s">
        <v>158</v>
      </c>
      <c r="E3" s="74" t="s">
        <v>159</v>
      </c>
      <c r="F3" s="74" t="s">
        <v>160</v>
      </c>
      <c r="G3" s="82">
        <v>43800</v>
      </c>
      <c r="H3" s="82">
        <v>43830</v>
      </c>
      <c r="I3" s="82">
        <v>43830</v>
      </c>
      <c r="J3" s="83" t="e">
        <f>#REF!</f>
        <v>#REF!</v>
      </c>
      <c r="K3" s="83" t="e">
        <f>#REF!</f>
        <v>#REF!</v>
      </c>
      <c r="L3" s="76" t="e">
        <f t="shared" ref="L3:L12" si="0">VLOOKUP("yes",K16:L26,2,FALSE)</f>
        <v>#N/A</v>
      </c>
      <c r="M3" s="76" t="e">
        <f t="shared" ref="M3:M12" si="1">VLOOKUP("yes",M16:N26,2,FALSE)</f>
        <v>#N/A</v>
      </c>
      <c r="N3" s="77">
        <v>1</v>
      </c>
      <c r="O3" s="77" t="b">
        <f>('Detailed Budget'!J12="YES")</f>
        <v>0</v>
      </c>
      <c r="P3" s="78">
        <f>'Detailed Budget'!M18</f>
        <v>0</v>
      </c>
      <c r="Q3" s="77"/>
      <c r="R3" s="78">
        <f>'Detailed Budget'!R18</f>
        <v>0</v>
      </c>
      <c r="S3" s="77"/>
      <c r="T3" s="77" t="e">
        <f>(#REF!="YES")</f>
        <v>#REF!</v>
      </c>
      <c r="U3" s="78" t="e">
        <f>#REF!</f>
        <v>#REF!</v>
      </c>
      <c r="V3" s="77"/>
      <c r="W3" s="78" t="e">
        <f>#REF!</f>
        <v>#REF!</v>
      </c>
      <c r="X3" s="77"/>
      <c r="Y3" s="79">
        <f>Y2</f>
        <v>0</v>
      </c>
      <c r="AC3" s="79" t="s">
        <v>156</v>
      </c>
      <c r="AD3" s="2" t="s">
        <v>198</v>
      </c>
      <c r="AU3" s="75" t="str">
        <f>IF('Detailed Budget'!$C$1="English","Hydropower","Energie hidroelectrica")</f>
        <v>Hydropower</v>
      </c>
      <c r="AV3" s="75">
        <v>20</v>
      </c>
    </row>
    <row r="4" spans="1:48" ht="24.5" x14ac:dyDescent="0.35">
      <c r="A4" s="77">
        <v>2</v>
      </c>
      <c r="B4" s="84" t="s">
        <v>162</v>
      </c>
      <c r="C4" s="299" t="str">
        <f>IF('Detailed Budget'!$C$1="English","Investment aid for the promotion of energy from RES","Ajutor pentru promovarea productiei de energie din alte resurse")</f>
        <v>Investment aid for the promotion of energy from RES</v>
      </c>
      <c r="D4" s="85" t="s">
        <v>163</v>
      </c>
      <c r="E4" s="74" t="s">
        <v>164</v>
      </c>
      <c r="F4" s="74" t="s">
        <v>165</v>
      </c>
      <c r="G4" s="82">
        <v>43831</v>
      </c>
      <c r="H4" s="82">
        <v>43861</v>
      </c>
      <c r="I4" s="82">
        <v>43861</v>
      </c>
      <c r="J4" s="82" t="e">
        <f>#REF!+1</f>
        <v>#REF!</v>
      </c>
      <c r="K4" s="82" t="e">
        <f>#REF!+1</f>
        <v>#REF!</v>
      </c>
      <c r="L4" s="76" t="e">
        <f t="shared" si="0"/>
        <v>#N/A</v>
      </c>
      <c r="M4" s="76" t="e">
        <f t="shared" si="1"/>
        <v>#N/A</v>
      </c>
      <c r="N4" s="77">
        <v>2</v>
      </c>
      <c r="Y4" s="79">
        <f>Y3</f>
        <v>0</v>
      </c>
      <c r="AC4" s="79" t="s">
        <v>161</v>
      </c>
      <c r="AU4" s="75" t="str">
        <f>IF('Detailed Budget'!$C$1="English","Geothermal","Energie geotermala")</f>
        <v>Geothermal</v>
      </c>
      <c r="AV4" s="75">
        <v>15</v>
      </c>
    </row>
    <row r="5" spans="1:48" ht="29" x14ac:dyDescent="0.35">
      <c r="A5" s="77">
        <v>3</v>
      </c>
      <c r="B5" s="75" t="s">
        <v>166</v>
      </c>
      <c r="C5" s="84" t="str">
        <f>IF('Detailed Budget'!$C$1="English","Investment aid for energy infrastructure","Ajutor pentru investitii in infrastrutura de mediu")</f>
        <v>Investment aid for energy infrastructure</v>
      </c>
      <c r="E5" s="74" t="s">
        <v>167</v>
      </c>
      <c r="F5" s="74" t="s">
        <v>168</v>
      </c>
      <c r="G5" s="82">
        <v>43862</v>
      </c>
      <c r="H5" s="82">
        <v>43890</v>
      </c>
      <c r="I5" s="82">
        <v>43890</v>
      </c>
      <c r="J5" s="82" t="e">
        <f>#REF!+1</f>
        <v>#REF!</v>
      </c>
      <c r="K5" s="82" t="e">
        <f>#REF!+1</f>
        <v>#REF!</v>
      </c>
      <c r="L5" s="76" t="e">
        <f t="shared" si="0"/>
        <v>#N/A</v>
      </c>
      <c r="M5" s="76" t="e">
        <f t="shared" si="1"/>
        <v>#N/A</v>
      </c>
      <c r="N5" s="77">
        <v>3</v>
      </c>
      <c r="Y5" s="79">
        <f t="shared" ref="Y5:Y67" si="2">Y4</f>
        <v>0</v>
      </c>
      <c r="AC5" s="79" t="s">
        <v>169</v>
      </c>
      <c r="AU5" s="75" t="str">
        <f>IF('Detailed Budget'!$C$1="English","Photovoltaic","Energie fotovoltaica")</f>
        <v>Photovoltaic</v>
      </c>
      <c r="AV5" s="75">
        <v>20</v>
      </c>
    </row>
    <row r="6" spans="1:48" x14ac:dyDescent="0.35">
      <c r="A6" s="77">
        <v>4</v>
      </c>
      <c r="B6" s="75" t="s">
        <v>170</v>
      </c>
      <c r="C6" s="75" t="str">
        <f>IF('Detailed Budget'!$C$1="English","Training aid","Ajutor pentru Training")</f>
        <v>Training aid</v>
      </c>
      <c r="E6" s="74" t="s">
        <v>171</v>
      </c>
      <c r="F6" s="74" t="s">
        <v>172</v>
      </c>
      <c r="G6" s="82">
        <v>43891</v>
      </c>
      <c r="H6" s="82">
        <v>43921</v>
      </c>
      <c r="I6" s="82">
        <v>43921</v>
      </c>
      <c r="J6" s="82" t="e">
        <f>#REF!+1</f>
        <v>#REF!</v>
      </c>
      <c r="K6" s="82" t="e">
        <f>#REF!+1</f>
        <v>#REF!</v>
      </c>
      <c r="L6" s="76" t="e">
        <f t="shared" si="0"/>
        <v>#N/A</v>
      </c>
      <c r="M6" s="76" t="e">
        <f t="shared" si="1"/>
        <v>#N/A</v>
      </c>
      <c r="N6" s="77">
        <v>4</v>
      </c>
      <c r="Y6" s="79">
        <f t="shared" si="2"/>
        <v>0</v>
      </c>
      <c r="AC6" s="79" t="s">
        <v>173</v>
      </c>
      <c r="AU6" s="75" t="str">
        <f>IF('Detailed Budget'!$C$1="English","Biomass","Biomasa")</f>
        <v>Biomass</v>
      </c>
      <c r="AV6" s="75"/>
    </row>
    <row r="7" spans="1:48" x14ac:dyDescent="0.35">
      <c r="A7" s="77">
        <v>5</v>
      </c>
      <c r="B7" s="75" t="s">
        <v>13</v>
      </c>
      <c r="C7" s="75"/>
      <c r="E7" s="74" t="s">
        <v>174</v>
      </c>
      <c r="F7" s="74" t="s">
        <v>175</v>
      </c>
      <c r="G7" s="82">
        <v>43922</v>
      </c>
      <c r="H7" s="82">
        <v>43951</v>
      </c>
      <c r="I7" s="82">
        <v>43951</v>
      </c>
      <c r="J7" s="82" t="e">
        <f>#REF!+1</f>
        <v>#REF!</v>
      </c>
      <c r="K7" s="82" t="e">
        <f>#REF!+1</f>
        <v>#REF!</v>
      </c>
      <c r="L7" s="76" t="e">
        <f t="shared" si="0"/>
        <v>#N/A</v>
      </c>
      <c r="M7" s="76" t="e">
        <f t="shared" si="1"/>
        <v>#N/A</v>
      </c>
      <c r="N7" s="77">
        <v>5</v>
      </c>
      <c r="Y7" s="79">
        <f t="shared" si="2"/>
        <v>0</v>
      </c>
      <c r="AU7" s="75"/>
      <c r="AV7" s="75"/>
    </row>
    <row r="8" spans="1:48" x14ac:dyDescent="0.35">
      <c r="A8" s="77">
        <v>6</v>
      </c>
      <c r="B8" s="75" t="s">
        <v>14</v>
      </c>
      <c r="C8" s="86"/>
      <c r="E8" s="74"/>
      <c r="F8" s="74" t="s">
        <v>176</v>
      </c>
      <c r="G8" s="82">
        <v>43952</v>
      </c>
      <c r="H8" s="82">
        <v>43982</v>
      </c>
      <c r="I8" s="82">
        <v>43982</v>
      </c>
      <c r="J8" s="82" t="e">
        <f>#REF!+1</f>
        <v>#REF!</v>
      </c>
      <c r="K8" s="82" t="e">
        <f>#REF!+1</f>
        <v>#REF!</v>
      </c>
      <c r="L8" s="76" t="e">
        <f t="shared" si="0"/>
        <v>#N/A</v>
      </c>
      <c r="M8" s="76" t="e">
        <f t="shared" si="1"/>
        <v>#N/A</v>
      </c>
      <c r="N8" s="77">
        <v>6</v>
      </c>
      <c r="Y8" s="79">
        <f t="shared" si="2"/>
        <v>0</v>
      </c>
      <c r="AU8" s="75"/>
      <c r="AV8" s="75"/>
    </row>
    <row r="9" spans="1:48" x14ac:dyDescent="0.35">
      <c r="A9" s="77">
        <v>7</v>
      </c>
      <c r="B9" s="75"/>
      <c r="C9" s="75"/>
      <c r="E9" s="74"/>
      <c r="F9" s="74" t="s">
        <v>177</v>
      </c>
      <c r="G9" s="82">
        <v>43983</v>
      </c>
      <c r="H9" s="82">
        <v>44012</v>
      </c>
      <c r="I9" s="82">
        <v>44012</v>
      </c>
      <c r="J9" s="82" t="e">
        <f>#REF!+1</f>
        <v>#REF!</v>
      </c>
      <c r="K9" s="82" t="e">
        <f>#REF!+1</f>
        <v>#REF!</v>
      </c>
      <c r="L9" s="76" t="e">
        <f t="shared" si="0"/>
        <v>#N/A</v>
      </c>
      <c r="M9" s="76" t="e">
        <f t="shared" si="1"/>
        <v>#N/A</v>
      </c>
      <c r="N9" s="77">
        <v>7</v>
      </c>
      <c r="Y9" s="79">
        <f t="shared" si="2"/>
        <v>0</v>
      </c>
      <c r="AU9" s="75"/>
      <c r="AV9" s="75"/>
    </row>
    <row r="10" spans="1:48" x14ac:dyDescent="0.35">
      <c r="A10" s="77">
        <v>8</v>
      </c>
      <c r="C10" s="87"/>
      <c r="F10" s="74" t="s">
        <v>178</v>
      </c>
      <c r="G10" s="82">
        <v>44013</v>
      </c>
      <c r="H10" s="82">
        <v>44043</v>
      </c>
      <c r="I10" s="82">
        <v>44043</v>
      </c>
      <c r="J10" s="82" t="e">
        <f>#REF!+1</f>
        <v>#REF!</v>
      </c>
      <c r="K10" s="82" t="e">
        <f>#REF!+1</f>
        <v>#REF!</v>
      </c>
      <c r="L10" s="76" t="e">
        <f t="shared" si="0"/>
        <v>#N/A</v>
      </c>
      <c r="M10" s="76" t="e">
        <f t="shared" si="1"/>
        <v>#N/A</v>
      </c>
      <c r="N10" s="77">
        <v>8</v>
      </c>
      <c r="Y10" s="79">
        <f t="shared" si="2"/>
        <v>0</v>
      </c>
      <c r="AU10" s="75"/>
      <c r="AV10" s="75"/>
    </row>
    <row r="11" spans="1:48" x14ac:dyDescent="0.35">
      <c r="A11" s="77">
        <v>9</v>
      </c>
      <c r="C11" s="87"/>
      <c r="F11" s="74"/>
      <c r="G11" s="82">
        <v>44044</v>
      </c>
      <c r="H11" s="82">
        <v>44074</v>
      </c>
      <c r="I11" s="82">
        <v>44074</v>
      </c>
      <c r="J11" s="82" t="e">
        <f>#REF!+1</f>
        <v>#REF!</v>
      </c>
      <c r="K11" s="82" t="e">
        <f>#REF!+1</f>
        <v>#REF!</v>
      </c>
      <c r="L11" s="76" t="e">
        <f t="shared" si="0"/>
        <v>#N/A</v>
      </c>
      <c r="M11" s="76" t="e">
        <f t="shared" si="1"/>
        <v>#N/A</v>
      </c>
      <c r="N11" s="77">
        <v>9</v>
      </c>
      <c r="Y11" s="79">
        <f t="shared" si="2"/>
        <v>0</v>
      </c>
    </row>
    <row r="12" spans="1:48" x14ac:dyDescent="0.35">
      <c r="A12" s="77">
        <v>10</v>
      </c>
      <c r="C12" s="87"/>
      <c r="F12" s="74"/>
      <c r="G12" s="82">
        <v>44075</v>
      </c>
      <c r="H12" s="82">
        <v>44104</v>
      </c>
      <c r="I12" s="82">
        <v>44104</v>
      </c>
      <c r="J12" s="82" t="e">
        <f>#REF!+1</f>
        <v>#REF!</v>
      </c>
      <c r="K12" s="82" t="e">
        <f>#REF!+1</f>
        <v>#REF!</v>
      </c>
      <c r="L12" s="76" t="e">
        <f t="shared" si="0"/>
        <v>#N/A</v>
      </c>
      <c r="M12" s="76" t="e">
        <f t="shared" si="1"/>
        <v>#N/A</v>
      </c>
      <c r="N12" s="77">
        <v>10</v>
      </c>
      <c r="Y12" s="79">
        <f t="shared" si="2"/>
        <v>0</v>
      </c>
    </row>
    <row r="13" spans="1:48" x14ac:dyDescent="0.35">
      <c r="G13" s="82">
        <v>44105</v>
      </c>
      <c r="H13" s="82">
        <v>44135</v>
      </c>
      <c r="I13" s="82">
        <v>44135</v>
      </c>
      <c r="Y13" s="79">
        <f t="shared" si="2"/>
        <v>0</v>
      </c>
    </row>
    <row r="14" spans="1:48" x14ac:dyDescent="0.35">
      <c r="G14" s="82">
        <v>44136</v>
      </c>
      <c r="H14" s="82">
        <v>44165</v>
      </c>
      <c r="I14" s="82">
        <v>44165</v>
      </c>
      <c r="Y14" s="79">
        <f t="shared" si="2"/>
        <v>0</v>
      </c>
    </row>
    <row r="15" spans="1:48" x14ac:dyDescent="0.35">
      <c r="G15" s="82">
        <v>44166</v>
      </c>
      <c r="H15" s="82">
        <v>44196</v>
      </c>
      <c r="I15" s="82">
        <v>44196</v>
      </c>
      <c r="K15" s="75" t="str">
        <f t="shared" ref="K15:K25" si="3">IF(L15="#VALUE!","not","yes")</f>
        <v>yes</v>
      </c>
      <c r="L15" s="75" t="s">
        <v>2</v>
      </c>
      <c r="M15" s="75" t="str">
        <f t="shared" ref="M15:M25" si="4">IF(N15="#VALUE!","not","yes")</f>
        <v>yes</v>
      </c>
      <c r="N15" s="75" t="s">
        <v>2</v>
      </c>
      <c r="Y15" s="79">
        <f t="shared" si="2"/>
        <v>0</v>
      </c>
    </row>
    <row r="16" spans="1:48" x14ac:dyDescent="0.35">
      <c r="G16" s="82">
        <v>44197</v>
      </c>
      <c r="H16" s="82">
        <v>44227</v>
      </c>
      <c r="I16" s="82">
        <v>44227</v>
      </c>
      <c r="K16" s="75" t="e">
        <f t="shared" si="3"/>
        <v>#REF!</v>
      </c>
      <c r="L16" s="82" t="e">
        <f>#REF!</f>
        <v>#REF!</v>
      </c>
      <c r="M16" s="75" t="e">
        <f t="shared" si="4"/>
        <v>#REF!</v>
      </c>
      <c r="N16" s="82" t="e">
        <f>#REF!</f>
        <v>#REF!</v>
      </c>
      <c r="Y16" s="79">
        <f t="shared" si="2"/>
        <v>0</v>
      </c>
    </row>
    <row r="17" spans="7:45" ht="15" customHeight="1" x14ac:dyDescent="0.35">
      <c r="G17" s="82">
        <v>44228</v>
      </c>
      <c r="H17" s="82">
        <v>44255</v>
      </c>
      <c r="I17" s="82">
        <v>44255</v>
      </c>
      <c r="K17" s="75" t="e">
        <f t="shared" si="3"/>
        <v>#REF!</v>
      </c>
      <c r="L17" s="82" t="e">
        <f>#REF!</f>
        <v>#REF!</v>
      </c>
      <c r="M17" s="75" t="e">
        <f t="shared" si="4"/>
        <v>#REF!</v>
      </c>
      <c r="N17" s="82" t="e">
        <f>#REF!</f>
        <v>#REF!</v>
      </c>
      <c r="Y17" s="79">
        <f t="shared" si="2"/>
        <v>0</v>
      </c>
      <c r="AE17" s="67" t="s">
        <v>179</v>
      </c>
      <c r="AF17" s="67" t="s">
        <v>180</v>
      </c>
      <c r="AG17" s="67" t="s">
        <v>25</v>
      </c>
      <c r="AH17" s="67" t="s">
        <v>26</v>
      </c>
      <c r="AI17" s="67" t="s">
        <v>181</v>
      </c>
      <c r="AJ17" s="67" t="s">
        <v>182</v>
      </c>
      <c r="AK17" s="67" t="s">
        <v>183</v>
      </c>
      <c r="AL17" s="67" t="s">
        <v>184</v>
      </c>
      <c r="AM17" s="67" t="s">
        <v>185</v>
      </c>
      <c r="AN17" s="67" t="s">
        <v>186</v>
      </c>
      <c r="AO17" s="67" t="s">
        <v>187</v>
      </c>
      <c r="AP17" s="67" t="s">
        <v>188</v>
      </c>
      <c r="AQ17" s="67" t="s">
        <v>20</v>
      </c>
      <c r="AR17" s="67" t="s">
        <v>189</v>
      </c>
      <c r="AS17" s="67" t="s">
        <v>190</v>
      </c>
    </row>
    <row r="18" spans="7:45" x14ac:dyDescent="0.35">
      <c r="G18" s="82">
        <v>44256</v>
      </c>
      <c r="H18" s="82">
        <v>44286</v>
      </c>
      <c r="I18" s="82">
        <v>44286</v>
      </c>
      <c r="K18" s="75" t="e">
        <f t="shared" si="3"/>
        <v>#REF!</v>
      </c>
      <c r="L18" s="82" t="e">
        <f>#REF!</f>
        <v>#REF!</v>
      </c>
      <c r="M18" s="75" t="e">
        <f t="shared" si="4"/>
        <v>#REF!</v>
      </c>
      <c r="N18" s="82" t="e">
        <f>#REF!</f>
        <v>#REF!</v>
      </c>
      <c r="Y18" s="79">
        <f t="shared" si="2"/>
        <v>0</v>
      </c>
      <c r="AE18" s="77" t="s">
        <v>2</v>
      </c>
      <c r="AF18" s="77" t="s">
        <v>2</v>
      </c>
      <c r="AG18" s="77" t="s">
        <v>2</v>
      </c>
      <c r="AH18" s="77" t="s">
        <v>2</v>
      </c>
      <c r="AI18" s="77" t="s">
        <v>2</v>
      </c>
      <c r="AJ18" s="77" t="s">
        <v>2</v>
      </c>
      <c r="AK18" s="77" t="s">
        <v>2</v>
      </c>
      <c r="AL18" s="77" t="s">
        <v>2</v>
      </c>
      <c r="AM18" s="77" t="s">
        <v>2</v>
      </c>
      <c r="AN18" s="77" t="s">
        <v>2</v>
      </c>
      <c r="AO18" s="77" t="s">
        <v>2</v>
      </c>
      <c r="AP18" s="77" t="s">
        <v>2</v>
      </c>
      <c r="AQ18" s="77" t="s">
        <v>2</v>
      </c>
      <c r="AR18" s="77" t="s">
        <v>2</v>
      </c>
      <c r="AS18" s="77" t="s">
        <v>2</v>
      </c>
    </row>
    <row r="19" spans="7:45" x14ac:dyDescent="0.35">
      <c r="G19" s="82">
        <v>44287</v>
      </c>
      <c r="H19" s="82">
        <v>44316</v>
      </c>
      <c r="I19" s="82">
        <v>44316</v>
      </c>
      <c r="K19" s="75" t="e">
        <f t="shared" si="3"/>
        <v>#REF!</v>
      </c>
      <c r="L19" s="82" t="e">
        <f>#REF!</f>
        <v>#REF!</v>
      </c>
      <c r="M19" s="75" t="e">
        <f t="shared" si="4"/>
        <v>#REF!</v>
      </c>
      <c r="N19" s="82" t="e">
        <f>#REF!</f>
        <v>#REF!</v>
      </c>
      <c r="Y19" s="79">
        <f t="shared" si="2"/>
        <v>0</v>
      </c>
      <c r="AE19" s="88" t="s">
        <v>25</v>
      </c>
      <c r="AF19" s="71" t="s">
        <v>191</v>
      </c>
      <c r="AG19" s="71" t="s">
        <v>191</v>
      </c>
      <c r="AH19" s="71" t="s">
        <v>191</v>
      </c>
      <c r="AI19" s="71" t="s">
        <v>191</v>
      </c>
      <c r="AJ19" s="71" t="s">
        <v>191</v>
      </c>
      <c r="AK19" s="71" t="s">
        <v>191</v>
      </c>
      <c r="AL19" s="71" t="s">
        <v>191</v>
      </c>
      <c r="AM19" s="71" t="s">
        <v>191</v>
      </c>
      <c r="AN19" s="71" t="s">
        <v>191</v>
      </c>
      <c r="AO19" s="71" t="s">
        <v>191</v>
      </c>
      <c r="AP19" s="71" t="s">
        <v>191</v>
      </c>
      <c r="AQ19" s="71" t="s">
        <v>191</v>
      </c>
      <c r="AR19" s="71" t="s">
        <v>191</v>
      </c>
      <c r="AS19" s="71" t="s">
        <v>191</v>
      </c>
    </row>
    <row r="20" spans="7:45" x14ac:dyDescent="0.35">
      <c r="G20" s="82">
        <v>44317</v>
      </c>
      <c r="H20" s="82">
        <v>44347</v>
      </c>
      <c r="I20" s="82">
        <v>44347</v>
      </c>
      <c r="K20" s="75" t="e">
        <f t="shared" si="3"/>
        <v>#REF!</v>
      </c>
      <c r="L20" s="82" t="e">
        <f>#REF!</f>
        <v>#REF!</v>
      </c>
      <c r="M20" s="75" t="e">
        <f t="shared" si="4"/>
        <v>#REF!</v>
      </c>
      <c r="N20" s="82" t="e">
        <f>#REF!</f>
        <v>#REF!</v>
      </c>
      <c r="Y20" s="79">
        <f t="shared" si="2"/>
        <v>0</v>
      </c>
      <c r="AE20" s="88" t="s">
        <v>26</v>
      </c>
      <c r="AF20" s="75" t="s">
        <v>192</v>
      </c>
      <c r="AG20" s="75" t="s">
        <v>192</v>
      </c>
      <c r="AH20" s="75" t="s">
        <v>192</v>
      </c>
      <c r="AI20" s="75" t="s">
        <v>192</v>
      </c>
      <c r="AJ20" s="75" t="s">
        <v>192</v>
      </c>
      <c r="AK20" s="75" t="s">
        <v>192</v>
      </c>
      <c r="AL20" s="75" t="s">
        <v>192</v>
      </c>
      <c r="AM20" s="75" t="s">
        <v>192</v>
      </c>
      <c r="AN20" s="75" t="s">
        <v>192</v>
      </c>
      <c r="AO20" s="75" t="s">
        <v>192</v>
      </c>
      <c r="AP20" s="75" t="s">
        <v>192</v>
      </c>
      <c r="AQ20" s="75" t="s">
        <v>192</v>
      </c>
      <c r="AR20" s="75" t="s">
        <v>192</v>
      </c>
      <c r="AS20" s="75" t="s">
        <v>192</v>
      </c>
    </row>
    <row r="21" spans="7:45" x14ac:dyDescent="0.35">
      <c r="G21" s="82">
        <v>44348</v>
      </c>
      <c r="H21" s="82">
        <v>44377</v>
      </c>
      <c r="I21" s="82">
        <v>44377</v>
      </c>
      <c r="K21" s="75" t="e">
        <f t="shared" si="3"/>
        <v>#REF!</v>
      </c>
      <c r="L21" s="82" t="e">
        <f>#REF!</f>
        <v>#REF!</v>
      </c>
      <c r="M21" s="75" t="e">
        <f t="shared" si="4"/>
        <v>#REF!</v>
      </c>
      <c r="N21" s="82" t="e">
        <f>#REF!</f>
        <v>#REF!</v>
      </c>
      <c r="Y21" s="79">
        <f t="shared" si="2"/>
        <v>0</v>
      </c>
      <c r="AE21" s="88" t="s">
        <v>181</v>
      </c>
      <c r="AF21" s="75" t="s">
        <v>193</v>
      </c>
      <c r="AJ21" s="75" t="s">
        <v>193</v>
      </c>
      <c r="AK21" s="75" t="s">
        <v>193</v>
      </c>
      <c r="AL21" s="75" t="s">
        <v>193</v>
      </c>
      <c r="AP21" s="75" t="s">
        <v>193</v>
      </c>
      <c r="AQ21" s="75" t="s">
        <v>193</v>
      </c>
      <c r="AR21" s="75" t="s">
        <v>193</v>
      </c>
    </row>
    <row r="22" spans="7:45" x14ac:dyDescent="0.35">
      <c r="G22" s="82">
        <v>44378</v>
      </c>
      <c r="H22" s="82">
        <v>44408</v>
      </c>
      <c r="I22" s="82">
        <v>44408</v>
      </c>
      <c r="K22" s="75" t="e">
        <f t="shared" si="3"/>
        <v>#REF!</v>
      </c>
      <c r="L22" s="82" t="e">
        <f>#REF!</f>
        <v>#REF!</v>
      </c>
      <c r="M22" s="75" t="e">
        <f t="shared" si="4"/>
        <v>#REF!</v>
      </c>
      <c r="N22" s="82" t="e">
        <f>#REF!</f>
        <v>#REF!</v>
      </c>
      <c r="Y22" s="79">
        <f t="shared" si="2"/>
        <v>0</v>
      </c>
      <c r="AE22" s="88" t="s">
        <v>194</v>
      </c>
      <c r="AF22" s="89"/>
    </row>
    <row r="23" spans="7:45" x14ac:dyDescent="0.35">
      <c r="G23" s="82">
        <v>44409</v>
      </c>
      <c r="H23" s="82">
        <v>44439</v>
      </c>
      <c r="I23" s="82">
        <v>44439</v>
      </c>
      <c r="K23" s="75" t="e">
        <f t="shared" si="3"/>
        <v>#REF!</v>
      </c>
      <c r="L23" s="82" t="e">
        <f>#REF!</f>
        <v>#REF!</v>
      </c>
      <c r="M23" s="75" t="e">
        <f t="shared" si="4"/>
        <v>#REF!</v>
      </c>
      <c r="N23" s="82" t="e">
        <f>#REF!</f>
        <v>#REF!</v>
      </c>
      <c r="Y23" s="79">
        <f t="shared" si="2"/>
        <v>0</v>
      </c>
      <c r="AE23" s="88" t="s">
        <v>183</v>
      </c>
      <c r="AF23" s="89"/>
    </row>
    <row r="24" spans="7:45" x14ac:dyDescent="0.35">
      <c r="G24" s="82">
        <v>44440</v>
      </c>
      <c r="H24" s="82">
        <v>44469</v>
      </c>
      <c r="I24" s="82">
        <v>44469</v>
      </c>
      <c r="K24" s="75" t="e">
        <f t="shared" si="3"/>
        <v>#REF!</v>
      </c>
      <c r="L24" s="82" t="e">
        <f>#REF!</f>
        <v>#REF!</v>
      </c>
      <c r="M24" s="75" t="e">
        <f t="shared" si="4"/>
        <v>#REF!</v>
      </c>
      <c r="N24" s="82" t="e">
        <f>#REF!</f>
        <v>#REF!</v>
      </c>
      <c r="Y24" s="79">
        <f t="shared" si="2"/>
        <v>0</v>
      </c>
      <c r="AE24" s="88" t="s">
        <v>184</v>
      </c>
      <c r="AF24" s="89"/>
    </row>
    <row r="25" spans="7:45" x14ac:dyDescent="0.35">
      <c r="G25" s="82">
        <v>44470</v>
      </c>
      <c r="H25" s="82">
        <v>44500</v>
      </c>
      <c r="I25" s="82">
        <v>44500</v>
      </c>
      <c r="K25" s="75" t="e">
        <f t="shared" si="3"/>
        <v>#REF!</v>
      </c>
      <c r="L25" s="82" t="e">
        <f>#REF!</f>
        <v>#REF!</v>
      </c>
      <c r="M25" s="75" t="e">
        <f t="shared" si="4"/>
        <v>#REF!</v>
      </c>
      <c r="N25" s="82" t="e">
        <f>#REF!</f>
        <v>#REF!</v>
      </c>
      <c r="Y25" s="79">
        <f t="shared" si="2"/>
        <v>0</v>
      </c>
      <c r="AE25" s="88" t="s">
        <v>185</v>
      </c>
      <c r="AF25" s="89"/>
    </row>
    <row r="26" spans="7:45" x14ac:dyDescent="0.35">
      <c r="G26" s="82">
        <v>44501</v>
      </c>
      <c r="H26" s="82">
        <v>44530</v>
      </c>
      <c r="I26" s="82">
        <v>44530</v>
      </c>
      <c r="Y26" s="79">
        <f t="shared" si="2"/>
        <v>0</v>
      </c>
      <c r="AE26" s="88" t="s">
        <v>186</v>
      </c>
      <c r="AF26" s="89"/>
    </row>
    <row r="27" spans="7:45" x14ac:dyDescent="0.35">
      <c r="G27" s="82">
        <v>44531</v>
      </c>
      <c r="H27" s="82">
        <v>44561</v>
      </c>
      <c r="I27" s="82">
        <v>44561</v>
      </c>
      <c r="Y27" s="79">
        <f t="shared" si="2"/>
        <v>0</v>
      </c>
      <c r="AE27" s="88" t="s">
        <v>187</v>
      </c>
      <c r="AF27" s="89"/>
    </row>
    <row r="28" spans="7:45" x14ac:dyDescent="0.35">
      <c r="H28" s="82">
        <v>44592</v>
      </c>
      <c r="I28" s="82">
        <v>44592</v>
      </c>
      <c r="Y28" s="79">
        <f t="shared" si="2"/>
        <v>0</v>
      </c>
      <c r="AE28" s="88" t="s">
        <v>188</v>
      </c>
      <c r="AF28" s="89"/>
    </row>
    <row r="29" spans="7:45" x14ac:dyDescent="0.35">
      <c r="H29" s="82">
        <v>44620</v>
      </c>
      <c r="I29" s="82">
        <v>44620</v>
      </c>
      <c r="Y29" s="79">
        <f t="shared" si="2"/>
        <v>0</v>
      </c>
      <c r="AE29" s="88" t="s">
        <v>20</v>
      </c>
      <c r="AF29" s="89"/>
    </row>
    <row r="30" spans="7:45" x14ac:dyDescent="0.35">
      <c r="H30" s="82">
        <v>44651</v>
      </c>
      <c r="I30" s="82">
        <v>44651</v>
      </c>
      <c r="Y30" s="79">
        <f t="shared" si="2"/>
        <v>0</v>
      </c>
      <c r="AE30" s="88" t="s">
        <v>195</v>
      </c>
      <c r="AF30" s="89"/>
    </row>
    <row r="31" spans="7:45" x14ac:dyDescent="0.35">
      <c r="H31" s="82">
        <v>44681</v>
      </c>
      <c r="I31" s="82">
        <v>44681</v>
      </c>
      <c r="Y31" s="79">
        <f t="shared" si="2"/>
        <v>0</v>
      </c>
      <c r="AE31" s="88" t="s">
        <v>190</v>
      </c>
      <c r="AF31" s="89"/>
    </row>
    <row r="32" spans="7:45" x14ac:dyDescent="0.35">
      <c r="H32" s="82">
        <v>44712</v>
      </c>
      <c r="I32" s="82">
        <v>44712</v>
      </c>
      <c r="Y32" s="79">
        <f t="shared" si="2"/>
        <v>0</v>
      </c>
    </row>
    <row r="33" spans="8:25" x14ac:dyDescent="0.35">
      <c r="H33" s="82">
        <v>44742</v>
      </c>
      <c r="I33" s="82">
        <v>44742</v>
      </c>
      <c r="Y33" s="79">
        <f t="shared" si="2"/>
        <v>0</v>
      </c>
    </row>
    <row r="34" spans="8:25" x14ac:dyDescent="0.35">
      <c r="H34" s="82">
        <v>44773</v>
      </c>
      <c r="I34" s="82">
        <v>44773</v>
      </c>
      <c r="Y34" s="79">
        <f t="shared" si="2"/>
        <v>0</v>
      </c>
    </row>
    <row r="35" spans="8:25" x14ac:dyDescent="0.35">
      <c r="H35" s="82">
        <v>44804</v>
      </c>
      <c r="I35" s="82">
        <v>44804</v>
      </c>
      <c r="Y35" s="79">
        <f t="shared" si="2"/>
        <v>0</v>
      </c>
    </row>
    <row r="36" spans="8:25" x14ac:dyDescent="0.35">
      <c r="H36" s="82">
        <v>44834</v>
      </c>
      <c r="I36" s="82">
        <v>44834</v>
      </c>
      <c r="Y36" s="79">
        <f t="shared" si="2"/>
        <v>0</v>
      </c>
    </row>
    <row r="37" spans="8:25" x14ac:dyDescent="0.35">
      <c r="H37" s="82">
        <v>44865</v>
      </c>
      <c r="I37" s="82">
        <v>44865</v>
      </c>
      <c r="Y37" s="79">
        <f t="shared" si="2"/>
        <v>0</v>
      </c>
    </row>
    <row r="38" spans="8:25" x14ac:dyDescent="0.35">
      <c r="H38" s="82">
        <v>44895</v>
      </c>
      <c r="I38" s="82">
        <v>44895</v>
      </c>
      <c r="Y38" s="79">
        <f t="shared" si="2"/>
        <v>0</v>
      </c>
    </row>
    <row r="39" spans="8:25" x14ac:dyDescent="0.35">
      <c r="H39" s="82">
        <v>44926</v>
      </c>
      <c r="I39" s="82">
        <v>44926</v>
      </c>
      <c r="Y39" s="79">
        <f t="shared" si="2"/>
        <v>0</v>
      </c>
    </row>
    <row r="40" spans="8:25" x14ac:dyDescent="0.35">
      <c r="H40" s="82">
        <v>44957</v>
      </c>
      <c r="I40" s="82">
        <v>44957</v>
      </c>
      <c r="Y40" s="79">
        <f t="shared" si="2"/>
        <v>0</v>
      </c>
    </row>
    <row r="41" spans="8:25" x14ac:dyDescent="0.35">
      <c r="H41" s="82">
        <v>44985</v>
      </c>
      <c r="I41" s="82">
        <v>44985</v>
      </c>
      <c r="Y41" s="79">
        <f t="shared" si="2"/>
        <v>0</v>
      </c>
    </row>
    <row r="42" spans="8:25" x14ac:dyDescent="0.35">
      <c r="H42" s="82">
        <v>45016</v>
      </c>
      <c r="I42" s="82">
        <v>45016</v>
      </c>
      <c r="Y42" s="79">
        <f t="shared" si="2"/>
        <v>0</v>
      </c>
    </row>
    <row r="43" spans="8:25" x14ac:dyDescent="0.35">
      <c r="H43" s="82">
        <v>45046</v>
      </c>
      <c r="I43" s="82">
        <v>45046</v>
      </c>
      <c r="Y43" s="79">
        <f t="shared" si="2"/>
        <v>0</v>
      </c>
    </row>
    <row r="44" spans="8:25" x14ac:dyDescent="0.35">
      <c r="H44" s="82">
        <v>45077</v>
      </c>
      <c r="I44" s="82">
        <v>45077</v>
      </c>
      <c r="Y44" s="79">
        <f t="shared" si="2"/>
        <v>0</v>
      </c>
    </row>
    <row r="45" spans="8:25" x14ac:dyDescent="0.35">
      <c r="H45" s="82">
        <v>45107</v>
      </c>
      <c r="I45" s="82">
        <v>45107</v>
      </c>
      <c r="Y45" s="79">
        <f t="shared" si="2"/>
        <v>0</v>
      </c>
    </row>
    <row r="46" spans="8:25" x14ac:dyDescent="0.35">
      <c r="H46" s="82">
        <v>45138</v>
      </c>
      <c r="I46" s="82">
        <v>45138</v>
      </c>
      <c r="Y46" s="79">
        <f t="shared" si="2"/>
        <v>0</v>
      </c>
    </row>
    <row r="47" spans="8:25" x14ac:dyDescent="0.35">
      <c r="H47" s="82">
        <v>45169</v>
      </c>
      <c r="I47" s="82">
        <v>45169</v>
      </c>
      <c r="Y47" s="79">
        <f t="shared" si="2"/>
        <v>0</v>
      </c>
    </row>
    <row r="48" spans="8:25" x14ac:dyDescent="0.35">
      <c r="H48" s="82">
        <v>45199</v>
      </c>
      <c r="I48" s="82">
        <v>45199</v>
      </c>
      <c r="Y48" s="79">
        <f t="shared" si="2"/>
        <v>0</v>
      </c>
    </row>
    <row r="49" spans="8:25" x14ac:dyDescent="0.35">
      <c r="H49" s="82">
        <v>45230</v>
      </c>
      <c r="I49" s="82">
        <v>45230</v>
      </c>
      <c r="Y49" s="79">
        <f t="shared" si="2"/>
        <v>0</v>
      </c>
    </row>
    <row r="50" spans="8:25" x14ac:dyDescent="0.35">
      <c r="H50" s="82">
        <v>45260</v>
      </c>
      <c r="I50" s="82">
        <v>45260</v>
      </c>
      <c r="Y50" s="79">
        <f t="shared" si="2"/>
        <v>0</v>
      </c>
    </row>
    <row r="51" spans="8:25" x14ac:dyDescent="0.35">
      <c r="H51" s="82">
        <v>45291</v>
      </c>
      <c r="I51" s="82">
        <v>45291</v>
      </c>
      <c r="Y51" s="79">
        <f t="shared" si="2"/>
        <v>0</v>
      </c>
    </row>
    <row r="52" spans="8:25" x14ac:dyDescent="0.35">
      <c r="H52" s="82">
        <v>45322</v>
      </c>
      <c r="I52" s="82">
        <v>45322</v>
      </c>
      <c r="Y52" s="79">
        <f t="shared" si="2"/>
        <v>0</v>
      </c>
    </row>
    <row r="53" spans="8:25" x14ac:dyDescent="0.35">
      <c r="H53" s="82">
        <v>45351</v>
      </c>
      <c r="I53" s="82">
        <v>45351</v>
      </c>
      <c r="Y53" s="79">
        <f t="shared" si="2"/>
        <v>0</v>
      </c>
    </row>
    <row r="54" spans="8:25" x14ac:dyDescent="0.35">
      <c r="H54" s="82">
        <v>45382</v>
      </c>
      <c r="I54" s="82">
        <v>45382</v>
      </c>
      <c r="Y54" s="79">
        <f t="shared" si="2"/>
        <v>0</v>
      </c>
    </row>
    <row r="55" spans="8:25" x14ac:dyDescent="0.35">
      <c r="H55" s="82">
        <v>45412</v>
      </c>
      <c r="I55" s="82">
        <v>45412</v>
      </c>
      <c r="Y55" s="79">
        <f t="shared" si="2"/>
        <v>0</v>
      </c>
    </row>
    <row r="56" spans="8:25" x14ac:dyDescent="0.35">
      <c r="Y56" s="79">
        <f t="shared" si="2"/>
        <v>0</v>
      </c>
    </row>
    <row r="57" spans="8:25" x14ac:dyDescent="0.35">
      <c r="Y57" s="79">
        <f t="shared" si="2"/>
        <v>0</v>
      </c>
    </row>
    <row r="58" spans="8:25" x14ac:dyDescent="0.35">
      <c r="Y58" s="79">
        <f t="shared" si="2"/>
        <v>0</v>
      </c>
    </row>
    <row r="59" spans="8:25" x14ac:dyDescent="0.35">
      <c r="Y59" s="79">
        <f t="shared" si="2"/>
        <v>0</v>
      </c>
    </row>
    <row r="60" spans="8:25" x14ac:dyDescent="0.35">
      <c r="Y60" s="79">
        <f t="shared" si="2"/>
        <v>0</v>
      </c>
    </row>
    <row r="61" spans="8:25" x14ac:dyDescent="0.35">
      <c r="Y61" s="79">
        <f t="shared" si="2"/>
        <v>0</v>
      </c>
    </row>
    <row r="62" spans="8:25" x14ac:dyDescent="0.35">
      <c r="Y62" s="79">
        <f t="shared" si="2"/>
        <v>0</v>
      </c>
    </row>
    <row r="63" spans="8:25" x14ac:dyDescent="0.35">
      <c r="Y63" s="79">
        <f t="shared" si="2"/>
        <v>0</v>
      </c>
    </row>
    <row r="64" spans="8:25" x14ac:dyDescent="0.35">
      <c r="Y64" s="79">
        <f t="shared" si="2"/>
        <v>0</v>
      </c>
    </row>
    <row r="65" spans="25:25" x14ac:dyDescent="0.35">
      <c r="Y65" s="79">
        <f t="shared" si="2"/>
        <v>0</v>
      </c>
    </row>
    <row r="66" spans="25:25" x14ac:dyDescent="0.35">
      <c r="Y66" s="79">
        <f t="shared" si="2"/>
        <v>0</v>
      </c>
    </row>
    <row r="67" spans="25:25" x14ac:dyDescent="0.35">
      <c r="Y67" s="79">
        <f t="shared" si="2"/>
        <v>0</v>
      </c>
    </row>
    <row r="68" spans="25:25" x14ac:dyDescent="0.35">
      <c r="Y68" s="79">
        <f t="shared" ref="Y68:Y131" si="5">Y67</f>
        <v>0</v>
      </c>
    </row>
    <row r="69" spans="25:25" x14ac:dyDescent="0.35">
      <c r="Y69" s="79">
        <f t="shared" si="5"/>
        <v>0</v>
      </c>
    </row>
    <row r="70" spans="25:25" x14ac:dyDescent="0.35">
      <c r="Y70" s="79">
        <f t="shared" si="5"/>
        <v>0</v>
      </c>
    </row>
    <row r="71" spans="25:25" x14ac:dyDescent="0.35">
      <c r="Y71" s="79">
        <f t="shared" si="5"/>
        <v>0</v>
      </c>
    </row>
    <row r="72" spans="25:25" x14ac:dyDescent="0.35">
      <c r="Y72" s="79">
        <f t="shared" si="5"/>
        <v>0</v>
      </c>
    </row>
    <row r="73" spans="25:25" x14ac:dyDescent="0.35">
      <c r="Y73" s="79">
        <f t="shared" si="5"/>
        <v>0</v>
      </c>
    </row>
    <row r="74" spans="25:25" x14ac:dyDescent="0.35">
      <c r="Y74" s="79">
        <f t="shared" si="5"/>
        <v>0</v>
      </c>
    </row>
    <row r="75" spans="25:25" x14ac:dyDescent="0.35">
      <c r="Y75" s="79">
        <f t="shared" si="5"/>
        <v>0</v>
      </c>
    </row>
    <row r="76" spans="25:25" x14ac:dyDescent="0.35">
      <c r="Y76" s="79">
        <f t="shared" si="5"/>
        <v>0</v>
      </c>
    </row>
    <row r="77" spans="25:25" x14ac:dyDescent="0.35">
      <c r="Y77" s="79">
        <f t="shared" si="5"/>
        <v>0</v>
      </c>
    </row>
    <row r="78" spans="25:25" x14ac:dyDescent="0.35">
      <c r="Y78" s="79">
        <f t="shared" si="5"/>
        <v>0</v>
      </c>
    </row>
    <row r="79" spans="25:25" x14ac:dyDescent="0.35">
      <c r="Y79" s="79">
        <f t="shared" si="5"/>
        <v>0</v>
      </c>
    </row>
    <row r="80" spans="25:25" x14ac:dyDescent="0.35">
      <c r="Y80" s="79">
        <f t="shared" si="5"/>
        <v>0</v>
      </c>
    </row>
    <row r="81" spans="25:25" x14ac:dyDescent="0.35">
      <c r="Y81" s="79">
        <f t="shared" si="5"/>
        <v>0</v>
      </c>
    </row>
    <row r="82" spans="25:25" x14ac:dyDescent="0.35">
      <c r="Y82" s="79">
        <f t="shared" si="5"/>
        <v>0</v>
      </c>
    </row>
    <row r="83" spans="25:25" x14ac:dyDescent="0.35">
      <c r="Y83" s="79">
        <f t="shared" si="5"/>
        <v>0</v>
      </c>
    </row>
    <row r="84" spans="25:25" x14ac:dyDescent="0.35">
      <c r="Y84" s="79">
        <f t="shared" si="5"/>
        <v>0</v>
      </c>
    </row>
    <row r="85" spans="25:25" x14ac:dyDescent="0.35">
      <c r="Y85" s="79">
        <f t="shared" si="5"/>
        <v>0</v>
      </c>
    </row>
    <row r="86" spans="25:25" x14ac:dyDescent="0.35">
      <c r="Y86" s="79">
        <f t="shared" si="5"/>
        <v>0</v>
      </c>
    </row>
    <row r="87" spans="25:25" x14ac:dyDescent="0.35">
      <c r="Y87" s="79">
        <f t="shared" si="5"/>
        <v>0</v>
      </c>
    </row>
    <row r="88" spans="25:25" x14ac:dyDescent="0.35">
      <c r="Y88" s="79">
        <f t="shared" si="5"/>
        <v>0</v>
      </c>
    </row>
    <row r="89" spans="25:25" x14ac:dyDescent="0.35">
      <c r="Y89" s="79">
        <f t="shared" si="5"/>
        <v>0</v>
      </c>
    </row>
    <row r="90" spans="25:25" x14ac:dyDescent="0.35">
      <c r="Y90" s="79">
        <f t="shared" si="5"/>
        <v>0</v>
      </c>
    </row>
    <row r="91" spans="25:25" x14ac:dyDescent="0.35">
      <c r="Y91" s="79">
        <f t="shared" si="5"/>
        <v>0</v>
      </c>
    </row>
    <row r="92" spans="25:25" x14ac:dyDescent="0.35">
      <c r="Y92" s="79">
        <f t="shared" si="5"/>
        <v>0</v>
      </c>
    </row>
    <row r="93" spans="25:25" x14ac:dyDescent="0.35">
      <c r="Y93" s="79">
        <f t="shared" si="5"/>
        <v>0</v>
      </c>
    </row>
    <row r="94" spans="25:25" x14ac:dyDescent="0.35">
      <c r="Y94" s="79">
        <f t="shared" si="5"/>
        <v>0</v>
      </c>
    </row>
    <row r="95" spans="25:25" x14ac:dyDescent="0.35">
      <c r="Y95" s="79">
        <f t="shared" si="5"/>
        <v>0</v>
      </c>
    </row>
    <row r="96" spans="25:25" x14ac:dyDescent="0.35">
      <c r="Y96" s="79">
        <f t="shared" si="5"/>
        <v>0</v>
      </c>
    </row>
    <row r="97" spans="25:25" x14ac:dyDescent="0.35">
      <c r="Y97" s="79">
        <f t="shared" si="5"/>
        <v>0</v>
      </c>
    </row>
    <row r="98" spans="25:25" x14ac:dyDescent="0.35">
      <c r="Y98" s="79">
        <f t="shared" si="5"/>
        <v>0</v>
      </c>
    </row>
    <row r="99" spans="25:25" x14ac:dyDescent="0.35">
      <c r="Y99" s="79">
        <f t="shared" si="5"/>
        <v>0</v>
      </c>
    </row>
    <row r="100" spans="25:25" x14ac:dyDescent="0.35">
      <c r="Y100" s="79">
        <f t="shared" si="5"/>
        <v>0</v>
      </c>
    </row>
    <row r="101" spans="25:25" x14ac:dyDescent="0.35">
      <c r="Y101" s="79">
        <f t="shared" si="5"/>
        <v>0</v>
      </c>
    </row>
    <row r="102" spans="25:25" x14ac:dyDescent="0.35">
      <c r="Y102" s="79">
        <f t="shared" si="5"/>
        <v>0</v>
      </c>
    </row>
    <row r="103" spans="25:25" x14ac:dyDescent="0.35">
      <c r="Y103" s="79">
        <f t="shared" si="5"/>
        <v>0</v>
      </c>
    </row>
    <row r="104" spans="25:25" x14ac:dyDescent="0.35">
      <c r="Y104" s="79">
        <f t="shared" si="5"/>
        <v>0</v>
      </c>
    </row>
    <row r="105" spans="25:25" x14ac:dyDescent="0.35">
      <c r="Y105" s="79">
        <f t="shared" si="5"/>
        <v>0</v>
      </c>
    </row>
    <row r="106" spans="25:25" x14ac:dyDescent="0.35">
      <c r="Y106" s="79">
        <f t="shared" si="5"/>
        <v>0</v>
      </c>
    </row>
    <row r="107" spans="25:25" x14ac:dyDescent="0.35">
      <c r="Y107" s="79">
        <f t="shared" si="5"/>
        <v>0</v>
      </c>
    </row>
    <row r="108" spans="25:25" x14ac:dyDescent="0.35">
      <c r="Y108" s="79">
        <f t="shared" si="5"/>
        <v>0</v>
      </c>
    </row>
    <row r="109" spans="25:25" x14ac:dyDescent="0.35">
      <c r="Y109" s="79">
        <f t="shared" si="5"/>
        <v>0</v>
      </c>
    </row>
    <row r="110" spans="25:25" x14ac:dyDescent="0.35">
      <c r="Y110" s="79">
        <f t="shared" si="5"/>
        <v>0</v>
      </c>
    </row>
    <row r="111" spans="25:25" x14ac:dyDescent="0.35">
      <c r="Y111" s="79">
        <f t="shared" si="5"/>
        <v>0</v>
      </c>
    </row>
    <row r="112" spans="25:25" x14ac:dyDescent="0.35">
      <c r="Y112" s="79">
        <f t="shared" si="5"/>
        <v>0</v>
      </c>
    </row>
    <row r="113" spans="25:25" x14ac:dyDescent="0.35">
      <c r="Y113" s="79">
        <f t="shared" si="5"/>
        <v>0</v>
      </c>
    </row>
    <row r="114" spans="25:25" x14ac:dyDescent="0.35">
      <c r="Y114" s="79">
        <f t="shared" si="5"/>
        <v>0</v>
      </c>
    </row>
    <row r="115" spans="25:25" x14ac:dyDescent="0.35">
      <c r="Y115" s="79">
        <f t="shared" si="5"/>
        <v>0</v>
      </c>
    </row>
    <row r="116" spans="25:25" x14ac:dyDescent="0.35">
      <c r="Y116" s="79">
        <f t="shared" si="5"/>
        <v>0</v>
      </c>
    </row>
    <row r="117" spans="25:25" x14ac:dyDescent="0.35">
      <c r="Y117" s="79">
        <f t="shared" si="5"/>
        <v>0</v>
      </c>
    </row>
    <row r="118" spans="25:25" x14ac:dyDescent="0.35">
      <c r="Y118" s="79">
        <f t="shared" si="5"/>
        <v>0</v>
      </c>
    </row>
    <row r="119" spans="25:25" x14ac:dyDescent="0.35">
      <c r="Y119" s="79">
        <f t="shared" si="5"/>
        <v>0</v>
      </c>
    </row>
    <row r="120" spans="25:25" x14ac:dyDescent="0.35">
      <c r="Y120" s="79">
        <f t="shared" si="5"/>
        <v>0</v>
      </c>
    </row>
    <row r="121" spans="25:25" x14ac:dyDescent="0.35">
      <c r="Y121" s="79">
        <f t="shared" si="5"/>
        <v>0</v>
      </c>
    </row>
    <row r="122" spans="25:25" x14ac:dyDescent="0.35">
      <c r="Y122" s="79">
        <f t="shared" si="5"/>
        <v>0</v>
      </c>
    </row>
    <row r="123" spans="25:25" x14ac:dyDescent="0.35">
      <c r="Y123" s="79">
        <f t="shared" si="5"/>
        <v>0</v>
      </c>
    </row>
    <row r="124" spans="25:25" x14ac:dyDescent="0.35">
      <c r="Y124" s="79">
        <f t="shared" si="5"/>
        <v>0</v>
      </c>
    </row>
    <row r="125" spans="25:25" x14ac:dyDescent="0.35">
      <c r="Y125" s="79">
        <f t="shared" si="5"/>
        <v>0</v>
      </c>
    </row>
    <row r="126" spans="25:25" x14ac:dyDescent="0.35">
      <c r="Y126" s="79">
        <f t="shared" si="5"/>
        <v>0</v>
      </c>
    </row>
    <row r="127" spans="25:25" x14ac:dyDescent="0.35">
      <c r="Y127" s="79">
        <f t="shared" si="5"/>
        <v>0</v>
      </c>
    </row>
    <row r="128" spans="25:25" x14ac:dyDescent="0.35">
      <c r="Y128" s="79">
        <f t="shared" si="5"/>
        <v>0</v>
      </c>
    </row>
    <row r="129" spans="25:25" x14ac:dyDescent="0.35">
      <c r="Y129" s="79">
        <f t="shared" si="5"/>
        <v>0</v>
      </c>
    </row>
    <row r="130" spans="25:25" x14ac:dyDescent="0.35">
      <c r="Y130" s="79">
        <f t="shared" si="5"/>
        <v>0</v>
      </c>
    </row>
    <row r="131" spans="25:25" x14ac:dyDescent="0.35">
      <c r="Y131" s="79">
        <f t="shared" si="5"/>
        <v>0</v>
      </c>
    </row>
    <row r="132" spans="25:25" x14ac:dyDescent="0.35">
      <c r="Y132" s="79">
        <f t="shared" ref="Y132:Y195" si="6">Y131</f>
        <v>0</v>
      </c>
    </row>
    <row r="133" spans="25:25" x14ac:dyDescent="0.35">
      <c r="Y133" s="79">
        <f t="shared" si="6"/>
        <v>0</v>
      </c>
    </row>
    <row r="134" spans="25:25" x14ac:dyDescent="0.35">
      <c r="Y134" s="79">
        <f t="shared" si="6"/>
        <v>0</v>
      </c>
    </row>
    <row r="135" spans="25:25" x14ac:dyDescent="0.35">
      <c r="Y135" s="79">
        <f t="shared" si="6"/>
        <v>0</v>
      </c>
    </row>
    <row r="136" spans="25:25" x14ac:dyDescent="0.35">
      <c r="Y136" s="79">
        <f t="shared" si="6"/>
        <v>0</v>
      </c>
    </row>
    <row r="137" spans="25:25" x14ac:dyDescent="0.35">
      <c r="Y137" s="79">
        <f t="shared" si="6"/>
        <v>0</v>
      </c>
    </row>
    <row r="138" spans="25:25" x14ac:dyDescent="0.35">
      <c r="Y138" s="79">
        <f t="shared" si="6"/>
        <v>0</v>
      </c>
    </row>
    <row r="139" spans="25:25" x14ac:dyDescent="0.35">
      <c r="Y139" s="79">
        <f t="shared" si="6"/>
        <v>0</v>
      </c>
    </row>
    <row r="140" spans="25:25" x14ac:dyDescent="0.35">
      <c r="Y140" s="79">
        <f t="shared" si="6"/>
        <v>0</v>
      </c>
    </row>
    <row r="141" spans="25:25" x14ac:dyDescent="0.35">
      <c r="Y141" s="79">
        <f t="shared" si="6"/>
        <v>0</v>
      </c>
    </row>
    <row r="142" spans="25:25" x14ac:dyDescent="0.35">
      <c r="Y142" s="79">
        <f t="shared" si="6"/>
        <v>0</v>
      </c>
    </row>
    <row r="143" spans="25:25" x14ac:dyDescent="0.35">
      <c r="Y143" s="79">
        <f t="shared" si="6"/>
        <v>0</v>
      </c>
    </row>
    <row r="144" spans="25:25" x14ac:dyDescent="0.35">
      <c r="Y144" s="79">
        <f t="shared" si="6"/>
        <v>0</v>
      </c>
    </row>
    <row r="145" spans="25:25" x14ac:dyDescent="0.35">
      <c r="Y145" s="79">
        <f t="shared" si="6"/>
        <v>0</v>
      </c>
    </row>
    <row r="146" spans="25:25" x14ac:dyDescent="0.35">
      <c r="Y146" s="79">
        <f t="shared" si="6"/>
        <v>0</v>
      </c>
    </row>
    <row r="147" spans="25:25" x14ac:dyDescent="0.35">
      <c r="Y147" s="79">
        <f t="shared" si="6"/>
        <v>0</v>
      </c>
    </row>
    <row r="148" spans="25:25" x14ac:dyDescent="0.35">
      <c r="Y148" s="79">
        <f t="shared" si="6"/>
        <v>0</v>
      </c>
    </row>
    <row r="149" spans="25:25" x14ac:dyDescent="0.35">
      <c r="Y149" s="79">
        <f t="shared" si="6"/>
        <v>0</v>
      </c>
    </row>
    <row r="150" spans="25:25" x14ac:dyDescent="0.35">
      <c r="Y150" s="79">
        <f t="shared" si="6"/>
        <v>0</v>
      </c>
    </row>
    <row r="151" spans="25:25" x14ac:dyDescent="0.35">
      <c r="Y151" s="79">
        <f t="shared" si="6"/>
        <v>0</v>
      </c>
    </row>
    <row r="152" spans="25:25" x14ac:dyDescent="0.35">
      <c r="Y152" s="79">
        <f t="shared" si="6"/>
        <v>0</v>
      </c>
    </row>
    <row r="153" spans="25:25" x14ac:dyDescent="0.35">
      <c r="Y153" s="79">
        <f t="shared" si="6"/>
        <v>0</v>
      </c>
    </row>
    <row r="154" spans="25:25" x14ac:dyDescent="0.35">
      <c r="Y154" s="79">
        <f t="shared" si="6"/>
        <v>0</v>
      </c>
    </row>
    <row r="155" spans="25:25" x14ac:dyDescent="0.35">
      <c r="Y155" s="79">
        <f t="shared" si="6"/>
        <v>0</v>
      </c>
    </row>
    <row r="156" spans="25:25" x14ac:dyDescent="0.35">
      <c r="Y156" s="79">
        <f t="shared" si="6"/>
        <v>0</v>
      </c>
    </row>
    <row r="157" spans="25:25" x14ac:dyDescent="0.35">
      <c r="Y157" s="79">
        <f t="shared" si="6"/>
        <v>0</v>
      </c>
    </row>
    <row r="158" spans="25:25" x14ac:dyDescent="0.35">
      <c r="Y158" s="79">
        <f t="shared" si="6"/>
        <v>0</v>
      </c>
    </row>
    <row r="159" spans="25:25" x14ac:dyDescent="0.35">
      <c r="Y159" s="79">
        <f t="shared" si="6"/>
        <v>0</v>
      </c>
    </row>
    <row r="160" spans="25:25" x14ac:dyDescent="0.35">
      <c r="Y160" s="79">
        <f t="shared" si="6"/>
        <v>0</v>
      </c>
    </row>
    <row r="161" spans="25:25" x14ac:dyDescent="0.35">
      <c r="Y161" s="79">
        <f t="shared" si="6"/>
        <v>0</v>
      </c>
    </row>
    <row r="162" spans="25:25" x14ac:dyDescent="0.35">
      <c r="Y162" s="79">
        <f t="shared" si="6"/>
        <v>0</v>
      </c>
    </row>
    <row r="163" spans="25:25" x14ac:dyDescent="0.35">
      <c r="Y163" s="79">
        <f t="shared" si="6"/>
        <v>0</v>
      </c>
    </row>
    <row r="164" spans="25:25" x14ac:dyDescent="0.35">
      <c r="Y164" s="79">
        <f t="shared" si="6"/>
        <v>0</v>
      </c>
    </row>
    <row r="165" spans="25:25" x14ac:dyDescent="0.35">
      <c r="Y165" s="79">
        <f t="shared" si="6"/>
        <v>0</v>
      </c>
    </row>
    <row r="166" spans="25:25" x14ac:dyDescent="0.35">
      <c r="Y166" s="79">
        <f t="shared" si="6"/>
        <v>0</v>
      </c>
    </row>
    <row r="167" spans="25:25" x14ac:dyDescent="0.35">
      <c r="Y167" s="79">
        <f t="shared" si="6"/>
        <v>0</v>
      </c>
    </row>
    <row r="168" spans="25:25" x14ac:dyDescent="0.35">
      <c r="Y168" s="79">
        <f t="shared" si="6"/>
        <v>0</v>
      </c>
    </row>
    <row r="169" spans="25:25" x14ac:dyDescent="0.35">
      <c r="Y169" s="79">
        <f t="shared" si="6"/>
        <v>0</v>
      </c>
    </row>
    <row r="170" spans="25:25" x14ac:dyDescent="0.35">
      <c r="Y170" s="79">
        <f t="shared" si="6"/>
        <v>0</v>
      </c>
    </row>
    <row r="171" spans="25:25" x14ac:dyDescent="0.35">
      <c r="Y171" s="79">
        <f t="shared" si="6"/>
        <v>0</v>
      </c>
    </row>
    <row r="172" spans="25:25" x14ac:dyDescent="0.35">
      <c r="Y172" s="79">
        <f t="shared" si="6"/>
        <v>0</v>
      </c>
    </row>
    <row r="173" spans="25:25" x14ac:dyDescent="0.35">
      <c r="Y173" s="79">
        <f t="shared" si="6"/>
        <v>0</v>
      </c>
    </row>
    <row r="174" spans="25:25" x14ac:dyDescent="0.35">
      <c r="Y174" s="79">
        <f t="shared" si="6"/>
        <v>0</v>
      </c>
    </row>
    <row r="175" spans="25:25" x14ac:dyDescent="0.35">
      <c r="Y175" s="79">
        <f t="shared" si="6"/>
        <v>0</v>
      </c>
    </row>
    <row r="176" spans="25:25" x14ac:dyDescent="0.35">
      <c r="Y176" s="79">
        <f t="shared" si="6"/>
        <v>0</v>
      </c>
    </row>
    <row r="177" spans="25:25" x14ac:dyDescent="0.35">
      <c r="Y177" s="79">
        <f t="shared" si="6"/>
        <v>0</v>
      </c>
    </row>
    <row r="178" spans="25:25" x14ac:dyDescent="0.35">
      <c r="Y178" s="79">
        <f t="shared" si="6"/>
        <v>0</v>
      </c>
    </row>
    <row r="179" spans="25:25" x14ac:dyDescent="0.35">
      <c r="Y179" s="79">
        <f t="shared" si="6"/>
        <v>0</v>
      </c>
    </row>
    <row r="180" spans="25:25" x14ac:dyDescent="0.35">
      <c r="Y180" s="79">
        <f t="shared" si="6"/>
        <v>0</v>
      </c>
    </row>
    <row r="181" spans="25:25" x14ac:dyDescent="0.35">
      <c r="Y181" s="79">
        <f t="shared" si="6"/>
        <v>0</v>
      </c>
    </row>
    <row r="182" spans="25:25" x14ac:dyDescent="0.35">
      <c r="Y182" s="79">
        <f t="shared" si="6"/>
        <v>0</v>
      </c>
    </row>
    <row r="183" spans="25:25" x14ac:dyDescent="0.35">
      <c r="Y183" s="79">
        <f t="shared" si="6"/>
        <v>0</v>
      </c>
    </row>
    <row r="184" spans="25:25" x14ac:dyDescent="0.35">
      <c r="Y184" s="79">
        <f t="shared" si="6"/>
        <v>0</v>
      </c>
    </row>
    <row r="185" spans="25:25" x14ac:dyDescent="0.35">
      <c r="Y185" s="79">
        <f t="shared" si="6"/>
        <v>0</v>
      </c>
    </row>
    <row r="186" spans="25:25" x14ac:dyDescent="0.35">
      <c r="Y186" s="79">
        <f t="shared" si="6"/>
        <v>0</v>
      </c>
    </row>
    <row r="187" spans="25:25" x14ac:dyDescent="0.35">
      <c r="Y187" s="79">
        <f t="shared" si="6"/>
        <v>0</v>
      </c>
    </row>
    <row r="188" spans="25:25" x14ac:dyDescent="0.35">
      <c r="Y188" s="79">
        <f t="shared" si="6"/>
        <v>0</v>
      </c>
    </row>
    <row r="189" spans="25:25" x14ac:dyDescent="0.35">
      <c r="Y189" s="79">
        <f t="shared" si="6"/>
        <v>0</v>
      </c>
    </row>
    <row r="190" spans="25:25" x14ac:dyDescent="0.35">
      <c r="Y190" s="79">
        <f t="shared" si="6"/>
        <v>0</v>
      </c>
    </row>
    <row r="191" spans="25:25" x14ac:dyDescent="0.35">
      <c r="Y191" s="79">
        <f t="shared" si="6"/>
        <v>0</v>
      </c>
    </row>
    <row r="192" spans="25:25" x14ac:dyDescent="0.35">
      <c r="Y192" s="79">
        <f t="shared" si="6"/>
        <v>0</v>
      </c>
    </row>
    <row r="193" spans="25:25" x14ac:dyDescent="0.35">
      <c r="Y193" s="79">
        <f t="shared" si="6"/>
        <v>0</v>
      </c>
    </row>
    <row r="194" spans="25:25" x14ac:dyDescent="0.35">
      <c r="Y194" s="79">
        <f t="shared" si="6"/>
        <v>0</v>
      </c>
    </row>
    <row r="195" spans="25:25" x14ac:dyDescent="0.35">
      <c r="Y195" s="79">
        <f t="shared" si="6"/>
        <v>0</v>
      </c>
    </row>
    <row r="196" spans="25:25" x14ac:dyDescent="0.35">
      <c r="Y196" s="79">
        <f t="shared" ref="Y196:Y200" si="7">Y195</f>
        <v>0</v>
      </c>
    </row>
    <row r="197" spans="25:25" x14ac:dyDescent="0.35">
      <c r="Y197" s="79">
        <f t="shared" si="7"/>
        <v>0</v>
      </c>
    </row>
    <row r="198" spans="25:25" x14ac:dyDescent="0.35">
      <c r="Y198" s="79">
        <f t="shared" si="7"/>
        <v>0</v>
      </c>
    </row>
    <row r="199" spans="25:25" x14ac:dyDescent="0.35">
      <c r="Y199" s="79">
        <f t="shared" si="7"/>
        <v>0</v>
      </c>
    </row>
    <row r="200" spans="25:25" x14ac:dyDescent="0.35">
      <c r="Y200" s="79">
        <f t="shared" si="7"/>
        <v>0</v>
      </c>
    </row>
  </sheetData>
  <sheetProtection algorithmName="SHA-512" hashValue="dj2eXFtuV+wcA5xQ7xyCR8i2fn9BsULTmsqK4NEGgu3+nLKTRKOM2io8Gh9dH6QuaBKtX0fYbEld/kxVc9gKbw==" saltValue="hHkun8wplzYh/2LDBV60Sg==" spinCount="100000" sheet="1" objects="1" scenarios="1"/>
  <autoFilter ref="A1:N62" xr:uid="{00000000-0009-0000-0000-000004000000}"/>
  <dataConsolidate/>
  <dataValidations disablePrompts="1" count="1">
    <dataValidation type="date" allowBlank="1" showInputMessage="1" showErrorMessage="1" sqref="H3:I55" xr:uid="{59CCF33F-C8A6-4C2D-82FB-3127B961C9CD}">
      <formula1>43466</formula1>
      <formula2>45657</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85430B3FFFA94E83F7932E1DE93B77" ma:contentTypeVersion="18" ma:contentTypeDescription="Create a new document." ma:contentTypeScope="" ma:versionID="be1b93744cf9ebf64c51ad07317cb632">
  <xsd:schema xmlns:xsd="http://www.w3.org/2001/XMLSchema" xmlns:xs="http://www.w3.org/2001/XMLSchema" xmlns:p="http://schemas.microsoft.com/office/2006/metadata/properties" xmlns:ns2="6ee981c3-3e74-458b-9583-f389e4bc4216" xmlns:ns3="9afd52f1-5c19-4352-a00b-d9c21e944711" xmlns:ns4="62e8883c-5188-4302-a00a-120ef88c78b8" targetNamespace="http://schemas.microsoft.com/office/2006/metadata/properties" ma:root="true" ma:fieldsID="ee8efb6e8824d92a8bbc34a115347a79" ns2:_="" ns3:_="" ns4:_="">
    <xsd:import namespace="6ee981c3-3e74-458b-9583-f389e4bc4216"/>
    <xsd:import namespace="9afd52f1-5c19-4352-a00b-d9c21e944711"/>
    <xsd:import namespace="62e8883c-5188-4302-a00a-120ef88c78b8"/>
    <xsd:element name="properties">
      <xsd:complexType>
        <xsd:sequence>
          <xsd:element name="documentManagement">
            <xsd:complexType>
              <xsd:all>
                <xsd:element ref="ns2:IN_DivisionName" minOccurs="0"/>
                <xsd:element ref="ns2:IN_DivisionNumber" minOccurs="0"/>
                <xsd:element ref="ns2:IN_ArchiveCaseNumber" minOccurs="0"/>
                <xsd:element ref="ns2:IN_ArchiveAccessCode" minOccurs="0"/>
                <xsd:element ref="ns2:SharedWithUsers" minOccurs="0"/>
                <xsd:element ref="ns2:SharedWithDetails" minOccurs="0"/>
                <xsd:element ref="ns3:MediaServiceMetadata" minOccurs="0"/>
                <xsd:element ref="ns3:MediaServiceFastMetadata" minOccurs="0"/>
                <xsd:element ref="ns3:MediaServiceDateTaken" minOccurs="0"/>
                <xsd:element ref="ns4:IN_Archiving_DocType" minOccurs="0"/>
                <xsd:element ref="ns3:MediaServiceAutoTags" minOccurs="0"/>
                <xsd:element ref="ns3:MediaServiceLocation" minOccurs="0"/>
                <xsd:element ref="ns3:MediaServiceOCR" minOccurs="0"/>
                <xsd:element ref="ns4:IN_Archiving_ArchiveId"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81c3-3e74-458b-9583-f389e4bc4216" elementFormDefault="qualified">
    <xsd:import namespace="http://schemas.microsoft.com/office/2006/documentManagement/types"/>
    <xsd:import namespace="http://schemas.microsoft.com/office/infopath/2007/PartnerControls"/>
    <xsd:element name="IN_DivisionName" ma:index="8" nillable="true" ma:displayName="Division name" ma:default="Brand Norway" ma:internalName="IN_DivisionName">
      <xsd:simpleType>
        <xsd:restriction base="dms:Text">
          <xsd:maxLength value="255"/>
        </xsd:restriction>
      </xsd:simpleType>
    </xsd:element>
    <xsd:element name="IN_DivisionNumber" ma:index="9" nillable="true" ma:displayName="Division number" ma:internalName="IN_DivisionNumber">
      <xsd:simpleType>
        <xsd:restriction base="dms:Text">
          <xsd:maxLength value="255"/>
        </xsd:restriction>
      </xsd:simpleType>
    </xsd:element>
    <xsd:element name="IN_ArchiveCaseNumber" ma:index="10" nillable="true" ma:displayName="Archive case number" ma:internalName="IN_ArchiveCaseNumber">
      <xsd:simpleType>
        <xsd:restriction base="dms:Text">
          <xsd:maxLength value="255"/>
        </xsd:restriction>
      </xsd:simpleType>
    </xsd:element>
    <xsd:element name="IN_ArchiveAccessCode" ma:index="11" nillable="true" ma:displayName="Archive access code" ma:default="UI" ma:internalName="IN_ArchiveAccessCode">
      <xsd:simpleType>
        <xsd:restriction base="dms:Text">
          <xsd:maxLength value="255"/>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fd52f1-5c19-4352-a00b-d9c21e944711"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e8883c-5188-4302-a00a-120ef88c78b8" elementFormDefault="qualified">
    <xsd:import namespace="http://schemas.microsoft.com/office/2006/documentManagement/types"/>
    <xsd:import namespace="http://schemas.microsoft.com/office/infopath/2007/PartnerControls"/>
    <xsd:element name="IN_Archiving_DocType" ma:index="17" nillable="true" ma:displayName="Document Type" ma:default="Fundamental Document" ma:format="Dropdown" ma:internalName="IN_Archiving_DocType">
      <xsd:simpleType>
        <xsd:restriction base="dms:Choice">
          <xsd:enumeration value="Report"/>
          <xsd:enumeration value="Article"/>
          <xsd:enumeration value="Presentation"/>
          <xsd:enumeration value="Speech"/>
          <xsd:enumeration value="Fundamental Document"/>
          <xsd:enumeration value="Minutes of Meeting"/>
          <xsd:enumeration value="Other"/>
        </xsd:restriction>
      </xsd:simpleType>
    </xsd:element>
    <xsd:element name="IN_Archiving_ArchiveId" ma:index="21" nillable="true" ma:displayName="Archive Number" ma:description="Case number from ePhorte" ma:internalName="Archiv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_ArchiveCaseNumber xmlns="6ee981c3-3e74-458b-9583-f389e4bc4216" xsi:nil="true"/>
    <IN_ArchiveAccessCode xmlns="6ee981c3-3e74-458b-9583-f389e4bc4216">UI</IN_ArchiveAccessCode>
    <IN_Archiving_DocType xmlns="62e8883c-5188-4302-a00a-120ef88c78b8">Fundamental Document</IN_Archiving_DocType>
    <IN_DivisionName xmlns="6ee981c3-3e74-458b-9583-f389e4bc4216">Brand Norway</IN_DivisionName>
    <IN_DivisionNumber xmlns="6ee981c3-3e74-458b-9583-f389e4bc4216" xsi:nil="true"/>
    <IN_Archiving_ArchiveId xmlns="62e8883c-5188-4302-a00a-120ef88c78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33B9D-25A5-4DF7-B362-AEBEB3786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981c3-3e74-458b-9583-f389e4bc4216"/>
    <ds:schemaRef ds:uri="9afd52f1-5c19-4352-a00b-d9c21e944711"/>
    <ds:schemaRef ds:uri="62e8883c-5188-4302-a00a-120ef88c7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C6413A-F8AF-428F-82D1-99DA0C5C7C4F}">
  <ds:schemaRefs>
    <ds:schemaRef ds:uri="http://schemas.microsoft.com/office/2006/metadata/properties"/>
    <ds:schemaRef ds:uri="http://schemas.microsoft.com/office/infopath/2007/PartnerControls"/>
    <ds:schemaRef ds:uri="6ee981c3-3e74-458b-9583-f389e4bc4216"/>
    <ds:schemaRef ds:uri="62e8883c-5188-4302-a00a-120ef88c78b8"/>
  </ds:schemaRefs>
</ds:datastoreItem>
</file>

<file path=customXml/itemProps3.xml><?xml version="1.0" encoding="utf-8"?>
<ds:datastoreItem xmlns:ds="http://schemas.openxmlformats.org/officeDocument/2006/customXml" ds:itemID="{6D45422E-7BD2-4A24-B444-6AFD7E7CD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Detailed Budget</vt:lpstr>
      <vt:lpstr>Balance_sheet_Historical data</vt:lpstr>
      <vt:lpstr>P&amp;L_historic</vt:lpstr>
      <vt:lpstr>Project costs and revenues</vt:lpstr>
      <vt:lpstr>Project_profitability</vt:lpstr>
      <vt:lpstr>Financial Analysis company </vt:lpstr>
      <vt:lpstr>Sensitivity analysis project</vt:lpstr>
      <vt:lpstr>Undertaking in difficulty</vt:lpstr>
      <vt:lpstr>Admin</vt:lpstr>
      <vt:lpstr>Bulgaria</vt:lpstr>
      <vt:lpstr>Croatia</vt:lpstr>
      <vt:lpstr>Cyprus</vt:lpstr>
      <vt:lpstr>Czech_Republic</vt:lpstr>
      <vt:lpstr>Estonia</vt:lpstr>
      <vt:lpstr>Hungary</vt:lpstr>
      <vt:lpstr>Latvia</vt:lpstr>
      <vt:lpstr>Lithuania</vt:lpstr>
      <vt:lpstr>Malta</vt:lpstr>
      <vt:lpstr>Poland</vt:lpstr>
      <vt:lpstr>'Detailed Budget'!Print_Area</vt:lpstr>
      <vt:lpstr>Romania</vt:lpstr>
      <vt:lpstr>Slovakia</vt:lpstr>
      <vt:lpstr>Slovenia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Konrad Konieczny</dc:creator>
  <cp:keywords/>
  <dc:description/>
  <cp:lastModifiedBy>Atena-Georgiana Ardelean</cp:lastModifiedBy>
  <cp:revision/>
  <dcterms:created xsi:type="dcterms:W3CDTF">2018-04-04T13:21:29Z</dcterms:created>
  <dcterms:modified xsi:type="dcterms:W3CDTF">2021-02-15T11:19:36Z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0x010100A985430B3FFFA94E83F7932E1DE93B77</vt:lpwstr>
  </property>
</Properties>
</file>