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yreklame.sharepoint.com/sites/TryRd/Delte dokumenter/General/KUNDER/INNOVASJON NORGE/0003 Regional Omstilling/Revidering maler/Nye presentasjoner og spørreundersøkelser/Excel-dokumenter/"/>
    </mc:Choice>
  </mc:AlternateContent>
  <xr:revisionPtr revIDLastSave="137" documentId="13_ncr:4000b_{B44514D2-3200-0D42-89BB-8120779DBF7B}" xr6:coauthVersionLast="47" xr6:coauthVersionMax="47" xr10:uidLastSave="{632EABCA-7F14-B144-8689-5122EB149FEA}"/>
  <bookViews>
    <workbookView xWindow="780" yWindow="500" windowWidth="27660" windowHeight="16260" activeTab="1" xr2:uid="{00000000-000D-0000-FFFF-FFFF00000000}"/>
  </bookViews>
  <sheets>
    <sheet name="Eksempelkalkyler db" sheetId="7" r:id="rId1"/>
    <sheet name="Eksempelkalkyle selvkost" sheetId="9" r:id="rId2"/>
    <sheet name="Kalkylemal DB, flere produkter " sheetId="8" r:id="rId3"/>
    <sheet name="Eksempelkalkyle juletallerken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8" l="1"/>
  <c r="D12" i="10"/>
  <c r="D11" i="10"/>
  <c r="D10" i="10"/>
  <c r="D13" i="10"/>
  <c r="D9" i="10"/>
  <c r="D8" i="10"/>
  <c r="D7" i="10"/>
  <c r="D6" i="10"/>
  <c r="D3" i="7"/>
  <c r="B19" i="7"/>
  <c r="B18" i="7"/>
  <c r="C7" i="7"/>
  <c r="C9" i="7" s="1"/>
  <c r="C16" i="7" s="1"/>
  <c r="C21" i="7" s="1"/>
  <c r="C18" i="7"/>
  <c r="C14" i="7"/>
  <c r="B9" i="7"/>
  <c r="B16" i="7" s="1"/>
  <c r="B21" i="7" s="1"/>
  <c r="B14" i="7"/>
  <c r="L13" i="8"/>
  <c r="O13" i="8" s="1"/>
  <c r="P13" i="8" s="1"/>
  <c r="L12" i="8"/>
  <c r="O12" i="8" s="1"/>
  <c r="P12" i="8" s="1"/>
  <c r="L11" i="8"/>
  <c r="O11" i="8" s="1"/>
  <c r="P11" i="8" s="1"/>
  <c r="L10" i="8"/>
  <c r="O10" i="8" s="1"/>
  <c r="P10" i="8" s="1"/>
  <c r="L9" i="8"/>
  <c r="O9" i="8" s="1"/>
  <c r="P9" i="8" s="1"/>
  <c r="L8" i="8"/>
  <c r="O8" i="8" s="1"/>
  <c r="L20" i="8"/>
  <c r="P20" i="8" s="1"/>
  <c r="L19" i="8"/>
  <c r="P19" i="8" s="1"/>
  <c r="L18" i="8"/>
  <c r="O18" i="8"/>
  <c r="O17" i="8"/>
  <c r="P17" i="8"/>
  <c r="L16" i="8"/>
  <c r="O16" i="8"/>
  <c r="P16" i="8" s="1"/>
  <c r="L15" i="8"/>
  <c r="O15" i="8"/>
  <c r="P15" i="8" s="1"/>
  <c r="L14" i="8"/>
  <c r="O14" i="8"/>
  <c r="N14" i="8" s="1"/>
  <c r="I15" i="8"/>
  <c r="C9" i="8"/>
  <c r="E9" i="8"/>
  <c r="G9" i="8" s="1"/>
  <c r="E16" i="8"/>
  <c r="G16" i="8"/>
  <c r="I16" i="8" s="1"/>
  <c r="J21" i="8"/>
  <c r="E20" i="8"/>
  <c r="G20" i="8" s="1"/>
  <c r="E19" i="8"/>
  <c r="G19" i="8" s="1"/>
  <c r="E18" i="8"/>
  <c r="G18" i="8"/>
  <c r="E17" i="8"/>
  <c r="G17" i="8" s="1"/>
  <c r="E14" i="8"/>
  <c r="G14" i="8" s="1"/>
  <c r="I14" i="8" s="1"/>
  <c r="E13" i="8"/>
  <c r="G13" i="8" s="1"/>
  <c r="E12" i="8"/>
  <c r="G12" i="8"/>
  <c r="I12" i="8" s="1"/>
  <c r="E11" i="8"/>
  <c r="G11" i="8"/>
  <c r="I11" i="8"/>
  <c r="E10" i="8"/>
  <c r="E21" i="8" s="1"/>
  <c r="G10" i="8"/>
  <c r="H10" i="8" s="1"/>
  <c r="E8" i="8"/>
  <c r="G8" i="8"/>
  <c r="H8" i="8" s="1"/>
  <c r="O20" i="8"/>
  <c r="P18" i="8"/>
  <c r="P14" i="8"/>
  <c r="H11" i="8"/>
  <c r="H12" i="8"/>
  <c r="N15" i="8"/>
  <c r="D14" i="10"/>
  <c r="D15" i="10"/>
  <c r="D18" i="10"/>
  <c r="D16" i="10"/>
  <c r="B26" i="7" l="1"/>
  <c r="B22" i="7"/>
  <c r="C26" i="7"/>
  <c r="C22" i="7"/>
  <c r="B28" i="7"/>
  <c r="G21" i="8"/>
  <c r="I9" i="8"/>
  <c r="H9" i="8"/>
  <c r="P8" i="8"/>
  <c r="P21" i="8" s="1"/>
  <c r="O21" i="8"/>
  <c r="D25" i="8" s="1"/>
  <c r="H21" i="8"/>
  <c r="D28" i="8" s="1"/>
  <c r="H13" i="8"/>
  <c r="I13" i="8"/>
  <c r="N21" i="8"/>
  <c r="H17" i="8"/>
  <c r="I17" i="8"/>
  <c r="L21" i="8"/>
  <c r="I8" i="8"/>
  <c r="N16" i="8"/>
  <c r="O19" i="8"/>
  <c r="I10" i="8"/>
  <c r="B29" i="7" l="1"/>
  <c r="P25" i="8"/>
  <c r="J25" i="8"/>
  <c r="J24" i="8"/>
  <c r="D24" i="8"/>
  <c r="D26" i="8" s="1"/>
  <c r="P26" i="8" l="1"/>
  <c r="J26" i="8"/>
  <c r="P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</author>
  </authors>
  <commentList>
    <comment ref="H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Stein: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Mva.sats 15%</t>
        </r>
      </text>
    </comment>
    <comment ref="H9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Mva. sats 25%</t>
        </r>
      </text>
    </comment>
    <comment ref="H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Stein: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Mva. sats 12%</t>
        </r>
      </text>
    </comment>
    <comment ref="H11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Mva. sats 12%</t>
        </r>
      </text>
    </comment>
    <comment ref="H12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Ingen mva.</t>
        </r>
      </text>
    </comment>
    <comment ref="H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Stein: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Ingen mva.</t>
        </r>
      </text>
    </comment>
    <comment ref="H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Stein:</t>
        </r>
        <r>
          <rPr>
            <sz val="9"/>
            <color indexed="81"/>
            <rFont val="Tahoma"/>
            <family val="2"/>
          </rPr>
          <t xml:space="preserve">
Mva.12%</t>
        </r>
      </text>
    </comment>
  </commentList>
</comments>
</file>

<file path=xl/sharedStrings.xml><?xml version="1.0" encoding="utf-8"?>
<sst xmlns="http://schemas.openxmlformats.org/spreadsheetml/2006/main" count="150" uniqueCount="141">
  <si>
    <t>Produktkalkyleeksempler utematkurs og litterært måltid</t>
  </si>
  <si>
    <t>Forutsetninger</t>
  </si>
  <si>
    <t>Sum lønn</t>
  </si>
  <si>
    <t>Hege</t>
  </si>
  <si>
    <t>Tekst</t>
  </si>
  <si>
    <t>Utematkurs</t>
  </si>
  <si>
    <t>Litterært måltid</t>
  </si>
  <si>
    <t>Produkt 3</t>
  </si>
  <si>
    <t>Produkt 4</t>
  </si>
  <si>
    <t>Antall deltakere</t>
  </si>
  <si>
    <t>Totalt salg</t>
  </si>
  <si>
    <t>Variable kostnader</t>
  </si>
  <si>
    <t>Sum varekostnad</t>
  </si>
  <si>
    <t>DB 1 (pris ut minus varekost)</t>
  </si>
  <si>
    <t>Røde tall kan endres for simuleringer</t>
  </si>
  <si>
    <t>Faste kostnader</t>
  </si>
  <si>
    <t xml:space="preserve">Fast lønn </t>
  </si>
  <si>
    <t>Husleie inkl. renovasjon</t>
  </si>
  <si>
    <t>Inventar og verktøy</t>
  </si>
  <si>
    <t>Driftsmateriell og rekvisita, aviser, tidsskrift</t>
  </si>
  <si>
    <t>Reperasjon og vedlikehold bygg og utstyr</t>
  </si>
  <si>
    <t>Revisjon og regnskap</t>
  </si>
  <si>
    <t>Møter og kurs</t>
  </si>
  <si>
    <t>Telefon og mobil og porto</t>
  </si>
  <si>
    <t>Reisekostnader</t>
  </si>
  <si>
    <t>Web, reklame, representasjon, kontingenter</t>
  </si>
  <si>
    <t>Bank og andre kostander</t>
  </si>
  <si>
    <t>Diverse</t>
  </si>
  <si>
    <t>"Driftsresultat"</t>
  </si>
  <si>
    <t>Finanskostnader</t>
  </si>
  <si>
    <t>"Resultat"</t>
  </si>
  <si>
    <t>Eksempelkalkyle selvkost</t>
  </si>
  <si>
    <t>Kostnadsart</t>
  </si>
  <si>
    <t>Innsats</t>
  </si>
  <si>
    <t>Kostnad kr</t>
  </si>
  <si>
    <t>Sum kr</t>
  </si>
  <si>
    <t>Kaffebønner</t>
  </si>
  <si>
    <t>Melk</t>
  </si>
  <si>
    <t>Kopp, rørepinne, lønn barista</t>
  </si>
  <si>
    <t>Administrasjon</t>
  </si>
  <si>
    <t>Markedsføring</t>
  </si>
  <si>
    <t>Husleie</t>
  </si>
  <si>
    <t>Fortjeneste</t>
  </si>
  <si>
    <t>Salgspris ekskl. mva.</t>
  </si>
  <si>
    <t xml:space="preserve">Salgspris inkl. mva. </t>
  </si>
  <si>
    <t>Kalkyleskjema</t>
  </si>
  <si>
    <t xml:space="preserve">PROSJEKTNR.: </t>
  </si>
  <si>
    <r>
      <t xml:space="preserve">PROSJEKTNAVN: </t>
    </r>
    <r>
      <rPr>
        <sz val="12"/>
        <rFont val="Calibri"/>
        <family val="2"/>
        <scheme val="minor"/>
      </rPr>
      <t>2-dagers guidet tur med kurs, underholdning, servering, 15 deltakere</t>
    </r>
  </si>
  <si>
    <t>Materiell/varer/underleverandører</t>
  </si>
  <si>
    <t>PRODUKT</t>
  </si>
  <si>
    <t>MENGDE</t>
  </si>
  <si>
    <t>INNPRIS</t>
  </si>
  <si>
    <t xml:space="preserve">SUM </t>
  </si>
  <si>
    <t>PÅSLAG</t>
  </si>
  <si>
    <t>UTPRIS</t>
  </si>
  <si>
    <t>DG</t>
  </si>
  <si>
    <t>ARBEID</t>
  </si>
  <si>
    <t>TIME-</t>
  </si>
  <si>
    <t>ARBEIDS-</t>
  </si>
  <si>
    <t xml:space="preserve">DG </t>
  </si>
  <si>
    <t>DB</t>
  </si>
  <si>
    <t>kode</t>
  </si>
  <si>
    <t>ekskl. mva.</t>
  </si>
  <si>
    <t>INNKJØP</t>
  </si>
  <si>
    <t>Faktor</t>
  </si>
  <si>
    <t xml:space="preserve">ekskl. mva. </t>
  </si>
  <si>
    <t xml:space="preserve">inkl. mva. </t>
  </si>
  <si>
    <t>varer</t>
  </si>
  <si>
    <t>SATS</t>
  </si>
  <si>
    <t>KOSTN.</t>
  </si>
  <si>
    <t>ARB. %</t>
  </si>
  <si>
    <t>ARB. (kr)</t>
  </si>
  <si>
    <t>ekskl. mva</t>
  </si>
  <si>
    <t>inkl. mva</t>
  </si>
  <si>
    <t>Drikke</t>
  </si>
  <si>
    <t>Avgiftsfritt</t>
  </si>
  <si>
    <t>Egen guiding</t>
  </si>
  <si>
    <t>Eget kurs</t>
  </si>
  <si>
    <t>"Pakking av tilbudet"</t>
  </si>
  <si>
    <t>Inngangsbillett</t>
  </si>
  <si>
    <t>SUM INNKJØP PROSJEKT</t>
  </si>
  <si>
    <t>DG ARBEID  (%)</t>
  </si>
  <si>
    <t>SUM DG (DEKNINGSGRAD)  %</t>
  </si>
  <si>
    <t>UTSALGSPRIS INKL. MVA.</t>
  </si>
  <si>
    <t>Dekningsbidragskalkyle uten kalkulasjon av arbeidstid</t>
  </si>
  <si>
    <t>Juletallerken:</t>
  </si>
  <si>
    <t>Brutto mengde kg</t>
  </si>
  <si>
    <t>Pris</t>
  </si>
  <si>
    <t>Pris eks mva</t>
  </si>
  <si>
    <t>Varekost:</t>
  </si>
  <si>
    <t>Medisterdeig</t>
  </si>
  <si>
    <t>Ribbe</t>
  </si>
  <si>
    <t>Julepølse</t>
  </si>
  <si>
    <t>Potet</t>
  </si>
  <si>
    <t>Rødkål</t>
  </si>
  <si>
    <t>Saus</t>
  </si>
  <si>
    <t>Pynt, tyttebær, krydder og "stæsj"</t>
  </si>
  <si>
    <t>Innkjøpspris varer:</t>
  </si>
  <si>
    <t xml:space="preserve">Utsalgspris 3-kalkyle pluss mva. </t>
  </si>
  <si>
    <t>Budsjettert salg</t>
  </si>
  <si>
    <t>Samlet DB juletallerkener</t>
  </si>
  <si>
    <t>Pris per deltaker</t>
  </si>
  <si>
    <t>Råvareforbruk per deltaker</t>
  </si>
  <si>
    <t>Per time for Hege</t>
  </si>
  <si>
    <t>Antall kurs per år</t>
  </si>
  <si>
    <t>TIMER</t>
  </si>
  <si>
    <t>Vare-</t>
  </si>
  <si>
    <t>25 % mva.</t>
  </si>
  <si>
    <t xml:space="preserve">12 % mva. </t>
  </si>
  <si>
    <t xml:space="preserve">25 % mva. </t>
  </si>
  <si>
    <t>Markedspris/salgspris</t>
  </si>
  <si>
    <t>Merknad/kommentar</t>
  </si>
  <si>
    <t>Mva.-sats 15 %, spise ute</t>
  </si>
  <si>
    <t>DG VARER / MATERIELL / UNDERLEV.  (%)</t>
  </si>
  <si>
    <t>Mat fra underleverandør</t>
  </si>
  <si>
    <t>Transport underleverandør</t>
  </si>
  <si>
    <t>Overnatting underleverandør</t>
  </si>
  <si>
    <t>Kurs underleverandør</t>
  </si>
  <si>
    <t>Guiding underleverandør</t>
  </si>
  <si>
    <t>DB ARBEID KR</t>
  </si>
  <si>
    <t>SUM DB (DEKNINGSBIDRAG) KR</t>
  </si>
  <si>
    <t>Pris til kunde inkl. mva.</t>
  </si>
  <si>
    <t>Dekningsbidrag per stk.</t>
  </si>
  <si>
    <r>
      <t xml:space="preserve">Dekningsgrad </t>
    </r>
    <r>
      <rPr>
        <sz val="9"/>
        <color indexed="8"/>
        <rFont val="Calibri"/>
        <family val="2"/>
        <scheme val="minor"/>
      </rPr>
      <t>(DB / pris ekskl. mva.)</t>
    </r>
  </si>
  <si>
    <t>Indirekte, faste kostnader</t>
  </si>
  <si>
    <t>Selvkost (variable kostnader +
faste kostnader)</t>
  </si>
  <si>
    <t>Utbetalt lønn</t>
  </si>
  <si>
    <t>Sosiale kostnader</t>
  </si>
  <si>
    <t>Antall timer jobb</t>
  </si>
  <si>
    <t>Variabel lønn inkl. alle sosiale kostnader</t>
  </si>
  <si>
    <t>DB 2 (utpris (ekskl. mva.) minus alle varekostnader)</t>
  </si>
  <si>
    <t>DB 2 i % av utsalgspris (ekskl. mva.)</t>
  </si>
  <si>
    <t>Samlet DB per produkt (DB*timer)</t>
  </si>
  <si>
    <t xml:space="preserve">Sum omsetning / salg ekskl. mva. </t>
  </si>
  <si>
    <t>Sum DB alle produkter – timesalg</t>
  </si>
  <si>
    <t>Leie datasystemer + leasing</t>
  </si>
  <si>
    <t>Sum faste kostnader</t>
  </si>
  <si>
    <t>SALG ARBEID EKSKL. MVA.</t>
  </si>
  <si>
    <t>UTSALGSPRIS EKSKL. MVA.</t>
  </si>
  <si>
    <t>UTSALGSPRIS VARER EKSKL. MVA</t>
  </si>
  <si>
    <t>DB VARER / MATERIELL / UNDERLEVERANDØR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</si>
</sst>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_);_(* \(#,##0\);_(* &quot;-&quot;??_);_(@_)"/>
  </numFmts>
  <fonts count="28" x14ac:knownFonts="1">
    <font>
      <sz val="10"/>
      <name val="Times New Roman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rgb="FF000000"/>
      <name val="Tahoma"/>
      <family val="2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ED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F1"/>
        <bgColor indexed="64"/>
      </patternFill>
    </fill>
    <fill>
      <patternFill patternType="solid">
        <fgColor rgb="FFFFF771"/>
        <bgColor indexed="64"/>
      </patternFill>
    </fill>
    <fill>
      <patternFill patternType="solid">
        <fgColor rgb="FF36FF8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0" fillId="2" borderId="0" xfId="0" applyFont="1" applyFill="1" applyAlignment="1">
      <alignment horizontal="left"/>
    </xf>
    <xf numFmtId="2" fontId="11" fillId="0" borderId="0" xfId="0" applyNumberFormat="1" applyFont="1"/>
    <xf numFmtId="4" fontId="11" fillId="0" borderId="0" xfId="0" applyNumberFormat="1" applyFont="1"/>
    <xf numFmtId="0" fontId="13" fillId="0" borderId="0" xfId="0" applyFont="1"/>
    <xf numFmtId="0" fontId="10" fillId="4" borderId="0" xfId="0" quotePrefix="1" applyFont="1" applyFill="1" applyAlignment="1">
      <alignment horizontal="left"/>
    </xf>
    <xf numFmtId="0" fontId="10" fillId="4" borderId="0" xfId="0" applyFont="1" applyFill="1" applyAlignment="1">
      <alignment horizontal="left"/>
    </xf>
    <xf numFmtId="4" fontId="15" fillId="4" borderId="0" xfId="0" applyNumberFormat="1" applyFont="1" applyFill="1"/>
    <xf numFmtId="0" fontId="10" fillId="4" borderId="10" xfId="0" quotePrefix="1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4" fontId="15" fillId="4" borderId="10" xfId="0" applyNumberFormat="1" applyFont="1" applyFill="1" applyBorder="1"/>
    <xf numFmtId="0" fontId="10" fillId="5" borderId="0" xfId="0" applyFont="1" applyFill="1" applyAlignment="1">
      <alignment horizontal="left"/>
    </xf>
    <xf numFmtId="4" fontId="15" fillId="5" borderId="0" xfId="0" applyNumberFormat="1" applyFont="1" applyFill="1" applyProtection="1">
      <protection locked="0"/>
    </xf>
    <xf numFmtId="0" fontId="10" fillId="5" borderId="0" xfId="0" quotePrefix="1" applyFont="1" applyFill="1" applyAlignment="1">
      <alignment horizontal="left"/>
    </xf>
    <xf numFmtId="4" fontId="15" fillId="5" borderId="0" xfId="0" applyNumberFormat="1" applyFont="1" applyFill="1"/>
    <xf numFmtId="0" fontId="10" fillId="5" borderId="10" xfId="0" applyFont="1" applyFill="1" applyBorder="1" applyAlignment="1">
      <alignment horizontal="left"/>
    </xf>
    <xf numFmtId="4" fontId="15" fillId="5" borderId="10" xfId="0" applyNumberFormat="1" applyFont="1" applyFill="1" applyBorder="1"/>
    <xf numFmtId="0" fontId="8" fillId="0" borderId="3" xfId="0" applyFont="1" applyBorder="1"/>
    <xf numFmtId="2" fontId="8" fillId="0" borderId="3" xfId="0" quotePrefix="1" applyNumberFormat="1" applyFont="1" applyBorder="1" applyAlignment="1">
      <alignment horizontal="left"/>
    </xf>
    <xf numFmtId="2" fontId="8" fillId="0" borderId="3" xfId="0" applyNumberFormat="1" applyFont="1" applyBorder="1"/>
    <xf numFmtId="0" fontId="8" fillId="0" borderId="9" xfId="0" applyFont="1" applyBorder="1"/>
    <xf numFmtId="0" fontId="8" fillId="4" borderId="0" xfId="0" applyFont="1" applyFill="1"/>
    <xf numFmtId="0" fontId="10" fillId="4" borderId="0" xfId="0" applyFont="1" applyFill="1"/>
    <xf numFmtId="0" fontId="8" fillId="4" borderId="0" xfId="0" applyFont="1" applyFill="1" applyAlignment="1">
      <alignment horizontal="center"/>
    </xf>
    <xf numFmtId="0" fontId="10" fillId="0" borderId="13" xfId="0" applyFont="1" applyBorder="1"/>
    <xf numFmtId="0" fontId="8" fillId="0" borderId="13" xfId="0" applyFont="1" applyBorder="1"/>
    <xf numFmtId="1" fontId="8" fillId="0" borderId="16" xfId="0" applyNumberFormat="1" applyFont="1" applyBorder="1" applyAlignment="1">
      <alignment horizontal="left"/>
    </xf>
    <xf numFmtId="1" fontId="8" fillId="0" borderId="16" xfId="0" applyNumberFormat="1" applyFont="1" applyBorder="1"/>
    <xf numFmtId="1" fontId="10" fillId="0" borderId="17" xfId="0" applyNumberFormat="1" applyFont="1" applyBorder="1" applyAlignment="1">
      <alignment horizontal="left"/>
    </xf>
    <xf numFmtId="0" fontId="19" fillId="0" borderId="19" xfId="0" applyFont="1" applyBorder="1" applyAlignment="1">
      <alignment horizontal="left" wrapText="1" readingOrder="1"/>
    </xf>
    <xf numFmtId="0" fontId="21" fillId="0" borderId="11" xfId="0" applyFont="1" applyBorder="1" applyAlignment="1">
      <alignment horizontal="center" wrapText="1" readingOrder="1"/>
    </xf>
    <xf numFmtId="0" fontId="21" fillId="0" borderId="18" xfId="0" applyFont="1" applyBorder="1" applyAlignment="1">
      <alignment horizontal="left" wrapText="1" readingOrder="1"/>
    </xf>
    <xf numFmtId="0" fontId="21" fillId="0" borderId="0" xfId="0" applyFont="1" applyAlignment="1">
      <alignment horizontal="left" wrapText="1" readingOrder="1"/>
    </xf>
    <xf numFmtId="0" fontId="21" fillId="0" borderId="12" xfId="0" applyFont="1" applyBorder="1" applyAlignment="1">
      <alignment horizontal="left" wrapText="1" readingOrder="1"/>
    </xf>
    <xf numFmtId="0" fontId="21" fillId="0" borderId="0" xfId="0" applyFont="1" applyAlignment="1">
      <alignment horizontal="right" wrapText="1" readingOrder="1"/>
    </xf>
    <xf numFmtId="0" fontId="21" fillId="0" borderId="12" xfId="0" applyFont="1" applyBorder="1" applyAlignment="1">
      <alignment horizontal="right" wrapText="1" readingOrder="1"/>
    </xf>
    <xf numFmtId="0" fontId="19" fillId="0" borderId="20" xfId="0" applyFont="1" applyBorder="1" applyAlignment="1">
      <alignment horizontal="left" wrapText="1" readingOrder="1"/>
    </xf>
    <xf numFmtId="0" fontId="21" fillId="0" borderId="20" xfId="0" applyFont="1" applyBorder="1" applyAlignment="1">
      <alignment horizontal="left" wrapText="1" readingOrder="1"/>
    </xf>
    <xf numFmtId="0" fontId="21" fillId="0" borderId="20" xfId="0" applyFont="1" applyBorder="1" applyAlignment="1">
      <alignment horizontal="right" wrapText="1" readingOrder="1"/>
    </xf>
    <xf numFmtId="2" fontId="21" fillId="0" borderId="12" xfId="0" applyNumberFormat="1" applyFont="1" applyBorder="1" applyAlignment="1">
      <alignment horizontal="right" wrapText="1" readingOrder="1"/>
    </xf>
    <xf numFmtId="0" fontId="21" fillId="0" borderId="21" xfId="0" applyFont="1" applyBorder="1" applyAlignment="1">
      <alignment horizontal="right" wrapText="1" readingOrder="1"/>
    </xf>
    <xf numFmtId="0" fontId="21" fillId="0" borderId="21" xfId="0" applyFont="1" applyBorder="1" applyAlignment="1">
      <alignment horizontal="left" wrapText="1" readingOrder="1"/>
    </xf>
    <xf numFmtId="0" fontId="24" fillId="0" borderId="2" xfId="0" applyFont="1" applyBorder="1"/>
    <xf numFmtId="0" fontId="24" fillId="0" borderId="6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5" xfId="0" applyFont="1" applyBorder="1"/>
    <xf numFmtId="0" fontId="24" fillId="0" borderId="8" xfId="0" applyFont="1" applyBorder="1"/>
    <xf numFmtId="0" fontId="22" fillId="3" borderId="0" xfId="0" applyFont="1" applyFill="1" applyAlignment="1">
      <alignment horizontal="center"/>
    </xf>
    <xf numFmtId="4" fontId="6" fillId="0" borderId="0" xfId="0" applyNumberFormat="1" applyFont="1"/>
    <xf numFmtId="4" fontId="25" fillId="0" borderId="0" xfId="0" applyNumberFormat="1" applyFont="1"/>
    <xf numFmtId="4" fontId="7" fillId="0" borderId="0" xfId="0" applyNumberFormat="1" applyFont="1"/>
    <xf numFmtId="165" fontId="13" fillId="0" borderId="3" xfId="1" applyNumberFormat="1" applyFont="1" applyFill="1" applyBorder="1"/>
    <xf numFmtId="9" fontId="5" fillId="0" borderId="3" xfId="0" applyNumberFormat="1" applyFont="1" applyBorder="1"/>
    <xf numFmtId="0" fontId="5" fillId="0" borderId="3" xfId="0" applyFont="1" applyBorder="1"/>
    <xf numFmtId="4" fontId="13" fillId="0" borderId="3" xfId="0" applyNumberFormat="1" applyFont="1" applyBorder="1"/>
    <xf numFmtId="4" fontId="13" fillId="0" borderId="0" xfId="0" applyNumberFormat="1" applyFont="1"/>
    <xf numFmtId="4" fontId="12" fillId="0" borderId="9" xfId="0" applyNumberFormat="1" applyFont="1" applyBorder="1"/>
    <xf numFmtId="4" fontId="26" fillId="0" borderId="0" xfId="0" applyNumberFormat="1" applyFont="1"/>
    <xf numFmtId="0" fontId="13" fillId="0" borderId="1" xfId="0" applyFont="1" applyBorder="1"/>
    <xf numFmtId="4" fontId="13" fillId="0" borderId="5" xfId="0" applyNumberFormat="1" applyFont="1" applyBorder="1"/>
    <xf numFmtId="4" fontId="5" fillId="0" borderId="5" xfId="0" applyNumberFormat="1" applyFont="1" applyBorder="1"/>
    <xf numFmtId="0" fontId="6" fillId="3" borderId="0" xfId="0" applyFont="1" applyFill="1"/>
    <xf numFmtId="0" fontId="13" fillId="3" borderId="4" xfId="0" applyFont="1" applyFill="1" applyBorder="1"/>
    <xf numFmtId="4" fontId="13" fillId="3" borderId="3" xfId="0" applyNumberFormat="1" applyFont="1" applyFill="1" applyBorder="1"/>
    <xf numFmtId="0" fontId="5" fillId="0" borderId="2" xfId="0" applyFont="1" applyBorder="1"/>
    <xf numFmtId="0" fontId="13" fillId="0" borderId="5" xfId="0" applyFont="1" applyBorder="1"/>
    <xf numFmtId="0" fontId="12" fillId="0" borderId="13" xfId="0" applyFont="1" applyBorder="1"/>
    <xf numFmtId="0" fontId="12" fillId="0" borderId="0" xfId="0" applyFont="1"/>
    <xf numFmtId="4" fontId="13" fillId="0" borderId="9" xfId="0" applyNumberFormat="1" applyFont="1" applyBorder="1"/>
    <xf numFmtId="0" fontId="12" fillId="0" borderId="6" xfId="0" applyFont="1" applyBorder="1"/>
    <xf numFmtId="4" fontId="13" fillId="0" borderId="8" xfId="0" applyNumberFormat="1" applyFont="1" applyBorder="1"/>
    <xf numFmtId="4" fontId="13" fillId="0" borderId="13" xfId="0" applyNumberFormat="1" applyFont="1" applyBorder="1"/>
    <xf numFmtId="9" fontId="12" fillId="0" borderId="13" xfId="2" applyFont="1" applyBorder="1"/>
    <xf numFmtId="9" fontId="5" fillId="0" borderId="5" xfId="2" applyFont="1" applyBorder="1"/>
    <xf numFmtId="4" fontId="13" fillId="0" borderId="1" xfId="0" applyNumberFormat="1" applyFont="1" applyBorder="1"/>
    <xf numFmtId="9" fontId="5" fillId="0" borderId="1" xfId="2" applyFont="1" applyBorder="1"/>
    <xf numFmtId="9" fontId="12" fillId="0" borderId="6" xfId="2" applyFont="1" applyBorder="1"/>
    <xf numFmtId="4" fontId="5" fillId="0" borderId="1" xfId="0" applyNumberFormat="1" applyFont="1" applyBorder="1"/>
    <xf numFmtId="0" fontId="5" fillId="0" borderId="5" xfId="0" applyFont="1" applyBorder="1"/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1" fillId="0" borderId="5" xfId="0" applyFont="1" applyBorder="1" applyAlignment="1">
      <alignment horizontal="right" wrapText="1" readingOrder="1"/>
    </xf>
    <xf numFmtId="0" fontId="20" fillId="0" borderId="22" xfId="0" applyFont="1" applyBorder="1" applyAlignment="1">
      <alignment wrapText="1"/>
    </xf>
    <xf numFmtId="0" fontId="21" fillId="0" borderId="23" xfId="0" applyFont="1" applyBorder="1" applyAlignment="1">
      <alignment horizontal="left" wrapText="1" readingOrder="1"/>
    </xf>
    <xf numFmtId="0" fontId="21" fillId="0" borderId="24" xfId="0" applyFont="1" applyBorder="1" applyAlignment="1">
      <alignment horizontal="right" wrapText="1" readingOrder="1"/>
    </xf>
    <xf numFmtId="0" fontId="21" fillId="0" borderId="25" xfId="0" applyFont="1" applyBorder="1" applyAlignment="1">
      <alignment horizontal="left" wrapText="1" readingOrder="1"/>
    </xf>
    <xf numFmtId="0" fontId="21" fillId="0" borderId="26" xfId="0" applyFont="1" applyBorder="1" applyAlignment="1">
      <alignment horizontal="left" wrapText="1" readingOrder="1"/>
    </xf>
    <xf numFmtId="4" fontId="21" fillId="0" borderId="26" xfId="0" applyNumberFormat="1" applyFont="1" applyBorder="1" applyAlignment="1">
      <alignment horizontal="right" wrapText="1" readingOrder="1"/>
    </xf>
    <xf numFmtId="0" fontId="21" fillId="0" borderId="5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right" wrapText="1" readingOrder="1"/>
    </xf>
    <xf numFmtId="0" fontId="21" fillId="0" borderId="27" xfId="0" applyFont="1" applyBorder="1" applyAlignment="1">
      <alignment horizontal="left" wrapText="1" readingOrder="1"/>
    </xf>
    <xf numFmtId="0" fontId="22" fillId="0" borderId="5" xfId="0" applyFont="1" applyBorder="1" applyAlignment="1">
      <alignment wrapText="1"/>
    </xf>
    <xf numFmtId="0" fontId="26" fillId="0" borderId="9" xfId="0" applyFont="1" applyBorder="1"/>
    <xf numFmtId="9" fontId="26" fillId="0" borderId="9" xfId="0" applyNumberFormat="1" applyFont="1" applyBorder="1"/>
    <xf numFmtId="165" fontId="13" fillId="0" borderId="9" xfId="1" applyNumberFormat="1" applyFont="1" applyFill="1" applyBorder="1"/>
    <xf numFmtId="0" fontId="26" fillId="0" borderId="8" xfId="0" applyFont="1" applyBorder="1"/>
    <xf numFmtId="0" fontId="12" fillId="0" borderId="17" xfId="0" applyFont="1" applyBorder="1"/>
    <xf numFmtId="0" fontId="13" fillId="0" borderId="14" xfId="0" applyFont="1" applyBorder="1"/>
    <xf numFmtId="0" fontId="9" fillId="3" borderId="0" xfId="0" quotePrefix="1" applyFont="1" applyFill="1" applyAlignment="1">
      <alignment horizontal="left"/>
    </xf>
    <xf numFmtId="0" fontId="13" fillId="0" borderId="15" xfId="0" applyFont="1" applyBorder="1"/>
    <xf numFmtId="0" fontId="13" fillId="0" borderId="14" xfId="0" quotePrefix="1" applyFont="1" applyBorder="1" applyAlignment="1">
      <alignment horizontal="left"/>
    </xf>
    <xf numFmtId="0" fontId="13" fillId="0" borderId="17" xfId="0" applyFont="1" applyBorder="1"/>
    <xf numFmtId="0" fontId="12" fillId="0" borderId="7" xfId="0" applyFont="1" applyBorder="1"/>
    <xf numFmtId="0" fontId="13" fillId="0" borderId="4" xfId="0" applyFont="1" applyBorder="1"/>
    <xf numFmtId="4" fontId="13" fillId="3" borderId="13" xfId="0" applyNumberFormat="1" applyFont="1" applyFill="1" applyBorder="1"/>
    <xf numFmtId="4" fontId="13" fillId="3" borderId="6" xfId="0" applyNumberFormat="1" applyFont="1" applyFill="1" applyBorder="1"/>
    <xf numFmtId="0" fontId="24" fillId="0" borderId="1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8" fillId="0" borderId="15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9" xfId="0" quotePrefix="1" applyFont="1" applyBorder="1" applyAlignment="1">
      <alignment horizontal="left"/>
    </xf>
    <xf numFmtId="3" fontId="10" fillId="5" borderId="5" xfId="0" quotePrefix="1" applyNumberFormat="1" applyFont="1" applyFill="1" applyBorder="1" applyAlignment="1">
      <alignment horizontal="center"/>
    </xf>
    <xf numFmtId="3" fontId="10" fillId="4" borderId="5" xfId="0" quotePrefix="1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 applyProtection="1">
      <alignment horizontal="center"/>
      <protection locked="0"/>
    </xf>
    <xf numFmtId="3" fontId="11" fillId="5" borderId="5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15" fillId="2" borderId="5" xfId="0" quotePrefix="1" applyFont="1" applyFill="1" applyBorder="1" applyAlignment="1" applyProtection="1">
      <alignment horizontal="center"/>
      <protection locked="0"/>
    </xf>
    <xf numFmtId="1" fontId="15" fillId="2" borderId="5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3" fontId="11" fillId="5" borderId="9" xfId="0" applyNumberFormat="1" applyFont="1" applyFill="1" applyBorder="1" applyAlignment="1" applyProtection="1">
      <alignment horizontal="center"/>
      <protection locked="0"/>
    </xf>
    <xf numFmtId="3" fontId="11" fillId="4" borderId="9" xfId="0" applyNumberFormat="1" applyFont="1" applyFill="1" applyBorder="1" applyAlignment="1" applyProtection="1">
      <alignment horizontal="center"/>
      <protection locked="0"/>
    </xf>
    <xf numFmtId="0" fontId="15" fillId="2" borderId="9" xfId="0" quotePrefix="1" applyFont="1" applyFill="1" applyBorder="1" applyAlignment="1" applyProtection="1">
      <alignment horizontal="center"/>
      <protection locked="0"/>
    </xf>
    <xf numFmtId="1" fontId="15" fillId="2" borderId="9" xfId="0" quotePrefix="1" applyNumberFormat="1" applyFont="1" applyFill="1" applyBorder="1" applyAlignment="1" applyProtection="1">
      <alignment horizontal="center"/>
      <protection locked="0"/>
    </xf>
    <xf numFmtId="3" fontId="11" fillId="4" borderId="9" xfId="0" quotePrefix="1" applyNumberFormat="1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5" xfId="0" quotePrefix="1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5" fillId="2" borderId="9" xfId="0" quotePrefix="1" applyFont="1" applyFill="1" applyBorder="1" applyAlignment="1" applyProtection="1">
      <alignment horizontal="left"/>
      <protection locked="0"/>
    </xf>
    <xf numFmtId="0" fontId="8" fillId="0" borderId="14" xfId="0" applyFont="1" applyBorder="1"/>
    <xf numFmtId="0" fontId="24" fillId="0" borderId="1" xfId="0" applyFont="1" applyBorder="1"/>
    <xf numFmtId="1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 applyProtection="1">
      <alignment horizontal="right"/>
      <protection locked="0"/>
    </xf>
    <xf numFmtId="3" fontId="15" fillId="0" borderId="9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right"/>
    </xf>
    <xf numFmtId="2" fontId="8" fillId="0" borderId="8" xfId="0" quotePrefix="1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 applyProtection="1">
      <alignment horizontal="right"/>
      <protection locked="0"/>
    </xf>
    <xf numFmtId="3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3" fontId="11" fillId="5" borderId="13" xfId="0" applyNumberFormat="1" applyFont="1" applyFill="1" applyBorder="1" applyAlignment="1">
      <alignment horizontal="right"/>
    </xf>
    <xf numFmtId="3" fontId="11" fillId="4" borderId="13" xfId="0" applyNumberFormat="1" applyFont="1" applyFill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1" fontId="11" fillId="2" borderId="13" xfId="0" applyNumberFormat="1" applyFont="1" applyFill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8" fillId="0" borderId="16" xfId="0" applyFont="1" applyBorder="1" applyAlignment="1">
      <alignment vertical="top" wrapText="1"/>
    </xf>
    <xf numFmtId="0" fontId="14" fillId="3" borderId="0" xfId="0" applyFont="1" applyFill="1" applyAlignment="1">
      <alignment horizontal="center"/>
    </xf>
    <xf numFmtId="0" fontId="10" fillId="0" borderId="0" xfId="0" quotePrefix="1" applyFont="1" applyAlignment="1">
      <alignment horizontal="left"/>
    </xf>
    <xf numFmtId="0" fontId="8" fillId="0" borderId="0" xfId="0" applyFont="1"/>
    <xf numFmtId="0" fontId="27" fillId="3" borderId="0" xfId="0" applyFont="1" applyFill="1" applyAlignment="1">
      <alignment horizontal="left" wrapText="1" readingOrder="1"/>
    </xf>
    <xf numFmtId="0" fontId="22" fillId="3" borderId="0" xfId="0" applyFont="1" applyFill="1" applyAlignment="1">
      <alignment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0000"/>
      <color rgb="FFFFEEF1"/>
      <color rgb="FF36FF8F"/>
      <color rgb="FFFF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zoomScale="158" zoomScaleNormal="90" workbookViewId="0">
      <selection activeCell="A51" sqref="A51"/>
    </sheetView>
  </sheetViews>
  <sheetFormatPr baseColWidth="10" defaultColWidth="9.19921875" defaultRowHeight="14" x14ac:dyDescent="0.2"/>
  <cols>
    <col min="1" max="1" width="45.796875" style="1" customWidth="1"/>
    <col min="2" max="2" width="15.796875" style="1" customWidth="1"/>
    <col min="3" max="3" width="17.19921875" style="1" customWidth="1"/>
    <col min="4" max="4" width="12.59765625" style="1" customWidth="1"/>
    <col min="5" max="5" width="21.59765625" style="1" customWidth="1"/>
    <col min="6" max="16384" width="9.19921875" style="1"/>
  </cols>
  <sheetData>
    <row r="1" spans="1:5" ht="30" customHeight="1" x14ac:dyDescent="0.25">
      <c r="A1" s="107" t="s">
        <v>0</v>
      </c>
      <c r="B1" s="69"/>
      <c r="C1" s="69"/>
      <c r="D1" s="69"/>
      <c r="E1" s="69"/>
    </row>
    <row r="2" spans="1:5" ht="15" x14ac:dyDescent="0.2">
      <c r="A2" s="75" t="s">
        <v>1</v>
      </c>
      <c r="B2" s="75" t="s">
        <v>126</v>
      </c>
      <c r="C2" s="75" t="s">
        <v>127</v>
      </c>
      <c r="D2" s="75" t="s">
        <v>2</v>
      </c>
      <c r="E2" s="75" t="s">
        <v>128</v>
      </c>
    </row>
    <row r="3" spans="1:5" ht="15" x14ac:dyDescent="0.2">
      <c r="A3" s="106" t="s">
        <v>3</v>
      </c>
      <c r="B3" s="101">
        <v>500000</v>
      </c>
      <c r="C3" s="102">
        <v>0.3</v>
      </c>
      <c r="D3" s="103">
        <f>B3*1.3</f>
        <v>650000</v>
      </c>
      <c r="E3" s="104">
        <v>1750</v>
      </c>
    </row>
    <row r="4" spans="1:5" ht="15" x14ac:dyDescent="0.2">
      <c r="A4" s="106"/>
      <c r="B4" s="60"/>
      <c r="C4" s="60"/>
      <c r="D4" s="59"/>
      <c r="E4" s="72"/>
    </row>
    <row r="5" spans="1:5" ht="15" x14ac:dyDescent="0.2">
      <c r="A5" s="108"/>
      <c r="B5" s="60"/>
      <c r="C5" s="61"/>
      <c r="D5" s="59"/>
      <c r="E5" s="72"/>
    </row>
    <row r="6" spans="1:5" ht="15" x14ac:dyDescent="0.2">
      <c r="A6" s="105" t="s">
        <v>4</v>
      </c>
      <c r="B6" s="74" t="s">
        <v>5</v>
      </c>
      <c r="C6" s="74" t="s">
        <v>6</v>
      </c>
      <c r="D6" s="74" t="s">
        <v>7</v>
      </c>
      <c r="E6" s="77" t="s">
        <v>8</v>
      </c>
    </row>
    <row r="7" spans="1:5" ht="15" x14ac:dyDescent="0.2">
      <c r="A7" s="106" t="s">
        <v>101</v>
      </c>
      <c r="B7" s="68">
        <v>1200</v>
      </c>
      <c r="C7" s="68">
        <f>(270*1.25)+312.5</f>
        <v>650</v>
      </c>
      <c r="D7" s="68"/>
      <c r="E7" s="85"/>
    </row>
    <row r="8" spans="1:5" ht="15" x14ac:dyDescent="0.2">
      <c r="A8" s="106" t="s">
        <v>9</v>
      </c>
      <c r="B8" s="86">
        <v>7</v>
      </c>
      <c r="C8" s="86">
        <v>8</v>
      </c>
      <c r="D8" s="67"/>
      <c r="E8" s="82"/>
    </row>
    <row r="9" spans="1:5" ht="15" x14ac:dyDescent="0.2">
      <c r="A9" s="106" t="s">
        <v>10</v>
      </c>
      <c r="B9" s="67">
        <f>B7*B8</f>
        <v>8400</v>
      </c>
      <c r="C9" s="67">
        <f>C7*C8</f>
        <v>5200</v>
      </c>
      <c r="D9" s="67"/>
      <c r="E9" s="82"/>
    </row>
    <row r="10" spans="1:5" ht="15" x14ac:dyDescent="0.2">
      <c r="A10" s="108"/>
      <c r="B10" s="76"/>
      <c r="C10" s="76"/>
      <c r="D10" s="76"/>
      <c r="E10" s="78"/>
    </row>
    <row r="11" spans="1:5" ht="15" x14ac:dyDescent="0.2">
      <c r="A11" s="105" t="s">
        <v>11</v>
      </c>
      <c r="B11" s="79"/>
      <c r="C11" s="79"/>
      <c r="D11" s="79"/>
      <c r="E11" s="82"/>
    </row>
    <row r="12" spans="1:5" ht="15" x14ac:dyDescent="0.2">
      <c r="A12" s="109" t="s">
        <v>102</v>
      </c>
      <c r="B12" s="68">
        <v>170</v>
      </c>
      <c r="C12" s="68">
        <v>270</v>
      </c>
      <c r="D12" s="68"/>
      <c r="E12" s="85"/>
    </row>
    <row r="13" spans="1:5" ht="15" x14ac:dyDescent="0.2">
      <c r="A13" s="109"/>
      <c r="B13" s="67"/>
      <c r="C13" s="67"/>
      <c r="D13" s="67"/>
      <c r="E13" s="82"/>
    </row>
    <row r="14" spans="1:5" ht="15" x14ac:dyDescent="0.2">
      <c r="A14" s="109" t="s">
        <v>12</v>
      </c>
      <c r="B14" s="67">
        <f>B12*B8</f>
        <v>1190</v>
      </c>
      <c r="C14" s="67">
        <f>C12*C8</f>
        <v>2160</v>
      </c>
      <c r="D14" s="67"/>
      <c r="E14" s="82"/>
    </row>
    <row r="15" spans="1:5" ht="15" x14ac:dyDescent="0.2">
      <c r="A15" s="106"/>
      <c r="B15" s="67"/>
      <c r="C15" s="67"/>
      <c r="D15" s="67"/>
      <c r="E15" s="82"/>
    </row>
    <row r="16" spans="1:5" ht="15" x14ac:dyDescent="0.2">
      <c r="A16" s="106" t="s">
        <v>13</v>
      </c>
      <c r="B16" s="67">
        <f>B9-B14</f>
        <v>7210</v>
      </c>
      <c r="C16" s="67">
        <f>C9-C14</f>
        <v>3040</v>
      </c>
      <c r="D16" s="67"/>
      <c r="E16" s="82"/>
    </row>
    <row r="17" spans="1:5" ht="15" x14ac:dyDescent="0.2">
      <c r="A17" s="106"/>
      <c r="B17" s="67"/>
      <c r="C17" s="67"/>
      <c r="D17" s="67"/>
      <c r="E17" s="82"/>
    </row>
    <row r="18" spans="1:5" ht="15" x14ac:dyDescent="0.2">
      <c r="A18" s="106" t="s">
        <v>129</v>
      </c>
      <c r="B18" s="67">
        <f>8*B19</f>
        <v>2971.4285714285716</v>
      </c>
      <c r="C18" s="67">
        <f>2*350</f>
        <v>700</v>
      </c>
      <c r="D18" s="67"/>
      <c r="E18" s="82"/>
    </row>
    <row r="19" spans="1:5" ht="15" x14ac:dyDescent="0.2">
      <c r="A19" s="109" t="s">
        <v>103</v>
      </c>
      <c r="B19" s="67">
        <f>D3/E3</f>
        <v>371.42857142857144</v>
      </c>
      <c r="C19" s="67"/>
      <c r="D19" s="67"/>
      <c r="E19" s="82"/>
    </row>
    <row r="20" spans="1:5" ht="15" x14ac:dyDescent="0.2">
      <c r="A20" s="106"/>
      <c r="B20" s="67"/>
      <c r="C20" s="67"/>
      <c r="D20" s="67"/>
      <c r="E20" s="82"/>
    </row>
    <row r="21" spans="1:5" ht="15" x14ac:dyDescent="0.2">
      <c r="A21" s="108" t="s">
        <v>130</v>
      </c>
      <c r="B21" s="76">
        <f>B16-B18</f>
        <v>4238.5714285714284</v>
      </c>
      <c r="C21" s="76">
        <f>C16-C18</f>
        <v>2340</v>
      </c>
      <c r="D21" s="76"/>
      <c r="E21" s="78"/>
    </row>
    <row r="22" spans="1:5" ht="15" x14ac:dyDescent="0.2">
      <c r="A22" s="105" t="s">
        <v>131</v>
      </c>
      <c r="B22" s="80">
        <f>B21/B9</f>
        <v>0.50459183673469388</v>
      </c>
      <c r="C22" s="80">
        <f>C21/C9</f>
        <v>0.45</v>
      </c>
      <c r="D22" s="80"/>
      <c r="E22" s="84"/>
    </row>
    <row r="23" spans="1:5" ht="15" x14ac:dyDescent="0.2">
      <c r="A23" s="106"/>
      <c r="B23" s="81"/>
      <c r="C23" s="81"/>
      <c r="D23" s="81"/>
      <c r="E23" s="83"/>
    </row>
    <row r="24" spans="1:5" ht="15" x14ac:dyDescent="0.2">
      <c r="A24" s="106"/>
      <c r="B24" s="73"/>
      <c r="C24" s="73"/>
      <c r="D24" s="73"/>
      <c r="E24" s="66"/>
    </row>
    <row r="25" spans="1:5" ht="15" x14ac:dyDescent="0.2">
      <c r="A25" s="106" t="s">
        <v>104</v>
      </c>
      <c r="B25" s="67">
        <v>20</v>
      </c>
      <c r="C25" s="67">
        <v>20</v>
      </c>
      <c r="D25" s="67"/>
      <c r="E25" s="82"/>
    </row>
    <row r="26" spans="1:5" ht="15" x14ac:dyDescent="0.2">
      <c r="A26" s="11" t="s">
        <v>132</v>
      </c>
      <c r="B26" s="76">
        <f>B25*B21</f>
        <v>84771.428571428565</v>
      </c>
      <c r="C26" s="76">
        <f>C25*C21</f>
        <v>46800</v>
      </c>
      <c r="D26" s="76"/>
      <c r="E26" s="78"/>
    </row>
    <row r="27" spans="1:5" ht="15" x14ac:dyDescent="0.2">
      <c r="A27" s="70"/>
      <c r="B27" s="71"/>
      <c r="C27" s="113"/>
      <c r="D27" s="113"/>
      <c r="E27" s="114"/>
    </row>
    <row r="28" spans="1:5" ht="15" x14ac:dyDescent="0.2">
      <c r="A28" s="110" t="s">
        <v>133</v>
      </c>
      <c r="B28" s="79">
        <f>(B9*B25)+(C9*C25)</f>
        <v>272000</v>
      </c>
      <c r="C28" s="63"/>
      <c r="D28" s="63"/>
      <c r="E28" s="63"/>
    </row>
    <row r="29" spans="1:5" ht="15" x14ac:dyDescent="0.2">
      <c r="A29" s="111" t="s">
        <v>134</v>
      </c>
      <c r="B29" s="64">
        <f>B26+C26</f>
        <v>131571.42857142858</v>
      </c>
      <c r="C29" s="65" t="s">
        <v>14</v>
      </c>
      <c r="D29" s="65"/>
      <c r="E29" s="65"/>
    </row>
    <row r="30" spans="1:5" ht="15" x14ac:dyDescent="0.2">
      <c r="A30" s="11"/>
      <c r="B30" s="67"/>
      <c r="C30" s="63"/>
      <c r="D30" s="63"/>
      <c r="E30" s="63"/>
    </row>
    <row r="31" spans="1:5" ht="15" x14ac:dyDescent="0.2">
      <c r="A31" s="75" t="s">
        <v>15</v>
      </c>
      <c r="B31" s="67"/>
      <c r="C31" s="63"/>
      <c r="D31" s="63"/>
      <c r="E31" s="63"/>
    </row>
    <row r="32" spans="1:5" ht="15" x14ac:dyDescent="0.2">
      <c r="A32" s="11" t="s">
        <v>16</v>
      </c>
      <c r="B32" s="67"/>
      <c r="C32" s="63"/>
      <c r="D32" s="63"/>
      <c r="E32" s="63"/>
    </row>
    <row r="33" spans="1:5" ht="15" x14ac:dyDescent="0.2">
      <c r="A33" s="11" t="s">
        <v>17</v>
      </c>
      <c r="B33" s="68"/>
      <c r="C33" s="63"/>
      <c r="D33" s="63"/>
      <c r="E33" s="63"/>
    </row>
    <row r="34" spans="1:5" ht="15" x14ac:dyDescent="0.2">
      <c r="A34" s="11" t="s">
        <v>135</v>
      </c>
      <c r="B34" s="68"/>
      <c r="C34" s="63"/>
      <c r="D34" s="63"/>
      <c r="E34" s="63"/>
    </row>
    <row r="35" spans="1:5" ht="15" x14ac:dyDescent="0.2">
      <c r="A35" s="11" t="s">
        <v>18</v>
      </c>
      <c r="B35" s="68"/>
      <c r="C35" s="63"/>
      <c r="D35" s="63"/>
      <c r="E35" s="63"/>
    </row>
    <row r="36" spans="1:5" ht="15" x14ac:dyDescent="0.2">
      <c r="A36" s="11" t="s">
        <v>19</v>
      </c>
      <c r="B36" s="68"/>
      <c r="C36" s="63"/>
      <c r="D36" s="63"/>
      <c r="E36" s="63"/>
    </row>
    <row r="37" spans="1:5" ht="15" x14ac:dyDescent="0.2">
      <c r="A37" s="11" t="s">
        <v>20</v>
      </c>
      <c r="B37" s="68"/>
      <c r="C37" s="63"/>
      <c r="D37" s="63"/>
      <c r="E37" s="63"/>
    </row>
    <row r="38" spans="1:5" ht="15" x14ac:dyDescent="0.2">
      <c r="A38" s="11" t="s">
        <v>21</v>
      </c>
      <c r="B38" s="68"/>
      <c r="C38" s="63"/>
      <c r="D38" s="11"/>
      <c r="E38" s="63"/>
    </row>
    <row r="39" spans="1:5" ht="15" x14ac:dyDescent="0.2">
      <c r="A39" s="11" t="s">
        <v>22</v>
      </c>
      <c r="B39" s="68"/>
      <c r="C39" s="63"/>
      <c r="D39" s="63"/>
      <c r="E39" s="63"/>
    </row>
    <row r="40" spans="1:5" ht="15" x14ac:dyDescent="0.2">
      <c r="A40" s="11" t="s">
        <v>23</v>
      </c>
      <c r="B40" s="68"/>
      <c r="C40" s="63"/>
      <c r="D40" s="63"/>
      <c r="E40" s="63"/>
    </row>
    <row r="41" spans="1:5" ht="15" x14ac:dyDescent="0.2">
      <c r="A41" s="11" t="s">
        <v>24</v>
      </c>
      <c r="B41" s="68"/>
      <c r="C41" s="63"/>
      <c r="D41" s="63"/>
      <c r="E41" s="63"/>
    </row>
    <row r="42" spans="1:5" ht="15" x14ac:dyDescent="0.2">
      <c r="A42" s="11" t="s">
        <v>25</v>
      </c>
      <c r="B42" s="68"/>
      <c r="C42" s="63"/>
      <c r="D42" s="63"/>
      <c r="E42" s="63"/>
    </row>
    <row r="43" spans="1:5" ht="15" x14ac:dyDescent="0.2">
      <c r="A43" s="11" t="s">
        <v>26</v>
      </c>
      <c r="B43" s="68"/>
      <c r="C43" s="63"/>
      <c r="D43" s="63"/>
      <c r="E43" s="63"/>
    </row>
    <row r="44" spans="1:5" ht="15" x14ac:dyDescent="0.2">
      <c r="A44" s="11" t="s">
        <v>27</v>
      </c>
      <c r="B44" s="68"/>
      <c r="C44" s="63"/>
      <c r="D44" s="63"/>
      <c r="E44" s="63"/>
    </row>
    <row r="45" spans="1:5" ht="15" x14ac:dyDescent="0.2">
      <c r="A45" s="112" t="s">
        <v>136</v>
      </c>
      <c r="B45" s="62"/>
      <c r="C45" s="63"/>
      <c r="D45" s="63"/>
      <c r="E45" s="63"/>
    </row>
    <row r="46" spans="1:5" ht="15" x14ac:dyDescent="0.2">
      <c r="A46" s="11"/>
      <c r="B46" s="67"/>
      <c r="C46" s="63"/>
      <c r="D46" s="63"/>
      <c r="E46" s="63"/>
    </row>
    <row r="47" spans="1:5" ht="15" x14ac:dyDescent="0.2">
      <c r="A47" s="112" t="s">
        <v>28</v>
      </c>
      <c r="B47" s="62"/>
      <c r="C47" s="63"/>
      <c r="D47" s="63"/>
      <c r="E47" s="63"/>
    </row>
    <row r="48" spans="1:5" ht="15" x14ac:dyDescent="0.2">
      <c r="A48" s="11"/>
      <c r="B48" s="67"/>
      <c r="C48" s="63"/>
      <c r="D48" s="63"/>
      <c r="E48" s="63"/>
    </row>
    <row r="49" spans="1:5" ht="15" x14ac:dyDescent="0.2">
      <c r="A49" s="11" t="s">
        <v>29</v>
      </c>
      <c r="B49" s="68"/>
      <c r="C49" s="63"/>
      <c r="D49" s="63"/>
      <c r="E49" s="63"/>
    </row>
    <row r="50" spans="1:5" ht="15" x14ac:dyDescent="0.2">
      <c r="A50" s="11"/>
      <c r="B50" s="67"/>
      <c r="C50" s="63"/>
      <c r="D50" s="63"/>
      <c r="E50" s="63"/>
    </row>
    <row r="51" spans="1:5" ht="15" x14ac:dyDescent="0.2">
      <c r="A51" s="106" t="s">
        <v>30</v>
      </c>
      <c r="B51" s="67"/>
      <c r="C51" s="63"/>
      <c r="D51" s="63"/>
      <c r="E51" s="63"/>
    </row>
    <row r="52" spans="1:5" ht="15" x14ac:dyDescent="0.2">
      <c r="A52" s="11"/>
      <c r="B52" s="63"/>
      <c r="C52" s="63"/>
      <c r="D52" s="63"/>
      <c r="E52" s="63"/>
    </row>
    <row r="53" spans="1:5" x14ac:dyDescent="0.2">
      <c r="B53" s="57"/>
      <c r="C53" s="56"/>
      <c r="D53" s="56"/>
      <c r="E53" s="56"/>
    </row>
    <row r="54" spans="1:5" x14ac:dyDescent="0.2">
      <c r="B54" s="57"/>
      <c r="C54" s="56"/>
      <c r="D54" s="56"/>
      <c r="E54" s="56"/>
    </row>
    <row r="55" spans="1:5" x14ac:dyDescent="0.2">
      <c r="B55" s="57"/>
      <c r="C55" s="56"/>
      <c r="D55" s="56"/>
      <c r="E55" s="56"/>
    </row>
    <row r="56" spans="1:5" x14ac:dyDescent="0.2">
      <c r="A56" s="2"/>
      <c r="B56" s="58"/>
      <c r="C56" s="56"/>
      <c r="D56" s="56"/>
      <c r="E56" s="56"/>
    </row>
    <row r="57" spans="1:5" x14ac:dyDescent="0.2">
      <c r="B57" s="56"/>
      <c r="C57" s="56"/>
      <c r="D57" s="56"/>
      <c r="E57" s="56"/>
    </row>
    <row r="58" spans="1:5" x14ac:dyDescent="0.2">
      <c r="B58" s="56"/>
      <c r="C58" s="56"/>
      <c r="D58" s="56"/>
      <c r="E58" s="56"/>
    </row>
  </sheetData>
  <printOptions gridLines="1" gridLinesSet="0"/>
  <pageMargins left="0.75" right="0.75" top="1" bottom="1" header="0.5" footer="0.5"/>
  <pageSetup paperSize="9" scale="47" orientation="portrait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zoomScale="157" workbookViewId="0">
      <selection activeCell="A6" sqref="A6:XFD6"/>
    </sheetView>
  </sheetViews>
  <sheetFormatPr baseColWidth="10" defaultColWidth="12" defaultRowHeight="13" x14ac:dyDescent="0.15"/>
  <cols>
    <col min="1" max="1" width="31.796875" bestFit="1" customWidth="1"/>
    <col min="2" max="2" width="37.796875" customWidth="1"/>
    <col min="3" max="3" width="13.59765625" bestFit="1" customWidth="1"/>
  </cols>
  <sheetData>
    <row r="1" spans="1:4" s="129" customFormat="1" ht="30" customHeight="1" x14ac:dyDescent="0.3">
      <c r="A1" s="55"/>
      <c r="B1" s="55" t="s">
        <v>31</v>
      </c>
      <c r="C1" s="55"/>
      <c r="D1" s="55"/>
    </row>
    <row r="2" spans="1:4" ht="16" x14ac:dyDescent="0.2">
      <c r="A2" s="115" t="s">
        <v>32</v>
      </c>
      <c r="B2" s="116" t="s">
        <v>33</v>
      </c>
      <c r="C2" s="116" t="s">
        <v>34</v>
      </c>
      <c r="D2" s="117" t="s">
        <v>35</v>
      </c>
    </row>
    <row r="3" spans="1:4" ht="16" x14ac:dyDescent="0.2">
      <c r="A3" s="139" t="s">
        <v>11</v>
      </c>
      <c r="B3" s="119" t="s">
        <v>36</v>
      </c>
      <c r="C3" s="119">
        <v>0.5</v>
      </c>
      <c r="D3" s="140">
        <v>3</v>
      </c>
    </row>
    <row r="4" spans="1:4" ht="16" x14ac:dyDescent="0.2">
      <c r="A4" s="139"/>
      <c r="B4" s="119" t="s">
        <v>37</v>
      </c>
      <c r="C4" s="119">
        <v>0.5</v>
      </c>
      <c r="D4" s="140"/>
    </row>
    <row r="5" spans="1:4" ht="16" x14ac:dyDescent="0.2">
      <c r="A5" s="139"/>
      <c r="B5" s="119" t="s">
        <v>38</v>
      </c>
      <c r="C5" s="119">
        <v>2</v>
      </c>
      <c r="D5" s="140"/>
    </row>
    <row r="6" spans="1:4" ht="16" x14ac:dyDescent="0.2">
      <c r="A6" s="52" t="s">
        <v>124</v>
      </c>
      <c r="B6" s="32" t="s">
        <v>39</v>
      </c>
      <c r="C6" s="32">
        <v>2.4</v>
      </c>
      <c r="D6" s="50">
        <v>3</v>
      </c>
    </row>
    <row r="7" spans="1:4" ht="16" x14ac:dyDescent="0.2">
      <c r="A7" s="139"/>
      <c r="B7" s="119" t="s">
        <v>40</v>
      </c>
      <c r="C7" s="119">
        <v>0.5</v>
      </c>
      <c r="D7" s="140"/>
    </row>
    <row r="8" spans="1:4" ht="16" x14ac:dyDescent="0.2">
      <c r="A8" s="53"/>
      <c r="B8" s="27" t="s">
        <v>41</v>
      </c>
      <c r="C8" s="27">
        <v>0.1</v>
      </c>
      <c r="D8" s="54"/>
    </row>
    <row r="9" spans="1:4" ht="35" customHeight="1" x14ac:dyDescent="0.2">
      <c r="A9" s="171" t="s">
        <v>125</v>
      </c>
      <c r="B9" s="24"/>
      <c r="C9" s="24"/>
      <c r="D9" s="49">
        <v>6</v>
      </c>
    </row>
    <row r="10" spans="1:4" ht="16" x14ac:dyDescent="0.2">
      <c r="A10" s="51" t="s">
        <v>42</v>
      </c>
      <c r="B10" s="24"/>
      <c r="C10" s="24"/>
      <c r="D10" s="49">
        <v>10</v>
      </c>
    </row>
    <row r="11" spans="1:4" ht="16" x14ac:dyDescent="0.2">
      <c r="A11" s="51" t="s">
        <v>43</v>
      </c>
      <c r="B11" s="24"/>
      <c r="C11" s="24"/>
      <c r="D11" s="49">
        <v>16</v>
      </c>
    </row>
    <row r="12" spans="1:4" ht="16" x14ac:dyDescent="0.2">
      <c r="A12" s="52" t="s">
        <v>44</v>
      </c>
      <c r="B12" s="32"/>
      <c r="C12" s="32"/>
      <c r="D12" s="50">
        <v>20</v>
      </c>
    </row>
  </sheetData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33"/>
  <sheetViews>
    <sheetView zoomScale="113" zoomScaleNormal="88" workbookViewId="0">
      <selection activeCell="F29" sqref="F29"/>
    </sheetView>
  </sheetViews>
  <sheetFormatPr baseColWidth="10" defaultColWidth="12" defaultRowHeight="13" x14ac:dyDescent="0.15"/>
  <cols>
    <col min="1" max="1" width="10.796875" customWidth="1"/>
    <col min="2" max="2" width="31.796875" customWidth="1"/>
    <col min="3" max="3" width="15" bestFit="1" customWidth="1"/>
    <col min="4" max="4" width="18.3984375" bestFit="1" customWidth="1"/>
    <col min="5" max="5" width="15" bestFit="1" customWidth="1"/>
    <col min="6" max="6" width="19.796875" customWidth="1"/>
    <col min="7" max="7" width="21.796875" customWidth="1"/>
    <col min="8" max="8" width="16.796875" bestFit="1" customWidth="1"/>
    <col min="9" max="9" width="19.3984375" customWidth="1"/>
    <col min="10" max="10" width="16.19921875" bestFit="1" customWidth="1"/>
    <col min="11" max="11" width="11.59765625" bestFit="1" customWidth="1"/>
    <col min="12" max="12" width="20.3984375" customWidth="1"/>
    <col min="13" max="13" width="12.3984375" bestFit="1" customWidth="1"/>
    <col min="14" max="14" width="18.19921875" customWidth="1"/>
    <col min="15" max="15" width="17.3984375" bestFit="1" customWidth="1"/>
    <col min="16" max="16" width="15" bestFit="1" customWidth="1"/>
    <col min="17" max="17" width="37.19921875" bestFit="1" customWidth="1"/>
  </cols>
  <sheetData>
    <row r="3" spans="1:18" ht="30" customHeight="1" x14ac:dyDescent="0.3">
      <c r="A3" s="172" t="s">
        <v>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8" ht="16" x14ac:dyDescent="0.2">
      <c r="A4" s="4" t="s">
        <v>46</v>
      </c>
      <c r="B4" s="5"/>
      <c r="C4" s="173" t="s">
        <v>47</v>
      </c>
      <c r="D4" s="174"/>
      <c r="E4" s="174"/>
      <c r="F4" s="174"/>
      <c r="G4" s="174"/>
      <c r="H4" s="174"/>
      <c r="I4" s="174"/>
      <c r="J4" s="174"/>
      <c r="K4" s="3"/>
      <c r="L4" s="3"/>
      <c r="M4" s="3"/>
      <c r="N4" s="3"/>
      <c r="O4" s="3"/>
      <c r="P4" s="3"/>
      <c r="Q4" s="3"/>
      <c r="R4" s="3"/>
    </row>
    <row r="5" spans="1:18" ht="16" x14ac:dyDescent="0.2">
      <c r="A5" s="5"/>
      <c r="B5" s="5"/>
      <c r="C5" s="3"/>
      <c r="D5" s="3"/>
      <c r="E5" s="3"/>
      <c r="F5" s="3"/>
      <c r="G5" s="29" t="s">
        <v>48</v>
      </c>
      <c r="H5" s="28"/>
      <c r="I5" s="30"/>
      <c r="J5" s="3"/>
      <c r="K5" s="3"/>
      <c r="L5" s="3"/>
      <c r="M5" s="3"/>
      <c r="N5" s="3"/>
      <c r="O5" s="3"/>
      <c r="P5" s="3"/>
      <c r="Q5" s="3"/>
      <c r="R5" s="3"/>
    </row>
    <row r="6" spans="1:18" ht="16" x14ac:dyDescent="0.2">
      <c r="A6" s="136" t="s">
        <v>106</v>
      </c>
      <c r="B6" s="136" t="s">
        <v>49</v>
      </c>
      <c r="C6" s="127" t="s">
        <v>50</v>
      </c>
      <c r="D6" s="127" t="s">
        <v>51</v>
      </c>
      <c r="E6" s="127" t="s">
        <v>52</v>
      </c>
      <c r="F6" s="127" t="s">
        <v>53</v>
      </c>
      <c r="G6" s="121" t="s">
        <v>54</v>
      </c>
      <c r="H6" s="122" t="s">
        <v>54</v>
      </c>
      <c r="I6" s="127" t="s">
        <v>55</v>
      </c>
      <c r="J6" s="127" t="s">
        <v>56</v>
      </c>
      <c r="K6" s="127" t="s">
        <v>57</v>
      </c>
      <c r="L6" s="127" t="s">
        <v>58</v>
      </c>
      <c r="M6" s="127" t="s">
        <v>59</v>
      </c>
      <c r="N6" s="128" t="s">
        <v>60</v>
      </c>
      <c r="O6" s="124" t="s">
        <v>56</v>
      </c>
      <c r="P6" s="123" t="s">
        <v>56</v>
      </c>
      <c r="Q6" s="126" t="s">
        <v>111</v>
      </c>
      <c r="R6" s="3"/>
    </row>
    <row r="7" spans="1:18" ht="16" x14ac:dyDescent="0.2">
      <c r="A7" s="138" t="s">
        <v>61</v>
      </c>
      <c r="B7" s="137"/>
      <c r="C7" s="135"/>
      <c r="D7" s="132" t="s">
        <v>62</v>
      </c>
      <c r="E7" s="132" t="s">
        <v>63</v>
      </c>
      <c r="F7" s="132" t="s">
        <v>64</v>
      </c>
      <c r="G7" s="130" t="s">
        <v>65</v>
      </c>
      <c r="H7" s="131" t="s">
        <v>66</v>
      </c>
      <c r="I7" s="132" t="s">
        <v>67</v>
      </c>
      <c r="J7" s="132" t="s">
        <v>105</v>
      </c>
      <c r="K7" s="132" t="s">
        <v>68</v>
      </c>
      <c r="L7" s="132" t="s">
        <v>69</v>
      </c>
      <c r="M7" s="132" t="s">
        <v>70</v>
      </c>
      <c r="N7" s="133" t="s">
        <v>71</v>
      </c>
      <c r="O7" s="130" t="s">
        <v>72</v>
      </c>
      <c r="P7" s="134" t="s">
        <v>73</v>
      </c>
      <c r="Q7" s="125"/>
      <c r="R7" s="3"/>
    </row>
    <row r="8" spans="1:18" ht="16" x14ac:dyDescent="0.2">
      <c r="A8" s="118">
        <v>1</v>
      </c>
      <c r="B8" s="120" t="s">
        <v>114</v>
      </c>
      <c r="C8" s="141">
        <v>15</v>
      </c>
      <c r="D8" s="142">
        <v>1043</v>
      </c>
      <c r="E8" s="143">
        <f>C8*D8</f>
        <v>15645</v>
      </c>
      <c r="F8" s="144">
        <v>1.1499999999999999</v>
      </c>
      <c r="G8" s="145">
        <f t="shared" ref="G8:G20" si="0">E8*F8</f>
        <v>17991.75</v>
      </c>
      <c r="H8" s="146">
        <f>G8*1.15</f>
        <v>20690.512499999997</v>
      </c>
      <c r="I8" s="147">
        <f t="shared" ref="I8:I17" si="1">(G8-E8)/G8*100</f>
        <v>13.043478260869565</v>
      </c>
      <c r="J8" s="147"/>
      <c r="K8" s="147"/>
      <c r="L8" s="148">
        <f t="shared" ref="L8:L13" si="2">J8*K8</f>
        <v>0</v>
      </c>
      <c r="M8" s="148"/>
      <c r="N8" s="149"/>
      <c r="O8" s="145">
        <f>L8*K8</f>
        <v>0</v>
      </c>
      <c r="P8" s="146">
        <f>O8*1.15</f>
        <v>0</v>
      </c>
      <c r="Q8" s="150" t="s">
        <v>112</v>
      </c>
      <c r="R8" s="3"/>
    </row>
    <row r="9" spans="1:18" ht="16" x14ac:dyDescent="0.2">
      <c r="A9" s="33">
        <v>2</v>
      </c>
      <c r="B9" s="26" t="s">
        <v>74</v>
      </c>
      <c r="C9" s="151">
        <f>15*10</f>
        <v>150</v>
      </c>
      <c r="D9" s="152">
        <v>20</v>
      </c>
      <c r="E9" s="153">
        <f t="shared" ref="E9:E20" si="3">C9*D9</f>
        <v>3000</v>
      </c>
      <c r="F9" s="154">
        <v>2</v>
      </c>
      <c r="G9" s="155">
        <f t="shared" si="0"/>
        <v>6000</v>
      </c>
      <c r="H9" s="156">
        <f>G9*1.25</f>
        <v>7500</v>
      </c>
      <c r="I9" s="157">
        <f t="shared" si="1"/>
        <v>50</v>
      </c>
      <c r="J9" s="157"/>
      <c r="K9" s="157"/>
      <c r="L9" s="158">
        <f t="shared" si="2"/>
        <v>0</v>
      </c>
      <c r="M9" s="158"/>
      <c r="N9" s="159"/>
      <c r="O9" s="155">
        <f>L9*K9</f>
        <v>0</v>
      </c>
      <c r="P9" s="156">
        <f>O9*1.25</f>
        <v>0</v>
      </c>
      <c r="Q9" s="160" t="s">
        <v>107</v>
      </c>
      <c r="R9" s="3"/>
    </row>
    <row r="10" spans="1:18" ht="16" x14ac:dyDescent="0.2">
      <c r="A10" s="33">
        <v>3</v>
      </c>
      <c r="B10" s="25" t="s">
        <v>115</v>
      </c>
      <c r="C10" s="151">
        <v>1</v>
      </c>
      <c r="D10" s="152">
        <v>5000</v>
      </c>
      <c r="E10" s="153">
        <f t="shared" si="3"/>
        <v>5000</v>
      </c>
      <c r="F10" s="154">
        <v>1.1499999999999999</v>
      </c>
      <c r="G10" s="155">
        <f t="shared" si="0"/>
        <v>5750</v>
      </c>
      <c r="H10" s="156">
        <f>G10*1.12</f>
        <v>6440.0000000000009</v>
      </c>
      <c r="I10" s="157">
        <f t="shared" si="1"/>
        <v>13.043478260869565</v>
      </c>
      <c r="J10" s="157"/>
      <c r="K10" s="157"/>
      <c r="L10" s="158">
        <f t="shared" si="2"/>
        <v>0</v>
      </c>
      <c r="M10" s="158"/>
      <c r="N10" s="159"/>
      <c r="O10" s="155">
        <f t="shared" ref="O10:O16" si="4">L10/(1-M10/100)</f>
        <v>0</v>
      </c>
      <c r="P10" s="156">
        <f>O10*1.12</f>
        <v>0</v>
      </c>
      <c r="Q10" s="160" t="s">
        <v>108</v>
      </c>
      <c r="R10" s="3"/>
    </row>
    <row r="11" spans="1:18" ht="16" x14ac:dyDescent="0.2">
      <c r="A11" s="33">
        <v>4</v>
      </c>
      <c r="B11" s="26" t="s">
        <v>116</v>
      </c>
      <c r="C11" s="151">
        <v>15</v>
      </c>
      <c r="D11" s="152">
        <v>750</v>
      </c>
      <c r="E11" s="153">
        <f t="shared" si="3"/>
        <v>11250</v>
      </c>
      <c r="F11" s="154">
        <v>1.1499999999999999</v>
      </c>
      <c r="G11" s="155">
        <f t="shared" si="0"/>
        <v>12937.499999999998</v>
      </c>
      <c r="H11" s="156">
        <f>G11*1.12</f>
        <v>14490</v>
      </c>
      <c r="I11" s="157">
        <f t="shared" si="1"/>
        <v>13.043478260869554</v>
      </c>
      <c r="J11" s="157"/>
      <c r="K11" s="157"/>
      <c r="L11" s="158">
        <f t="shared" si="2"/>
        <v>0</v>
      </c>
      <c r="M11" s="158"/>
      <c r="N11" s="159"/>
      <c r="O11" s="155">
        <f t="shared" si="4"/>
        <v>0</v>
      </c>
      <c r="P11" s="156">
        <f>O11*1.12</f>
        <v>0</v>
      </c>
      <c r="Q11" s="160" t="s">
        <v>108</v>
      </c>
      <c r="R11" s="3"/>
    </row>
    <row r="12" spans="1:18" ht="16" x14ac:dyDescent="0.2">
      <c r="A12" s="33">
        <v>5</v>
      </c>
      <c r="B12" s="26" t="s">
        <v>117</v>
      </c>
      <c r="C12" s="151">
        <v>1</v>
      </c>
      <c r="D12" s="152">
        <v>5000</v>
      </c>
      <c r="E12" s="153">
        <f t="shared" si="3"/>
        <v>5000</v>
      </c>
      <c r="F12" s="154">
        <v>1.1499999999999999</v>
      </c>
      <c r="G12" s="155">
        <f t="shared" si="0"/>
        <v>5750</v>
      </c>
      <c r="H12" s="156">
        <f>G12</f>
        <v>5750</v>
      </c>
      <c r="I12" s="157">
        <f t="shared" si="1"/>
        <v>13.043478260869565</v>
      </c>
      <c r="J12" s="157"/>
      <c r="K12" s="157"/>
      <c r="L12" s="158">
        <f t="shared" si="2"/>
        <v>0</v>
      </c>
      <c r="M12" s="158"/>
      <c r="N12" s="159"/>
      <c r="O12" s="155">
        <f t="shared" si="4"/>
        <v>0</v>
      </c>
      <c r="P12" s="156">
        <f>O12</f>
        <v>0</v>
      </c>
      <c r="Q12" s="160" t="s">
        <v>75</v>
      </c>
      <c r="R12" s="3"/>
    </row>
    <row r="13" spans="1:18" ht="16" x14ac:dyDescent="0.2">
      <c r="A13" s="33">
        <v>6</v>
      </c>
      <c r="B13" s="26" t="s">
        <v>118</v>
      </c>
      <c r="C13" s="151">
        <v>1</v>
      </c>
      <c r="D13" s="152">
        <v>3000</v>
      </c>
      <c r="E13" s="153">
        <f t="shared" si="3"/>
        <v>3000</v>
      </c>
      <c r="F13" s="154">
        <v>1.1499999999999999</v>
      </c>
      <c r="G13" s="155">
        <f t="shared" si="0"/>
        <v>3449.9999999999995</v>
      </c>
      <c r="H13" s="156">
        <f>G13</f>
        <v>3449.9999999999995</v>
      </c>
      <c r="I13" s="157">
        <f t="shared" si="1"/>
        <v>13.043478260869554</v>
      </c>
      <c r="J13" s="157"/>
      <c r="K13" s="157"/>
      <c r="L13" s="158">
        <f t="shared" si="2"/>
        <v>0</v>
      </c>
      <c r="M13" s="158"/>
      <c r="N13" s="159"/>
      <c r="O13" s="155">
        <f t="shared" si="4"/>
        <v>0</v>
      </c>
      <c r="P13" s="156">
        <f>O13</f>
        <v>0</v>
      </c>
      <c r="Q13" s="160" t="s">
        <v>75</v>
      </c>
      <c r="R13" s="3"/>
    </row>
    <row r="14" spans="1:18" ht="16" x14ac:dyDescent="0.2">
      <c r="A14" s="33">
        <v>7</v>
      </c>
      <c r="B14" s="25" t="s">
        <v>76</v>
      </c>
      <c r="C14" s="151"/>
      <c r="D14" s="152"/>
      <c r="E14" s="153">
        <f t="shared" si="3"/>
        <v>0</v>
      </c>
      <c r="F14" s="154"/>
      <c r="G14" s="155">
        <f t="shared" si="0"/>
        <v>0</v>
      </c>
      <c r="H14" s="156"/>
      <c r="I14" s="157" t="e">
        <f t="shared" si="1"/>
        <v>#DIV/0!</v>
      </c>
      <c r="J14" s="157">
        <v>15</v>
      </c>
      <c r="K14" s="157">
        <v>350</v>
      </c>
      <c r="L14" s="158">
        <f t="shared" ref="L14:L20" si="5">J14*K14</f>
        <v>5250</v>
      </c>
      <c r="M14" s="158">
        <v>50</v>
      </c>
      <c r="N14" s="159">
        <f>O14-L14</f>
        <v>5250</v>
      </c>
      <c r="O14" s="155">
        <f t="shared" si="4"/>
        <v>10500</v>
      </c>
      <c r="P14" s="156">
        <f>O14</f>
        <v>10500</v>
      </c>
      <c r="Q14" s="160" t="s">
        <v>75</v>
      </c>
      <c r="R14" s="3"/>
    </row>
    <row r="15" spans="1:18" ht="16" x14ac:dyDescent="0.2">
      <c r="A15" s="33">
        <v>8</v>
      </c>
      <c r="B15" s="25" t="s">
        <v>77</v>
      </c>
      <c r="C15" s="151"/>
      <c r="D15" s="152"/>
      <c r="E15" s="153"/>
      <c r="F15" s="154"/>
      <c r="G15" s="155"/>
      <c r="H15" s="156"/>
      <c r="I15" s="157" t="e">
        <f t="shared" si="1"/>
        <v>#DIV/0!</v>
      </c>
      <c r="J15" s="157">
        <v>7</v>
      </c>
      <c r="K15" s="157">
        <v>500</v>
      </c>
      <c r="L15" s="158">
        <f t="shared" si="5"/>
        <v>3500</v>
      </c>
      <c r="M15" s="158">
        <v>40</v>
      </c>
      <c r="N15" s="159">
        <f>O15-L15</f>
        <v>2333.3333333333339</v>
      </c>
      <c r="O15" s="155">
        <f t="shared" si="4"/>
        <v>5833.3333333333339</v>
      </c>
      <c r="P15" s="156">
        <f>O15</f>
        <v>5833.3333333333339</v>
      </c>
      <c r="Q15" s="160" t="s">
        <v>75</v>
      </c>
      <c r="R15" s="3"/>
    </row>
    <row r="16" spans="1:18" ht="16" x14ac:dyDescent="0.2">
      <c r="A16" s="33">
        <v>9</v>
      </c>
      <c r="B16" s="25" t="s">
        <v>78</v>
      </c>
      <c r="C16" s="151"/>
      <c r="D16" s="152"/>
      <c r="E16" s="153">
        <f>C16*D16</f>
        <v>0</v>
      </c>
      <c r="F16" s="154"/>
      <c r="G16" s="155">
        <f t="shared" si="0"/>
        <v>0</v>
      </c>
      <c r="H16" s="156"/>
      <c r="I16" s="157" t="e">
        <f t="shared" si="1"/>
        <v>#DIV/0!</v>
      </c>
      <c r="J16" s="157">
        <v>10</v>
      </c>
      <c r="K16" s="157">
        <v>450</v>
      </c>
      <c r="L16" s="158">
        <f t="shared" si="5"/>
        <v>4500</v>
      </c>
      <c r="M16" s="158">
        <v>40</v>
      </c>
      <c r="N16" s="159">
        <f>O16-L16</f>
        <v>3000</v>
      </c>
      <c r="O16" s="155">
        <f t="shared" si="4"/>
        <v>7500</v>
      </c>
      <c r="P16" s="156">
        <f>O16*1.25</f>
        <v>9375</v>
      </c>
      <c r="Q16" s="160" t="s">
        <v>109</v>
      </c>
      <c r="R16" s="3"/>
    </row>
    <row r="17" spans="1:18" ht="16" x14ac:dyDescent="0.2">
      <c r="A17" s="33">
        <v>10</v>
      </c>
      <c r="B17" s="25" t="s">
        <v>79</v>
      </c>
      <c r="C17" s="151">
        <v>15</v>
      </c>
      <c r="D17" s="152">
        <v>87</v>
      </c>
      <c r="E17" s="153">
        <f t="shared" si="3"/>
        <v>1305</v>
      </c>
      <c r="F17" s="154">
        <v>1.1499999999999999</v>
      </c>
      <c r="G17" s="155">
        <f>E17*F17</f>
        <v>1500.7499999999998</v>
      </c>
      <c r="H17" s="156">
        <f>G17*1.12</f>
        <v>1680.84</v>
      </c>
      <c r="I17" s="157">
        <f t="shared" si="1"/>
        <v>13.04347826086955</v>
      </c>
      <c r="J17" s="157"/>
      <c r="K17" s="157"/>
      <c r="L17" s="158">
        <f>J17*K17</f>
        <v>0</v>
      </c>
      <c r="M17" s="158"/>
      <c r="N17" s="159"/>
      <c r="O17" s="155">
        <f>L17*K17</f>
        <v>0</v>
      </c>
      <c r="P17" s="156">
        <f>O17</f>
        <v>0</v>
      </c>
      <c r="Q17" s="160" t="s">
        <v>108</v>
      </c>
      <c r="R17" s="3"/>
    </row>
    <row r="18" spans="1:18" ht="16" x14ac:dyDescent="0.2">
      <c r="A18" s="33"/>
      <c r="B18" s="26"/>
      <c r="C18" s="151"/>
      <c r="D18" s="152"/>
      <c r="E18" s="153">
        <f t="shared" si="3"/>
        <v>0</v>
      </c>
      <c r="F18" s="154"/>
      <c r="G18" s="155">
        <f t="shared" si="0"/>
        <v>0</v>
      </c>
      <c r="H18" s="156"/>
      <c r="I18" s="157"/>
      <c r="J18" s="157"/>
      <c r="K18" s="157"/>
      <c r="L18" s="158">
        <f t="shared" si="5"/>
        <v>0</v>
      </c>
      <c r="M18" s="158"/>
      <c r="N18" s="159"/>
      <c r="O18" s="155">
        <f>L18*K18</f>
        <v>0</v>
      </c>
      <c r="P18" s="156">
        <f>L18*K18</f>
        <v>0</v>
      </c>
      <c r="Q18" s="160"/>
      <c r="R18" s="3"/>
    </row>
    <row r="19" spans="1:18" ht="16" x14ac:dyDescent="0.2">
      <c r="A19" s="33"/>
      <c r="B19" s="26"/>
      <c r="C19" s="151"/>
      <c r="D19" s="152"/>
      <c r="E19" s="153">
        <f t="shared" si="3"/>
        <v>0</v>
      </c>
      <c r="F19" s="154"/>
      <c r="G19" s="155">
        <f t="shared" si="0"/>
        <v>0</v>
      </c>
      <c r="H19" s="156"/>
      <c r="I19" s="157"/>
      <c r="J19" s="157"/>
      <c r="K19" s="157"/>
      <c r="L19" s="158">
        <f t="shared" si="5"/>
        <v>0</v>
      </c>
      <c r="M19" s="158"/>
      <c r="N19" s="159"/>
      <c r="O19" s="155">
        <f>L19*K19</f>
        <v>0</v>
      </c>
      <c r="P19" s="156">
        <f>L19*K19</f>
        <v>0</v>
      </c>
      <c r="Q19" s="160"/>
      <c r="R19" s="3"/>
    </row>
    <row r="20" spans="1:18" ht="16" x14ac:dyDescent="0.2">
      <c r="A20" s="34"/>
      <c r="B20" s="26"/>
      <c r="C20" s="151"/>
      <c r="D20" s="152"/>
      <c r="E20" s="153">
        <f t="shared" si="3"/>
        <v>0</v>
      </c>
      <c r="F20" s="154"/>
      <c r="G20" s="155">
        <f t="shared" si="0"/>
        <v>0</v>
      </c>
      <c r="H20" s="156"/>
      <c r="I20" s="157"/>
      <c r="J20" s="157"/>
      <c r="K20" s="157"/>
      <c r="L20" s="158">
        <f t="shared" si="5"/>
        <v>0</v>
      </c>
      <c r="M20" s="158"/>
      <c r="N20" s="159"/>
      <c r="O20" s="155">
        <f>L20*K20</f>
        <v>0</v>
      </c>
      <c r="P20" s="156">
        <f>L20*K20</f>
        <v>0</v>
      </c>
      <c r="Q20" s="160"/>
      <c r="R20" s="3"/>
    </row>
    <row r="21" spans="1:18" ht="16" x14ac:dyDescent="0.2">
      <c r="A21" s="35"/>
      <c r="B21" s="31" t="s">
        <v>80</v>
      </c>
      <c r="C21" s="161"/>
      <c r="D21" s="162"/>
      <c r="E21" s="163">
        <f>SUM(E8:E20)</f>
        <v>44200</v>
      </c>
      <c r="F21" s="164"/>
      <c r="G21" s="165">
        <f>SUM(G8:G20)</f>
        <v>53380</v>
      </c>
      <c r="H21" s="166">
        <f>SUM(H8:H20)</f>
        <v>60001.352499999994</v>
      </c>
      <c r="I21" s="167"/>
      <c r="J21" s="164">
        <f>SUM(J8:J20)</f>
        <v>32</v>
      </c>
      <c r="K21" s="167"/>
      <c r="L21" s="168">
        <f>SUM(L8:L20)</f>
        <v>13250</v>
      </c>
      <c r="M21" s="168"/>
      <c r="N21" s="169">
        <f>SUM(N8:N20)</f>
        <v>10583.333333333334</v>
      </c>
      <c r="O21" s="165">
        <f>SUM(O8:O20)</f>
        <v>23833.333333333336</v>
      </c>
      <c r="P21" s="166">
        <f>SUM(P8:P20)</f>
        <v>25708.333333333336</v>
      </c>
      <c r="Q21" s="170"/>
      <c r="R21" s="3"/>
    </row>
    <row r="22" spans="1:18" ht="16" x14ac:dyDescent="0.2">
      <c r="A22" s="5"/>
      <c r="B22" s="3"/>
      <c r="C22" s="3"/>
      <c r="D22" s="3"/>
      <c r="E22" s="3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6" x14ac:dyDescent="0.2">
      <c r="A23" s="3"/>
      <c r="B23" s="3"/>
      <c r="C23" s="6"/>
      <c r="D23" s="6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6" x14ac:dyDescent="0.2">
      <c r="A24" s="18" t="s">
        <v>139</v>
      </c>
      <c r="B24" s="18"/>
      <c r="C24" s="18"/>
      <c r="D24" s="19">
        <f>G21</f>
        <v>53380</v>
      </c>
      <c r="E24" s="3"/>
      <c r="F24" s="12" t="s">
        <v>140</v>
      </c>
      <c r="G24" s="13"/>
      <c r="H24" s="13"/>
      <c r="I24" s="13"/>
      <c r="J24" s="14">
        <f>G21-E21</f>
        <v>9180</v>
      </c>
      <c r="K24" s="3"/>
      <c r="L24" s="12" t="s">
        <v>113</v>
      </c>
      <c r="M24" s="12"/>
      <c r="N24" s="12"/>
      <c r="O24" s="12"/>
      <c r="P24" s="14">
        <f>J24/D24*100</f>
        <v>17.197452229299362</v>
      </c>
      <c r="Q24" s="8"/>
      <c r="R24" s="3"/>
    </row>
    <row r="25" spans="1:18" ht="16" x14ac:dyDescent="0.2">
      <c r="A25" s="20" t="s">
        <v>137</v>
      </c>
      <c r="B25" s="18"/>
      <c r="C25" s="18"/>
      <c r="D25" s="21">
        <f>O21</f>
        <v>23833.333333333336</v>
      </c>
      <c r="E25" s="3"/>
      <c r="F25" s="12" t="s">
        <v>119</v>
      </c>
      <c r="G25" s="13"/>
      <c r="H25" s="13"/>
      <c r="I25" s="13"/>
      <c r="J25" s="14">
        <f>N21</f>
        <v>10583.333333333334</v>
      </c>
      <c r="K25" s="3"/>
      <c r="L25" s="12" t="s">
        <v>81</v>
      </c>
      <c r="M25" s="12"/>
      <c r="N25" s="12"/>
      <c r="O25" s="12"/>
      <c r="P25" s="14">
        <f>(N21/O21)*100</f>
        <v>44.405594405594407</v>
      </c>
      <c r="Q25" s="3"/>
      <c r="R25" s="3"/>
    </row>
    <row r="26" spans="1:18" ht="17" thickBot="1" x14ac:dyDescent="0.25">
      <c r="A26" s="22" t="s">
        <v>138</v>
      </c>
      <c r="B26" s="22"/>
      <c r="C26" s="22"/>
      <c r="D26" s="23">
        <f>D24+D25</f>
        <v>77213.333333333343</v>
      </c>
      <c r="E26" s="3"/>
      <c r="F26" s="12" t="s">
        <v>120</v>
      </c>
      <c r="G26" s="13"/>
      <c r="H26" s="13"/>
      <c r="I26" s="13"/>
      <c r="J26" s="14">
        <f>J24+J25</f>
        <v>19763.333333333336</v>
      </c>
      <c r="K26" s="3"/>
      <c r="L26" s="12" t="s">
        <v>82</v>
      </c>
      <c r="M26" s="13"/>
      <c r="N26" s="13"/>
      <c r="O26" s="13"/>
      <c r="P26" s="14">
        <f>(J24+J25)/D26*100</f>
        <v>25.595752029010534</v>
      </c>
      <c r="Q26" s="3"/>
      <c r="R26" s="3"/>
    </row>
    <row r="27" spans="1:18" ht="17" thickTop="1" x14ac:dyDescent="0.2">
      <c r="A27" s="3"/>
      <c r="B27" s="3"/>
      <c r="C27" s="3"/>
      <c r="D27" s="3"/>
      <c r="E27" s="3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7" thickBot="1" x14ac:dyDescent="0.25">
      <c r="A28" s="15" t="s">
        <v>83</v>
      </c>
      <c r="B28" s="16"/>
      <c r="C28" s="16"/>
      <c r="D28" s="17">
        <f>H21+P21</f>
        <v>85709.685833333322</v>
      </c>
      <c r="E28" s="3"/>
      <c r="F28" s="10"/>
      <c r="G28" s="10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7" thickTop="1" x14ac:dyDescent="0.2">
      <c r="A29" s="3"/>
      <c r="B29" s="3"/>
      <c r="C29" s="6"/>
      <c r="D29" s="6"/>
      <c r="E29" s="9"/>
      <c r="F29" s="9"/>
      <c r="G29" s="9"/>
      <c r="H29" s="9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6" x14ac:dyDescent="0.2">
      <c r="A30" s="3"/>
      <c r="B30" s="3"/>
      <c r="C30" s="3"/>
      <c r="D30" s="3"/>
      <c r="E30" s="3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15">
      <c r="F32" s="129"/>
    </row>
    <row r="33" spans="6:6" x14ac:dyDescent="0.15">
      <c r="F33" s="129"/>
    </row>
  </sheetData>
  <mergeCells count="2">
    <mergeCell ref="A3:Q3"/>
    <mergeCell ref="C4:J4"/>
  </mergeCells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="124" workbookViewId="0">
      <selection activeCell="A18" sqref="A18"/>
    </sheetView>
  </sheetViews>
  <sheetFormatPr baseColWidth="10" defaultColWidth="12" defaultRowHeight="13" x14ac:dyDescent="0.15"/>
  <cols>
    <col min="1" max="1" width="48.19921875" customWidth="1"/>
    <col min="2" max="2" width="16.19921875" customWidth="1"/>
    <col min="4" max="4" width="14.19921875" bestFit="1" customWidth="1"/>
    <col min="5" max="5" width="19.59765625" bestFit="1" customWidth="1"/>
  </cols>
  <sheetData>
    <row r="1" spans="1:6" ht="45" customHeight="1" x14ac:dyDescent="0.3">
      <c r="A1" s="175" t="s">
        <v>84</v>
      </c>
      <c r="B1" s="176"/>
      <c r="C1" s="176"/>
      <c r="D1" s="176"/>
      <c r="E1" s="1"/>
      <c r="F1" s="1"/>
    </row>
    <row r="2" spans="1:6" ht="40" x14ac:dyDescent="0.25">
      <c r="A2" s="36" t="s">
        <v>85</v>
      </c>
      <c r="B2" s="37" t="s">
        <v>86</v>
      </c>
      <c r="C2" s="37" t="s">
        <v>87</v>
      </c>
      <c r="D2" s="38"/>
      <c r="E2" s="1"/>
      <c r="F2" s="1"/>
    </row>
    <row r="3" spans="1:6" ht="24" x14ac:dyDescent="0.3">
      <c r="A3" s="39" t="s">
        <v>121</v>
      </c>
      <c r="B3" s="100"/>
      <c r="C3" s="96"/>
      <c r="D3" s="41">
        <v>245</v>
      </c>
      <c r="E3" s="1" t="s">
        <v>110</v>
      </c>
      <c r="F3" s="1"/>
    </row>
    <row r="4" spans="1:6" ht="24" x14ac:dyDescent="0.3">
      <c r="A4" s="40" t="s">
        <v>88</v>
      </c>
      <c r="B4" s="87"/>
      <c r="C4" s="97"/>
      <c r="D4" s="42">
        <v>196</v>
      </c>
      <c r="E4" s="1"/>
      <c r="F4" s="1"/>
    </row>
    <row r="5" spans="1:6" ht="24" x14ac:dyDescent="0.3">
      <c r="A5" s="43" t="s">
        <v>89</v>
      </c>
      <c r="B5" s="88"/>
      <c r="C5" s="91"/>
      <c r="D5" s="44"/>
      <c r="E5" s="1"/>
      <c r="F5" s="1"/>
    </row>
    <row r="6" spans="1:6" ht="20" x14ac:dyDescent="0.25">
      <c r="A6" s="39" t="s">
        <v>90</v>
      </c>
      <c r="B6" s="89">
        <v>0.12</v>
      </c>
      <c r="C6" s="89">
        <v>90</v>
      </c>
      <c r="D6" s="41">
        <f t="shared" ref="D6:D12" si="0">C6*B6</f>
        <v>10.799999999999999</v>
      </c>
      <c r="E6" s="1"/>
      <c r="F6" s="1"/>
    </row>
    <row r="7" spans="1:6" ht="20" x14ac:dyDescent="0.25">
      <c r="A7" s="39" t="s">
        <v>91</v>
      </c>
      <c r="B7" s="89">
        <v>0.2</v>
      </c>
      <c r="C7" s="89">
        <v>99</v>
      </c>
      <c r="D7" s="41">
        <f t="shared" si="0"/>
        <v>19.8</v>
      </c>
      <c r="E7" s="1"/>
      <c r="F7" s="1"/>
    </row>
    <row r="8" spans="1:6" ht="20" x14ac:dyDescent="0.25">
      <c r="A8" s="39" t="s">
        <v>92</v>
      </c>
      <c r="B8" s="89">
        <v>0.12</v>
      </c>
      <c r="C8" s="89">
        <v>59</v>
      </c>
      <c r="D8" s="41">
        <f t="shared" si="0"/>
        <v>7.08</v>
      </c>
      <c r="E8" s="1"/>
      <c r="F8" s="1"/>
    </row>
    <row r="9" spans="1:6" ht="20" x14ac:dyDescent="0.25">
      <c r="A9" s="39" t="s">
        <v>93</v>
      </c>
      <c r="B9" s="89">
        <v>0.15</v>
      </c>
      <c r="C9" s="89">
        <v>20</v>
      </c>
      <c r="D9" s="41">
        <f t="shared" si="0"/>
        <v>3</v>
      </c>
      <c r="E9" s="1"/>
      <c r="F9" s="1"/>
    </row>
    <row r="10" spans="1:6" ht="20" x14ac:dyDescent="0.25">
      <c r="A10" s="39" t="s">
        <v>94</v>
      </c>
      <c r="B10" s="89">
        <v>0.1</v>
      </c>
      <c r="C10" s="89">
        <v>100</v>
      </c>
      <c r="D10" s="41">
        <f t="shared" si="0"/>
        <v>10</v>
      </c>
      <c r="E10" s="1"/>
      <c r="F10" s="1"/>
    </row>
    <row r="11" spans="1:6" ht="20" x14ac:dyDescent="0.25">
      <c r="A11" s="39" t="s">
        <v>95</v>
      </c>
      <c r="B11" s="89">
        <v>0.2</v>
      </c>
      <c r="C11" s="89">
        <v>50</v>
      </c>
      <c r="D11" s="41">
        <f t="shared" si="0"/>
        <v>10</v>
      </c>
      <c r="E11" s="1"/>
      <c r="F11" s="1"/>
    </row>
    <row r="12" spans="1:6" ht="22.75" customHeight="1" x14ac:dyDescent="0.25">
      <c r="A12" s="40" t="s">
        <v>96</v>
      </c>
      <c r="B12" s="90">
        <v>0.05</v>
      </c>
      <c r="C12" s="98">
        <v>100</v>
      </c>
      <c r="D12" s="41">
        <f t="shared" si="0"/>
        <v>5</v>
      </c>
      <c r="E12" s="1"/>
      <c r="F12" s="1"/>
    </row>
    <row r="13" spans="1:6" ht="20" x14ac:dyDescent="0.25">
      <c r="A13" s="43" t="s">
        <v>97</v>
      </c>
      <c r="B13" s="91"/>
      <c r="C13" s="91"/>
      <c r="D13" s="45">
        <f>SUM(D6:D12)</f>
        <v>65.680000000000007</v>
      </c>
      <c r="E13" s="1"/>
      <c r="F13" s="1"/>
    </row>
    <row r="14" spans="1:6" ht="37.75" customHeight="1" x14ac:dyDescent="0.3">
      <c r="A14" s="40" t="s">
        <v>98</v>
      </c>
      <c r="B14" s="87"/>
      <c r="C14" s="97"/>
      <c r="D14" s="42">
        <f>D13*3*1.25</f>
        <v>246.3</v>
      </c>
      <c r="E14" s="1"/>
      <c r="F14" s="1"/>
    </row>
    <row r="15" spans="1:6" ht="32.5" customHeight="1" x14ac:dyDescent="0.3">
      <c r="A15" s="44" t="s">
        <v>122</v>
      </c>
      <c r="B15" s="88"/>
      <c r="C15" s="91"/>
      <c r="D15" s="45">
        <f>D4-D13</f>
        <v>130.32</v>
      </c>
      <c r="E15" s="1"/>
      <c r="F15" s="1"/>
    </row>
    <row r="16" spans="1:6" ht="33" customHeight="1" x14ac:dyDescent="0.3">
      <c r="A16" s="40" t="s">
        <v>123</v>
      </c>
      <c r="B16" s="87"/>
      <c r="C16" s="97"/>
      <c r="D16" s="46">
        <f>(D15/D4)*100</f>
        <v>66.489795918367349</v>
      </c>
      <c r="E16" s="1"/>
      <c r="F16" s="1"/>
    </row>
    <row r="17" spans="1:6" ht="20" x14ac:dyDescent="0.25">
      <c r="A17" s="48" t="s">
        <v>99</v>
      </c>
      <c r="B17" s="92">
        <v>300</v>
      </c>
      <c r="C17" s="99"/>
      <c r="D17" s="47"/>
      <c r="E17" s="1"/>
      <c r="F17" s="1"/>
    </row>
    <row r="18" spans="1:6" ht="25.5" customHeight="1" x14ac:dyDescent="0.25">
      <c r="A18" s="93" t="s">
        <v>100</v>
      </c>
      <c r="B18" s="41"/>
      <c r="C18" s="94"/>
      <c r="D18" s="95">
        <f>D15*B17</f>
        <v>39096</v>
      </c>
      <c r="E18" s="1"/>
      <c r="F18" s="1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68B0A02DC5F40A15F51C5837ECA81" ma:contentTypeVersion="16" ma:contentTypeDescription="Opprett et nytt dokument." ma:contentTypeScope="" ma:versionID="b50575f7aacd8f2ce867818274a0bf29">
  <xsd:schema xmlns:xsd="http://www.w3.org/2001/XMLSchema" xmlns:xs="http://www.w3.org/2001/XMLSchema" xmlns:p="http://schemas.microsoft.com/office/2006/metadata/properties" xmlns:ns2="c91c1fee-8b40-4d4b-87d1-27e7defc65ed" xmlns:ns3="1602034f-0365-47ea-9b01-ad9f7af41abd" targetNamespace="http://schemas.microsoft.com/office/2006/metadata/properties" ma:root="true" ma:fieldsID="0ed9f854845e9a2294589527185fa275" ns2:_="" ns3:_="">
    <xsd:import namespace="c91c1fee-8b40-4d4b-87d1-27e7defc65ed"/>
    <xsd:import namespace="1602034f-0365-47ea-9b01-ad9f7af41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c1fee-8b40-4d4b-87d1-27e7defc6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499f5f9f-f7ee-4d96-9375-7734c5854e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2034f-0365-47ea-9b01-ad9f7af41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b0e4e-30d0-4d31-8a86-0175907964be}" ma:internalName="TaxCatchAll" ma:showField="CatchAllData" ma:web="1602034f-0365-47ea-9b01-ad9f7af41a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02034f-0365-47ea-9b01-ad9f7af41abd" xsi:nil="true"/>
    <lcf76f155ced4ddcb4097134ff3c332f xmlns="c91c1fee-8b40-4d4b-87d1-27e7defc65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E48A8C-DFD2-504F-ADEF-FBEB8206B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86CDE-7206-48F8-B33F-4AFBECA74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c1fee-8b40-4d4b-87d1-27e7defc65ed"/>
    <ds:schemaRef ds:uri="1602034f-0365-47ea-9b01-ad9f7af41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DA508-D59E-964A-B80A-85045A40886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c91c1fee-8b40-4d4b-87d1-27e7defc65ed"/>
    <ds:schemaRef ds:uri="http://schemas.microsoft.com/office/infopath/2007/PartnerControls"/>
    <ds:schemaRef ds:uri="http://schemas.openxmlformats.org/package/2006/metadata/core-properties"/>
    <ds:schemaRef ds:uri="1602034f-0365-47ea-9b01-ad9f7af41a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Eksempelkalkyler db</vt:lpstr>
      <vt:lpstr>Eksempelkalkyle selvkost</vt:lpstr>
      <vt:lpstr>Kalkylemal DB, flere produkter </vt:lpstr>
      <vt:lpstr>Eksempelkalkyle juletallerken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Stein-Rune Fjærvoll</dc:creator>
  <cp:keywords/>
  <dc:description/>
  <cp:lastModifiedBy>Synne Knutsen</cp:lastModifiedBy>
  <cp:revision/>
  <dcterms:created xsi:type="dcterms:W3CDTF">2015-04-08T14:41:11Z</dcterms:created>
  <dcterms:modified xsi:type="dcterms:W3CDTF">2022-11-10T10:47:52Z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0x0101006C668B0A02DC5F40A15F51C5837ECA81</vt:lpwstr>
  </property>
</Properties>
</file>