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und interest" sheetId="1" state="visible" r:id="rId1"/>
  </sheets>
  <definedNames>
    <definedName name="ii">'Compound interest'!$B$5</definedName>
    <definedName name="rate">'Compound interest'!$B$6</definedName>
    <definedName name="term">'Compound interest'!$B$7</definedName>
    <definedName name="cfreq">'Compound interest'!$B$8</definedName>
    <definedName name="cper">'Compound interest'!$B$9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%"/>
  </numFmts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55555"/>
    </font>
    <font>
      <b val="1"/>
    </font>
    <font>
      <color rgb="00555555"/>
    </font>
    <font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5B2D91"/>
      </patternFill>
    </fill>
    <fill>
      <patternFill patternType="solid">
        <fgColor rgb="00FFF4CC"/>
      </patternFill>
    </fill>
    <fill>
      <patternFill patternType="solid">
        <fgColor rgb="00F6F3FB"/>
      </patternFill>
    </fill>
  </fills>
  <borders count="2">
    <border>
      <left/>
      <right/>
      <top/>
      <bottom/>
      <diagonal/>
    </border>
    <border>
      <left style="thin">
        <color rgb="00D9D2E6"/>
      </left>
      <right style="thin">
        <color rgb="00D9D2E6"/>
      </right>
      <top style="thin">
        <color rgb="00D9D2E6"/>
      </top>
      <bottom style="thin">
        <color rgb="00D9D2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4" fontId="0" fillId="3" borderId="1" pivotButton="0" quotePrefix="0" xfId="0"/>
    <xf numFmtId="0" fontId="4" fillId="0" borderId="0" pivotButton="0" quotePrefix="0" xfId="0"/>
    <xf numFmtId="10" fontId="0" fillId="3" borderId="1" pivotButton="0" quotePrefix="0" xfId="0"/>
    <xf numFmtId="1" fontId="0" fillId="3" borderId="1" pivotButton="0" quotePrefix="0" xfId="0"/>
    <xf numFmtId="4" fontId="3" fillId="4" borderId="1" pivotButton="0" quotePrefix="0" xfId="0"/>
    <xf numFmtId="1" fontId="3" fillId="4" borderId="1" pivotButton="0" quotePrefix="0" xfId="0"/>
    <xf numFmtId="164" fontId="3" fillId="4" borderId="1" pivotButton="0" quotePrefix="0" xfId="0"/>
    <xf numFmtId="0" fontId="3" fillId="4" borderId="0" pivotButton="0" quotePrefix="0" xfId="0"/>
    <xf numFmtId="4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1"/>
  <sheetViews>
    <sheetView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4" customWidth="1" min="3" max="3"/>
    <col width="10" customWidth="1" min="4" max="4"/>
    <col width="18" customWidth="1" min="5" max="5"/>
    <col width="18" customWidth="1" min="6" max="6"/>
    <col width="18" customWidth="1" min="7" max="7"/>
  </cols>
  <sheetData>
    <row r="1" ht="28" customHeight="1">
      <c r="A1" s="1" t="inlineStr">
        <is>
          <t>Compound interest calculator</t>
        </is>
      </c>
    </row>
    <row r="2">
      <c r="A2" s="2" t="inlineStr">
        <is>
          <t>Future value with regular contributions, then a period-by-period table that proves the FV figure. Yellow cells are inputs.</t>
        </is>
      </c>
    </row>
    <row r="4">
      <c r="A4" s="3" t="inlineStr">
        <is>
          <t>Inputs</t>
        </is>
      </c>
    </row>
    <row r="5">
      <c r="A5" t="inlineStr">
        <is>
          <t>Initial investment</t>
        </is>
      </c>
      <c r="B5" s="4" t="n">
        <v>2000</v>
      </c>
      <c r="D5" s="5" t="inlineStr">
        <is>
          <t>What you start with.</t>
        </is>
      </c>
    </row>
    <row r="6">
      <c r="A6" t="inlineStr">
        <is>
          <t>Annual interest rate</t>
        </is>
      </c>
      <c r="B6" s="6" t="n">
        <v>0.05</v>
      </c>
      <c r="D6" s="5" t="inlineStr">
        <is>
          <t>The yearly rate, as a percentage.</t>
        </is>
      </c>
    </row>
    <row r="7">
      <c r="A7" t="inlineStr">
        <is>
          <t>Term in years</t>
        </is>
      </c>
      <c r="B7" s="7" t="n">
        <v>1</v>
      </c>
      <c r="D7" s="5" t="inlineStr">
        <is>
          <t>How long the money is invested.</t>
        </is>
      </c>
    </row>
    <row r="8">
      <c r="A8" t="inlineStr">
        <is>
          <t>Compounds per year</t>
        </is>
      </c>
      <c r="B8" s="7" t="n">
        <v>12</v>
      </c>
      <c r="D8" s="5" t="inlineStr">
        <is>
          <t>12 for monthly, 4 for quarterly, 1 for yearly.</t>
        </is>
      </c>
    </row>
    <row r="9">
      <c r="A9" t="inlineStr">
        <is>
          <t>Contribution per period</t>
        </is>
      </c>
      <c r="B9" s="4" t="n">
        <v>500</v>
      </c>
      <c r="D9" s="5" t="inlineStr">
        <is>
          <t>Added at the start of every compounding period, as in our guide. 0 if none.</t>
        </is>
      </c>
    </row>
    <row r="11">
      <c r="A11" s="3" t="inlineStr">
        <is>
          <t>Results</t>
        </is>
      </c>
    </row>
    <row r="12">
      <c r="A12" t="inlineStr">
        <is>
          <t>Future value</t>
        </is>
      </c>
      <c r="B12" s="8">
        <f>FV(rate/cfreq,term*cfreq,-cper,-ii,1)</f>
        <v/>
      </c>
      <c r="D12" s="5" t="inlineStr">
        <is>
          <t>Formula: =FV(rate/cfreq, term*cfreq, -cper, -ii, 1). Money out is negative, hence the minus signs; the final 1 means contributions go in at the start of each period.</t>
        </is>
      </c>
    </row>
    <row r="13">
      <c r="A13" t="inlineStr">
        <is>
          <t>Total paid in</t>
        </is>
      </c>
      <c r="B13" s="8">
        <f>ii+cper*term*cfreq</f>
        <v/>
      </c>
      <c r="D13" s="5" t="inlineStr">
        <is>
          <t>Initial investment plus every contribution, no interest.</t>
        </is>
      </c>
    </row>
    <row r="14">
      <c r="A14" t="inlineStr">
        <is>
          <t>Interest earned</t>
        </is>
      </c>
      <c r="B14" s="8">
        <f>B12-B13</f>
        <v/>
      </c>
      <c r="D14" s="5" t="inlineStr">
        <is>
          <t>Future value minus what you paid in.</t>
        </is>
      </c>
    </row>
    <row r="15">
      <c r="A15" t="inlineStr">
        <is>
          <t>Number of periods</t>
        </is>
      </c>
      <c r="B15" s="9">
        <f>term*cfreq</f>
        <v/>
      </c>
      <c r="D15" s="5" t="inlineStr">
        <is>
          <t>Rows in the table below.</t>
        </is>
      </c>
    </row>
    <row r="16">
      <c r="A16" t="inlineStr">
        <is>
          <t>Rate per period</t>
        </is>
      </c>
      <c r="B16" s="10">
        <f>rate/cfreq</f>
        <v/>
      </c>
      <c r="D16" s="5" t="inlineStr">
        <is>
          <t>Annual rate divided by compounds per year.</t>
        </is>
      </c>
    </row>
    <row r="17">
      <c r="A17" t="inlineStr">
        <is>
          <t>Check: table matches FV</t>
        </is>
      </c>
      <c r="B17" s="3">
        <f>IF(ABS(LOOKUP(2,1/(G20:G619&lt;&gt;""),G20:G619)-B12)&lt;0.005,"Yes","No")</f>
        <v/>
      </c>
    </row>
    <row r="18">
      <c r="A18" s="3" t="inlineStr">
        <is>
          <t>Verification table</t>
        </is>
      </c>
      <c r="D18" s="5" t="inlineStr">
        <is>
          <t>The last Ending amount must equal Future value above. If it does not, a contribution or rate cell has been typed over.</t>
        </is>
      </c>
    </row>
    <row r="19">
      <c r="A19" s="11" t="inlineStr">
        <is>
          <t>Period</t>
        </is>
      </c>
      <c r="B19" s="11" t="inlineStr">
        <is>
          <t>Starting amount (after contribution)</t>
        </is>
      </c>
      <c r="E19" s="11" t="inlineStr">
        <is>
          <t>Interest</t>
        </is>
      </c>
      <c r="F19" s="11" t="inlineStr">
        <is>
          <t>Contribution</t>
        </is>
      </c>
      <c r="G19" s="11" t="inlineStr">
        <is>
          <t>Ending amount</t>
        </is>
      </c>
    </row>
    <row r="20">
      <c r="A20">
        <f>IF(1&lt;=B15,1,"")</f>
        <v/>
      </c>
      <c r="B20" s="12">
        <f>IF(1&lt;=B15,IF(1=1,ii,G19)+F20,"")</f>
        <v/>
      </c>
      <c r="E20" s="12">
        <f>IF(1&lt;=B15,B20*B16,"")</f>
        <v/>
      </c>
      <c r="F20" s="12">
        <f>IF(1&lt;=B15,cper,"")</f>
        <v/>
      </c>
      <c r="G20" s="12">
        <f>IF(1&lt;=B15,B20+E20,"")</f>
        <v/>
      </c>
    </row>
    <row r="21">
      <c r="A21">
        <f>IF(2&lt;=B15,2,"")</f>
        <v/>
      </c>
      <c r="B21" s="12">
        <f>IF(2&lt;=B15,IF(2=1,ii,G20)+F21,"")</f>
        <v/>
      </c>
      <c r="E21" s="12">
        <f>IF(2&lt;=B15,B21*B16,"")</f>
        <v/>
      </c>
      <c r="F21" s="12">
        <f>IF(2&lt;=B15,cper,"")</f>
        <v/>
      </c>
      <c r="G21" s="12">
        <f>IF(2&lt;=B15,B21+E21,"")</f>
        <v/>
      </c>
    </row>
    <row r="22">
      <c r="A22">
        <f>IF(3&lt;=B15,3,"")</f>
        <v/>
      </c>
      <c r="B22" s="12">
        <f>IF(3&lt;=B15,IF(3=1,ii,G21)+F22,"")</f>
        <v/>
      </c>
      <c r="E22" s="12">
        <f>IF(3&lt;=B15,B22*B16,"")</f>
        <v/>
      </c>
      <c r="F22" s="12">
        <f>IF(3&lt;=B15,cper,"")</f>
        <v/>
      </c>
      <c r="G22" s="12">
        <f>IF(3&lt;=B15,B22+E22,"")</f>
        <v/>
      </c>
    </row>
    <row r="23">
      <c r="A23">
        <f>IF(4&lt;=B15,4,"")</f>
        <v/>
      </c>
      <c r="B23" s="12">
        <f>IF(4&lt;=B15,IF(4=1,ii,G22)+F23,"")</f>
        <v/>
      </c>
      <c r="E23" s="12">
        <f>IF(4&lt;=B15,B23*B16,"")</f>
        <v/>
      </c>
      <c r="F23" s="12">
        <f>IF(4&lt;=B15,cper,"")</f>
        <v/>
      </c>
      <c r="G23" s="12">
        <f>IF(4&lt;=B15,B23+E23,"")</f>
        <v/>
      </c>
    </row>
    <row r="24">
      <c r="A24">
        <f>IF(5&lt;=B15,5,"")</f>
        <v/>
      </c>
      <c r="B24" s="12">
        <f>IF(5&lt;=B15,IF(5=1,ii,G23)+F24,"")</f>
        <v/>
      </c>
      <c r="E24" s="12">
        <f>IF(5&lt;=B15,B24*B16,"")</f>
        <v/>
      </c>
      <c r="F24" s="12">
        <f>IF(5&lt;=B15,cper,"")</f>
        <v/>
      </c>
      <c r="G24" s="12">
        <f>IF(5&lt;=B15,B24+E24,"")</f>
        <v/>
      </c>
    </row>
    <row r="25">
      <c r="A25">
        <f>IF(6&lt;=B15,6,"")</f>
        <v/>
      </c>
      <c r="B25" s="12">
        <f>IF(6&lt;=B15,IF(6=1,ii,G24)+F25,"")</f>
        <v/>
      </c>
      <c r="E25" s="12">
        <f>IF(6&lt;=B15,B25*B16,"")</f>
        <v/>
      </c>
      <c r="F25" s="12">
        <f>IF(6&lt;=B15,cper,"")</f>
        <v/>
      </c>
      <c r="G25" s="12">
        <f>IF(6&lt;=B15,B25+E25,"")</f>
        <v/>
      </c>
    </row>
    <row r="26">
      <c r="A26">
        <f>IF(7&lt;=B15,7,"")</f>
        <v/>
      </c>
      <c r="B26" s="12">
        <f>IF(7&lt;=B15,IF(7=1,ii,G25)+F26,"")</f>
        <v/>
      </c>
      <c r="E26" s="12">
        <f>IF(7&lt;=B15,B26*B16,"")</f>
        <v/>
      </c>
      <c r="F26" s="12">
        <f>IF(7&lt;=B15,cper,"")</f>
        <v/>
      </c>
      <c r="G26" s="12">
        <f>IF(7&lt;=B15,B26+E26,"")</f>
        <v/>
      </c>
    </row>
    <row r="27">
      <c r="A27">
        <f>IF(8&lt;=B15,8,"")</f>
        <v/>
      </c>
      <c r="B27" s="12">
        <f>IF(8&lt;=B15,IF(8=1,ii,G26)+F27,"")</f>
        <v/>
      </c>
      <c r="E27" s="12">
        <f>IF(8&lt;=B15,B27*B16,"")</f>
        <v/>
      </c>
      <c r="F27" s="12">
        <f>IF(8&lt;=B15,cper,"")</f>
        <v/>
      </c>
      <c r="G27" s="12">
        <f>IF(8&lt;=B15,B27+E27,"")</f>
        <v/>
      </c>
    </row>
    <row r="28">
      <c r="A28">
        <f>IF(9&lt;=B15,9,"")</f>
        <v/>
      </c>
      <c r="B28" s="12">
        <f>IF(9&lt;=B15,IF(9=1,ii,G27)+F28,"")</f>
        <v/>
      </c>
      <c r="E28" s="12">
        <f>IF(9&lt;=B15,B28*B16,"")</f>
        <v/>
      </c>
      <c r="F28" s="12">
        <f>IF(9&lt;=B15,cper,"")</f>
        <v/>
      </c>
      <c r="G28" s="12">
        <f>IF(9&lt;=B15,B28+E28,"")</f>
        <v/>
      </c>
    </row>
    <row r="29">
      <c r="A29">
        <f>IF(10&lt;=B15,10,"")</f>
        <v/>
      </c>
      <c r="B29" s="12">
        <f>IF(10&lt;=B15,IF(10=1,ii,G28)+F29,"")</f>
        <v/>
      </c>
      <c r="E29" s="12">
        <f>IF(10&lt;=B15,B29*B16,"")</f>
        <v/>
      </c>
      <c r="F29" s="12">
        <f>IF(10&lt;=B15,cper,"")</f>
        <v/>
      </c>
      <c r="G29" s="12">
        <f>IF(10&lt;=B15,B29+E29,"")</f>
        <v/>
      </c>
    </row>
    <row r="30">
      <c r="A30">
        <f>IF(11&lt;=B15,11,"")</f>
        <v/>
      </c>
      <c r="B30" s="12">
        <f>IF(11&lt;=B15,IF(11=1,ii,G29)+F30,"")</f>
        <v/>
      </c>
      <c r="E30" s="12">
        <f>IF(11&lt;=B15,B30*B16,"")</f>
        <v/>
      </c>
      <c r="F30" s="12">
        <f>IF(11&lt;=B15,cper,"")</f>
        <v/>
      </c>
      <c r="G30" s="12">
        <f>IF(11&lt;=B15,B30+E30,"")</f>
        <v/>
      </c>
    </row>
    <row r="31">
      <c r="A31">
        <f>IF(12&lt;=B15,12,"")</f>
        <v/>
      </c>
      <c r="B31" s="12">
        <f>IF(12&lt;=B15,IF(12=1,ii,G30)+F31,"")</f>
        <v/>
      </c>
      <c r="E31" s="12">
        <f>IF(12&lt;=B15,B31*B16,"")</f>
        <v/>
      </c>
      <c r="F31" s="12">
        <f>IF(12&lt;=B15,cper,"")</f>
        <v/>
      </c>
      <c r="G31" s="12">
        <f>IF(12&lt;=B15,B31+E31,"")</f>
        <v/>
      </c>
    </row>
    <row r="32">
      <c r="A32">
        <f>IF(13&lt;=B15,13,"")</f>
        <v/>
      </c>
      <c r="B32" s="12">
        <f>IF(13&lt;=B15,IF(13=1,ii,G31)+F32,"")</f>
        <v/>
      </c>
      <c r="E32" s="12">
        <f>IF(13&lt;=B15,B32*B16,"")</f>
        <v/>
      </c>
      <c r="F32" s="12">
        <f>IF(13&lt;=B15,cper,"")</f>
        <v/>
      </c>
      <c r="G32" s="12">
        <f>IF(13&lt;=B15,B32+E32,"")</f>
        <v/>
      </c>
    </row>
    <row r="33">
      <c r="A33">
        <f>IF(14&lt;=B15,14,"")</f>
        <v/>
      </c>
      <c r="B33" s="12">
        <f>IF(14&lt;=B15,IF(14=1,ii,G32)+F33,"")</f>
        <v/>
      </c>
      <c r="E33" s="12">
        <f>IF(14&lt;=B15,B33*B16,"")</f>
        <v/>
      </c>
      <c r="F33" s="12">
        <f>IF(14&lt;=B15,cper,"")</f>
        <v/>
      </c>
      <c r="G33" s="12">
        <f>IF(14&lt;=B15,B33+E33,"")</f>
        <v/>
      </c>
    </row>
    <row r="34">
      <c r="A34">
        <f>IF(15&lt;=B15,15,"")</f>
        <v/>
      </c>
      <c r="B34" s="12">
        <f>IF(15&lt;=B15,IF(15=1,ii,G33)+F34,"")</f>
        <v/>
      </c>
      <c r="E34" s="12">
        <f>IF(15&lt;=B15,B34*B16,"")</f>
        <v/>
      </c>
      <c r="F34" s="12">
        <f>IF(15&lt;=B15,cper,"")</f>
        <v/>
      </c>
      <c r="G34" s="12">
        <f>IF(15&lt;=B15,B34+E34,"")</f>
        <v/>
      </c>
    </row>
    <row r="35">
      <c r="A35">
        <f>IF(16&lt;=B15,16,"")</f>
        <v/>
      </c>
      <c r="B35" s="12">
        <f>IF(16&lt;=B15,IF(16=1,ii,G34)+F35,"")</f>
        <v/>
      </c>
      <c r="E35" s="12">
        <f>IF(16&lt;=B15,B35*B16,"")</f>
        <v/>
      </c>
      <c r="F35" s="12">
        <f>IF(16&lt;=B15,cper,"")</f>
        <v/>
      </c>
      <c r="G35" s="12">
        <f>IF(16&lt;=B15,B35+E35,"")</f>
        <v/>
      </c>
    </row>
    <row r="36">
      <c r="A36">
        <f>IF(17&lt;=B15,17,"")</f>
        <v/>
      </c>
      <c r="B36" s="12">
        <f>IF(17&lt;=B15,IF(17=1,ii,G35)+F36,"")</f>
        <v/>
      </c>
      <c r="E36" s="12">
        <f>IF(17&lt;=B15,B36*B16,"")</f>
        <v/>
      </c>
      <c r="F36" s="12">
        <f>IF(17&lt;=B15,cper,"")</f>
        <v/>
      </c>
      <c r="G36" s="12">
        <f>IF(17&lt;=B15,B36+E36,"")</f>
        <v/>
      </c>
    </row>
    <row r="37">
      <c r="A37">
        <f>IF(18&lt;=B15,18,"")</f>
        <v/>
      </c>
      <c r="B37" s="12">
        <f>IF(18&lt;=B15,IF(18=1,ii,G36)+F37,"")</f>
        <v/>
      </c>
      <c r="E37" s="12">
        <f>IF(18&lt;=B15,B37*B16,"")</f>
        <v/>
      </c>
      <c r="F37" s="12">
        <f>IF(18&lt;=B15,cper,"")</f>
        <v/>
      </c>
      <c r="G37" s="12">
        <f>IF(18&lt;=B15,B37+E37,"")</f>
        <v/>
      </c>
    </row>
    <row r="38">
      <c r="A38">
        <f>IF(19&lt;=B15,19,"")</f>
        <v/>
      </c>
      <c r="B38" s="12">
        <f>IF(19&lt;=B15,IF(19=1,ii,G37)+F38,"")</f>
        <v/>
      </c>
      <c r="E38" s="12">
        <f>IF(19&lt;=B15,B38*B16,"")</f>
        <v/>
      </c>
      <c r="F38" s="12">
        <f>IF(19&lt;=B15,cper,"")</f>
        <v/>
      </c>
      <c r="G38" s="12">
        <f>IF(19&lt;=B15,B38+E38,"")</f>
        <v/>
      </c>
    </row>
    <row r="39">
      <c r="A39">
        <f>IF(20&lt;=B15,20,"")</f>
        <v/>
      </c>
      <c r="B39" s="12">
        <f>IF(20&lt;=B15,IF(20=1,ii,G38)+F39,"")</f>
        <v/>
      </c>
      <c r="E39" s="12">
        <f>IF(20&lt;=B15,B39*B16,"")</f>
        <v/>
      </c>
      <c r="F39" s="12">
        <f>IF(20&lt;=B15,cper,"")</f>
        <v/>
      </c>
      <c r="G39" s="12">
        <f>IF(20&lt;=B15,B39+E39,"")</f>
        <v/>
      </c>
    </row>
    <row r="40">
      <c r="A40">
        <f>IF(21&lt;=B15,21,"")</f>
        <v/>
      </c>
      <c r="B40" s="12">
        <f>IF(21&lt;=B15,IF(21=1,ii,G39)+F40,"")</f>
        <v/>
      </c>
      <c r="E40" s="12">
        <f>IF(21&lt;=B15,B40*B16,"")</f>
        <v/>
      </c>
      <c r="F40" s="12">
        <f>IF(21&lt;=B15,cper,"")</f>
        <v/>
      </c>
      <c r="G40" s="12">
        <f>IF(21&lt;=B15,B40+E40,"")</f>
        <v/>
      </c>
    </row>
    <row r="41">
      <c r="A41">
        <f>IF(22&lt;=B15,22,"")</f>
        <v/>
      </c>
      <c r="B41" s="12">
        <f>IF(22&lt;=B15,IF(22=1,ii,G40)+F41,"")</f>
        <v/>
      </c>
      <c r="E41" s="12">
        <f>IF(22&lt;=B15,B41*B16,"")</f>
        <v/>
      </c>
      <c r="F41" s="12">
        <f>IF(22&lt;=B15,cper,"")</f>
        <v/>
      </c>
      <c r="G41" s="12">
        <f>IF(22&lt;=B15,B41+E41,"")</f>
        <v/>
      </c>
    </row>
    <row r="42">
      <c r="A42">
        <f>IF(23&lt;=B15,23,"")</f>
        <v/>
      </c>
      <c r="B42" s="12">
        <f>IF(23&lt;=B15,IF(23=1,ii,G41)+F42,"")</f>
        <v/>
      </c>
      <c r="E42" s="12">
        <f>IF(23&lt;=B15,B42*B16,"")</f>
        <v/>
      </c>
      <c r="F42" s="12">
        <f>IF(23&lt;=B15,cper,"")</f>
        <v/>
      </c>
      <c r="G42" s="12">
        <f>IF(23&lt;=B15,B42+E42,"")</f>
        <v/>
      </c>
    </row>
    <row r="43">
      <c r="A43">
        <f>IF(24&lt;=B15,24,"")</f>
        <v/>
      </c>
      <c r="B43" s="12">
        <f>IF(24&lt;=B15,IF(24=1,ii,G42)+F43,"")</f>
        <v/>
      </c>
      <c r="E43" s="12">
        <f>IF(24&lt;=B15,B43*B16,"")</f>
        <v/>
      </c>
      <c r="F43" s="12">
        <f>IF(24&lt;=B15,cper,"")</f>
        <v/>
      </c>
      <c r="G43" s="12">
        <f>IF(24&lt;=B15,B43+E43,"")</f>
        <v/>
      </c>
    </row>
    <row r="44">
      <c r="A44">
        <f>IF(25&lt;=B15,25,"")</f>
        <v/>
      </c>
      <c r="B44" s="12">
        <f>IF(25&lt;=B15,IF(25=1,ii,G43)+F44,"")</f>
        <v/>
      </c>
      <c r="E44" s="12">
        <f>IF(25&lt;=B15,B44*B16,"")</f>
        <v/>
      </c>
      <c r="F44" s="12">
        <f>IF(25&lt;=B15,cper,"")</f>
        <v/>
      </c>
      <c r="G44" s="12">
        <f>IF(25&lt;=B15,B44+E44,"")</f>
        <v/>
      </c>
    </row>
    <row r="45">
      <c r="A45">
        <f>IF(26&lt;=B15,26,"")</f>
        <v/>
      </c>
      <c r="B45" s="12">
        <f>IF(26&lt;=B15,IF(26=1,ii,G44)+F45,"")</f>
        <v/>
      </c>
      <c r="E45" s="12">
        <f>IF(26&lt;=B15,B45*B16,"")</f>
        <v/>
      </c>
      <c r="F45" s="12">
        <f>IF(26&lt;=B15,cper,"")</f>
        <v/>
      </c>
      <c r="G45" s="12">
        <f>IF(26&lt;=B15,B45+E45,"")</f>
        <v/>
      </c>
    </row>
    <row r="46">
      <c r="A46">
        <f>IF(27&lt;=B15,27,"")</f>
        <v/>
      </c>
      <c r="B46" s="12">
        <f>IF(27&lt;=B15,IF(27=1,ii,G45)+F46,"")</f>
        <v/>
      </c>
      <c r="E46" s="12">
        <f>IF(27&lt;=B15,B46*B16,"")</f>
        <v/>
      </c>
      <c r="F46" s="12">
        <f>IF(27&lt;=B15,cper,"")</f>
        <v/>
      </c>
      <c r="G46" s="12">
        <f>IF(27&lt;=B15,B46+E46,"")</f>
        <v/>
      </c>
    </row>
    <row r="47">
      <c r="A47">
        <f>IF(28&lt;=B15,28,"")</f>
        <v/>
      </c>
      <c r="B47" s="12">
        <f>IF(28&lt;=B15,IF(28=1,ii,G46)+F47,"")</f>
        <v/>
      </c>
      <c r="E47" s="12">
        <f>IF(28&lt;=B15,B47*B16,"")</f>
        <v/>
      </c>
      <c r="F47" s="12">
        <f>IF(28&lt;=B15,cper,"")</f>
        <v/>
      </c>
      <c r="G47" s="12">
        <f>IF(28&lt;=B15,B47+E47,"")</f>
        <v/>
      </c>
    </row>
    <row r="48">
      <c r="A48">
        <f>IF(29&lt;=B15,29,"")</f>
        <v/>
      </c>
      <c r="B48" s="12">
        <f>IF(29&lt;=B15,IF(29=1,ii,G47)+F48,"")</f>
        <v/>
      </c>
      <c r="E48" s="12">
        <f>IF(29&lt;=B15,B48*B16,"")</f>
        <v/>
      </c>
      <c r="F48" s="12">
        <f>IF(29&lt;=B15,cper,"")</f>
        <v/>
      </c>
      <c r="G48" s="12">
        <f>IF(29&lt;=B15,B48+E48,"")</f>
        <v/>
      </c>
    </row>
    <row r="49">
      <c r="A49">
        <f>IF(30&lt;=B15,30,"")</f>
        <v/>
      </c>
      <c r="B49" s="12">
        <f>IF(30&lt;=B15,IF(30=1,ii,G48)+F49,"")</f>
        <v/>
      </c>
      <c r="E49" s="12">
        <f>IF(30&lt;=B15,B49*B16,"")</f>
        <v/>
      </c>
      <c r="F49" s="12">
        <f>IF(30&lt;=B15,cper,"")</f>
        <v/>
      </c>
      <c r="G49" s="12">
        <f>IF(30&lt;=B15,B49+E49,"")</f>
        <v/>
      </c>
    </row>
    <row r="50">
      <c r="A50">
        <f>IF(31&lt;=B15,31,"")</f>
        <v/>
      </c>
      <c r="B50" s="12">
        <f>IF(31&lt;=B15,IF(31=1,ii,G49)+F50,"")</f>
        <v/>
      </c>
      <c r="E50" s="12">
        <f>IF(31&lt;=B15,B50*B16,"")</f>
        <v/>
      </c>
      <c r="F50" s="12">
        <f>IF(31&lt;=B15,cper,"")</f>
        <v/>
      </c>
      <c r="G50" s="12">
        <f>IF(31&lt;=B15,B50+E50,"")</f>
        <v/>
      </c>
    </row>
    <row r="51">
      <c r="A51">
        <f>IF(32&lt;=B15,32,"")</f>
        <v/>
      </c>
      <c r="B51" s="12">
        <f>IF(32&lt;=B15,IF(32=1,ii,G50)+F51,"")</f>
        <v/>
      </c>
      <c r="E51" s="12">
        <f>IF(32&lt;=B15,B51*B16,"")</f>
        <v/>
      </c>
      <c r="F51" s="12">
        <f>IF(32&lt;=B15,cper,"")</f>
        <v/>
      </c>
      <c r="G51" s="12">
        <f>IF(32&lt;=B15,B51+E51,"")</f>
        <v/>
      </c>
    </row>
    <row r="52">
      <c r="A52">
        <f>IF(33&lt;=B15,33,"")</f>
        <v/>
      </c>
      <c r="B52" s="12">
        <f>IF(33&lt;=B15,IF(33=1,ii,G51)+F52,"")</f>
        <v/>
      </c>
      <c r="E52" s="12">
        <f>IF(33&lt;=B15,B52*B16,"")</f>
        <v/>
      </c>
      <c r="F52" s="12">
        <f>IF(33&lt;=B15,cper,"")</f>
        <v/>
      </c>
      <c r="G52" s="12">
        <f>IF(33&lt;=B15,B52+E52,"")</f>
        <v/>
      </c>
    </row>
    <row r="53">
      <c r="A53">
        <f>IF(34&lt;=B15,34,"")</f>
        <v/>
      </c>
      <c r="B53" s="12">
        <f>IF(34&lt;=B15,IF(34=1,ii,G52)+F53,"")</f>
        <v/>
      </c>
      <c r="E53" s="12">
        <f>IF(34&lt;=B15,B53*B16,"")</f>
        <v/>
      </c>
      <c r="F53" s="12">
        <f>IF(34&lt;=B15,cper,"")</f>
        <v/>
      </c>
      <c r="G53" s="12">
        <f>IF(34&lt;=B15,B53+E53,"")</f>
        <v/>
      </c>
    </row>
    <row r="54">
      <c r="A54">
        <f>IF(35&lt;=B15,35,"")</f>
        <v/>
      </c>
      <c r="B54" s="12">
        <f>IF(35&lt;=B15,IF(35=1,ii,G53)+F54,"")</f>
        <v/>
      </c>
      <c r="E54" s="12">
        <f>IF(35&lt;=B15,B54*B16,"")</f>
        <v/>
      </c>
      <c r="F54" s="12">
        <f>IF(35&lt;=B15,cper,"")</f>
        <v/>
      </c>
      <c r="G54" s="12">
        <f>IF(35&lt;=B15,B54+E54,"")</f>
        <v/>
      </c>
    </row>
    <row r="55">
      <c r="A55">
        <f>IF(36&lt;=B15,36,"")</f>
        <v/>
      </c>
      <c r="B55" s="12">
        <f>IF(36&lt;=B15,IF(36=1,ii,G54)+F55,"")</f>
        <v/>
      </c>
      <c r="E55" s="12">
        <f>IF(36&lt;=B15,B55*B16,"")</f>
        <v/>
      </c>
      <c r="F55" s="12">
        <f>IF(36&lt;=B15,cper,"")</f>
        <v/>
      </c>
      <c r="G55" s="12">
        <f>IF(36&lt;=B15,B55+E55,"")</f>
        <v/>
      </c>
    </row>
    <row r="56">
      <c r="A56">
        <f>IF(37&lt;=B15,37,"")</f>
        <v/>
      </c>
      <c r="B56" s="12">
        <f>IF(37&lt;=B15,IF(37=1,ii,G55)+F56,"")</f>
        <v/>
      </c>
      <c r="E56" s="12">
        <f>IF(37&lt;=B15,B56*B16,"")</f>
        <v/>
      </c>
      <c r="F56" s="12">
        <f>IF(37&lt;=B15,cper,"")</f>
        <v/>
      </c>
      <c r="G56" s="12">
        <f>IF(37&lt;=B15,B56+E56,"")</f>
        <v/>
      </c>
    </row>
    <row r="57">
      <c r="A57">
        <f>IF(38&lt;=B15,38,"")</f>
        <v/>
      </c>
      <c r="B57" s="12">
        <f>IF(38&lt;=B15,IF(38=1,ii,G56)+F57,"")</f>
        <v/>
      </c>
      <c r="E57" s="12">
        <f>IF(38&lt;=B15,B57*B16,"")</f>
        <v/>
      </c>
      <c r="F57" s="12">
        <f>IF(38&lt;=B15,cper,"")</f>
        <v/>
      </c>
      <c r="G57" s="12">
        <f>IF(38&lt;=B15,B57+E57,"")</f>
        <v/>
      </c>
    </row>
    <row r="58">
      <c r="A58">
        <f>IF(39&lt;=B15,39,"")</f>
        <v/>
      </c>
      <c r="B58" s="12">
        <f>IF(39&lt;=B15,IF(39=1,ii,G57)+F58,"")</f>
        <v/>
      </c>
      <c r="E58" s="12">
        <f>IF(39&lt;=B15,B58*B16,"")</f>
        <v/>
      </c>
      <c r="F58" s="12">
        <f>IF(39&lt;=B15,cper,"")</f>
        <v/>
      </c>
      <c r="G58" s="12">
        <f>IF(39&lt;=B15,B58+E58,"")</f>
        <v/>
      </c>
    </row>
    <row r="59">
      <c r="A59">
        <f>IF(40&lt;=B15,40,"")</f>
        <v/>
      </c>
      <c r="B59" s="12">
        <f>IF(40&lt;=B15,IF(40=1,ii,G58)+F59,"")</f>
        <v/>
      </c>
      <c r="E59" s="12">
        <f>IF(40&lt;=B15,B59*B16,"")</f>
        <v/>
      </c>
      <c r="F59" s="12">
        <f>IF(40&lt;=B15,cper,"")</f>
        <v/>
      </c>
      <c r="G59" s="12">
        <f>IF(40&lt;=B15,B59+E59,"")</f>
        <v/>
      </c>
    </row>
    <row r="60">
      <c r="A60">
        <f>IF(41&lt;=B15,41,"")</f>
        <v/>
      </c>
      <c r="B60" s="12">
        <f>IF(41&lt;=B15,IF(41=1,ii,G59)+F60,"")</f>
        <v/>
      </c>
      <c r="E60" s="12">
        <f>IF(41&lt;=B15,B60*B16,"")</f>
        <v/>
      </c>
      <c r="F60" s="12">
        <f>IF(41&lt;=B15,cper,"")</f>
        <v/>
      </c>
      <c r="G60" s="12">
        <f>IF(41&lt;=B15,B60+E60,"")</f>
        <v/>
      </c>
    </row>
    <row r="61">
      <c r="A61">
        <f>IF(42&lt;=B15,42,"")</f>
        <v/>
      </c>
      <c r="B61" s="12">
        <f>IF(42&lt;=B15,IF(42=1,ii,G60)+F61,"")</f>
        <v/>
      </c>
      <c r="E61" s="12">
        <f>IF(42&lt;=B15,B61*B16,"")</f>
        <v/>
      </c>
      <c r="F61" s="12">
        <f>IF(42&lt;=B15,cper,"")</f>
        <v/>
      </c>
      <c r="G61" s="12">
        <f>IF(42&lt;=B15,B61+E61,"")</f>
        <v/>
      </c>
    </row>
    <row r="62">
      <c r="A62">
        <f>IF(43&lt;=B15,43,"")</f>
        <v/>
      </c>
      <c r="B62" s="12">
        <f>IF(43&lt;=B15,IF(43=1,ii,G61)+F62,"")</f>
        <v/>
      </c>
      <c r="E62" s="12">
        <f>IF(43&lt;=B15,B62*B16,"")</f>
        <v/>
      </c>
      <c r="F62" s="12">
        <f>IF(43&lt;=B15,cper,"")</f>
        <v/>
      </c>
      <c r="G62" s="12">
        <f>IF(43&lt;=B15,B62+E62,"")</f>
        <v/>
      </c>
    </row>
    <row r="63">
      <c r="A63">
        <f>IF(44&lt;=B15,44,"")</f>
        <v/>
      </c>
      <c r="B63" s="12">
        <f>IF(44&lt;=B15,IF(44=1,ii,G62)+F63,"")</f>
        <v/>
      </c>
      <c r="E63" s="12">
        <f>IF(44&lt;=B15,B63*B16,"")</f>
        <v/>
      </c>
      <c r="F63" s="12">
        <f>IF(44&lt;=B15,cper,"")</f>
        <v/>
      </c>
      <c r="G63" s="12">
        <f>IF(44&lt;=B15,B63+E63,"")</f>
        <v/>
      </c>
    </row>
    <row r="64">
      <c r="A64">
        <f>IF(45&lt;=B15,45,"")</f>
        <v/>
      </c>
      <c r="B64" s="12">
        <f>IF(45&lt;=B15,IF(45=1,ii,G63)+F64,"")</f>
        <v/>
      </c>
      <c r="E64" s="12">
        <f>IF(45&lt;=B15,B64*B16,"")</f>
        <v/>
      </c>
      <c r="F64" s="12">
        <f>IF(45&lt;=B15,cper,"")</f>
        <v/>
      </c>
      <c r="G64" s="12">
        <f>IF(45&lt;=B15,B64+E64,"")</f>
        <v/>
      </c>
    </row>
    <row r="65">
      <c r="A65">
        <f>IF(46&lt;=B15,46,"")</f>
        <v/>
      </c>
      <c r="B65" s="12">
        <f>IF(46&lt;=B15,IF(46=1,ii,G64)+F65,"")</f>
        <v/>
      </c>
      <c r="E65" s="12">
        <f>IF(46&lt;=B15,B65*B16,"")</f>
        <v/>
      </c>
      <c r="F65" s="12">
        <f>IF(46&lt;=B15,cper,"")</f>
        <v/>
      </c>
      <c r="G65" s="12">
        <f>IF(46&lt;=B15,B65+E65,"")</f>
        <v/>
      </c>
    </row>
    <row r="66">
      <c r="A66">
        <f>IF(47&lt;=B15,47,"")</f>
        <v/>
      </c>
      <c r="B66" s="12">
        <f>IF(47&lt;=B15,IF(47=1,ii,G65)+F66,"")</f>
        <v/>
      </c>
      <c r="E66" s="12">
        <f>IF(47&lt;=B15,B66*B16,"")</f>
        <v/>
      </c>
      <c r="F66" s="12">
        <f>IF(47&lt;=B15,cper,"")</f>
        <v/>
      </c>
      <c r="G66" s="12">
        <f>IF(47&lt;=B15,B66+E66,"")</f>
        <v/>
      </c>
    </row>
    <row r="67">
      <c r="A67">
        <f>IF(48&lt;=B15,48,"")</f>
        <v/>
      </c>
      <c r="B67" s="12">
        <f>IF(48&lt;=B15,IF(48=1,ii,G66)+F67,"")</f>
        <v/>
      </c>
      <c r="E67" s="12">
        <f>IF(48&lt;=B15,B67*B16,"")</f>
        <v/>
      </c>
      <c r="F67" s="12">
        <f>IF(48&lt;=B15,cper,"")</f>
        <v/>
      </c>
      <c r="G67" s="12">
        <f>IF(48&lt;=B15,B67+E67,"")</f>
        <v/>
      </c>
    </row>
    <row r="68">
      <c r="A68">
        <f>IF(49&lt;=B15,49,"")</f>
        <v/>
      </c>
      <c r="B68" s="12">
        <f>IF(49&lt;=B15,IF(49=1,ii,G67)+F68,"")</f>
        <v/>
      </c>
      <c r="E68" s="12">
        <f>IF(49&lt;=B15,B68*B16,"")</f>
        <v/>
      </c>
      <c r="F68" s="12">
        <f>IF(49&lt;=B15,cper,"")</f>
        <v/>
      </c>
      <c r="G68" s="12">
        <f>IF(49&lt;=B15,B68+E68,"")</f>
        <v/>
      </c>
    </row>
    <row r="69">
      <c r="A69">
        <f>IF(50&lt;=B15,50,"")</f>
        <v/>
      </c>
      <c r="B69" s="12">
        <f>IF(50&lt;=B15,IF(50=1,ii,G68)+F69,"")</f>
        <v/>
      </c>
      <c r="E69" s="12">
        <f>IF(50&lt;=B15,B69*B16,"")</f>
        <v/>
      </c>
      <c r="F69" s="12">
        <f>IF(50&lt;=B15,cper,"")</f>
        <v/>
      </c>
      <c r="G69" s="12">
        <f>IF(50&lt;=B15,B69+E69,"")</f>
        <v/>
      </c>
    </row>
    <row r="70">
      <c r="A70">
        <f>IF(51&lt;=B15,51,"")</f>
        <v/>
      </c>
      <c r="B70" s="12">
        <f>IF(51&lt;=B15,IF(51=1,ii,G69)+F70,"")</f>
        <v/>
      </c>
      <c r="E70" s="12">
        <f>IF(51&lt;=B15,B70*B16,"")</f>
        <v/>
      </c>
      <c r="F70" s="12">
        <f>IF(51&lt;=B15,cper,"")</f>
        <v/>
      </c>
      <c r="G70" s="12">
        <f>IF(51&lt;=B15,B70+E70,"")</f>
        <v/>
      </c>
    </row>
    <row r="71">
      <c r="A71">
        <f>IF(52&lt;=B15,52,"")</f>
        <v/>
      </c>
      <c r="B71" s="12">
        <f>IF(52&lt;=B15,IF(52=1,ii,G70)+F71,"")</f>
        <v/>
      </c>
      <c r="E71" s="12">
        <f>IF(52&lt;=B15,B71*B16,"")</f>
        <v/>
      </c>
      <c r="F71" s="12">
        <f>IF(52&lt;=B15,cper,"")</f>
        <v/>
      </c>
      <c r="G71" s="12">
        <f>IF(52&lt;=B15,B71+E71,"")</f>
        <v/>
      </c>
    </row>
    <row r="72">
      <c r="A72">
        <f>IF(53&lt;=B15,53,"")</f>
        <v/>
      </c>
      <c r="B72" s="12">
        <f>IF(53&lt;=B15,IF(53=1,ii,G71)+F72,"")</f>
        <v/>
      </c>
      <c r="E72" s="12">
        <f>IF(53&lt;=B15,B72*B16,"")</f>
        <v/>
      </c>
      <c r="F72" s="12">
        <f>IF(53&lt;=B15,cper,"")</f>
        <v/>
      </c>
      <c r="G72" s="12">
        <f>IF(53&lt;=B15,B72+E72,"")</f>
        <v/>
      </c>
    </row>
    <row r="73">
      <c r="A73">
        <f>IF(54&lt;=B15,54,"")</f>
        <v/>
      </c>
      <c r="B73" s="12">
        <f>IF(54&lt;=B15,IF(54=1,ii,G72)+F73,"")</f>
        <v/>
      </c>
      <c r="E73" s="12">
        <f>IF(54&lt;=B15,B73*B16,"")</f>
        <v/>
      </c>
      <c r="F73" s="12">
        <f>IF(54&lt;=B15,cper,"")</f>
        <v/>
      </c>
      <c r="G73" s="12">
        <f>IF(54&lt;=B15,B73+E73,"")</f>
        <v/>
      </c>
    </row>
    <row r="74">
      <c r="A74">
        <f>IF(55&lt;=B15,55,"")</f>
        <v/>
      </c>
      <c r="B74" s="12">
        <f>IF(55&lt;=B15,IF(55=1,ii,G73)+F74,"")</f>
        <v/>
      </c>
      <c r="E74" s="12">
        <f>IF(55&lt;=B15,B74*B16,"")</f>
        <v/>
      </c>
      <c r="F74" s="12">
        <f>IF(55&lt;=B15,cper,"")</f>
        <v/>
      </c>
      <c r="G74" s="12">
        <f>IF(55&lt;=B15,B74+E74,"")</f>
        <v/>
      </c>
    </row>
    <row r="75">
      <c r="A75">
        <f>IF(56&lt;=B15,56,"")</f>
        <v/>
      </c>
      <c r="B75" s="12">
        <f>IF(56&lt;=B15,IF(56=1,ii,G74)+F75,"")</f>
        <v/>
      </c>
      <c r="E75" s="12">
        <f>IF(56&lt;=B15,B75*B16,"")</f>
        <v/>
      </c>
      <c r="F75" s="12">
        <f>IF(56&lt;=B15,cper,"")</f>
        <v/>
      </c>
      <c r="G75" s="12">
        <f>IF(56&lt;=B15,B75+E75,"")</f>
        <v/>
      </c>
    </row>
    <row r="76">
      <c r="A76">
        <f>IF(57&lt;=B15,57,"")</f>
        <v/>
      </c>
      <c r="B76" s="12">
        <f>IF(57&lt;=B15,IF(57=1,ii,G75)+F76,"")</f>
        <v/>
      </c>
      <c r="E76" s="12">
        <f>IF(57&lt;=B15,B76*B16,"")</f>
        <v/>
      </c>
      <c r="F76" s="12">
        <f>IF(57&lt;=B15,cper,"")</f>
        <v/>
      </c>
      <c r="G76" s="12">
        <f>IF(57&lt;=B15,B76+E76,"")</f>
        <v/>
      </c>
    </row>
    <row r="77">
      <c r="A77">
        <f>IF(58&lt;=B15,58,"")</f>
        <v/>
      </c>
      <c r="B77" s="12">
        <f>IF(58&lt;=B15,IF(58=1,ii,G76)+F77,"")</f>
        <v/>
      </c>
      <c r="E77" s="12">
        <f>IF(58&lt;=B15,B77*B16,"")</f>
        <v/>
      </c>
      <c r="F77" s="12">
        <f>IF(58&lt;=B15,cper,"")</f>
        <v/>
      </c>
      <c r="G77" s="12">
        <f>IF(58&lt;=B15,B77+E77,"")</f>
        <v/>
      </c>
    </row>
    <row r="78">
      <c r="A78">
        <f>IF(59&lt;=B15,59,"")</f>
        <v/>
      </c>
      <c r="B78" s="12">
        <f>IF(59&lt;=B15,IF(59=1,ii,G77)+F78,"")</f>
        <v/>
      </c>
      <c r="E78" s="12">
        <f>IF(59&lt;=B15,B78*B16,"")</f>
        <v/>
      </c>
      <c r="F78" s="12">
        <f>IF(59&lt;=B15,cper,"")</f>
        <v/>
      </c>
      <c r="G78" s="12">
        <f>IF(59&lt;=B15,B78+E78,"")</f>
        <v/>
      </c>
    </row>
    <row r="79">
      <c r="A79">
        <f>IF(60&lt;=B15,60,"")</f>
        <v/>
      </c>
      <c r="B79" s="12">
        <f>IF(60&lt;=B15,IF(60=1,ii,G78)+F79,"")</f>
        <v/>
      </c>
      <c r="E79" s="12">
        <f>IF(60&lt;=B15,B79*B16,"")</f>
        <v/>
      </c>
      <c r="F79" s="12">
        <f>IF(60&lt;=B15,cper,"")</f>
        <v/>
      </c>
      <c r="G79" s="12">
        <f>IF(60&lt;=B15,B79+E79,"")</f>
        <v/>
      </c>
    </row>
    <row r="80">
      <c r="A80">
        <f>IF(61&lt;=B15,61,"")</f>
        <v/>
      </c>
      <c r="B80" s="12">
        <f>IF(61&lt;=B15,IF(61=1,ii,G79)+F80,"")</f>
        <v/>
      </c>
      <c r="E80" s="12">
        <f>IF(61&lt;=B15,B80*B16,"")</f>
        <v/>
      </c>
      <c r="F80" s="12">
        <f>IF(61&lt;=B15,cper,"")</f>
        <v/>
      </c>
      <c r="G80" s="12">
        <f>IF(61&lt;=B15,B80+E80,"")</f>
        <v/>
      </c>
    </row>
    <row r="81">
      <c r="A81">
        <f>IF(62&lt;=B15,62,"")</f>
        <v/>
      </c>
      <c r="B81" s="12">
        <f>IF(62&lt;=B15,IF(62=1,ii,G80)+F81,"")</f>
        <v/>
      </c>
      <c r="E81" s="12">
        <f>IF(62&lt;=B15,B81*B16,"")</f>
        <v/>
      </c>
      <c r="F81" s="12">
        <f>IF(62&lt;=B15,cper,"")</f>
        <v/>
      </c>
      <c r="G81" s="12">
        <f>IF(62&lt;=B15,B81+E81,"")</f>
        <v/>
      </c>
    </row>
    <row r="82">
      <c r="A82">
        <f>IF(63&lt;=B15,63,"")</f>
        <v/>
      </c>
      <c r="B82" s="12">
        <f>IF(63&lt;=B15,IF(63=1,ii,G81)+F82,"")</f>
        <v/>
      </c>
      <c r="E82" s="12">
        <f>IF(63&lt;=B15,B82*B16,"")</f>
        <v/>
      </c>
      <c r="F82" s="12">
        <f>IF(63&lt;=B15,cper,"")</f>
        <v/>
      </c>
      <c r="G82" s="12">
        <f>IF(63&lt;=B15,B82+E82,"")</f>
        <v/>
      </c>
    </row>
    <row r="83">
      <c r="A83">
        <f>IF(64&lt;=B15,64,"")</f>
        <v/>
      </c>
      <c r="B83" s="12">
        <f>IF(64&lt;=B15,IF(64=1,ii,G82)+F83,"")</f>
        <v/>
      </c>
      <c r="E83" s="12">
        <f>IF(64&lt;=B15,B83*B16,"")</f>
        <v/>
      </c>
      <c r="F83" s="12">
        <f>IF(64&lt;=B15,cper,"")</f>
        <v/>
      </c>
      <c r="G83" s="12">
        <f>IF(64&lt;=B15,B83+E83,"")</f>
        <v/>
      </c>
    </row>
    <row r="84">
      <c r="A84">
        <f>IF(65&lt;=B15,65,"")</f>
        <v/>
      </c>
      <c r="B84" s="12">
        <f>IF(65&lt;=B15,IF(65=1,ii,G83)+F84,"")</f>
        <v/>
      </c>
      <c r="E84" s="12">
        <f>IF(65&lt;=B15,B84*B16,"")</f>
        <v/>
      </c>
      <c r="F84" s="12">
        <f>IF(65&lt;=B15,cper,"")</f>
        <v/>
      </c>
      <c r="G84" s="12">
        <f>IF(65&lt;=B15,B84+E84,"")</f>
        <v/>
      </c>
    </row>
    <row r="85">
      <c r="A85">
        <f>IF(66&lt;=B15,66,"")</f>
        <v/>
      </c>
      <c r="B85" s="12">
        <f>IF(66&lt;=B15,IF(66=1,ii,G84)+F85,"")</f>
        <v/>
      </c>
      <c r="E85" s="12">
        <f>IF(66&lt;=B15,B85*B16,"")</f>
        <v/>
      </c>
      <c r="F85" s="12">
        <f>IF(66&lt;=B15,cper,"")</f>
        <v/>
      </c>
      <c r="G85" s="12">
        <f>IF(66&lt;=B15,B85+E85,"")</f>
        <v/>
      </c>
    </row>
    <row r="86">
      <c r="A86">
        <f>IF(67&lt;=B15,67,"")</f>
        <v/>
      </c>
      <c r="B86" s="12">
        <f>IF(67&lt;=B15,IF(67=1,ii,G85)+F86,"")</f>
        <v/>
      </c>
      <c r="E86" s="12">
        <f>IF(67&lt;=B15,B86*B16,"")</f>
        <v/>
      </c>
      <c r="F86" s="12">
        <f>IF(67&lt;=B15,cper,"")</f>
        <v/>
      </c>
      <c r="G86" s="12">
        <f>IF(67&lt;=B15,B86+E86,"")</f>
        <v/>
      </c>
    </row>
    <row r="87">
      <c r="A87">
        <f>IF(68&lt;=B15,68,"")</f>
        <v/>
      </c>
      <c r="B87" s="12">
        <f>IF(68&lt;=B15,IF(68=1,ii,G86)+F87,"")</f>
        <v/>
      </c>
      <c r="E87" s="12">
        <f>IF(68&lt;=B15,B87*B16,"")</f>
        <v/>
      </c>
      <c r="F87" s="12">
        <f>IF(68&lt;=B15,cper,"")</f>
        <v/>
      </c>
      <c r="G87" s="12">
        <f>IF(68&lt;=B15,B87+E87,"")</f>
        <v/>
      </c>
    </row>
    <row r="88">
      <c r="A88">
        <f>IF(69&lt;=B15,69,"")</f>
        <v/>
      </c>
      <c r="B88" s="12">
        <f>IF(69&lt;=B15,IF(69=1,ii,G87)+F88,"")</f>
        <v/>
      </c>
      <c r="E88" s="12">
        <f>IF(69&lt;=B15,B88*B16,"")</f>
        <v/>
      </c>
      <c r="F88" s="12">
        <f>IF(69&lt;=B15,cper,"")</f>
        <v/>
      </c>
      <c r="G88" s="12">
        <f>IF(69&lt;=B15,B88+E88,"")</f>
        <v/>
      </c>
    </row>
    <row r="89">
      <c r="A89">
        <f>IF(70&lt;=B15,70,"")</f>
        <v/>
      </c>
      <c r="B89" s="12">
        <f>IF(70&lt;=B15,IF(70=1,ii,G88)+F89,"")</f>
        <v/>
      </c>
      <c r="E89" s="12">
        <f>IF(70&lt;=B15,B89*B16,"")</f>
        <v/>
      </c>
      <c r="F89" s="12">
        <f>IF(70&lt;=B15,cper,"")</f>
        <v/>
      </c>
      <c r="G89" s="12">
        <f>IF(70&lt;=B15,B89+E89,"")</f>
        <v/>
      </c>
    </row>
    <row r="90">
      <c r="A90">
        <f>IF(71&lt;=B15,71,"")</f>
        <v/>
      </c>
      <c r="B90" s="12">
        <f>IF(71&lt;=B15,IF(71=1,ii,G89)+F90,"")</f>
        <v/>
      </c>
      <c r="E90" s="12">
        <f>IF(71&lt;=B15,B90*B16,"")</f>
        <v/>
      </c>
      <c r="F90" s="12">
        <f>IF(71&lt;=B15,cper,"")</f>
        <v/>
      </c>
      <c r="G90" s="12">
        <f>IF(71&lt;=B15,B90+E90,"")</f>
        <v/>
      </c>
    </row>
    <row r="91">
      <c r="A91">
        <f>IF(72&lt;=B15,72,"")</f>
        <v/>
      </c>
      <c r="B91" s="12">
        <f>IF(72&lt;=B15,IF(72=1,ii,G90)+F91,"")</f>
        <v/>
      </c>
      <c r="E91" s="12">
        <f>IF(72&lt;=B15,B91*B16,"")</f>
        <v/>
      </c>
      <c r="F91" s="12">
        <f>IF(72&lt;=B15,cper,"")</f>
        <v/>
      </c>
      <c r="G91" s="12">
        <f>IF(72&lt;=B15,B91+E91,"")</f>
        <v/>
      </c>
    </row>
    <row r="92">
      <c r="A92">
        <f>IF(73&lt;=B15,73,"")</f>
        <v/>
      </c>
      <c r="B92" s="12">
        <f>IF(73&lt;=B15,IF(73=1,ii,G91)+F92,"")</f>
        <v/>
      </c>
      <c r="E92" s="12">
        <f>IF(73&lt;=B15,B92*B16,"")</f>
        <v/>
      </c>
      <c r="F92" s="12">
        <f>IF(73&lt;=B15,cper,"")</f>
        <v/>
      </c>
      <c r="G92" s="12">
        <f>IF(73&lt;=B15,B92+E92,"")</f>
        <v/>
      </c>
    </row>
    <row r="93">
      <c r="A93">
        <f>IF(74&lt;=B15,74,"")</f>
        <v/>
      </c>
      <c r="B93" s="12">
        <f>IF(74&lt;=B15,IF(74=1,ii,G92)+F93,"")</f>
        <v/>
      </c>
      <c r="E93" s="12">
        <f>IF(74&lt;=B15,B93*B16,"")</f>
        <v/>
      </c>
      <c r="F93" s="12">
        <f>IF(74&lt;=B15,cper,"")</f>
        <v/>
      </c>
      <c r="G93" s="12">
        <f>IF(74&lt;=B15,B93+E93,"")</f>
        <v/>
      </c>
    </row>
    <row r="94">
      <c r="A94">
        <f>IF(75&lt;=B15,75,"")</f>
        <v/>
      </c>
      <c r="B94" s="12">
        <f>IF(75&lt;=B15,IF(75=1,ii,G93)+F94,"")</f>
        <v/>
      </c>
      <c r="E94" s="12">
        <f>IF(75&lt;=B15,B94*B16,"")</f>
        <v/>
      </c>
      <c r="F94" s="12">
        <f>IF(75&lt;=B15,cper,"")</f>
        <v/>
      </c>
      <c r="G94" s="12">
        <f>IF(75&lt;=B15,B94+E94,"")</f>
        <v/>
      </c>
    </row>
    <row r="95">
      <c r="A95">
        <f>IF(76&lt;=B15,76,"")</f>
        <v/>
      </c>
      <c r="B95" s="12">
        <f>IF(76&lt;=B15,IF(76=1,ii,G94)+F95,"")</f>
        <v/>
      </c>
      <c r="E95" s="12">
        <f>IF(76&lt;=B15,B95*B16,"")</f>
        <v/>
      </c>
      <c r="F95" s="12">
        <f>IF(76&lt;=B15,cper,"")</f>
        <v/>
      </c>
      <c r="G95" s="12">
        <f>IF(76&lt;=B15,B95+E95,"")</f>
        <v/>
      </c>
    </row>
    <row r="96">
      <c r="A96">
        <f>IF(77&lt;=B15,77,"")</f>
        <v/>
      </c>
      <c r="B96" s="12">
        <f>IF(77&lt;=B15,IF(77=1,ii,G95)+F96,"")</f>
        <v/>
      </c>
      <c r="E96" s="12">
        <f>IF(77&lt;=B15,B96*B16,"")</f>
        <v/>
      </c>
      <c r="F96" s="12">
        <f>IF(77&lt;=B15,cper,"")</f>
        <v/>
      </c>
      <c r="G96" s="12">
        <f>IF(77&lt;=B15,B96+E96,"")</f>
        <v/>
      </c>
    </row>
    <row r="97">
      <c r="A97">
        <f>IF(78&lt;=B15,78,"")</f>
        <v/>
      </c>
      <c r="B97" s="12">
        <f>IF(78&lt;=B15,IF(78=1,ii,G96)+F97,"")</f>
        <v/>
      </c>
      <c r="E97" s="12">
        <f>IF(78&lt;=B15,B97*B16,"")</f>
        <v/>
      </c>
      <c r="F97" s="12">
        <f>IF(78&lt;=B15,cper,"")</f>
        <v/>
      </c>
      <c r="G97" s="12">
        <f>IF(78&lt;=B15,B97+E97,"")</f>
        <v/>
      </c>
    </row>
    <row r="98">
      <c r="A98">
        <f>IF(79&lt;=B15,79,"")</f>
        <v/>
      </c>
      <c r="B98" s="12">
        <f>IF(79&lt;=B15,IF(79=1,ii,G97)+F98,"")</f>
        <v/>
      </c>
      <c r="E98" s="12">
        <f>IF(79&lt;=B15,B98*B16,"")</f>
        <v/>
      </c>
      <c r="F98" s="12">
        <f>IF(79&lt;=B15,cper,"")</f>
        <v/>
      </c>
      <c r="G98" s="12">
        <f>IF(79&lt;=B15,B98+E98,"")</f>
        <v/>
      </c>
    </row>
    <row r="99">
      <c r="A99">
        <f>IF(80&lt;=B15,80,"")</f>
        <v/>
      </c>
      <c r="B99" s="12">
        <f>IF(80&lt;=B15,IF(80=1,ii,G98)+F99,"")</f>
        <v/>
      </c>
      <c r="E99" s="12">
        <f>IF(80&lt;=B15,B99*B16,"")</f>
        <v/>
      </c>
      <c r="F99" s="12">
        <f>IF(80&lt;=B15,cper,"")</f>
        <v/>
      </c>
      <c r="G99" s="12">
        <f>IF(80&lt;=B15,B99+E99,"")</f>
        <v/>
      </c>
    </row>
    <row r="100">
      <c r="A100">
        <f>IF(81&lt;=B15,81,"")</f>
        <v/>
      </c>
      <c r="B100" s="12">
        <f>IF(81&lt;=B15,IF(81=1,ii,G99)+F100,"")</f>
        <v/>
      </c>
      <c r="E100" s="12">
        <f>IF(81&lt;=B15,B100*B16,"")</f>
        <v/>
      </c>
      <c r="F100" s="12">
        <f>IF(81&lt;=B15,cper,"")</f>
        <v/>
      </c>
      <c r="G100" s="12">
        <f>IF(81&lt;=B15,B100+E100,"")</f>
        <v/>
      </c>
    </row>
    <row r="101">
      <c r="A101">
        <f>IF(82&lt;=B15,82,"")</f>
        <v/>
      </c>
      <c r="B101" s="12">
        <f>IF(82&lt;=B15,IF(82=1,ii,G100)+F101,"")</f>
        <v/>
      </c>
      <c r="E101" s="12">
        <f>IF(82&lt;=B15,B101*B16,"")</f>
        <v/>
      </c>
      <c r="F101" s="12">
        <f>IF(82&lt;=B15,cper,"")</f>
        <v/>
      </c>
      <c r="G101" s="12">
        <f>IF(82&lt;=B15,B101+E101,"")</f>
        <v/>
      </c>
    </row>
    <row r="102">
      <c r="A102">
        <f>IF(83&lt;=B15,83,"")</f>
        <v/>
      </c>
      <c r="B102" s="12">
        <f>IF(83&lt;=B15,IF(83=1,ii,G101)+F102,"")</f>
        <v/>
      </c>
      <c r="E102" s="12">
        <f>IF(83&lt;=B15,B102*B16,"")</f>
        <v/>
      </c>
      <c r="F102" s="12">
        <f>IF(83&lt;=B15,cper,"")</f>
        <v/>
      </c>
      <c r="G102" s="12">
        <f>IF(83&lt;=B15,B102+E102,"")</f>
        <v/>
      </c>
    </row>
    <row r="103">
      <c r="A103">
        <f>IF(84&lt;=B15,84,"")</f>
        <v/>
      </c>
      <c r="B103" s="12">
        <f>IF(84&lt;=B15,IF(84=1,ii,G102)+F103,"")</f>
        <v/>
      </c>
      <c r="E103" s="12">
        <f>IF(84&lt;=B15,B103*B16,"")</f>
        <v/>
      </c>
      <c r="F103" s="12">
        <f>IF(84&lt;=B15,cper,"")</f>
        <v/>
      </c>
      <c r="G103" s="12">
        <f>IF(84&lt;=B15,B103+E103,"")</f>
        <v/>
      </c>
    </row>
    <row r="104">
      <c r="A104">
        <f>IF(85&lt;=B15,85,"")</f>
        <v/>
      </c>
      <c r="B104" s="12">
        <f>IF(85&lt;=B15,IF(85=1,ii,G103)+F104,"")</f>
        <v/>
      </c>
      <c r="E104" s="12">
        <f>IF(85&lt;=B15,B104*B16,"")</f>
        <v/>
      </c>
      <c r="F104" s="12">
        <f>IF(85&lt;=B15,cper,"")</f>
        <v/>
      </c>
      <c r="G104" s="12">
        <f>IF(85&lt;=B15,B104+E104,"")</f>
        <v/>
      </c>
    </row>
    <row r="105">
      <c r="A105">
        <f>IF(86&lt;=B15,86,"")</f>
        <v/>
      </c>
      <c r="B105" s="12">
        <f>IF(86&lt;=B15,IF(86=1,ii,G104)+F105,"")</f>
        <v/>
      </c>
      <c r="E105" s="12">
        <f>IF(86&lt;=B15,B105*B16,"")</f>
        <v/>
      </c>
      <c r="F105" s="12">
        <f>IF(86&lt;=B15,cper,"")</f>
        <v/>
      </c>
      <c r="G105" s="12">
        <f>IF(86&lt;=B15,B105+E105,"")</f>
        <v/>
      </c>
    </row>
    <row r="106">
      <c r="A106">
        <f>IF(87&lt;=B15,87,"")</f>
        <v/>
      </c>
      <c r="B106" s="12">
        <f>IF(87&lt;=B15,IF(87=1,ii,G105)+F106,"")</f>
        <v/>
      </c>
      <c r="E106" s="12">
        <f>IF(87&lt;=B15,B106*B16,"")</f>
        <v/>
      </c>
      <c r="F106" s="12">
        <f>IF(87&lt;=B15,cper,"")</f>
        <v/>
      </c>
      <c r="G106" s="12">
        <f>IF(87&lt;=B15,B106+E106,"")</f>
        <v/>
      </c>
    </row>
    <row r="107">
      <c r="A107">
        <f>IF(88&lt;=B15,88,"")</f>
        <v/>
      </c>
      <c r="B107" s="12">
        <f>IF(88&lt;=B15,IF(88=1,ii,G106)+F107,"")</f>
        <v/>
      </c>
      <c r="E107" s="12">
        <f>IF(88&lt;=B15,B107*B16,"")</f>
        <v/>
      </c>
      <c r="F107" s="12">
        <f>IF(88&lt;=B15,cper,"")</f>
        <v/>
      </c>
      <c r="G107" s="12">
        <f>IF(88&lt;=B15,B107+E107,"")</f>
        <v/>
      </c>
    </row>
    <row r="108">
      <c r="A108">
        <f>IF(89&lt;=B15,89,"")</f>
        <v/>
      </c>
      <c r="B108" s="12">
        <f>IF(89&lt;=B15,IF(89=1,ii,G107)+F108,"")</f>
        <v/>
      </c>
      <c r="E108" s="12">
        <f>IF(89&lt;=B15,B108*B16,"")</f>
        <v/>
      </c>
      <c r="F108" s="12">
        <f>IF(89&lt;=B15,cper,"")</f>
        <v/>
      </c>
      <c r="G108" s="12">
        <f>IF(89&lt;=B15,B108+E108,"")</f>
        <v/>
      </c>
    </row>
    <row r="109">
      <c r="A109">
        <f>IF(90&lt;=B15,90,"")</f>
        <v/>
      </c>
      <c r="B109" s="12">
        <f>IF(90&lt;=B15,IF(90=1,ii,G108)+F109,"")</f>
        <v/>
      </c>
      <c r="E109" s="12">
        <f>IF(90&lt;=B15,B109*B16,"")</f>
        <v/>
      </c>
      <c r="F109" s="12">
        <f>IF(90&lt;=B15,cper,"")</f>
        <v/>
      </c>
      <c r="G109" s="12">
        <f>IF(90&lt;=B15,B109+E109,"")</f>
        <v/>
      </c>
    </row>
    <row r="110">
      <c r="A110">
        <f>IF(91&lt;=B15,91,"")</f>
        <v/>
      </c>
      <c r="B110" s="12">
        <f>IF(91&lt;=B15,IF(91=1,ii,G109)+F110,"")</f>
        <v/>
      </c>
      <c r="E110" s="12">
        <f>IF(91&lt;=B15,B110*B16,"")</f>
        <v/>
      </c>
      <c r="F110" s="12">
        <f>IF(91&lt;=B15,cper,"")</f>
        <v/>
      </c>
      <c r="G110" s="12">
        <f>IF(91&lt;=B15,B110+E110,"")</f>
        <v/>
      </c>
    </row>
    <row r="111">
      <c r="A111">
        <f>IF(92&lt;=B15,92,"")</f>
        <v/>
      </c>
      <c r="B111" s="12">
        <f>IF(92&lt;=B15,IF(92=1,ii,G110)+F111,"")</f>
        <v/>
      </c>
      <c r="E111" s="12">
        <f>IF(92&lt;=B15,B111*B16,"")</f>
        <v/>
      </c>
      <c r="F111" s="12">
        <f>IF(92&lt;=B15,cper,"")</f>
        <v/>
      </c>
      <c r="G111" s="12">
        <f>IF(92&lt;=B15,B111+E111,"")</f>
        <v/>
      </c>
    </row>
    <row r="112">
      <c r="A112">
        <f>IF(93&lt;=B15,93,"")</f>
        <v/>
      </c>
      <c r="B112" s="12">
        <f>IF(93&lt;=B15,IF(93=1,ii,G111)+F112,"")</f>
        <v/>
      </c>
      <c r="E112" s="12">
        <f>IF(93&lt;=B15,B112*B16,"")</f>
        <v/>
      </c>
      <c r="F112" s="12">
        <f>IF(93&lt;=B15,cper,"")</f>
        <v/>
      </c>
      <c r="G112" s="12">
        <f>IF(93&lt;=B15,B112+E112,"")</f>
        <v/>
      </c>
    </row>
    <row r="113">
      <c r="A113">
        <f>IF(94&lt;=B15,94,"")</f>
        <v/>
      </c>
      <c r="B113" s="12">
        <f>IF(94&lt;=B15,IF(94=1,ii,G112)+F113,"")</f>
        <v/>
      </c>
      <c r="E113" s="12">
        <f>IF(94&lt;=B15,B113*B16,"")</f>
        <v/>
      </c>
      <c r="F113" s="12">
        <f>IF(94&lt;=B15,cper,"")</f>
        <v/>
      </c>
      <c r="G113" s="12">
        <f>IF(94&lt;=B15,B113+E113,"")</f>
        <v/>
      </c>
    </row>
    <row r="114">
      <c r="A114">
        <f>IF(95&lt;=B15,95,"")</f>
        <v/>
      </c>
      <c r="B114" s="12">
        <f>IF(95&lt;=B15,IF(95=1,ii,G113)+F114,"")</f>
        <v/>
      </c>
      <c r="E114" s="12">
        <f>IF(95&lt;=B15,B114*B16,"")</f>
        <v/>
      </c>
      <c r="F114" s="12">
        <f>IF(95&lt;=B15,cper,"")</f>
        <v/>
      </c>
      <c r="G114" s="12">
        <f>IF(95&lt;=B15,B114+E114,"")</f>
        <v/>
      </c>
    </row>
    <row r="115">
      <c r="A115">
        <f>IF(96&lt;=B15,96,"")</f>
        <v/>
      </c>
      <c r="B115" s="12">
        <f>IF(96&lt;=B15,IF(96=1,ii,G114)+F115,"")</f>
        <v/>
      </c>
      <c r="E115" s="12">
        <f>IF(96&lt;=B15,B115*B16,"")</f>
        <v/>
      </c>
      <c r="F115" s="12">
        <f>IF(96&lt;=B15,cper,"")</f>
        <v/>
      </c>
      <c r="G115" s="12">
        <f>IF(96&lt;=B15,B115+E115,"")</f>
        <v/>
      </c>
    </row>
    <row r="116">
      <c r="A116">
        <f>IF(97&lt;=B15,97,"")</f>
        <v/>
      </c>
      <c r="B116" s="12">
        <f>IF(97&lt;=B15,IF(97=1,ii,G115)+F116,"")</f>
        <v/>
      </c>
      <c r="E116" s="12">
        <f>IF(97&lt;=B15,B116*B16,"")</f>
        <v/>
      </c>
      <c r="F116" s="12">
        <f>IF(97&lt;=B15,cper,"")</f>
        <v/>
      </c>
      <c r="G116" s="12">
        <f>IF(97&lt;=B15,B116+E116,"")</f>
        <v/>
      </c>
    </row>
    <row r="117">
      <c r="A117">
        <f>IF(98&lt;=B15,98,"")</f>
        <v/>
      </c>
      <c r="B117" s="12">
        <f>IF(98&lt;=B15,IF(98=1,ii,G116)+F117,"")</f>
        <v/>
      </c>
      <c r="E117" s="12">
        <f>IF(98&lt;=B15,B117*B16,"")</f>
        <v/>
      </c>
      <c r="F117" s="12">
        <f>IF(98&lt;=B15,cper,"")</f>
        <v/>
      </c>
      <c r="G117" s="12">
        <f>IF(98&lt;=B15,B117+E117,"")</f>
        <v/>
      </c>
    </row>
    <row r="118">
      <c r="A118">
        <f>IF(99&lt;=B15,99,"")</f>
        <v/>
      </c>
      <c r="B118" s="12">
        <f>IF(99&lt;=B15,IF(99=1,ii,G117)+F118,"")</f>
        <v/>
      </c>
      <c r="E118" s="12">
        <f>IF(99&lt;=B15,B118*B16,"")</f>
        <v/>
      </c>
      <c r="F118" s="12">
        <f>IF(99&lt;=B15,cper,"")</f>
        <v/>
      </c>
      <c r="G118" s="12">
        <f>IF(99&lt;=B15,B118+E118,"")</f>
        <v/>
      </c>
    </row>
    <row r="119">
      <c r="A119">
        <f>IF(100&lt;=B15,100,"")</f>
        <v/>
      </c>
      <c r="B119" s="12">
        <f>IF(100&lt;=B15,IF(100=1,ii,G118)+F119,"")</f>
        <v/>
      </c>
      <c r="E119" s="12">
        <f>IF(100&lt;=B15,B119*B16,"")</f>
        <v/>
      </c>
      <c r="F119" s="12">
        <f>IF(100&lt;=B15,cper,"")</f>
        <v/>
      </c>
      <c r="G119" s="12">
        <f>IF(100&lt;=B15,B119+E119,"")</f>
        <v/>
      </c>
    </row>
    <row r="120">
      <c r="A120">
        <f>IF(101&lt;=B15,101,"")</f>
        <v/>
      </c>
      <c r="B120" s="12">
        <f>IF(101&lt;=B15,IF(101=1,ii,G119)+F120,"")</f>
        <v/>
      </c>
      <c r="E120" s="12">
        <f>IF(101&lt;=B15,B120*B16,"")</f>
        <v/>
      </c>
      <c r="F120" s="12">
        <f>IF(101&lt;=B15,cper,"")</f>
        <v/>
      </c>
      <c r="G120" s="12">
        <f>IF(101&lt;=B15,B120+E120,"")</f>
        <v/>
      </c>
    </row>
    <row r="121">
      <c r="A121">
        <f>IF(102&lt;=B15,102,"")</f>
        <v/>
      </c>
      <c r="B121" s="12">
        <f>IF(102&lt;=B15,IF(102=1,ii,G120)+F121,"")</f>
        <v/>
      </c>
      <c r="E121" s="12">
        <f>IF(102&lt;=B15,B121*B16,"")</f>
        <v/>
      </c>
      <c r="F121" s="12">
        <f>IF(102&lt;=B15,cper,"")</f>
        <v/>
      </c>
      <c r="G121" s="12">
        <f>IF(102&lt;=B15,B121+E121,"")</f>
        <v/>
      </c>
    </row>
    <row r="122">
      <c r="A122">
        <f>IF(103&lt;=B15,103,"")</f>
        <v/>
      </c>
      <c r="B122" s="12">
        <f>IF(103&lt;=B15,IF(103=1,ii,G121)+F122,"")</f>
        <v/>
      </c>
      <c r="E122" s="12">
        <f>IF(103&lt;=B15,B122*B16,"")</f>
        <v/>
      </c>
      <c r="F122" s="12">
        <f>IF(103&lt;=B15,cper,"")</f>
        <v/>
      </c>
      <c r="G122" s="12">
        <f>IF(103&lt;=B15,B122+E122,"")</f>
        <v/>
      </c>
    </row>
    <row r="123">
      <c r="A123">
        <f>IF(104&lt;=B15,104,"")</f>
        <v/>
      </c>
      <c r="B123" s="12">
        <f>IF(104&lt;=B15,IF(104=1,ii,G122)+F123,"")</f>
        <v/>
      </c>
      <c r="E123" s="12">
        <f>IF(104&lt;=B15,B123*B16,"")</f>
        <v/>
      </c>
      <c r="F123" s="12">
        <f>IF(104&lt;=B15,cper,"")</f>
        <v/>
      </c>
      <c r="G123" s="12">
        <f>IF(104&lt;=B15,B123+E123,"")</f>
        <v/>
      </c>
    </row>
    <row r="124">
      <c r="A124">
        <f>IF(105&lt;=B15,105,"")</f>
        <v/>
      </c>
      <c r="B124" s="12">
        <f>IF(105&lt;=B15,IF(105=1,ii,G123)+F124,"")</f>
        <v/>
      </c>
      <c r="E124" s="12">
        <f>IF(105&lt;=B15,B124*B16,"")</f>
        <v/>
      </c>
      <c r="F124" s="12">
        <f>IF(105&lt;=B15,cper,"")</f>
        <v/>
      </c>
      <c r="G124" s="12">
        <f>IF(105&lt;=B15,B124+E124,"")</f>
        <v/>
      </c>
    </row>
    <row r="125">
      <c r="A125">
        <f>IF(106&lt;=B15,106,"")</f>
        <v/>
      </c>
      <c r="B125" s="12">
        <f>IF(106&lt;=B15,IF(106=1,ii,G124)+F125,"")</f>
        <v/>
      </c>
      <c r="E125" s="12">
        <f>IF(106&lt;=B15,B125*B16,"")</f>
        <v/>
      </c>
      <c r="F125" s="12">
        <f>IF(106&lt;=B15,cper,"")</f>
        <v/>
      </c>
      <c r="G125" s="12">
        <f>IF(106&lt;=B15,B125+E125,"")</f>
        <v/>
      </c>
    </row>
    <row r="126">
      <c r="A126">
        <f>IF(107&lt;=B15,107,"")</f>
        <v/>
      </c>
      <c r="B126" s="12">
        <f>IF(107&lt;=B15,IF(107=1,ii,G125)+F126,"")</f>
        <v/>
      </c>
      <c r="E126" s="12">
        <f>IF(107&lt;=B15,B126*B16,"")</f>
        <v/>
      </c>
      <c r="F126" s="12">
        <f>IF(107&lt;=B15,cper,"")</f>
        <v/>
      </c>
      <c r="G126" s="12">
        <f>IF(107&lt;=B15,B126+E126,"")</f>
        <v/>
      </c>
    </row>
    <row r="127">
      <c r="A127">
        <f>IF(108&lt;=B15,108,"")</f>
        <v/>
      </c>
      <c r="B127" s="12">
        <f>IF(108&lt;=B15,IF(108=1,ii,G126)+F127,"")</f>
        <v/>
      </c>
      <c r="E127" s="12">
        <f>IF(108&lt;=B15,B127*B16,"")</f>
        <v/>
      </c>
      <c r="F127" s="12">
        <f>IF(108&lt;=B15,cper,"")</f>
        <v/>
      </c>
      <c r="G127" s="12">
        <f>IF(108&lt;=B15,B127+E127,"")</f>
        <v/>
      </c>
    </row>
    <row r="128">
      <c r="A128">
        <f>IF(109&lt;=B15,109,"")</f>
        <v/>
      </c>
      <c r="B128" s="12">
        <f>IF(109&lt;=B15,IF(109=1,ii,G127)+F128,"")</f>
        <v/>
      </c>
      <c r="E128" s="12">
        <f>IF(109&lt;=B15,B128*B16,"")</f>
        <v/>
      </c>
      <c r="F128" s="12">
        <f>IF(109&lt;=B15,cper,"")</f>
        <v/>
      </c>
      <c r="G128" s="12">
        <f>IF(109&lt;=B15,B128+E128,"")</f>
        <v/>
      </c>
    </row>
    <row r="129">
      <c r="A129">
        <f>IF(110&lt;=B15,110,"")</f>
        <v/>
      </c>
      <c r="B129" s="12">
        <f>IF(110&lt;=B15,IF(110=1,ii,G128)+F129,"")</f>
        <v/>
      </c>
      <c r="E129" s="12">
        <f>IF(110&lt;=B15,B129*B16,"")</f>
        <v/>
      </c>
      <c r="F129" s="12">
        <f>IF(110&lt;=B15,cper,"")</f>
        <v/>
      </c>
      <c r="G129" s="12">
        <f>IF(110&lt;=B15,B129+E129,"")</f>
        <v/>
      </c>
    </row>
    <row r="130">
      <c r="A130">
        <f>IF(111&lt;=B15,111,"")</f>
        <v/>
      </c>
      <c r="B130" s="12">
        <f>IF(111&lt;=B15,IF(111=1,ii,G129)+F130,"")</f>
        <v/>
      </c>
      <c r="E130" s="12">
        <f>IF(111&lt;=B15,B130*B16,"")</f>
        <v/>
      </c>
      <c r="F130" s="12">
        <f>IF(111&lt;=B15,cper,"")</f>
        <v/>
      </c>
      <c r="G130" s="12">
        <f>IF(111&lt;=B15,B130+E130,"")</f>
        <v/>
      </c>
    </row>
    <row r="131">
      <c r="A131">
        <f>IF(112&lt;=B15,112,"")</f>
        <v/>
      </c>
      <c r="B131" s="12">
        <f>IF(112&lt;=B15,IF(112=1,ii,G130)+F131,"")</f>
        <v/>
      </c>
      <c r="E131" s="12">
        <f>IF(112&lt;=B15,B131*B16,"")</f>
        <v/>
      </c>
      <c r="F131" s="12">
        <f>IF(112&lt;=B15,cper,"")</f>
        <v/>
      </c>
      <c r="G131" s="12">
        <f>IF(112&lt;=B15,B131+E131,"")</f>
        <v/>
      </c>
    </row>
    <row r="132">
      <c r="A132">
        <f>IF(113&lt;=B15,113,"")</f>
        <v/>
      </c>
      <c r="B132" s="12">
        <f>IF(113&lt;=B15,IF(113=1,ii,G131)+F132,"")</f>
        <v/>
      </c>
      <c r="E132" s="12">
        <f>IF(113&lt;=B15,B132*B16,"")</f>
        <v/>
      </c>
      <c r="F132" s="12">
        <f>IF(113&lt;=B15,cper,"")</f>
        <v/>
      </c>
      <c r="G132" s="12">
        <f>IF(113&lt;=B15,B132+E132,"")</f>
        <v/>
      </c>
    </row>
    <row r="133">
      <c r="A133">
        <f>IF(114&lt;=B15,114,"")</f>
        <v/>
      </c>
      <c r="B133" s="12">
        <f>IF(114&lt;=B15,IF(114=1,ii,G132)+F133,"")</f>
        <v/>
      </c>
      <c r="E133" s="12">
        <f>IF(114&lt;=B15,B133*B16,"")</f>
        <v/>
      </c>
      <c r="F133" s="12">
        <f>IF(114&lt;=B15,cper,"")</f>
        <v/>
      </c>
      <c r="G133" s="12">
        <f>IF(114&lt;=B15,B133+E133,"")</f>
        <v/>
      </c>
    </row>
    <row r="134">
      <c r="A134">
        <f>IF(115&lt;=B15,115,"")</f>
        <v/>
      </c>
      <c r="B134" s="12">
        <f>IF(115&lt;=B15,IF(115=1,ii,G133)+F134,"")</f>
        <v/>
      </c>
      <c r="E134" s="12">
        <f>IF(115&lt;=B15,B134*B16,"")</f>
        <v/>
      </c>
      <c r="F134" s="12">
        <f>IF(115&lt;=B15,cper,"")</f>
        <v/>
      </c>
      <c r="G134" s="12">
        <f>IF(115&lt;=B15,B134+E134,"")</f>
        <v/>
      </c>
    </row>
    <row r="135">
      <c r="A135">
        <f>IF(116&lt;=B15,116,"")</f>
        <v/>
      </c>
      <c r="B135" s="12">
        <f>IF(116&lt;=B15,IF(116=1,ii,G134)+F135,"")</f>
        <v/>
      </c>
      <c r="E135" s="12">
        <f>IF(116&lt;=B15,B135*B16,"")</f>
        <v/>
      </c>
      <c r="F135" s="12">
        <f>IF(116&lt;=B15,cper,"")</f>
        <v/>
      </c>
      <c r="G135" s="12">
        <f>IF(116&lt;=B15,B135+E135,"")</f>
        <v/>
      </c>
    </row>
    <row r="136">
      <c r="A136">
        <f>IF(117&lt;=B15,117,"")</f>
        <v/>
      </c>
      <c r="B136" s="12">
        <f>IF(117&lt;=B15,IF(117=1,ii,G135)+F136,"")</f>
        <v/>
      </c>
      <c r="E136" s="12">
        <f>IF(117&lt;=B15,B136*B16,"")</f>
        <v/>
      </c>
      <c r="F136" s="12">
        <f>IF(117&lt;=B15,cper,"")</f>
        <v/>
      </c>
      <c r="G136" s="12">
        <f>IF(117&lt;=B15,B136+E136,"")</f>
        <v/>
      </c>
    </row>
    <row r="137">
      <c r="A137">
        <f>IF(118&lt;=B15,118,"")</f>
        <v/>
      </c>
      <c r="B137" s="12">
        <f>IF(118&lt;=B15,IF(118=1,ii,G136)+F137,"")</f>
        <v/>
      </c>
      <c r="E137" s="12">
        <f>IF(118&lt;=B15,B137*B16,"")</f>
        <v/>
      </c>
      <c r="F137" s="12">
        <f>IF(118&lt;=B15,cper,"")</f>
        <v/>
      </c>
      <c r="G137" s="12">
        <f>IF(118&lt;=B15,B137+E137,"")</f>
        <v/>
      </c>
    </row>
    <row r="138">
      <c r="A138">
        <f>IF(119&lt;=B15,119,"")</f>
        <v/>
      </c>
      <c r="B138" s="12">
        <f>IF(119&lt;=B15,IF(119=1,ii,G137)+F138,"")</f>
        <v/>
      </c>
      <c r="E138" s="12">
        <f>IF(119&lt;=B15,B138*B16,"")</f>
        <v/>
      </c>
      <c r="F138" s="12">
        <f>IF(119&lt;=B15,cper,"")</f>
        <v/>
      </c>
      <c r="G138" s="12">
        <f>IF(119&lt;=B15,B138+E138,"")</f>
        <v/>
      </c>
    </row>
    <row r="139">
      <c r="A139">
        <f>IF(120&lt;=B15,120,"")</f>
        <v/>
      </c>
      <c r="B139" s="12">
        <f>IF(120&lt;=B15,IF(120=1,ii,G138)+F139,"")</f>
        <v/>
      </c>
      <c r="E139" s="12">
        <f>IF(120&lt;=B15,B139*B16,"")</f>
        <v/>
      </c>
      <c r="F139" s="12">
        <f>IF(120&lt;=B15,cper,"")</f>
        <v/>
      </c>
      <c r="G139" s="12">
        <f>IF(120&lt;=B15,B139+E139,"")</f>
        <v/>
      </c>
    </row>
    <row r="140">
      <c r="A140">
        <f>IF(121&lt;=B15,121,"")</f>
        <v/>
      </c>
      <c r="B140" s="12">
        <f>IF(121&lt;=B15,IF(121=1,ii,G139)+F140,"")</f>
        <v/>
      </c>
      <c r="E140" s="12">
        <f>IF(121&lt;=B15,B140*B16,"")</f>
        <v/>
      </c>
      <c r="F140" s="12">
        <f>IF(121&lt;=B15,cper,"")</f>
        <v/>
      </c>
      <c r="G140" s="12">
        <f>IF(121&lt;=B15,B140+E140,"")</f>
        <v/>
      </c>
    </row>
    <row r="141">
      <c r="A141">
        <f>IF(122&lt;=B15,122,"")</f>
        <v/>
      </c>
      <c r="B141" s="12">
        <f>IF(122&lt;=B15,IF(122=1,ii,G140)+F141,"")</f>
        <v/>
      </c>
      <c r="E141" s="12">
        <f>IF(122&lt;=B15,B141*B16,"")</f>
        <v/>
      </c>
      <c r="F141" s="12">
        <f>IF(122&lt;=B15,cper,"")</f>
        <v/>
      </c>
      <c r="G141" s="12">
        <f>IF(122&lt;=B15,B141+E141,"")</f>
        <v/>
      </c>
    </row>
    <row r="142">
      <c r="A142">
        <f>IF(123&lt;=B15,123,"")</f>
        <v/>
      </c>
      <c r="B142" s="12">
        <f>IF(123&lt;=B15,IF(123=1,ii,G141)+F142,"")</f>
        <v/>
      </c>
      <c r="E142" s="12">
        <f>IF(123&lt;=B15,B142*B16,"")</f>
        <v/>
      </c>
      <c r="F142" s="12">
        <f>IF(123&lt;=B15,cper,"")</f>
        <v/>
      </c>
      <c r="G142" s="12">
        <f>IF(123&lt;=B15,B142+E142,"")</f>
        <v/>
      </c>
    </row>
    <row r="143">
      <c r="A143">
        <f>IF(124&lt;=B15,124,"")</f>
        <v/>
      </c>
      <c r="B143" s="12">
        <f>IF(124&lt;=B15,IF(124=1,ii,G142)+F143,"")</f>
        <v/>
      </c>
      <c r="E143" s="12">
        <f>IF(124&lt;=B15,B143*B16,"")</f>
        <v/>
      </c>
      <c r="F143" s="12">
        <f>IF(124&lt;=B15,cper,"")</f>
        <v/>
      </c>
      <c r="G143" s="12">
        <f>IF(124&lt;=B15,B143+E143,"")</f>
        <v/>
      </c>
    </row>
    <row r="144">
      <c r="A144">
        <f>IF(125&lt;=B15,125,"")</f>
        <v/>
      </c>
      <c r="B144" s="12">
        <f>IF(125&lt;=B15,IF(125=1,ii,G143)+F144,"")</f>
        <v/>
      </c>
      <c r="E144" s="12">
        <f>IF(125&lt;=B15,B144*B16,"")</f>
        <v/>
      </c>
      <c r="F144" s="12">
        <f>IF(125&lt;=B15,cper,"")</f>
        <v/>
      </c>
      <c r="G144" s="12">
        <f>IF(125&lt;=B15,B144+E144,"")</f>
        <v/>
      </c>
    </row>
    <row r="145">
      <c r="A145">
        <f>IF(126&lt;=B15,126,"")</f>
        <v/>
      </c>
      <c r="B145" s="12">
        <f>IF(126&lt;=B15,IF(126=1,ii,G144)+F145,"")</f>
        <v/>
      </c>
      <c r="E145" s="12">
        <f>IF(126&lt;=B15,B145*B16,"")</f>
        <v/>
      </c>
      <c r="F145" s="12">
        <f>IF(126&lt;=B15,cper,"")</f>
        <v/>
      </c>
      <c r="G145" s="12">
        <f>IF(126&lt;=B15,B145+E145,"")</f>
        <v/>
      </c>
    </row>
    <row r="146">
      <c r="A146">
        <f>IF(127&lt;=B15,127,"")</f>
        <v/>
      </c>
      <c r="B146" s="12">
        <f>IF(127&lt;=B15,IF(127=1,ii,G145)+F146,"")</f>
        <v/>
      </c>
      <c r="E146" s="12">
        <f>IF(127&lt;=B15,B146*B16,"")</f>
        <v/>
      </c>
      <c r="F146" s="12">
        <f>IF(127&lt;=B15,cper,"")</f>
        <v/>
      </c>
      <c r="G146" s="12">
        <f>IF(127&lt;=B15,B146+E146,"")</f>
        <v/>
      </c>
    </row>
    <row r="147">
      <c r="A147">
        <f>IF(128&lt;=B15,128,"")</f>
        <v/>
      </c>
      <c r="B147" s="12">
        <f>IF(128&lt;=B15,IF(128=1,ii,G146)+F147,"")</f>
        <v/>
      </c>
      <c r="E147" s="12">
        <f>IF(128&lt;=B15,B147*B16,"")</f>
        <v/>
      </c>
      <c r="F147" s="12">
        <f>IF(128&lt;=B15,cper,"")</f>
        <v/>
      </c>
      <c r="G147" s="12">
        <f>IF(128&lt;=B15,B147+E147,"")</f>
        <v/>
      </c>
    </row>
    <row r="148">
      <c r="A148">
        <f>IF(129&lt;=B15,129,"")</f>
        <v/>
      </c>
      <c r="B148" s="12">
        <f>IF(129&lt;=B15,IF(129=1,ii,G147)+F148,"")</f>
        <v/>
      </c>
      <c r="E148" s="12">
        <f>IF(129&lt;=B15,B148*B16,"")</f>
        <v/>
      </c>
      <c r="F148" s="12">
        <f>IF(129&lt;=B15,cper,"")</f>
        <v/>
      </c>
      <c r="G148" s="12">
        <f>IF(129&lt;=B15,B148+E148,"")</f>
        <v/>
      </c>
    </row>
    <row r="149">
      <c r="A149">
        <f>IF(130&lt;=B15,130,"")</f>
        <v/>
      </c>
      <c r="B149" s="12">
        <f>IF(130&lt;=B15,IF(130=1,ii,G148)+F149,"")</f>
        <v/>
      </c>
      <c r="E149" s="12">
        <f>IF(130&lt;=B15,B149*B16,"")</f>
        <v/>
      </c>
      <c r="F149" s="12">
        <f>IF(130&lt;=B15,cper,"")</f>
        <v/>
      </c>
      <c r="G149" s="12">
        <f>IF(130&lt;=B15,B149+E149,"")</f>
        <v/>
      </c>
    </row>
    <row r="150">
      <c r="A150">
        <f>IF(131&lt;=B15,131,"")</f>
        <v/>
      </c>
      <c r="B150" s="12">
        <f>IF(131&lt;=B15,IF(131=1,ii,G149)+F150,"")</f>
        <v/>
      </c>
      <c r="E150" s="12">
        <f>IF(131&lt;=B15,B150*B16,"")</f>
        <v/>
      </c>
      <c r="F150" s="12">
        <f>IF(131&lt;=B15,cper,"")</f>
        <v/>
      </c>
      <c r="G150" s="12">
        <f>IF(131&lt;=B15,B150+E150,"")</f>
        <v/>
      </c>
    </row>
    <row r="151">
      <c r="A151">
        <f>IF(132&lt;=B15,132,"")</f>
        <v/>
      </c>
      <c r="B151" s="12">
        <f>IF(132&lt;=B15,IF(132=1,ii,G150)+F151,"")</f>
        <v/>
      </c>
      <c r="E151" s="12">
        <f>IF(132&lt;=B15,B151*B16,"")</f>
        <v/>
      </c>
      <c r="F151" s="12">
        <f>IF(132&lt;=B15,cper,"")</f>
        <v/>
      </c>
      <c r="G151" s="12">
        <f>IF(132&lt;=B15,B151+E151,"")</f>
        <v/>
      </c>
    </row>
    <row r="152">
      <c r="A152">
        <f>IF(133&lt;=B15,133,"")</f>
        <v/>
      </c>
      <c r="B152" s="12">
        <f>IF(133&lt;=B15,IF(133=1,ii,G151)+F152,"")</f>
        <v/>
      </c>
      <c r="E152" s="12">
        <f>IF(133&lt;=B15,B152*B16,"")</f>
        <v/>
      </c>
      <c r="F152" s="12">
        <f>IF(133&lt;=B15,cper,"")</f>
        <v/>
      </c>
      <c r="G152" s="12">
        <f>IF(133&lt;=B15,B152+E152,"")</f>
        <v/>
      </c>
    </row>
    <row r="153">
      <c r="A153">
        <f>IF(134&lt;=B15,134,"")</f>
        <v/>
      </c>
      <c r="B153" s="12">
        <f>IF(134&lt;=B15,IF(134=1,ii,G152)+F153,"")</f>
        <v/>
      </c>
      <c r="E153" s="12">
        <f>IF(134&lt;=B15,B153*B16,"")</f>
        <v/>
      </c>
      <c r="F153" s="12">
        <f>IF(134&lt;=B15,cper,"")</f>
        <v/>
      </c>
      <c r="G153" s="12">
        <f>IF(134&lt;=B15,B153+E153,"")</f>
        <v/>
      </c>
    </row>
    <row r="154">
      <c r="A154">
        <f>IF(135&lt;=B15,135,"")</f>
        <v/>
      </c>
      <c r="B154" s="12">
        <f>IF(135&lt;=B15,IF(135=1,ii,G153)+F154,"")</f>
        <v/>
      </c>
      <c r="E154" s="12">
        <f>IF(135&lt;=B15,B154*B16,"")</f>
        <v/>
      </c>
      <c r="F154" s="12">
        <f>IF(135&lt;=B15,cper,"")</f>
        <v/>
      </c>
      <c r="G154" s="12">
        <f>IF(135&lt;=B15,B154+E154,"")</f>
        <v/>
      </c>
    </row>
    <row r="155">
      <c r="A155">
        <f>IF(136&lt;=B15,136,"")</f>
        <v/>
      </c>
      <c r="B155" s="12">
        <f>IF(136&lt;=B15,IF(136=1,ii,G154)+F155,"")</f>
        <v/>
      </c>
      <c r="E155" s="12">
        <f>IF(136&lt;=B15,B155*B16,"")</f>
        <v/>
      </c>
      <c r="F155" s="12">
        <f>IF(136&lt;=B15,cper,"")</f>
        <v/>
      </c>
      <c r="G155" s="12">
        <f>IF(136&lt;=B15,B155+E155,"")</f>
        <v/>
      </c>
    </row>
    <row r="156">
      <c r="A156">
        <f>IF(137&lt;=B15,137,"")</f>
        <v/>
      </c>
      <c r="B156" s="12">
        <f>IF(137&lt;=B15,IF(137=1,ii,G155)+F156,"")</f>
        <v/>
      </c>
      <c r="E156" s="12">
        <f>IF(137&lt;=B15,B156*B16,"")</f>
        <v/>
      </c>
      <c r="F156" s="12">
        <f>IF(137&lt;=B15,cper,"")</f>
        <v/>
      </c>
      <c r="G156" s="12">
        <f>IF(137&lt;=B15,B156+E156,"")</f>
        <v/>
      </c>
    </row>
    <row r="157">
      <c r="A157">
        <f>IF(138&lt;=B15,138,"")</f>
        <v/>
      </c>
      <c r="B157" s="12">
        <f>IF(138&lt;=B15,IF(138=1,ii,G156)+F157,"")</f>
        <v/>
      </c>
      <c r="E157" s="12">
        <f>IF(138&lt;=B15,B157*B16,"")</f>
        <v/>
      </c>
      <c r="F157" s="12">
        <f>IF(138&lt;=B15,cper,"")</f>
        <v/>
      </c>
      <c r="G157" s="12">
        <f>IF(138&lt;=B15,B157+E157,"")</f>
        <v/>
      </c>
    </row>
    <row r="158">
      <c r="A158">
        <f>IF(139&lt;=B15,139,"")</f>
        <v/>
      </c>
      <c r="B158" s="12">
        <f>IF(139&lt;=B15,IF(139=1,ii,G157)+F158,"")</f>
        <v/>
      </c>
      <c r="E158" s="12">
        <f>IF(139&lt;=B15,B158*B16,"")</f>
        <v/>
      </c>
      <c r="F158" s="12">
        <f>IF(139&lt;=B15,cper,"")</f>
        <v/>
      </c>
      <c r="G158" s="12">
        <f>IF(139&lt;=B15,B158+E158,"")</f>
        <v/>
      </c>
    </row>
    <row r="159">
      <c r="A159">
        <f>IF(140&lt;=B15,140,"")</f>
        <v/>
      </c>
      <c r="B159" s="12">
        <f>IF(140&lt;=B15,IF(140=1,ii,G158)+F159,"")</f>
        <v/>
      </c>
      <c r="E159" s="12">
        <f>IF(140&lt;=B15,B159*B16,"")</f>
        <v/>
      </c>
      <c r="F159" s="12">
        <f>IF(140&lt;=B15,cper,"")</f>
        <v/>
      </c>
      <c r="G159" s="12">
        <f>IF(140&lt;=B15,B159+E159,"")</f>
        <v/>
      </c>
    </row>
    <row r="160">
      <c r="A160">
        <f>IF(141&lt;=B15,141,"")</f>
        <v/>
      </c>
      <c r="B160" s="12">
        <f>IF(141&lt;=B15,IF(141=1,ii,G159)+F160,"")</f>
        <v/>
      </c>
      <c r="E160" s="12">
        <f>IF(141&lt;=B15,B160*B16,"")</f>
        <v/>
      </c>
      <c r="F160" s="12">
        <f>IF(141&lt;=B15,cper,"")</f>
        <v/>
      </c>
      <c r="G160" s="12">
        <f>IF(141&lt;=B15,B160+E160,"")</f>
        <v/>
      </c>
    </row>
    <row r="161">
      <c r="A161">
        <f>IF(142&lt;=B15,142,"")</f>
        <v/>
      </c>
      <c r="B161" s="12">
        <f>IF(142&lt;=B15,IF(142=1,ii,G160)+F161,"")</f>
        <v/>
      </c>
      <c r="E161" s="12">
        <f>IF(142&lt;=B15,B161*B16,"")</f>
        <v/>
      </c>
      <c r="F161" s="12">
        <f>IF(142&lt;=B15,cper,"")</f>
        <v/>
      </c>
      <c r="G161" s="12">
        <f>IF(142&lt;=B15,B161+E161,"")</f>
        <v/>
      </c>
    </row>
    <row r="162">
      <c r="A162">
        <f>IF(143&lt;=B15,143,"")</f>
        <v/>
      </c>
      <c r="B162" s="12">
        <f>IF(143&lt;=B15,IF(143=1,ii,G161)+F162,"")</f>
        <v/>
      </c>
      <c r="E162" s="12">
        <f>IF(143&lt;=B15,B162*B16,"")</f>
        <v/>
      </c>
      <c r="F162" s="12">
        <f>IF(143&lt;=B15,cper,"")</f>
        <v/>
      </c>
      <c r="G162" s="12">
        <f>IF(143&lt;=B15,B162+E162,"")</f>
        <v/>
      </c>
    </row>
    <row r="163">
      <c r="A163">
        <f>IF(144&lt;=B15,144,"")</f>
        <v/>
      </c>
      <c r="B163" s="12">
        <f>IF(144&lt;=B15,IF(144=1,ii,G162)+F163,"")</f>
        <v/>
      </c>
      <c r="E163" s="12">
        <f>IF(144&lt;=B15,B163*B16,"")</f>
        <v/>
      </c>
      <c r="F163" s="12">
        <f>IF(144&lt;=B15,cper,"")</f>
        <v/>
      </c>
      <c r="G163" s="12">
        <f>IF(144&lt;=B15,B163+E163,"")</f>
        <v/>
      </c>
    </row>
    <row r="164">
      <c r="A164">
        <f>IF(145&lt;=B15,145,"")</f>
        <v/>
      </c>
      <c r="B164" s="12">
        <f>IF(145&lt;=B15,IF(145=1,ii,G163)+F164,"")</f>
        <v/>
      </c>
      <c r="E164" s="12">
        <f>IF(145&lt;=B15,B164*B16,"")</f>
        <v/>
      </c>
      <c r="F164" s="12">
        <f>IF(145&lt;=B15,cper,"")</f>
        <v/>
      </c>
      <c r="G164" s="12">
        <f>IF(145&lt;=B15,B164+E164,"")</f>
        <v/>
      </c>
    </row>
    <row r="165">
      <c r="A165">
        <f>IF(146&lt;=B15,146,"")</f>
        <v/>
      </c>
      <c r="B165" s="12">
        <f>IF(146&lt;=B15,IF(146=1,ii,G164)+F165,"")</f>
        <v/>
      </c>
      <c r="E165" s="12">
        <f>IF(146&lt;=B15,B165*B16,"")</f>
        <v/>
      </c>
      <c r="F165" s="12">
        <f>IF(146&lt;=B15,cper,"")</f>
        <v/>
      </c>
      <c r="G165" s="12">
        <f>IF(146&lt;=B15,B165+E165,"")</f>
        <v/>
      </c>
    </row>
    <row r="166">
      <c r="A166">
        <f>IF(147&lt;=B15,147,"")</f>
        <v/>
      </c>
      <c r="B166" s="12">
        <f>IF(147&lt;=B15,IF(147=1,ii,G165)+F166,"")</f>
        <v/>
      </c>
      <c r="E166" s="12">
        <f>IF(147&lt;=B15,B166*B16,"")</f>
        <v/>
      </c>
      <c r="F166" s="12">
        <f>IF(147&lt;=B15,cper,"")</f>
        <v/>
      </c>
      <c r="G166" s="12">
        <f>IF(147&lt;=B15,B166+E166,"")</f>
        <v/>
      </c>
    </row>
    <row r="167">
      <c r="A167">
        <f>IF(148&lt;=B15,148,"")</f>
        <v/>
      </c>
      <c r="B167" s="12">
        <f>IF(148&lt;=B15,IF(148=1,ii,G166)+F167,"")</f>
        <v/>
      </c>
      <c r="E167" s="12">
        <f>IF(148&lt;=B15,B167*B16,"")</f>
        <v/>
      </c>
      <c r="F167" s="12">
        <f>IF(148&lt;=B15,cper,"")</f>
        <v/>
      </c>
      <c r="G167" s="12">
        <f>IF(148&lt;=B15,B167+E167,"")</f>
        <v/>
      </c>
    </row>
    <row r="168">
      <c r="A168">
        <f>IF(149&lt;=B15,149,"")</f>
        <v/>
      </c>
      <c r="B168" s="12">
        <f>IF(149&lt;=B15,IF(149=1,ii,G167)+F168,"")</f>
        <v/>
      </c>
      <c r="E168" s="12">
        <f>IF(149&lt;=B15,B168*B16,"")</f>
        <v/>
      </c>
      <c r="F168" s="12">
        <f>IF(149&lt;=B15,cper,"")</f>
        <v/>
      </c>
      <c r="G168" s="12">
        <f>IF(149&lt;=B15,B168+E168,"")</f>
        <v/>
      </c>
    </row>
    <row r="169">
      <c r="A169">
        <f>IF(150&lt;=B15,150,"")</f>
        <v/>
      </c>
      <c r="B169" s="12">
        <f>IF(150&lt;=B15,IF(150=1,ii,G168)+F169,"")</f>
        <v/>
      </c>
      <c r="E169" s="12">
        <f>IF(150&lt;=B15,B169*B16,"")</f>
        <v/>
      </c>
      <c r="F169" s="12">
        <f>IF(150&lt;=B15,cper,"")</f>
        <v/>
      </c>
      <c r="G169" s="12">
        <f>IF(150&lt;=B15,B169+E169,"")</f>
        <v/>
      </c>
    </row>
    <row r="170">
      <c r="A170">
        <f>IF(151&lt;=B15,151,"")</f>
        <v/>
      </c>
      <c r="B170" s="12">
        <f>IF(151&lt;=B15,IF(151=1,ii,G169)+F170,"")</f>
        <v/>
      </c>
      <c r="E170" s="12">
        <f>IF(151&lt;=B15,B170*B16,"")</f>
        <v/>
      </c>
      <c r="F170" s="12">
        <f>IF(151&lt;=B15,cper,"")</f>
        <v/>
      </c>
      <c r="G170" s="12">
        <f>IF(151&lt;=B15,B170+E170,"")</f>
        <v/>
      </c>
    </row>
    <row r="171">
      <c r="A171">
        <f>IF(152&lt;=B15,152,"")</f>
        <v/>
      </c>
      <c r="B171" s="12">
        <f>IF(152&lt;=B15,IF(152=1,ii,G170)+F171,"")</f>
        <v/>
      </c>
      <c r="E171" s="12">
        <f>IF(152&lt;=B15,B171*B16,"")</f>
        <v/>
      </c>
      <c r="F171" s="12">
        <f>IF(152&lt;=B15,cper,"")</f>
        <v/>
      </c>
      <c r="G171" s="12">
        <f>IF(152&lt;=B15,B171+E171,"")</f>
        <v/>
      </c>
    </row>
    <row r="172">
      <c r="A172">
        <f>IF(153&lt;=B15,153,"")</f>
        <v/>
      </c>
      <c r="B172" s="12">
        <f>IF(153&lt;=B15,IF(153=1,ii,G171)+F172,"")</f>
        <v/>
      </c>
      <c r="E172" s="12">
        <f>IF(153&lt;=B15,B172*B16,"")</f>
        <v/>
      </c>
      <c r="F172" s="12">
        <f>IF(153&lt;=B15,cper,"")</f>
        <v/>
      </c>
      <c r="G172" s="12">
        <f>IF(153&lt;=B15,B172+E172,"")</f>
        <v/>
      </c>
    </row>
    <row r="173">
      <c r="A173">
        <f>IF(154&lt;=B15,154,"")</f>
        <v/>
      </c>
      <c r="B173" s="12">
        <f>IF(154&lt;=B15,IF(154=1,ii,G172)+F173,"")</f>
        <v/>
      </c>
      <c r="E173" s="12">
        <f>IF(154&lt;=B15,B173*B16,"")</f>
        <v/>
      </c>
      <c r="F173" s="12">
        <f>IF(154&lt;=B15,cper,"")</f>
        <v/>
      </c>
      <c r="G173" s="12">
        <f>IF(154&lt;=B15,B173+E173,"")</f>
        <v/>
      </c>
    </row>
    <row r="174">
      <c r="A174">
        <f>IF(155&lt;=B15,155,"")</f>
        <v/>
      </c>
      <c r="B174" s="12">
        <f>IF(155&lt;=B15,IF(155=1,ii,G173)+F174,"")</f>
        <v/>
      </c>
      <c r="E174" s="12">
        <f>IF(155&lt;=B15,B174*B16,"")</f>
        <v/>
      </c>
      <c r="F174" s="12">
        <f>IF(155&lt;=B15,cper,"")</f>
        <v/>
      </c>
      <c r="G174" s="12">
        <f>IF(155&lt;=B15,B174+E174,"")</f>
        <v/>
      </c>
    </row>
    <row r="175">
      <c r="A175">
        <f>IF(156&lt;=B15,156,"")</f>
        <v/>
      </c>
      <c r="B175" s="12">
        <f>IF(156&lt;=B15,IF(156=1,ii,G174)+F175,"")</f>
        <v/>
      </c>
      <c r="E175" s="12">
        <f>IF(156&lt;=B15,B175*B16,"")</f>
        <v/>
      </c>
      <c r="F175" s="12">
        <f>IF(156&lt;=B15,cper,"")</f>
        <v/>
      </c>
      <c r="G175" s="12">
        <f>IF(156&lt;=B15,B175+E175,"")</f>
        <v/>
      </c>
    </row>
    <row r="176">
      <c r="A176">
        <f>IF(157&lt;=B15,157,"")</f>
        <v/>
      </c>
      <c r="B176" s="12">
        <f>IF(157&lt;=B15,IF(157=1,ii,G175)+F176,"")</f>
        <v/>
      </c>
      <c r="E176" s="12">
        <f>IF(157&lt;=B15,B176*B16,"")</f>
        <v/>
      </c>
      <c r="F176" s="12">
        <f>IF(157&lt;=B15,cper,"")</f>
        <v/>
      </c>
      <c r="G176" s="12">
        <f>IF(157&lt;=B15,B176+E176,"")</f>
        <v/>
      </c>
    </row>
    <row r="177">
      <c r="A177">
        <f>IF(158&lt;=B15,158,"")</f>
        <v/>
      </c>
      <c r="B177" s="12">
        <f>IF(158&lt;=B15,IF(158=1,ii,G176)+F177,"")</f>
        <v/>
      </c>
      <c r="E177" s="12">
        <f>IF(158&lt;=B15,B177*B16,"")</f>
        <v/>
      </c>
      <c r="F177" s="12">
        <f>IF(158&lt;=B15,cper,"")</f>
        <v/>
      </c>
      <c r="G177" s="12">
        <f>IF(158&lt;=B15,B177+E177,"")</f>
        <v/>
      </c>
    </row>
    <row r="178">
      <c r="A178">
        <f>IF(159&lt;=B15,159,"")</f>
        <v/>
      </c>
      <c r="B178" s="12">
        <f>IF(159&lt;=B15,IF(159=1,ii,G177)+F178,"")</f>
        <v/>
      </c>
      <c r="E178" s="12">
        <f>IF(159&lt;=B15,B178*B16,"")</f>
        <v/>
      </c>
      <c r="F178" s="12">
        <f>IF(159&lt;=B15,cper,"")</f>
        <v/>
      </c>
      <c r="G178" s="12">
        <f>IF(159&lt;=B15,B178+E178,"")</f>
        <v/>
      </c>
    </row>
    <row r="179">
      <c r="A179">
        <f>IF(160&lt;=B15,160,"")</f>
        <v/>
      </c>
      <c r="B179" s="12">
        <f>IF(160&lt;=B15,IF(160=1,ii,G178)+F179,"")</f>
        <v/>
      </c>
      <c r="E179" s="12">
        <f>IF(160&lt;=B15,B179*B16,"")</f>
        <v/>
      </c>
      <c r="F179" s="12">
        <f>IF(160&lt;=B15,cper,"")</f>
        <v/>
      </c>
      <c r="G179" s="12">
        <f>IF(160&lt;=B15,B179+E179,"")</f>
        <v/>
      </c>
    </row>
    <row r="180">
      <c r="A180">
        <f>IF(161&lt;=B15,161,"")</f>
        <v/>
      </c>
      <c r="B180" s="12">
        <f>IF(161&lt;=B15,IF(161=1,ii,G179)+F180,"")</f>
        <v/>
      </c>
      <c r="E180" s="12">
        <f>IF(161&lt;=B15,B180*B16,"")</f>
        <v/>
      </c>
      <c r="F180" s="12">
        <f>IF(161&lt;=B15,cper,"")</f>
        <v/>
      </c>
      <c r="G180" s="12">
        <f>IF(161&lt;=B15,B180+E180,"")</f>
        <v/>
      </c>
    </row>
    <row r="181">
      <c r="A181">
        <f>IF(162&lt;=B15,162,"")</f>
        <v/>
      </c>
      <c r="B181" s="12">
        <f>IF(162&lt;=B15,IF(162=1,ii,G180)+F181,"")</f>
        <v/>
      </c>
      <c r="E181" s="12">
        <f>IF(162&lt;=B15,B181*B16,"")</f>
        <v/>
      </c>
      <c r="F181" s="12">
        <f>IF(162&lt;=B15,cper,"")</f>
        <v/>
      </c>
      <c r="G181" s="12">
        <f>IF(162&lt;=B15,B181+E181,"")</f>
        <v/>
      </c>
    </row>
    <row r="182">
      <c r="A182">
        <f>IF(163&lt;=B15,163,"")</f>
        <v/>
      </c>
      <c r="B182" s="12">
        <f>IF(163&lt;=B15,IF(163=1,ii,G181)+F182,"")</f>
        <v/>
      </c>
      <c r="E182" s="12">
        <f>IF(163&lt;=B15,B182*B16,"")</f>
        <v/>
      </c>
      <c r="F182" s="12">
        <f>IF(163&lt;=B15,cper,"")</f>
        <v/>
      </c>
      <c r="G182" s="12">
        <f>IF(163&lt;=B15,B182+E182,"")</f>
        <v/>
      </c>
    </row>
    <row r="183">
      <c r="A183">
        <f>IF(164&lt;=B15,164,"")</f>
        <v/>
      </c>
      <c r="B183" s="12">
        <f>IF(164&lt;=B15,IF(164=1,ii,G182)+F183,"")</f>
        <v/>
      </c>
      <c r="E183" s="12">
        <f>IF(164&lt;=B15,B183*B16,"")</f>
        <v/>
      </c>
      <c r="F183" s="12">
        <f>IF(164&lt;=B15,cper,"")</f>
        <v/>
      </c>
      <c r="G183" s="12">
        <f>IF(164&lt;=B15,B183+E183,"")</f>
        <v/>
      </c>
    </row>
    <row r="184">
      <c r="A184">
        <f>IF(165&lt;=B15,165,"")</f>
        <v/>
      </c>
      <c r="B184" s="12">
        <f>IF(165&lt;=B15,IF(165=1,ii,G183)+F184,"")</f>
        <v/>
      </c>
      <c r="E184" s="12">
        <f>IF(165&lt;=B15,B184*B16,"")</f>
        <v/>
      </c>
      <c r="F184" s="12">
        <f>IF(165&lt;=B15,cper,"")</f>
        <v/>
      </c>
      <c r="G184" s="12">
        <f>IF(165&lt;=B15,B184+E184,"")</f>
        <v/>
      </c>
    </row>
    <row r="185">
      <c r="A185">
        <f>IF(166&lt;=B15,166,"")</f>
        <v/>
      </c>
      <c r="B185" s="12">
        <f>IF(166&lt;=B15,IF(166=1,ii,G184)+F185,"")</f>
        <v/>
      </c>
      <c r="E185" s="12">
        <f>IF(166&lt;=B15,B185*B16,"")</f>
        <v/>
      </c>
      <c r="F185" s="12">
        <f>IF(166&lt;=B15,cper,"")</f>
        <v/>
      </c>
      <c r="G185" s="12">
        <f>IF(166&lt;=B15,B185+E185,"")</f>
        <v/>
      </c>
    </row>
    <row r="186">
      <c r="A186">
        <f>IF(167&lt;=B15,167,"")</f>
        <v/>
      </c>
      <c r="B186" s="12">
        <f>IF(167&lt;=B15,IF(167=1,ii,G185)+F186,"")</f>
        <v/>
      </c>
      <c r="E186" s="12">
        <f>IF(167&lt;=B15,B186*B16,"")</f>
        <v/>
      </c>
      <c r="F186" s="12">
        <f>IF(167&lt;=B15,cper,"")</f>
        <v/>
      </c>
      <c r="G186" s="12">
        <f>IF(167&lt;=B15,B186+E186,"")</f>
        <v/>
      </c>
    </row>
    <row r="187">
      <c r="A187">
        <f>IF(168&lt;=B15,168,"")</f>
        <v/>
      </c>
      <c r="B187" s="12">
        <f>IF(168&lt;=B15,IF(168=1,ii,G186)+F187,"")</f>
        <v/>
      </c>
      <c r="E187" s="12">
        <f>IF(168&lt;=B15,B187*B16,"")</f>
        <v/>
      </c>
      <c r="F187" s="12">
        <f>IF(168&lt;=B15,cper,"")</f>
        <v/>
      </c>
      <c r="G187" s="12">
        <f>IF(168&lt;=B15,B187+E187,"")</f>
        <v/>
      </c>
    </row>
    <row r="188">
      <c r="A188">
        <f>IF(169&lt;=B15,169,"")</f>
        <v/>
      </c>
      <c r="B188" s="12">
        <f>IF(169&lt;=B15,IF(169=1,ii,G187)+F188,"")</f>
        <v/>
      </c>
      <c r="E188" s="12">
        <f>IF(169&lt;=B15,B188*B16,"")</f>
        <v/>
      </c>
      <c r="F188" s="12">
        <f>IF(169&lt;=B15,cper,"")</f>
        <v/>
      </c>
      <c r="G188" s="12">
        <f>IF(169&lt;=B15,B188+E188,"")</f>
        <v/>
      </c>
    </row>
    <row r="189">
      <c r="A189">
        <f>IF(170&lt;=B15,170,"")</f>
        <v/>
      </c>
      <c r="B189" s="12">
        <f>IF(170&lt;=B15,IF(170=1,ii,G188)+F189,"")</f>
        <v/>
      </c>
      <c r="E189" s="12">
        <f>IF(170&lt;=B15,B189*B16,"")</f>
        <v/>
      </c>
      <c r="F189" s="12">
        <f>IF(170&lt;=B15,cper,"")</f>
        <v/>
      </c>
      <c r="G189" s="12">
        <f>IF(170&lt;=B15,B189+E189,"")</f>
        <v/>
      </c>
    </row>
    <row r="190">
      <c r="A190">
        <f>IF(171&lt;=B15,171,"")</f>
        <v/>
      </c>
      <c r="B190" s="12">
        <f>IF(171&lt;=B15,IF(171=1,ii,G189)+F190,"")</f>
        <v/>
      </c>
      <c r="E190" s="12">
        <f>IF(171&lt;=B15,B190*B16,"")</f>
        <v/>
      </c>
      <c r="F190" s="12">
        <f>IF(171&lt;=B15,cper,"")</f>
        <v/>
      </c>
      <c r="G190" s="12">
        <f>IF(171&lt;=B15,B190+E190,"")</f>
        <v/>
      </c>
    </row>
    <row r="191">
      <c r="A191">
        <f>IF(172&lt;=B15,172,"")</f>
        <v/>
      </c>
      <c r="B191" s="12">
        <f>IF(172&lt;=B15,IF(172=1,ii,G190)+F191,"")</f>
        <v/>
      </c>
      <c r="E191" s="12">
        <f>IF(172&lt;=B15,B191*B16,"")</f>
        <v/>
      </c>
      <c r="F191" s="12">
        <f>IF(172&lt;=B15,cper,"")</f>
        <v/>
      </c>
      <c r="G191" s="12">
        <f>IF(172&lt;=B15,B191+E191,"")</f>
        <v/>
      </c>
    </row>
    <row r="192">
      <c r="A192">
        <f>IF(173&lt;=B15,173,"")</f>
        <v/>
      </c>
      <c r="B192" s="12">
        <f>IF(173&lt;=B15,IF(173=1,ii,G191)+F192,"")</f>
        <v/>
      </c>
      <c r="E192" s="12">
        <f>IF(173&lt;=B15,B192*B16,"")</f>
        <v/>
      </c>
      <c r="F192" s="12">
        <f>IF(173&lt;=B15,cper,"")</f>
        <v/>
      </c>
      <c r="G192" s="12">
        <f>IF(173&lt;=B15,B192+E192,"")</f>
        <v/>
      </c>
    </row>
    <row r="193">
      <c r="A193">
        <f>IF(174&lt;=B15,174,"")</f>
        <v/>
      </c>
      <c r="B193" s="12">
        <f>IF(174&lt;=B15,IF(174=1,ii,G192)+F193,"")</f>
        <v/>
      </c>
      <c r="E193" s="12">
        <f>IF(174&lt;=B15,B193*B16,"")</f>
        <v/>
      </c>
      <c r="F193" s="12">
        <f>IF(174&lt;=B15,cper,"")</f>
        <v/>
      </c>
      <c r="G193" s="12">
        <f>IF(174&lt;=B15,B193+E193,"")</f>
        <v/>
      </c>
    </row>
    <row r="194">
      <c r="A194">
        <f>IF(175&lt;=B15,175,"")</f>
        <v/>
      </c>
      <c r="B194" s="12">
        <f>IF(175&lt;=B15,IF(175=1,ii,G193)+F194,"")</f>
        <v/>
      </c>
      <c r="E194" s="12">
        <f>IF(175&lt;=B15,B194*B16,"")</f>
        <v/>
      </c>
      <c r="F194" s="12">
        <f>IF(175&lt;=B15,cper,"")</f>
        <v/>
      </c>
      <c r="G194" s="12">
        <f>IF(175&lt;=B15,B194+E194,"")</f>
        <v/>
      </c>
    </row>
    <row r="195">
      <c r="A195">
        <f>IF(176&lt;=B15,176,"")</f>
        <v/>
      </c>
      <c r="B195" s="12">
        <f>IF(176&lt;=B15,IF(176=1,ii,G194)+F195,"")</f>
        <v/>
      </c>
      <c r="E195" s="12">
        <f>IF(176&lt;=B15,B195*B16,"")</f>
        <v/>
      </c>
      <c r="F195" s="12">
        <f>IF(176&lt;=B15,cper,"")</f>
        <v/>
      </c>
      <c r="G195" s="12">
        <f>IF(176&lt;=B15,B195+E195,"")</f>
        <v/>
      </c>
    </row>
    <row r="196">
      <c r="A196">
        <f>IF(177&lt;=B15,177,"")</f>
        <v/>
      </c>
      <c r="B196" s="12">
        <f>IF(177&lt;=B15,IF(177=1,ii,G195)+F196,"")</f>
        <v/>
      </c>
      <c r="E196" s="12">
        <f>IF(177&lt;=B15,B196*B16,"")</f>
        <v/>
      </c>
      <c r="F196" s="12">
        <f>IF(177&lt;=B15,cper,"")</f>
        <v/>
      </c>
      <c r="G196" s="12">
        <f>IF(177&lt;=B15,B196+E196,"")</f>
        <v/>
      </c>
    </row>
    <row r="197">
      <c r="A197">
        <f>IF(178&lt;=B15,178,"")</f>
        <v/>
      </c>
      <c r="B197" s="12">
        <f>IF(178&lt;=B15,IF(178=1,ii,G196)+F197,"")</f>
        <v/>
      </c>
      <c r="E197" s="12">
        <f>IF(178&lt;=B15,B197*B16,"")</f>
        <v/>
      </c>
      <c r="F197" s="12">
        <f>IF(178&lt;=B15,cper,"")</f>
        <v/>
      </c>
      <c r="G197" s="12">
        <f>IF(178&lt;=B15,B197+E197,"")</f>
        <v/>
      </c>
    </row>
    <row r="198">
      <c r="A198">
        <f>IF(179&lt;=B15,179,"")</f>
        <v/>
      </c>
      <c r="B198" s="12">
        <f>IF(179&lt;=B15,IF(179=1,ii,G197)+F198,"")</f>
        <v/>
      </c>
      <c r="E198" s="12">
        <f>IF(179&lt;=B15,B198*B16,"")</f>
        <v/>
      </c>
      <c r="F198" s="12">
        <f>IF(179&lt;=B15,cper,"")</f>
        <v/>
      </c>
      <c r="G198" s="12">
        <f>IF(179&lt;=B15,B198+E198,"")</f>
        <v/>
      </c>
    </row>
    <row r="199">
      <c r="A199">
        <f>IF(180&lt;=B15,180,"")</f>
        <v/>
      </c>
      <c r="B199" s="12">
        <f>IF(180&lt;=B15,IF(180=1,ii,G198)+F199,"")</f>
        <v/>
      </c>
      <c r="E199" s="12">
        <f>IF(180&lt;=B15,B199*B16,"")</f>
        <v/>
      </c>
      <c r="F199" s="12">
        <f>IF(180&lt;=B15,cper,"")</f>
        <v/>
      </c>
      <c r="G199" s="12">
        <f>IF(180&lt;=B15,B199+E199,"")</f>
        <v/>
      </c>
    </row>
    <row r="200">
      <c r="A200">
        <f>IF(181&lt;=B15,181,"")</f>
        <v/>
      </c>
      <c r="B200" s="12">
        <f>IF(181&lt;=B15,IF(181=1,ii,G199)+F200,"")</f>
        <v/>
      </c>
      <c r="E200" s="12">
        <f>IF(181&lt;=B15,B200*B16,"")</f>
        <v/>
      </c>
      <c r="F200" s="12">
        <f>IF(181&lt;=B15,cper,"")</f>
        <v/>
      </c>
      <c r="G200" s="12">
        <f>IF(181&lt;=B15,B200+E200,"")</f>
        <v/>
      </c>
    </row>
    <row r="201">
      <c r="A201">
        <f>IF(182&lt;=B15,182,"")</f>
        <v/>
      </c>
      <c r="B201" s="12">
        <f>IF(182&lt;=B15,IF(182=1,ii,G200)+F201,"")</f>
        <v/>
      </c>
      <c r="E201" s="12">
        <f>IF(182&lt;=B15,B201*B16,"")</f>
        <v/>
      </c>
      <c r="F201" s="12">
        <f>IF(182&lt;=B15,cper,"")</f>
        <v/>
      </c>
      <c r="G201" s="12">
        <f>IF(182&lt;=B15,B201+E201,"")</f>
        <v/>
      </c>
    </row>
    <row r="202">
      <c r="A202">
        <f>IF(183&lt;=B15,183,"")</f>
        <v/>
      </c>
      <c r="B202" s="12">
        <f>IF(183&lt;=B15,IF(183=1,ii,G201)+F202,"")</f>
        <v/>
      </c>
      <c r="E202" s="12">
        <f>IF(183&lt;=B15,B202*B16,"")</f>
        <v/>
      </c>
      <c r="F202" s="12">
        <f>IF(183&lt;=B15,cper,"")</f>
        <v/>
      </c>
      <c r="G202" s="12">
        <f>IF(183&lt;=B15,B202+E202,"")</f>
        <v/>
      </c>
    </row>
    <row r="203">
      <c r="A203">
        <f>IF(184&lt;=B15,184,"")</f>
        <v/>
      </c>
      <c r="B203" s="12">
        <f>IF(184&lt;=B15,IF(184=1,ii,G202)+F203,"")</f>
        <v/>
      </c>
      <c r="E203" s="12">
        <f>IF(184&lt;=B15,B203*B16,"")</f>
        <v/>
      </c>
      <c r="F203" s="12">
        <f>IF(184&lt;=B15,cper,"")</f>
        <v/>
      </c>
      <c r="G203" s="12">
        <f>IF(184&lt;=B15,B203+E203,"")</f>
        <v/>
      </c>
    </row>
    <row r="204">
      <c r="A204">
        <f>IF(185&lt;=B15,185,"")</f>
        <v/>
      </c>
      <c r="B204" s="12">
        <f>IF(185&lt;=B15,IF(185=1,ii,G203)+F204,"")</f>
        <v/>
      </c>
      <c r="E204" s="12">
        <f>IF(185&lt;=B15,B204*B16,"")</f>
        <v/>
      </c>
      <c r="F204" s="12">
        <f>IF(185&lt;=B15,cper,"")</f>
        <v/>
      </c>
      <c r="G204" s="12">
        <f>IF(185&lt;=B15,B204+E204,"")</f>
        <v/>
      </c>
    </row>
    <row r="205">
      <c r="A205">
        <f>IF(186&lt;=B15,186,"")</f>
        <v/>
      </c>
      <c r="B205" s="12">
        <f>IF(186&lt;=B15,IF(186=1,ii,G204)+F205,"")</f>
        <v/>
      </c>
      <c r="E205" s="12">
        <f>IF(186&lt;=B15,B205*B16,"")</f>
        <v/>
      </c>
      <c r="F205" s="12">
        <f>IF(186&lt;=B15,cper,"")</f>
        <v/>
      </c>
      <c r="G205" s="12">
        <f>IF(186&lt;=B15,B205+E205,"")</f>
        <v/>
      </c>
    </row>
    <row r="206">
      <c r="A206">
        <f>IF(187&lt;=B15,187,"")</f>
        <v/>
      </c>
      <c r="B206" s="12">
        <f>IF(187&lt;=B15,IF(187=1,ii,G205)+F206,"")</f>
        <v/>
      </c>
      <c r="E206" s="12">
        <f>IF(187&lt;=B15,B206*B16,"")</f>
        <v/>
      </c>
      <c r="F206" s="12">
        <f>IF(187&lt;=B15,cper,"")</f>
        <v/>
      </c>
      <c r="G206" s="12">
        <f>IF(187&lt;=B15,B206+E206,"")</f>
        <v/>
      </c>
    </row>
    <row r="207">
      <c r="A207">
        <f>IF(188&lt;=B15,188,"")</f>
        <v/>
      </c>
      <c r="B207" s="12">
        <f>IF(188&lt;=B15,IF(188=1,ii,G206)+F207,"")</f>
        <v/>
      </c>
      <c r="E207" s="12">
        <f>IF(188&lt;=B15,B207*B16,"")</f>
        <v/>
      </c>
      <c r="F207" s="12">
        <f>IF(188&lt;=B15,cper,"")</f>
        <v/>
      </c>
      <c r="G207" s="12">
        <f>IF(188&lt;=B15,B207+E207,"")</f>
        <v/>
      </c>
    </row>
    <row r="208">
      <c r="A208">
        <f>IF(189&lt;=B15,189,"")</f>
        <v/>
      </c>
      <c r="B208" s="12">
        <f>IF(189&lt;=B15,IF(189=1,ii,G207)+F208,"")</f>
        <v/>
      </c>
      <c r="E208" s="12">
        <f>IF(189&lt;=B15,B208*B16,"")</f>
        <v/>
      </c>
      <c r="F208" s="12">
        <f>IF(189&lt;=B15,cper,"")</f>
        <v/>
      </c>
      <c r="G208" s="12">
        <f>IF(189&lt;=B15,B208+E208,"")</f>
        <v/>
      </c>
    </row>
    <row r="209">
      <c r="A209">
        <f>IF(190&lt;=B15,190,"")</f>
        <v/>
      </c>
      <c r="B209" s="12">
        <f>IF(190&lt;=B15,IF(190=1,ii,G208)+F209,"")</f>
        <v/>
      </c>
      <c r="E209" s="12">
        <f>IF(190&lt;=B15,B209*B16,"")</f>
        <v/>
      </c>
      <c r="F209" s="12">
        <f>IF(190&lt;=B15,cper,"")</f>
        <v/>
      </c>
      <c r="G209" s="12">
        <f>IF(190&lt;=B15,B209+E209,"")</f>
        <v/>
      </c>
    </row>
    <row r="210">
      <c r="A210">
        <f>IF(191&lt;=B15,191,"")</f>
        <v/>
      </c>
      <c r="B210" s="12">
        <f>IF(191&lt;=B15,IF(191=1,ii,G209)+F210,"")</f>
        <v/>
      </c>
      <c r="E210" s="12">
        <f>IF(191&lt;=B15,B210*B16,"")</f>
        <v/>
      </c>
      <c r="F210" s="12">
        <f>IF(191&lt;=B15,cper,"")</f>
        <v/>
      </c>
      <c r="G210" s="12">
        <f>IF(191&lt;=B15,B210+E210,"")</f>
        <v/>
      </c>
    </row>
    <row r="211">
      <c r="A211">
        <f>IF(192&lt;=B15,192,"")</f>
        <v/>
      </c>
      <c r="B211" s="12">
        <f>IF(192&lt;=B15,IF(192=1,ii,G210)+F211,"")</f>
        <v/>
      </c>
      <c r="E211" s="12">
        <f>IF(192&lt;=B15,B211*B16,"")</f>
        <v/>
      </c>
      <c r="F211" s="12">
        <f>IF(192&lt;=B15,cper,"")</f>
        <v/>
      </c>
      <c r="G211" s="12">
        <f>IF(192&lt;=B15,B211+E211,"")</f>
        <v/>
      </c>
    </row>
    <row r="212">
      <c r="A212">
        <f>IF(193&lt;=B15,193,"")</f>
        <v/>
      </c>
      <c r="B212" s="12">
        <f>IF(193&lt;=B15,IF(193=1,ii,G211)+F212,"")</f>
        <v/>
      </c>
      <c r="E212" s="12">
        <f>IF(193&lt;=B15,B212*B16,"")</f>
        <v/>
      </c>
      <c r="F212" s="12">
        <f>IF(193&lt;=B15,cper,"")</f>
        <v/>
      </c>
      <c r="G212" s="12">
        <f>IF(193&lt;=B15,B212+E212,"")</f>
        <v/>
      </c>
    </row>
    <row r="213">
      <c r="A213">
        <f>IF(194&lt;=B15,194,"")</f>
        <v/>
      </c>
      <c r="B213" s="12">
        <f>IF(194&lt;=B15,IF(194=1,ii,G212)+F213,"")</f>
        <v/>
      </c>
      <c r="E213" s="12">
        <f>IF(194&lt;=B15,B213*B16,"")</f>
        <v/>
      </c>
      <c r="F213" s="12">
        <f>IF(194&lt;=B15,cper,"")</f>
        <v/>
      </c>
      <c r="G213" s="12">
        <f>IF(194&lt;=B15,B213+E213,"")</f>
        <v/>
      </c>
    </row>
    <row r="214">
      <c r="A214">
        <f>IF(195&lt;=B15,195,"")</f>
        <v/>
      </c>
      <c r="B214" s="12">
        <f>IF(195&lt;=B15,IF(195=1,ii,G213)+F214,"")</f>
        <v/>
      </c>
      <c r="E214" s="12">
        <f>IF(195&lt;=B15,B214*B16,"")</f>
        <v/>
      </c>
      <c r="F214" s="12">
        <f>IF(195&lt;=B15,cper,"")</f>
        <v/>
      </c>
      <c r="G214" s="12">
        <f>IF(195&lt;=B15,B214+E214,"")</f>
        <v/>
      </c>
    </row>
    <row r="215">
      <c r="A215">
        <f>IF(196&lt;=B15,196,"")</f>
        <v/>
      </c>
      <c r="B215" s="12">
        <f>IF(196&lt;=B15,IF(196=1,ii,G214)+F215,"")</f>
        <v/>
      </c>
      <c r="E215" s="12">
        <f>IF(196&lt;=B15,B215*B16,"")</f>
        <v/>
      </c>
      <c r="F215" s="12">
        <f>IF(196&lt;=B15,cper,"")</f>
        <v/>
      </c>
      <c r="G215" s="12">
        <f>IF(196&lt;=B15,B215+E215,"")</f>
        <v/>
      </c>
    </row>
    <row r="216">
      <c r="A216">
        <f>IF(197&lt;=B15,197,"")</f>
        <v/>
      </c>
      <c r="B216" s="12">
        <f>IF(197&lt;=B15,IF(197=1,ii,G215)+F216,"")</f>
        <v/>
      </c>
      <c r="E216" s="12">
        <f>IF(197&lt;=B15,B216*B16,"")</f>
        <v/>
      </c>
      <c r="F216" s="12">
        <f>IF(197&lt;=B15,cper,"")</f>
        <v/>
      </c>
      <c r="G216" s="12">
        <f>IF(197&lt;=B15,B216+E216,"")</f>
        <v/>
      </c>
    </row>
    <row r="217">
      <c r="A217">
        <f>IF(198&lt;=B15,198,"")</f>
        <v/>
      </c>
      <c r="B217" s="12">
        <f>IF(198&lt;=B15,IF(198=1,ii,G216)+F217,"")</f>
        <v/>
      </c>
      <c r="E217" s="12">
        <f>IF(198&lt;=B15,B217*B16,"")</f>
        <v/>
      </c>
      <c r="F217" s="12">
        <f>IF(198&lt;=B15,cper,"")</f>
        <v/>
      </c>
      <c r="G217" s="12">
        <f>IF(198&lt;=B15,B217+E217,"")</f>
        <v/>
      </c>
    </row>
    <row r="218">
      <c r="A218">
        <f>IF(199&lt;=B15,199,"")</f>
        <v/>
      </c>
      <c r="B218" s="12">
        <f>IF(199&lt;=B15,IF(199=1,ii,G217)+F218,"")</f>
        <v/>
      </c>
      <c r="E218" s="12">
        <f>IF(199&lt;=B15,B218*B16,"")</f>
        <v/>
      </c>
      <c r="F218" s="12">
        <f>IF(199&lt;=B15,cper,"")</f>
        <v/>
      </c>
      <c r="G218" s="12">
        <f>IF(199&lt;=B15,B218+E218,"")</f>
        <v/>
      </c>
    </row>
    <row r="219">
      <c r="A219">
        <f>IF(200&lt;=B15,200,"")</f>
        <v/>
      </c>
      <c r="B219" s="12">
        <f>IF(200&lt;=B15,IF(200=1,ii,G218)+F219,"")</f>
        <v/>
      </c>
      <c r="E219" s="12">
        <f>IF(200&lt;=B15,B219*B16,"")</f>
        <v/>
      </c>
      <c r="F219" s="12">
        <f>IF(200&lt;=B15,cper,"")</f>
        <v/>
      </c>
      <c r="G219" s="12">
        <f>IF(200&lt;=B15,B219+E219,"")</f>
        <v/>
      </c>
    </row>
    <row r="220">
      <c r="A220">
        <f>IF(201&lt;=B15,201,"")</f>
        <v/>
      </c>
      <c r="B220" s="12">
        <f>IF(201&lt;=B15,IF(201=1,ii,G219)+F220,"")</f>
        <v/>
      </c>
      <c r="E220" s="12">
        <f>IF(201&lt;=B15,B220*B16,"")</f>
        <v/>
      </c>
      <c r="F220" s="12">
        <f>IF(201&lt;=B15,cper,"")</f>
        <v/>
      </c>
      <c r="G220" s="12">
        <f>IF(201&lt;=B15,B220+E220,"")</f>
        <v/>
      </c>
    </row>
    <row r="221">
      <c r="A221">
        <f>IF(202&lt;=B15,202,"")</f>
        <v/>
      </c>
      <c r="B221" s="12">
        <f>IF(202&lt;=B15,IF(202=1,ii,G220)+F221,"")</f>
        <v/>
      </c>
      <c r="E221" s="12">
        <f>IF(202&lt;=B15,B221*B16,"")</f>
        <v/>
      </c>
      <c r="F221" s="12">
        <f>IF(202&lt;=B15,cper,"")</f>
        <v/>
      </c>
      <c r="G221" s="12">
        <f>IF(202&lt;=B15,B221+E221,"")</f>
        <v/>
      </c>
    </row>
    <row r="222">
      <c r="A222">
        <f>IF(203&lt;=B15,203,"")</f>
        <v/>
      </c>
      <c r="B222" s="12">
        <f>IF(203&lt;=B15,IF(203=1,ii,G221)+F222,"")</f>
        <v/>
      </c>
      <c r="E222" s="12">
        <f>IF(203&lt;=B15,B222*B16,"")</f>
        <v/>
      </c>
      <c r="F222" s="12">
        <f>IF(203&lt;=B15,cper,"")</f>
        <v/>
      </c>
      <c r="G222" s="12">
        <f>IF(203&lt;=B15,B222+E222,"")</f>
        <v/>
      </c>
    </row>
    <row r="223">
      <c r="A223">
        <f>IF(204&lt;=B15,204,"")</f>
        <v/>
      </c>
      <c r="B223" s="12">
        <f>IF(204&lt;=B15,IF(204=1,ii,G222)+F223,"")</f>
        <v/>
      </c>
      <c r="E223" s="12">
        <f>IF(204&lt;=B15,B223*B16,"")</f>
        <v/>
      </c>
      <c r="F223" s="12">
        <f>IF(204&lt;=B15,cper,"")</f>
        <v/>
      </c>
      <c r="G223" s="12">
        <f>IF(204&lt;=B15,B223+E223,"")</f>
        <v/>
      </c>
    </row>
    <row r="224">
      <c r="A224">
        <f>IF(205&lt;=B15,205,"")</f>
        <v/>
      </c>
      <c r="B224" s="12">
        <f>IF(205&lt;=B15,IF(205=1,ii,G223)+F224,"")</f>
        <v/>
      </c>
      <c r="E224" s="12">
        <f>IF(205&lt;=B15,B224*B16,"")</f>
        <v/>
      </c>
      <c r="F224" s="12">
        <f>IF(205&lt;=B15,cper,"")</f>
        <v/>
      </c>
      <c r="G224" s="12">
        <f>IF(205&lt;=B15,B224+E224,"")</f>
        <v/>
      </c>
    </row>
    <row r="225">
      <c r="A225">
        <f>IF(206&lt;=B15,206,"")</f>
        <v/>
      </c>
      <c r="B225" s="12">
        <f>IF(206&lt;=B15,IF(206=1,ii,G224)+F225,"")</f>
        <v/>
      </c>
      <c r="E225" s="12">
        <f>IF(206&lt;=B15,B225*B16,"")</f>
        <v/>
      </c>
      <c r="F225" s="12">
        <f>IF(206&lt;=B15,cper,"")</f>
        <v/>
      </c>
      <c r="G225" s="12">
        <f>IF(206&lt;=B15,B225+E225,"")</f>
        <v/>
      </c>
    </row>
    <row r="226">
      <c r="A226">
        <f>IF(207&lt;=B15,207,"")</f>
        <v/>
      </c>
      <c r="B226" s="12">
        <f>IF(207&lt;=B15,IF(207=1,ii,G225)+F226,"")</f>
        <v/>
      </c>
      <c r="E226" s="12">
        <f>IF(207&lt;=B15,B226*B16,"")</f>
        <v/>
      </c>
      <c r="F226" s="12">
        <f>IF(207&lt;=B15,cper,"")</f>
        <v/>
      </c>
      <c r="G226" s="12">
        <f>IF(207&lt;=B15,B226+E226,"")</f>
        <v/>
      </c>
    </row>
    <row r="227">
      <c r="A227">
        <f>IF(208&lt;=B15,208,"")</f>
        <v/>
      </c>
      <c r="B227" s="12">
        <f>IF(208&lt;=B15,IF(208=1,ii,G226)+F227,"")</f>
        <v/>
      </c>
      <c r="E227" s="12">
        <f>IF(208&lt;=B15,B227*B16,"")</f>
        <v/>
      </c>
      <c r="F227" s="12">
        <f>IF(208&lt;=B15,cper,"")</f>
        <v/>
      </c>
      <c r="G227" s="12">
        <f>IF(208&lt;=B15,B227+E227,"")</f>
        <v/>
      </c>
    </row>
    <row r="228">
      <c r="A228">
        <f>IF(209&lt;=B15,209,"")</f>
        <v/>
      </c>
      <c r="B228" s="12">
        <f>IF(209&lt;=B15,IF(209=1,ii,G227)+F228,"")</f>
        <v/>
      </c>
      <c r="E228" s="12">
        <f>IF(209&lt;=B15,B228*B16,"")</f>
        <v/>
      </c>
      <c r="F228" s="12">
        <f>IF(209&lt;=B15,cper,"")</f>
        <v/>
      </c>
      <c r="G228" s="12">
        <f>IF(209&lt;=B15,B228+E228,"")</f>
        <v/>
      </c>
    </row>
    <row r="229">
      <c r="A229">
        <f>IF(210&lt;=B15,210,"")</f>
        <v/>
      </c>
      <c r="B229" s="12">
        <f>IF(210&lt;=B15,IF(210=1,ii,G228)+F229,"")</f>
        <v/>
      </c>
      <c r="E229" s="12">
        <f>IF(210&lt;=B15,B229*B16,"")</f>
        <v/>
      </c>
      <c r="F229" s="12">
        <f>IF(210&lt;=B15,cper,"")</f>
        <v/>
      </c>
      <c r="G229" s="12">
        <f>IF(210&lt;=B15,B229+E229,"")</f>
        <v/>
      </c>
    </row>
    <row r="230">
      <c r="A230">
        <f>IF(211&lt;=B15,211,"")</f>
        <v/>
      </c>
      <c r="B230" s="12">
        <f>IF(211&lt;=B15,IF(211=1,ii,G229)+F230,"")</f>
        <v/>
      </c>
      <c r="E230" s="12">
        <f>IF(211&lt;=B15,B230*B16,"")</f>
        <v/>
      </c>
      <c r="F230" s="12">
        <f>IF(211&lt;=B15,cper,"")</f>
        <v/>
      </c>
      <c r="G230" s="12">
        <f>IF(211&lt;=B15,B230+E230,"")</f>
        <v/>
      </c>
    </row>
    <row r="231">
      <c r="A231">
        <f>IF(212&lt;=B15,212,"")</f>
        <v/>
      </c>
      <c r="B231" s="12">
        <f>IF(212&lt;=B15,IF(212=1,ii,G230)+F231,"")</f>
        <v/>
      </c>
      <c r="E231" s="12">
        <f>IF(212&lt;=B15,B231*B16,"")</f>
        <v/>
      </c>
      <c r="F231" s="12">
        <f>IF(212&lt;=B15,cper,"")</f>
        <v/>
      </c>
      <c r="G231" s="12">
        <f>IF(212&lt;=B15,B231+E231,"")</f>
        <v/>
      </c>
    </row>
    <row r="232">
      <c r="A232">
        <f>IF(213&lt;=B15,213,"")</f>
        <v/>
      </c>
      <c r="B232" s="12">
        <f>IF(213&lt;=B15,IF(213=1,ii,G231)+F232,"")</f>
        <v/>
      </c>
      <c r="E232" s="12">
        <f>IF(213&lt;=B15,B232*B16,"")</f>
        <v/>
      </c>
      <c r="F232" s="12">
        <f>IF(213&lt;=B15,cper,"")</f>
        <v/>
      </c>
      <c r="G232" s="12">
        <f>IF(213&lt;=B15,B232+E232,"")</f>
        <v/>
      </c>
    </row>
    <row r="233">
      <c r="A233">
        <f>IF(214&lt;=B15,214,"")</f>
        <v/>
      </c>
      <c r="B233" s="12">
        <f>IF(214&lt;=B15,IF(214=1,ii,G232)+F233,"")</f>
        <v/>
      </c>
      <c r="E233" s="12">
        <f>IF(214&lt;=B15,B233*B16,"")</f>
        <v/>
      </c>
      <c r="F233" s="12">
        <f>IF(214&lt;=B15,cper,"")</f>
        <v/>
      </c>
      <c r="G233" s="12">
        <f>IF(214&lt;=B15,B233+E233,"")</f>
        <v/>
      </c>
    </row>
    <row r="234">
      <c r="A234">
        <f>IF(215&lt;=B15,215,"")</f>
        <v/>
      </c>
      <c r="B234" s="12">
        <f>IF(215&lt;=B15,IF(215=1,ii,G233)+F234,"")</f>
        <v/>
      </c>
      <c r="E234" s="12">
        <f>IF(215&lt;=B15,B234*B16,"")</f>
        <v/>
      </c>
      <c r="F234" s="12">
        <f>IF(215&lt;=B15,cper,"")</f>
        <v/>
      </c>
      <c r="G234" s="12">
        <f>IF(215&lt;=B15,B234+E234,"")</f>
        <v/>
      </c>
    </row>
    <row r="235">
      <c r="A235">
        <f>IF(216&lt;=B15,216,"")</f>
        <v/>
      </c>
      <c r="B235" s="12">
        <f>IF(216&lt;=B15,IF(216=1,ii,G234)+F235,"")</f>
        <v/>
      </c>
      <c r="E235" s="12">
        <f>IF(216&lt;=B15,B235*B16,"")</f>
        <v/>
      </c>
      <c r="F235" s="12">
        <f>IF(216&lt;=B15,cper,"")</f>
        <v/>
      </c>
      <c r="G235" s="12">
        <f>IF(216&lt;=B15,B235+E235,"")</f>
        <v/>
      </c>
    </row>
    <row r="236">
      <c r="A236">
        <f>IF(217&lt;=B15,217,"")</f>
        <v/>
      </c>
      <c r="B236" s="12">
        <f>IF(217&lt;=B15,IF(217=1,ii,G235)+F236,"")</f>
        <v/>
      </c>
      <c r="E236" s="12">
        <f>IF(217&lt;=B15,B236*B16,"")</f>
        <v/>
      </c>
      <c r="F236" s="12">
        <f>IF(217&lt;=B15,cper,"")</f>
        <v/>
      </c>
      <c r="G236" s="12">
        <f>IF(217&lt;=B15,B236+E236,"")</f>
        <v/>
      </c>
    </row>
    <row r="237">
      <c r="A237">
        <f>IF(218&lt;=B15,218,"")</f>
        <v/>
      </c>
      <c r="B237" s="12">
        <f>IF(218&lt;=B15,IF(218=1,ii,G236)+F237,"")</f>
        <v/>
      </c>
      <c r="E237" s="12">
        <f>IF(218&lt;=B15,B237*B16,"")</f>
        <v/>
      </c>
      <c r="F237" s="12">
        <f>IF(218&lt;=B15,cper,"")</f>
        <v/>
      </c>
      <c r="G237" s="12">
        <f>IF(218&lt;=B15,B237+E237,"")</f>
        <v/>
      </c>
    </row>
    <row r="238">
      <c r="A238">
        <f>IF(219&lt;=B15,219,"")</f>
        <v/>
      </c>
      <c r="B238" s="12">
        <f>IF(219&lt;=B15,IF(219=1,ii,G237)+F238,"")</f>
        <v/>
      </c>
      <c r="E238" s="12">
        <f>IF(219&lt;=B15,B238*B16,"")</f>
        <v/>
      </c>
      <c r="F238" s="12">
        <f>IF(219&lt;=B15,cper,"")</f>
        <v/>
      </c>
      <c r="G238" s="12">
        <f>IF(219&lt;=B15,B238+E238,"")</f>
        <v/>
      </c>
    </row>
    <row r="239">
      <c r="A239">
        <f>IF(220&lt;=B15,220,"")</f>
        <v/>
      </c>
      <c r="B239" s="12">
        <f>IF(220&lt;=B15,IF(220=1,ii,G238)+F239,"")</f>
        <v/>
      </c>
      <c r="E239" s="12">
        <f>IF(220&lt;=B15,B239*B16,"")</f>
        <v/>
      </c>
      <c r="F239" s="12">
        <f>IF(220&lt;=B15,cper,"")</f>
        <v/>
      </c>
      <c r="G239" s="12">
        <f>IF(220&lt;=B15,B239+E239,"")</f>
        <v/>
      </c>
    </row>
    <row r="240">
      <c r="A240">
        <f>IF(221&lt;=B15,221,"")</f>
        <v/>
      </c>
      <c r="B240" s="12">
        <f>IF(221&lt;=B15,IF(221=1,ii,G239)+F240,"")</f>
        <v/>
      </c>
      <c r="E240" s="12">
        <f>IF(221&lt;=B15,B240*B16,"")</f>
        <v/>
      </c>
      <c r="F240" s="12">
        <f>IF(221&lt;=B15,cper,"")</f>
        <v/>
      </c>
      <c r="G240" s="12">
        <f>IF(221&lt;=B15,B240+E240,"")</f>
        <v/>
      </c>
    </row>
    <row r="241">
      <c r="A241">
        <f>IF(222&lt;=B15,222,"")</f>
        <v/>
      </c>
      <c r="B241" s="12">
        <f>IF(222&lt;=B15,IF(222=1,ii,G240)+F241,"")</f>
        <v/>
      </c>
      <c r="E241" s="12">
        <f>IF(222&lt;=B15,B241*B16,"")</f>
        <v/>
      </c>
      <c r="F241" s="12">
        <f>IF(222&lt;=B15,cper,"")</f>
        <v/>
      </c>
      <c r="G241" s="12">
        <f>IF(222&lt;=B15,B241+E241,"")</f>
        <v/>
      </c>
    </row>
    <row r="242">
      <c r="A242">
        <f>IF(223&lt;=B15,223,"")</f>
        <v/>
      </c>
      <c r="B242" s="12">
        <f>IF(223&lt;=B15,IF(223=1,ii,G241)+F242,"")</f>
        <v/>
      </c>
      <c r="E242" s="12">
        <f>IF(223&lt;=B15,B242*B16,"")</f>
        <v/>
      </c>
      <c r="F242" s="12">
        <f>IF(223&lt;=B15,cper,"")</f>
        <v/>
      </c>
      <c r="G242" s="12">
        <f>IF(223&lt;=B15,B242+E242,"")</f>
        <v/>
      </c>
    </row>
    <row r="243">
      <c r="A243">
        <f>IF(224&lt;=B15,224,"")</f>
        <v/>
      </c>
      <c r="B243" s="12">
        <f>IF(224&lt;=B15,IF(224=1,ii,G242)+F243,"")</f>
        <v/>
      </c>
      <c r="E243" s="12">
        <f>IF(224&lt;=B15,B243*B16,"")</f>
        <v/>
      </c>
      <c r="F243" s="12">
        <f>IF(224&lt;=B15,cper,"")</f>
        <v/>
      </c>
      <c r="G243" s="12">
        <f>IF(224&lt;=B15,B243+E243,"")</f>
        <v/>
      </c>
    </row>
    <row r="244">
      <c r="A244">
        <f>IF(225&lt;=B15,225,"")</f>
        <v/>
      </c>
      <c r="B244" s="12">
        <f>IF(225&lt;=B15,IF(225=1,ii,G243)+F244,"")</f>
        <v/>
      </c>
      <c r="E244" s="12">
        <f>IF(225&lt;=B15,B244*B16,"")</f>
        <v/>
      </c>
      <c r="F244" s="12">
        <f>IF(225&lt;=B15,cper,"")</f>
        <v/>
      </c>
      <c r="G244" s="12">
        <f>IF(225&lt;=B15,B244+E244,"")</f>
        <v/>
      </c>
    </row>
    <row r="245">
      <c r="A245">
        <f>IF(226&lt;=B15,226,"")</f>
        <v/>
      </c>
      <c r="B245" s="12">
        <f>IF(226&lt;=B15,IF(226=1,ii,G244)+F245,"")</f>
        <v/>
      </c>
      <c r="E245" s="12">
        <f>IF(226&lt;=B15,B245*B16,"")</f>
        <v/>
      </c>
      <c r="F245" s="12">
        <f>IF(226&lt;=B15,cper,"")</f>
        <v/>
      </c>
      <c r="G245" s="12">
        <f>IF(226&lt;=B15,B245+E245,"")</f>
        <v/>
      </c>
    </row>
    <row r="246">
      <c r="A246">
        <f>IF(227&lt;=B15,227,"")</f>
        <v/>
      </c>
      <c r="B246" s="12">
        <f>IF(227&lt;=B15,IF(227=1,ii,G245)+F246,"")</f>
        <v/>
      </c>
      <c r="E246" s="12">
        <f>IF(227&lt;=B15,B246*B16,"")</f>
        <v/>
      </c>
      <c r="F246" s="12">
        <f>IF(227&lt;=B15,cper,"")</f>
        <v/>
      </c>
      <c r="G246" s="12">
        <f>IF(227&lt;=B15,B246+E246,"")</f>
        <v/>
      </c>
    </row>
    <row r="247">
      <c r="A247">
        <f>IF(228&lt;=B15,228,"")</f>
        <v/>
      </c>
      <c r="B247" s="12">
        <f>IF(228&lt;=B15,IF(228=1,ii,G246)+F247,"")</f>
        <v/>
      </c>
      <c r="E247" s="12">
        <f>IF(228&lt;=B15,B247*B16,"")</f>
        <v/>
      </c>
      <c r="F247" s="12">
        <f>IF(228&lt;=B15,cper,"")</f>
        <v/>
      </c>
      <c r="G247" s="12">
        <f>IF(228&lt;=B15,B247+E247,"")</f>
        <v/>
      </c>
    </row>
    <row r="248">
      <c r="A248">
        <f>IF(229&lt;=B15,229,"")</f>
        <v/>
      </c>
      <c r="B248" s="12">
        <f>IF(229&lt;=B15,IF(229=1,ii,G247)+F248,"")</f>
        <v/>
      </c>
      <c r="E248" s="12">
        <f>IF(229&lt;=B15,B248*B16,"")</f>
        <v/>
      </c>
      <c r="F248" s="12">
        <f>IF(229&lt;=B15,cper,"")</f>
        <v/>
      </c>
      <c r="G248" s="12">
        <f>IF(229&lt;=B15,B248+E248,"")</f>
        <v/>
      </c>
    </row>
    <row r="249">
      <c r="A249">
        <f>IF(230&lt;=B15,230,"")</f>
        <v/>
      </c>
      <c r="B249" s="12">
        <f>IF(230&lt;=B15,IF(230=1,ii,G248)+F249,"")</f>
        <v/>
      </c>
      <c r="E249" s="12">
        <f>IF(230&lt;=B15,B249*B16,"")</f>
        <v/>
      </c>
      <c r="F249" s="12">
        <f>IF(230&lt;=B15,cper,"")</f>
        <v/>
      </c>
      <c r="G249" s="12">
        <f>IF(230&lt;=B15,B249+E249,"")</f>
        <v/>
      </c>
    </row>
    <row r="250">
      <c r="A250">
        <f>IF(231&lt;=B15,231,"")</f>
        <v/>
      </c>
      <c r="B250" s="12">
        <f>IF(231&lt;=B15,IF(231=1,ii,G249)+F250,"")</f>
        <v/>
      </c>
      <c r="E250" s="12">
        <f>IF(231&lt;=B15,B250*B16,"")</f>
        <v/>
      </c>
      <c r="F250" s="12">
        <f>IF(231&lt;=B15,cper,"")</f>
        <v/>
      </c>
      <c r="G250" s="12">
        <f>IF(231&lt;=B15,B250+E250,"")</f>
        <v/>
      </c>
    </row>
    <row r="251">
      <c r="A251">
        <f>IF(232&lt;=B15,232,"")</f>
        <v/>
      </c>
      <c r="B251" s="12">
        <f>IF(232&lt;=B15,IF(232=1,ii,G250)+F251,"")</f>
        <v/>
      </c>
      <c r="E251" s="12">
        <f>IF(232&lt;=B15,B251*B16,"")</f>
        <v/>
      </c>
      <c r="F251" s="12">
        <f>IF(232&lt;=B15,cper,"")</f>
        <v/>
      </c>
      <c r="G251" s="12">
        <f>IF(232&lt;=B15,B251+E251,"")</f>
        <v/>
      </c>
    </row>
    <row r="252">
      <c r="A252">
        <f>IF(233&lt;=B15,233,"")</f>
        <v/>
      </c>
      <c r="B252" s="12">
        <f>IF(233&lt;=B15,IF(233=1,ii,G251)+F252,"")</f>
        <v/>
      </c>
      <c r="E252" s="12">
        <f>IF(233&lt;=B15,B252*B16,"")</f>
        <v/>
      </c>
      <c r="F252" s="12">
        <f>IF(233&lt;=B15,cper,"")</f>
        <v/>
      </c>
      <c r="G252" s="12">
        <f>IF(233&lt;=B15,B252+E252,"")</f>
        <v/>
      </c>
    </row>
    <row r="253">
      <c r="A253">
        <f>IF(234&lt;=B15,234,"")</f>
        <v/>
      </c>
      <c r="B253" s="12">
        <f>IF(234&lt;=B15,IF(234=1,ii,G252)+F253,"")</f>
        <v/>
      </c>
      <c r="E253" s="12">
        <f>IF(234&lt;=B15,B253*B16,"")</f>
        <v/>
      </c>
      <c r="F253" s="12">
        <f>IF(234&lt;=B15,cper,"")</f>
        <v/>
      </c>
      <c r="G253" s="12">
        <f>IF(234&lt;=B15,B253+E253,"")</f>
        <v/>
      </c>
    </row>
    <row r="254">
      <c r="A254">
        <f>IF(235&lt;=B15,235,"")</f>
        <v/>
      </c>
      <c r="B254" s="12">
        <f>IF(235&lt;=B15,IF(235=1,ii,G253)+F254,"")</f>
        <v/>
      </c>
      <c r="E254" s="12">
        <f>IF(235&lt;=B15,B254*B16,"")</f>
        <v/>
      </c>
      <c r="F254" s="12">
        <f>IF(235&lt;=B15,cper,"")</f>
        <v/>
      </c>
      <c r="G254" s="12">
        <f>IF(235&lt;=B15,B254+E254,"")</f>
        <v/>
      </c>
    </row>
    <row r="255">
      <c r="A255">
        <f>IF(236&lt;=B15,236,"")</f>
        <v/>
      </c>
      <c r="B255" s="12">
        <f>IF(236&lt;=B15,IF(236=1,ii,G254)+F255,"")</f>
        <v/>
      </c>
      <c r="E255" s="12">
        <f>IF(236&lt;=B15,B255*B16,"")</f>
        <v/>
      </c>
      <c r="F255" s="12">
        <f>IF(236&lt;=B15,cper,"")</f>
        <v/>
      </c>
      <c r="G255" s="12">
        <f>IF(236&lt;=B15,B255+E255,"")</f>
        <v/>
      </c>
    </row>
    <row r="256">
      <c r="A256">
        <f>IF(237&lt;=B15,237,"")</f>
        <v/>
      </c>
      <c r="B256" s="12">
        <f>IF(237&lt;=B15,IF(237=1,ii,G255)+F256,"")</f>
        <v/>
      </c>
      <c r="E256" s="12">
        <f>IF(237&lt;=B15,B256*B16,"")</f>
        <v/>
      </c>
      <c r="F256" s="12">
        <f>IF(237&lt;=B15,cper,"")</f>
        <v/>
      </c>
      <c r="G256" s="12">
        <f>IF(237&lt;=B15,B256+E256,"")</f>
        <v/>
      </c>
    </row>
    <row r="257">
      <c r="A257">
        <f>IF(238&lt;=B15,238,"")</f>
        <v/>
      </c>
      <c r="B257" s="12">
        <f>IF(238&lt;=B15,IF(238=1,ii,G256)+F257,"")</f>
        <v/>
      </c>
      <c r="E257" s="12">
        <f>IF(238&lt;=B15,B257*B16,"")</f>
        <v/>
      </c>
      <c r="F257" s="12">
        <f>IF(238&lt;=B15,cper,"")</f>
        <v/>
      </c>
      <c r="G257" s="12">
        <f>IF(238&lt;=B15,B257+E257,"")</f>
        <v/>
      </c>
    </row>
    <row r="258">
      <c r="A258">
        <f>IF(239&lt;=B15,239,"")</f>
        <v/>
      </c>
      <c r="B258" s="12">
        <f>IF(239&lt;=B15,IF(239=1,ii,G257)+F258,"")</f>
        <v/>
      </c>
      <c r="E258" s="12">
        <f>IF(239&lt;=B15,B258*B16,"")</f>
        <v/>
      </c>
      <c r="F258" s="12">
        <f>IF(239&lt;=B15,cper,"")</f>
        <v/>
      </c>
      <c r="G258" s="12">
        <f>IF(239&lt;=B15,B258+E258,"")</f>
        <v/>
      </c>
    </row>
    <row r="259">
      <c r="A259">
        <f>IF(240&lt;=B15,240,"")</f>
        <v/>
      </c>
      <c r="B259" s="12">
        <f>IF(240&lt;=B15,IF(240=1,ii,G258)+F259,"")</f>
        <v/>
      </c>
      <c r="E259" s="12">
        <f>IF(240&lt;=B15,B259*B16,"")</f>
        <v/>
      </c>
      <c r="F259" s="12">
        <f>IF(240&lt;=B15,cper,"")</f>
        <v/>
      </c>
      <c r="G259" s="12">
        <f>IF(240&lt;=B15,B259+E259,"")</f>
        <v/>
      </c>
    </row>
    <row r="260">
      <c r="A260">
        <f>IF(241&lt;=B15,241,"")</f>
        <v/>
      </c>
      <c r="B260" s="12">
        <f>IF(241&lt;=B15,IF(241=1,ii,G259)+F260,"")</f>
        <v/>
      </c>
      <c r="E260" s="12">
        <f>IF(241&lt;=B15,B260*B16,"")</f>
        <v/>
      </c>
      <c r="F260" s="12">
        <f>IF(241&lt;=B15,cper,"")</f>
        <v/>
      </c>
      <c r="G260" s="12">
        <f>IF(241&lt;=B15,B260+E260,"")</f>
        <v/>
      </c>
    </row>
    <row r="261">
      <c r="A261">
        <f>IF(242&lt;=B15,242,"")</f>
        <v/>
      </c>
      <c r="B261" s="12">
        <f>IF(242&lt;=B15,IF(242=1,ii,G260)+F261,"")</f>
        <v/>
      </c>
      <c r="E261" s="12">
        <f>IF(242&lt;=B15,B261*B16,"")</f>
        <v/>
      </c>
      <c r="F261" s="12">
        <f>IF(242&lt;=B15,cper,"")</f>
        <v/>
      </c>
      <c r="G261" s="12">
        <f>IF(242&lt;=B15,B261+E261,"")</f>
        <v/>
      </c>
    </row>
    <row r="262">
      <c r="A262">
        <f>IF(243&lt;=B15,243,"")</f>
        <v/>
      </c>
      <c r="B262" s="12">
        <f>IF(243&lt;=B15,IF(243=1,ii,G261)+F262,"")</f>
        <v/>
      </c>
      <c r="E262" s="12">
        <f>IF(243&lt;=B15,B262*B16,"")</f>
        <v/>
      </c>
      <c r="F262" s="12">
        <f>IF(243&lt;=B15,cper,"")</f>
        <v/>
      </c>
      <c r="G262" s="12">
        <f>IF(243&lt;=B15,B262+E262,"")</f>
        <v/>
      </c>
    </row>
    <row r="263">
      <c r="A263">
        <f>IF(244&lt;=B15,244,"")</f>
        <v/>
      </c>
      <c r="B263" s="12">
        <f>IF(244&lt;=B15,IF(244=1,ii,G262)+F263,"")</f>
        <v/>
      </c>
      <c r="E263" s="12">
        <f>IF(244&lt;=B15,B263*B16,"")</f>
        <v/>
      </c>
      <c r="F263" s="12">
        <f>IF(244&lt;=B15,cper,"")</f>
        <v/>
      </c>
      <c r="G263" s="12">
        <f>IF(244&lt;=B15,B263+E263,"")</f>
        <v/>
      </c>
    </row>
    <row r="264">
      <c r="A264">
        <f>IF(245&lt;=B15,245,"")</f>
        <v/>
      </c>
      <c r="B264" s="12">
        <f>IF(245&lt;=B15,IF(245=1,ii,G263)+F264,"")</f>
        <v/>
      </c>
      <c r="E264" s="12">
        <f>IF(245&lt;=B15,B264*B16,"")</f>
        <v/>
      </c>
      <c r="F264" s="12">
        <f>IF(245&lt;=B15,cper,"")</f>
        <v/>
      </c>
      <c r="G264" s="12">
        <f>IF(245&lt;=B15,B264+E264,"")</f>
        <v/>
      </c>
    </row>
    <row r="265">
      <c r="A265">
        <f>IF(246&lt;=B15,246,"")</f>
        <v/>
      </c>
      <c r="B265" s="12">
        <f>IF(246&lt;=B15,IF(246=1,ii,G264)+F265,"")</f>
        <v/>
      </c>
      <c r="E265" s="12">
        <f>IF(246&lt;=B15,B265*B16,"")</f>
        <v/>
      </c>
      <c r="F265" s="12">
        <f>IF(246&lt;=B15,cper,"")</f>
        <v/>
      </c>
      <c r="G265" s="12">
        <f>IF(246&lt;=B15,B265+E265,"")</f>
        <v/>
      </c>
    </row>
    <row r="266">
      <c r="A266">
        <f>IF(247&lt;=B15,247,"")</f>
        <v/>
      </c>
      <c r="B266" s="12">
        <f>IF(247&lt;=B15,IF(247=1,ii,G265)+F266,"")</f>
        <v/>
      </c>
      <c r="E266" s="12">
        <f>IF(247&lt;=B15,B266*B16,"")</f>
        <v/>
      </c>
      <c r="F266" s="12">
        <f>IF(247&lt;=B15,cper,"")</f>
        <v/>
      </c>
      <c r="G266" s="12">
        <f>IF(247&lt;=B15,B266+E266,"")</f>
        <v/>
      </c>
    </row>
    <row r="267">
      <c r="A267">
        <f>IF(248&lt;=B15,248,"")</f>
        <v/>
      </c>
      <c r="B267" s="12">
        <f>IF(248&lt;=B15,IF(248=1,ii,G266)+F267,"")</f>
        <v/>
      </c>
      <c r="E267" s="12">
        <f>IF(248&lt;=B15,B267*B16,"")</f>
        <v/>
      </c>
      <c r="F267" s="12">
        <f>IF(248&lt;=B15,cper,"")</f>
        <v/>
      </c>
      <c r="G267" s="12">
        <f>IF(248&lt;=B15,B267+E267,"")</f>
        <v/>
      </c>
    </row>
    <row r="268">
      <c r="A268">
        <f>IF(249&lt;=B15,249,"")</f>
        <v/>
      </c>
      <c r="B268" s="12">
        <f>IF(249&lt;=B15,IF(249=1,ii,G267)+F268,"")</f>
        <v/>
      </c>
      <c r="E268" s="12">
        <f>IF(249&lt;=B15,B268*B16,"")</f>
        <v/>
      </c>
      <c r="F268" s="12">
        <f>IF(249&lt;=B15,cper,"")</f>
        <v/>
      </c>
      <c r="G268" s="12">
        <f>IF(249&lt;=B15,B268+E268,"")</f>
        <v/>
      </c>
    </row>
    <row r="269">
      <c r="A269">
        <f>IF(250&lt;=B15,250,"")</f>
        <v/>
      </c>
      <c r="B269" s="12">
        <f>IF(250&lt;=B15,IF(250=1,ii,G268)+F269,"")</f>
        <v/>
      </c>
      <c r="E269" s="12">
        <f>IF(250&lt;=B15,B269*B16,"")</f>
        <v/>
      </c>
      <c r="F269" s="12">
        <f>IF(250&lt;=B15,cper,"")</f>
        <v/>
      </c>
      <c r="G269" s="12">
        <f>IF(250&lt;=B15,B269+E269,"")</f>
        <v/>
      </c>
    </row>
    <row r="270">
      <c r="A270">
        <f>IF(251&lt;=B15,251,"")</f>
        <v/>
      </c>
      <c r="B270" s="12">
        <f>IF(251&lt;=B15,IF(251=1,ii,G269)+F270,"")</f>
        <v/>
      </c>
      <c r="E270" s="12">
        <f>IF(251&lt;=B15,B270*B16,"")</f>
        <v/>
      </c>
      <c r="F270" s="12">
        <f>IF(251&lt;=B15,cper,"")</f>
        <v/>
      </c>
      <c r="G270" s="12">
        <f>IF(251&lt;=B15,B270+E270,"")</f>
        <v/>
      </c>
    </row>
    <row r="271">
      <c r="A271">
        <f>IF(252&lt;=B15,252,"")</f>
        <v/>
      </c>
      <c r="B271" s="12">
        <f>IF(252&lt;=B15,IF(252=1,ii,G270)+F271,"")</f>
        <v/>
      </c>
      <c r="E271" s="12">
        <f>IF(252&lt;=B15,B271*B16,"")</f>
        <v/>
      </c>
      <c r="F271" s="12">
        <f>IF(252&lt;=B15,cper,"")</f>
        <v/>
      </c>
      <c r="G271" s="12">
        <f>IF(252&lt;=B15,B271+E271,"")</f>
        <v/>
      </c>
    </row>
    <row r="272">
      <c r="A272">
        <f>IF(253&lt;=B15,253,"")</f>
        <v/>
      </c>
      <c r="B272" s="12">
        <f>IF(253&lt;=B15,IF(253=1,ii,G271)+F272,"")</f>
        <v/>
      </c>
      <c r="E272" s="12">
        <f>IF(253&lt;=B15,B272*B16,"")</f>
        <v/>
      </c>
      <c r="F272" s="12">
        <f>IF(253&lt;=B15,cper,"")</f>
        <v/>
      </c>
      <c r="G272" s="12">
        <f>IF(253&lt;=B15,B272+E272,"")</f>
        <v/>
      </c>
    </row>
    <row r="273">
      <c r="A273">
        <f>IF(254&lt;=B15,254,"")</f>
        <v/>
      </c>
      <c r="B273" s="12">
        <f>IF(254&lt;=B15,IF(254=1,ii,G272)+F273,"")</f>
        <v/>
      </c>
      <c r="E273" s="12">
        <f>IF(254&lt;=B15,B273*B16,"")</f>
        <v/>
      </c>
      <c r="F273" s="12">
        <f>IF(254&lt;=B15,cper,"")</f>
        <v/>
      </c>
      <c r="G273" s="12">
        <f>IF(254&lt;=B15,B273+E273,"")</f>
        <v/>
      </c>
    </row>
    <row r="274">
      <c r="A274">
        <f>IF(255&lt;=B15,255,"")</f>
        <v/>
      </c>
      <c r="B274" s="12">
        <f>IF(255&lt;=B15,IF(255=1,ii,G273)+F274,"")</f>
        <v/>
      </c>
      <c r="E274" s="12">
        <f>IF(255&lt;=B15,B274*B16,"")</f>
        <v/>
      </c>
      <c r="F274" s="12">
        <f>IF(255&lt;=B15,cper,"")</f>
        <v/>
      </c>
      <c r="G274" s="12">
        <f>IF(255&lt;=B15,B274+E274,"")</f>
        <v/>
      </c>
    </row>
    <row r="275">
      <c r="A275">
        <f>IF(256&lt;=B15,256,"")</f>
        <v/>
      </c>
      <c r="B275" s="12">
        <f>IF(256&lt;=B15,IF(256=1,ii,G274)+F275,"")</f>
        <v/>
      </c>
      <c r="E275" s="12">
        <f>IF(256&lt;=B15,B275*B16,"")</f>
        <v/>
      </c>
      <c r="F275" s="12">
        <f>IF(256&lt;=B15,cper,"")</f>
        <v/>
      </c>
      <c r="G275" s="12">
        <f>IF(256&lt;=B15,B275+E275,"")</f>
        <v/>
      </c>
    </row>
    <row r="276">
      <c r="A276">
        <f>IF(257&lt;=B15,257,"")</f>
        <v/>
      </c>
      <c r="B276" s="12">
        <f>IF(257&lt;=B15,IF(257=1,ii,G275)+F276,"")</f>
        <v/>
      </c>
      <c r="E276" s="12">
        <f>IF(257&lt;=B15,B276*B16,"")</f>
        <v/>
      </c>
      <c r="F276" s="12">
        <f>IF(257&lt;=B15,cper,"")</f>
        <v/>
      </c>
      <c r="G276" s="12">
        <f>IF(257&lt;=B15,B276+E276,"")</f>
        <v/>
      </c>
    </row>
    <row r="277">
      <c r="A277">
        <f>IF(258&lt;=B15,258,"")</f>
        <v/>
      </c>
      <c r="B277" s="12">
        <f>IF(258&lt;=B15,IF(258=1,ii,G276)+F277,"")</f>
        <v/>
      </c>
      <c r="E277" s="12">
        <f>IF(258&lt;=B15,B277*B16,"")</f>
        <v/>
      </c>
      <c r="F277" s="12">
        <f>IF(258&lt;=B15,cper,"")</f>
        <v/>
      </c>
      <c r="G277" s="12">
        <f>IF(258&lt;=B15,B277+E277,"")</f>
        <v/>
      </c>
    </row>
    <row r="278">
      <c r="A278">
        <f>IF(259&lt;=B15,259,"")</f>
        <v/>
      </c>
      <c r="B278" s="12">
        <f>IF(259&lt;=B15,IF(259=1,ii,G277)+F278,"")</f>
        <v/>
      </c>
      <c r="E278" s="12">
        <f>IF(259&lt;=B15,B278*B16,"")</f>
        <v/>
      </c>
      <c r="F278" s="12">
        <f>IF(259&lt;=B15,cper,"")</f>
        <v/>
      </c>
      <c r="G278" s="12">
        <f>IF(259&lt;=B15,B278+E278,"")</f>
        <v/>
      </c>
    </row>
    <row r="279">
      <c r="A279">
        <f>IF(260&lt;=B15,260,"")</f>
        <v/>
      </c>
      <c r="B279" s="12">
        <f>IF(260&lt;=B15,IF(260=1,ii,G278)+F279,"")</f>
        <v/>
      </c>
      <c r="E279" s="12">
        <f>IF(260&lt;=B15,B279*B16,"")</f>
        <v/>
      </c>
      <c r="F279" s="12">
        <f>IF(260&lt;=B15,cper,"")</f>
        <v/>
      </c>
      <c r="G279" s="12">
        <f>IF(260&lt;=B15,B279+E279,"")</f>
        <v/>
      </c>
    </row>
    <row r="280">
      <c r="A280">
        <f>IF(261&lt;=B15,261,"")</f>
        <v/>
      </c>
      <c r="B280" s="12">
        <f>IF(261&lt;=B15,IF(261=1,ii,G279)+F280,"")</f>
        <v/>
      </c>
      <c r="E280" s="12">
        <f>IF(261&lt;=B15,B280*B16,"")</f>
        <v/>
      </c>
      <c r="F280" s="12">
        <f>IF(261&lt;=B15,cper,"")</f>
        <v/>
      </c>
      <c r="G280" s="12">
        <f>IF(261&lt;=B15,B280+E280,"")</f>
        <v/>
      </c>
    </row>
    <row r="281">
      <c r="A281">
        <f>IF(262&lt;=B15,262,"")</f>
        <v/>
      </c>
      <c r="B281" s="12">
        <f>IF(262&lt;=B15,IF(262=1,ii,G280)+F281,"")</f>
        <v/>
      </c>
      <c r="E281" s="12">
        <f>IF(262&lt;=B15,B281*B16,"")</f>
        <v/>
      </c>
      <c r="F281" s="12">
        <f>IF(262&lt;=B15,cper,"")</f>
        <v/>
      </c>
      <c r="G281" s="12">
        <f>IF(262&lt;=B15,B281+E281,"")</f>
        <v/>
      </c>
    </row>
    <row r="282">
      <c r="A282">
        <f>IF(263&lt;=B15,263,"")</f>
        <v/>
      </c>
      <c r="B282" s="12">
        <f>IF(263&lt;=B15,IF(263=1,ii,G281)+F282,"")</f>
        <v/>
      </c>
      <c r="E282" s="12">
        <f>IF(263&lt;=B15,B282*B16,"")</f>
        <v/>
      </c>
      <c r="F282" s="12">
        <f>IF(263&lt;=B15,cper,"")</f>
        <v/>
      </c>
      <c r="G282" s="12">
        <f>IF(263&lt;=B15,B282+E282,"")</f>
        <v/>
      </c>
    </row>
    <row r="283">
      <c r="A283">
        <f>IF(264&lt;=B15,264,"")</f>
        <v/>
      </c>
      <c r="B283" s="12">
        <f>IF(264&lt;=B15,IF(264=1,ii,G282)+F283,"")</f>
        <v/>
      </c>
      <c r="E283" s="12">
        <f>IF(264&lt;=B15,B283*B16,"")</f>
        <v/>
      </c>
      <c r="F283" s="12">
        <f>IF(264&lt;=B15,cper,"")</f>
        <v/>
      </c>
      <c r="G283" s="12">
        <f>IF(264&lt;=B15,B283+E283,"")</f>
        <v/>
      </c>
    </row>
    <row r="284">
      <c r="A284">
        <f>IF(265&lt;=B15,265,"")</f>
        <v/>
      </c>
      <c r="B284" s="12">
        <f>IF(265&lt;=B15,IF(265=1,ii,G283)+F284,"")</f>
        <v/>
      </c>
      <c r="E284" s="12">
        <f>IF(265&lt;=B15,B284*B16,"")</f>
        <v/>
      </c>
      <c r="F284" s="12">
        <f>IF(265&lt;=B15,cper,"")</f>
        <v/>
      </c>
      <c r="G284" s="12">
        <f>IF(265&lt;=B15,B284+E284,"")</f>
        <v/>
      </c>
    </row>
    <row r="285">
      <c r="A285">
        <f>IF(266&lt;=B15,266,"")</f>
        <v/>
      </c>
      <c r="B285" s="12">
        <f>IF(266&lt;=B15,IF(266=1,ii,G284)+F285,"")</f>
        <v/>
      </c>
      <c r="E285" s="12">
        <f>IF(266&lt;=B15,B285*B16,"")</f>
        <v/>
      </c>
      <c r="F285" s="12">
        <f>IF(266&lt;=B15,cper,"")</f>
        <v/>
      </c>
      <c r="G285" s="12">
        <f>IF(266&lt;=B15,B285+E285,"")</f>
        <v/>
      </c>
    </row>
    <row r="286">
      <c r="A286">
        <f>IF(267&lt;=B15,267,"")</f>
        <v/>
      </c>
      <c r="B286" s="12">
        <f>IF(267&lt;=B15,IF(267=1,ii,G285)+F286,"")</f>
        <v/>
      </c>
      <c r="E286" s="12">
        <f>IF(267&lt;=B15,B286*B16,"")</f>
        <v/>
      </c>
      <c r="F286" s="12">
        <f>IF(267&lt;=B15,cper,"")</f>
        <v/>
      </c>
      <c r="G286" s="12">
        <f>IF(267&lt;=B15,B286+E286,"")</f>
        <v/>
      </c>
    </row>
    <row r="287">
      <c r="A287">
        <f>IF(268&lt;=B15,268,"")</f>
        <v/>
      </c>
      <c r="B287" s="12">
        <f>IF(268&lt;=B15,IF(268=1,ii,G286)+F287,"")</f>
        <v/>
      </c>
      <c r="E287" s="12">
        <f>IF(268&lt;=B15,B287*B16,"")</f>
        <v/>
      </c>
      <c r="F287" s="12">
        <f>IF(268&lt;=B15,cper,"")</f>
        <v/>
      </c>
      <c r="G287" s="12">
        <f>IF(268&lt;=B15,B287+E287,"")</f>
        <v/>
      </c>
    </row>
    <row r="288">
      <c r="A288">
        <f>IF(269&lt;=B15,269,"")</f>
        <v/>
      </c>
      <c r="B288" s="12">
        <f>IF(269&lt;=B15,IF(269=1,ii,G287)+F288,"")</f>
        <v/>
      </c>
      <c r="E288" s="12">
        <f>IF(269&lt;=B15,B288*B16,"")</f>
        <v/>
      </c>
      <c r="F288" s="12">
        <f>IF(269&lt;=B15,cper,"")</f>
        <v/>
      </c>
      <c r="G288" s="12">
        <f>IF(269&lt;=B15,B288+E288,"")</f>
        <v/>
      </c>
    </row>
    <row r="289">
      <c r="A289">
        <f>IF(270&lt;=B15,270,"")</f>
        <v/>
      </c>
      <c r="B289" s="12">
        <f>IF(270&lt;=B15,IF(270=1,ii,G288)+F289,"")</f>
        <v/>
      </c>
      <c r="E289" s="12">
        <f>IF(270&lt;=B15,B289*B16,"")</f>
        <v/>
      </c>
      <c r="F289" s="12">
        <f>IF(270&lt;=B15,cper,"")</f>
        <v/>
      </c>
      <c r="G289" s="12">
        <f>IF(270&lt;=B15,B289+E289,"")</f>
        <v/>
      </c>
    </row>
    <row r="290">
      <c r="A290">
        <f>IF(271&lt;=B15,271,"")</f>
        <v/>
      </c>
      <c r="B290" s="12">
        <f>IF(271&lt;=B15,IF(271=1,ii,G289)+F290,"")</f>
        <v/>
      </c>
      <c r="E290" s="12">
        <f>IF(271&lt;=B15,B290*B16,"")</f>
        <v/>
      </c>
      <c r="F290" s="12">
        <f>IF(271&lt;=B15,cper,"")</f>
        <v/>
      </c>
      <c r="G290" s="12">
        <f>IF(271&lt;=B15,B290+E290,"")</f>
        <v/>
      </c>
    </row>
    <row r="291">
      <c r="A291">
        <f>IF(272&lt;=B15,272,"")</f>
        <v/>
      </c>
      <c r="B291" s="12">
        <f>IF(272&lt;=B15,IF(272=1,ii,G290)+F291,"")</f>
        <v/>
      </c>
      <c r="E291" s="12">
        <f>IF(272&lt;=B15,B291*B16,"")</f>
        <v/>
      </c>
      <c r="F291" s="12">
        <f>IF(272&lt;=B15,cper,"")</f>
        <v/>
      </c>
      <c r="G291" s="12">
        <f>IF(272&lt;=B15,B291+E291,"")</f>
        <v/>
      </c>
    </row>
    <row r="292">
      <c r="A292">
        <f>IF(273&lt;=B15,273,"")</f>
        <v/>
      </c>
      <c r="B292" s="12">
        <f>IF(273&lt;=B15,IF(273=1,ii,G291)+F292,"")</f>
        <v/>
      </c>
      <c r="E292" s="12">
        <f>IF(273&lt;=B15,B292*B16,"")</f>
        <v/>
      </c>
      <c r="F292" s="12">
        <f>IF(273&lt;=B15,cper,"")</f>
        <v/>
      </c>
      <c r="G292" s="12">
        <f>IF(273&lt;=B15,B292+E292,"")</f>
        <v/>
      </c>
    </row>
    <row r="293">
      <c r="A293">
        <f>IF(274&lt;=B15,274,"")</f>
        <v/>
      </c>
      <c r="B293" s="12">
        <f>IF(274&lt;=B15,IF(274=1,ii,G292)+F293,"")</f>
        <v/>
      </c>
      <c r="E293" s="12">
        <f>IF(274&lt;=B15,B293*B16,"")</f>
        <v/>
      </c>
      <c r="F293" s="12">
        <f>IF(274&lt;=B15,cper,"")</f>
        <v/>
      </c>
      <c r="G293" s="12">
        <f>IF(274&lt;=B15,B293+E293,"")</f>
        <v/>
      </c>
    </row>
    <row r="294">
      <c r="A294">
        <f>IF(275&lt;=B15,275,"")</f>
        <v/>
      </c>
      <c r="B294" s="12">
        <f>IF(275&lt;=B15,IF(275=1,ii,G293)+F294,"")</f>
        <v/>
      </c>
      <c r="E294" s="12">
        <f>IF(275&lt;=B15,B294*B16,"")</f>
        <v/>
      </c>
      <c r="F294" s="12">
        <f>IF(275&lt;=B15,cper,"")</f>
        <v/>
      </c>
      <c r="G294" s="12">
        <f>IF(275&lt;=B15,B294+E294,"")</f>
        <v/>
      </c>
    </row>
    <row r="295">
      <c r="A295">
        <f>IF(276&lt;=B15,276,"")</f>
        <v/>
      </c>
      <c r="B295" s="12">
        <f>IF(276&lt;=B15,IF(276=1,ii,G294)+F295,"")</f>
        <v/>
      </c>
      <c r="E295" s="12">
        <f>IF(276&lt;=B15,B295*B16,"")</f>
        <v/>
      </c>
      <c r="F295" s="12">
        <f>IF(276&lt;=B15,cper,"")</f>
        <v/>
      </c>
      <c r="G295" s="12">
        <f>IF(276&lt;=B15,B295+E295,"")</f>
        <v/>
      </c>
    </row>
    <row r="296">
      <c r="A296">
        <f>IF(277&lt;=B15,277,"")</f>
        <v/>
      </c>
      <c r="B296" s="12">
        <f>IF(277&lt;=B15,IF(277=1,ii,G295)+F296,"")</f>
        <v/>
      </c>
      <c r="E296" s="12">
        <f>IF(277&lt;=B15,B296*B16,"")</f>
        <v/>
      </c>
      <c r="F296" s="12">
        <f>IF(277&lt;=B15,cper,"")</f>
        <v/>
      </c>
      <c r="G296" s="12">
        <f>IF(277&lt;=B15,B296+E296,"")</f>
        <v/>
      </c>
    </row>
    <row r="297">
      <c r="A297">
        <f>IF(278&lt;=B15,278,"")</f>
        <v/>
      </c>
      <c r="B297" s="12">
        <f>IF(278&lt;=B15,IF(278=1,ii,G296)+F297,"")</f>
        <v/>
      </c>
      <c r="E297" s="12">
        <f>IF(278&lt;=B15,B297*B16,"")</f>
        <v/>
      </c>
      <c r="F297" s="12">
        <f>IF(278&lt;=B15,cper,"")</f>
        <v/>
      </c>
      <c r="G297" s="12">
        <f>IF(278&lt;=B15,B297+E297,"")</f>
        <v/>
      </c>
    </row>
    <row r="298">
      <c r="A298">
        <f>IF(279&lt;=B15,279,"")</f>
        <v/>
      </c>
      <c r="B298" s="12">
        <f>IF(279&lt;=B15,IF(279=1,ii,G297)+F298,"")</f>
        <v/>
      </c>
      <c r="E298" s="12">
        <f>IF(279&lt;=B15,B298*B16,"")</f>
        <v/>
      </c>
      <c r="F298" s="12">
        <f>IF(279&lt;=B15,cper,"")</f>
        <v/>
      </c>
      <c r="G298" s="12">
        <f>IF(279&lt;=B15,B298+E298,"")</f>
        <v/>
      </c>
    </row>
    <row r="299">
      <c r="A299">
        <f>IF(280&lt;=B15,280,"")</f>
        <v/>
      </c>
      <c r="B299" s="12">
        <f>IF(280&lt;=B15,IF(280=1,ii,G298)+F299,"")</f>
        <v/>
      </c>
      <c r="E299" s="12">
        <f>IF(280&lt;=B15,B299*B16,"")</f>
        <v/>
      </c>
      <c r="F299" s="12">
        <f>IF(280&lt;=B15,cper,"")</f>
        <v/>
      </c>
      <c r="G299" s="12">
        <f>IF(280&lt;=B15,B299+E299,"")</f>
        <v/>
      </c>
    </row>
    <row r="300">
      <c r="A300">
        <f>IF(281&lt;=B15,281,"")</f>
        <v/>
      </c>
      <c r="B300" s="12">
        <f>IF(281&lt;=B15,IF(281=1,ii,G299)+F300,"")</f>
        <v/>
      </c>
      <c r="E300" s="12">
        <f>IF(281&lt;=B15,B300*B16,"")</f>
        <v/>
      </c>
      <c r="F300" s="12">
        <f>IF(281&lt;=B15,cper,"")</f>
        <v/>
      </c>
      <c r="G300" s="12">
        <f>IF(281&lt;=B15,B300+E300,"")</f>
        <v/>
      </c>
    </row>
    <row r="301">
      <c r="A301">
        <f>IF(282&lt;=B15,282,"")</f>
        <v/>
      </c>
      <c r="B301" s="12">
        <f>IF(282&lt;=B15,IF(282=1,ii,G300)+F301,"")</f>
        <v/>
      </c>
      <c r="E301" s="12">
        <f>IF(282&lt;=B15,B301*B16,"")</f>
        <v/>
      </c>
      <c r="F301" s="12">
        <f>IF(282&lt;=B15,cper,"")</f>
        <v/>
      </c>
      <c r="G301" s="12">
        <f>IF(282&lt;=B15,B301+E301,"")</f>
        <v/>
      </c>
    </row>
    <row r="302">
      <c r="A302">
        <f>IF(283&lt;=B15,283,"")</f>
        <v/>
      </c>
      <c r="B302" s="12">
        <f>IF(283&lt;=B15,IF(283=1,ii,G301)+F302,"")</f>
        <v/>
      </c>
      <c r="E302" s="12">
        <f>IF(283&lt;=B15,B302*B16,"")</f>
        <v/>
      </c>
      <c r="F302" s="12">
        <f>IF(283&lt;=B15,cper,"")</f>
        <v/>
      </c>
      <c r="G302" s="12">
        <f>IF(283&lt;=B15,B302+E302,"")</f>
        <v/>
      </c>
    </row>
    <row r="303">
      <c r="A303">
        <f>IF(284&lt;=B15,284,"")</f>
        <v/>
      </c>
      <c r="B303" s="12">
        <f>IF(284&lt;=B15,IF(284=1,ii,G302)+F303,"")</f>
        <v/>
      </c>
      <c r="E303" s="12">
        <f>IF(284&lt;=B15,B303*B16,"")</f>
        <v/>
      </c>
      <c r="F303" s="12">
        <f>IF(284&lt;=B15,cper,"")</f>
        <v/>
      </c>
      <c r="G303" s="12">
        <f>IF(284&lt;=B15,B303+E303,"")</f>
        <v/>
      </c>
    </row>
    <row r="304">
      <c r="A304">
        <f>IF(285&lt;=B15,285,"")</f>
        <v/>
      </c>
      <c r="B304" s="12">
        <f>IF(285&lt;=B15,IF(285=1,ii,G303)+F304,"")</f>
        <v/>
      </c>
      <c r="E304" s="12">
        <f>IF(285&lt;=B15,B304*B16,"")</f>
        <v/>
      </c>
      <c r="F304" s="12">
        <f>IF(285&lt;=B15,cper,"")</f>
        <v/>
      </c>
      <c r="G304" s="12">
        <f>IF(285&lt;=B15,B304+E304,"")</f>
        <v/>
      </c>
    </row>
    <row r="305">
      <c r="A305">
        <f>IF(286&lt;=B15,286,"")</f>
        <v/>
      </c>
      <c r="B305" s="12">
        <f>IF(286&lt;=B15,IF(286=1,ii,G304)+F305,"")</f>
        <v/>
      </c>
      <c r="E305" s="12">
        <f>IF(286&lt;=B15,B305*B16,"")</f>
        <v/>
      </c>
      <c r="F305" s="12">
        <f>IF(286&lt;=B15,cper,"")</f>
        <v/>
      </c>
      <c r="G305" s="12">
        <f>IF(286&lt;=B15,B305+E305,"")</f>
        <v/>
      </c>
    </row>
    <row r="306">
      <c r="A306">
        <f>IF(287&lt;=B15,287,"")</f>
        <v/>
      </c>
      <c r="B306" s="12">
        <f>IF(287&lt;=B15,IF(287=1,ii,G305)+F306,"")</f>
        <v/>
      </c>
      <c r="E306" s="12">
        <f>IF(287&lt;=B15,B306*B16,"")</f>
        <v/>
      </c>
      <c r="F306" s="12">
        <f>IF(287&lt;=B15,cper,"")</f>
        <v/>
      </c>
      <c r="G306" s="12">
        <f>IF(287&lt;=B15,B306+E306,"")</f>
        <v/>
      </c>
    </row>
    <row r="307">
      <c r="A307">
        <f>IF(288&lt;=B15,288,"")</f>
        <v/>
      </c>
      <c r="B307" s="12">
        <f>IF(288&lt;=B15,IF(288=1,ii,G306)+F307,"")</f>
        <v/>
      </c>
      <c r="E307" s="12">
        <f>IF(288&lt;=B15,B307*B16,"")</f>
        <v/>
      </c>
      <c r="F307" s="12">
        <f>IF(288&lt;=B15,cper,"")</f>
        <v/>
      </c>
      <c r="G307" s="12">
        <f>IF(288&lt;=B15,B307+E307,"")</f>
        <v/>
      </c>
    </row>
    <row r="308">
      <c r="A308">
        <f>IF(289&lt;=B15,289,"")</f>
        <v/>
      </c>
      <c r="B308" s="12">
        <f>IF(289&lt;=B15,IF(289=1,ii,G307)+F308,"")</f>
        <v/>
      </c>
      <c r="E308" s="12">
        <f>IF(289&lt;=B15,B308*B16,"")</f>
        <v/>
      </c>
      <c r="F308" s="12">
        <f>IF(289&lt;=B15,cper,"")</f>
        <v/>
      </c>
      <c r="G308" s="12">
        <f>IF(289&lt;=B15,B308+E308,"")</f>
        <v/>
      </c>
    </row>
    <row r="309">
      <c r="A309">
        <f>IF(290&lt;=B15,290,"")</f>
        <v/>
      </c>
      <c r="B309" s="12">
        <f>IF(290&lt;=B15,IF(290=1,ii,G308)+F309,"")</f>
        <v/>
      </c>
      <c r="E309" s="12">
        <f>IF(290&lt;=B15,B309*B16,"")</f>
        <v/>
      </c>
      <c r="F309" s="12">
        <f>IF(290&lt;=B15,cper,"")</f>
        <v/>
      </c>
      <c r="G309" s="12">
        <f>IF(290&lt;=B15,B309+E309,"")</f>
        <v/>
      </c>
    </row>
    <row r="310">
      <c r="A310">
        <f>IF(291&lt;=B15,291,"")</f>
        <v/>
      </c>
      <c r="B310" s="12">
        <f>IF(291&lt;=B15,IF(291=1,ii,G309)+F310,"")</f>
        <v/>
      </c>
      <c r="E310" s="12">
        <f>IF(291&lt;=B15,B310*B16,"")</f>
        <v/>
      </c>
      <c r="F310" s="12">
        <f>IF(291&lt;=B15,cper,"")</f>
        <v/>
      </c>
      <c r="G310" s="12">
        <f>IF(291&lt;=B15,B310+E310,"")</f>
        <v/>
      </c>
    </row>
    <row r="311">
      <c r="A311">
        <f>IF(292&lt;=B15,292,"")</f>
        <v/>
      </c>
      <c r="B311" s="12">
        <f>IF(292&lt;=B15,IF(292=1,ii,G310)+F311,"")</f>
        <v/>
      </c>
      <c r="E311" s="12">
        <f>IF(292&lt;=B15,B311*B16,"")</f>
        <v/>
      </c>
      <c r="F311" s="12">
        <f>IF(292&lt;=B15,cper,"")</f>
        <v/>
      </c>
      <c r="G311" s="12">
        <f>IF(292&lt;=B15,B311+E311,"")</f>
        <v/>
      </c>
    </row>
    <row r="312">
      <c r="A312">
        <f>IF(293&lt;=B15,293,"")</f>
        <v/>
      </c>
      <c r="B312" s="12">
        <f>IF(293&lt;=B15,IF(293=1,ii,G311)+F312,"")</f>
        <v/>
      </c>
      <c r="E312" s="12">
        <f>IF(293&lt;=B15,B312*B16,"")</f>
        <v/>
      </c>
      <c r="F312" s="12">
        <f>IF(293&lt;=B15,cper,"")</f>
        <v/>
      </c>
      <c r="G312" s="12">
        <f>IF(293&lt;=B15,B312+E312,"")</f>
        <v/>
      </c>
    </row>
    <row r="313">
      <c r="A313">
        <f>IF(294&lt;=B15,294,"")</f>
        <v/>
      </c>
      <c r="B313" s="12">
        <f>IF(294&lt;=B15,IF(294=1,ii,G312)+F313,"")</f>
        <v/>
      </c>
      <c r="E313" s="12">
        <f>IF(294&lt;=B15,B313*B16,"")</f>
        <v/>
      </c>
      <c r="F313" s="12">
        <f>IF(294&lt;=B15,cper,"")</f>
        <v/>
      </c>
      <c r="G313" s="12">
        <f>IF(294&lt;=B15,B313+E313,"")</f>
        <v/>
      </c>
    </row>
    <row r="314">
      <c r="A314">
        <f>IF(295&lt;=B15,295,"")</f>
        <v/>
      </c>
      <c r="B314" s="12">
        <f>IF(295&lt;=B15,IF(295=1,ii,G313)+F314,"")</f>
        <v/>
      </c>
      <c r="E314" s="12">
        <f>IF(295&lt;=B15,B314*B16,"")</f>
        <v/>
      </c>
      <c r="F314" s="12">
        <f>IF(295&lt;=B15,cper,"")</f>
        <v/>
      </c>
      <c r="G314" s="12">
        <f>IF(295&lt;=B15,B314+E314,"")</f>
        <v/>
      </c>
    </row>
    <row r="315">
      <c r="A315">
        <f>IF(296&lt;=B15,296,"")</f>
        <v/>
      </c>
      <c r="B315" s="12">
        <f>IF(296&lt;=B15,IF(296=1,ii,G314)+F315,"")</f>
        <v/>
      </c>
      <c r="E315" s="12">
        <f>IF(296&lt;=B15,B315*B16,"")</f>
        <v/>
      </c>
      <c r="F315" s="12">
        <f>IF(296&lt;=B15,cper,"")</f>
        <v/>
      </c>
      <c r="G315" s="12">
        <f>IF(296&lt;=B15,B315+E315,"")</f>
        <v/>
      </c>
    </row>
    <row r="316">
      <c r="A316">
        <f>IF(297&lt;=B15,297,"")</f>
        <v/>
      </c>
      <c r="B316" s="12">
        <f>IF(297&lt;=B15,IF(297=1,ii,G315)+F316,"")</f>
        <v/>
      </c>
      <c r="E316" s="12">
        <f>IF(297&lt;=B15,B316*B16,"")</f>
        <v/>
      </c>
      <c r="F316" s="12">
        <f>IF(297&lt;=B15,cper,"")</f>
        <v/>
      </c>
      <c r="G316" s="12">
        <f>IF(297&lt;=B15,B316+E316,"")</f>
        <v/>
      </c>
    </row>
    <row r="317">
      <c r="A317">
        <f>IF(298&lt;=B15,298,"")</f>
        <v/>
      </c>
      <c r="B317" s="12">
        <f>IF(298&lt;=B15,IF(298=1,ii,G316)+F317,"")</f>
        <v/>
      </c>
      <c r="E317" s="12">
        <f>IF(298&lt;=B15,B317*B16,"")</f>
        <v/>
      </c>
      <c r="F317" s="12">
        <f>IF(298&lt;=B15,cper,"")</f>
        <v/>
      </c>
      <c r="G317" s="12">
        <f>IF(298&lt;=B15,B317+E317,"")</f>
        <v/>
      </c>
    </row>
    <row r="318">
      <c r="A318">
        <f>IF(299&lt;=B15,299,"")</f>
        <v/>
      </c>
      <c r="B318" s="12">
        <f>IF(299&lt;=B15,IF(299=1,ii,G317)+F318,"")</f>
        <v/>
      </c>
      <c r="E318" s="12">
        <f>IF(299&lt;=B15,B318*B16,"")</f>
        <v/>
      </c>
      <c r="F318" s="12">
        <f>IF(299&lt;=B15,cper,"")</f>
        <v/>
      </c>
      <c r="G318" s="12">
        <f>IF(299&lt;=B15,B318+E318,"")</f>
        <v/>
      </c>
    </row>
    <row r="319">
      <c r="A319">
        <f>IF(300&lt;=B15,300,"")</f>
        <v/>
      </c>
      <c r="B319" s="12">
        <f>IF(300&lt;=B15,IF(300=1,ii,G318)+F319,"")</f>
        <v/>
      </c>
      <c r="E319" s="12">
        <f>IF(300&lt;=B15,B319*B16,"")</f>
        <v/>
      </c>
      <c r="F319" s="12">
        <f>IF(300&lt;=B15,cper,"")</f>
        <v/>
      </c>
      <c r="G319" s="12">
        <f>IF(300&lt;=B15,B319+E319,"")</f>
        <v/>
      </c>
    </row>
    <row r="320">
      <c r="A320">
        <f>IF(301&lt;=B15,301,"")</f>
        <v/>
      </c>
      <c r="B320" s="12">
        <f>IF(301&lt;=B15,IF(301=1,ii,G319)+F320,"")</f>
        <v/>
      </c>
      <c r="E320" s="12">
        <f>IF(301&lt;=B15,B320*B16,"")</f>
        <v/>
      </c>
      <c r="F320" s="12">
        <f>IF(301&lt;=B15,cper,"")</f>
        <v/>
      </c>
      <c r="G320" s="12">
        <f>IF(301&lt;=B15,B320+E320,"")</f>
        <v/>
      </c>
    </row>
    <row r="321">
      <c r="A321">
        <f>IF(302&lt;=B15,302,"")</f>
        <v/>
      </c>
      <c r="B321" s="12">
        <f>IF(302&lt;=B15,IF(302=1,ii,G320)+F321,"")</f>
        <v/>
      </c>
      <c r="E321" s="12">
        <f>IF(302&lt;=B15,B321*B16,"")</f>
        <v/>
      </c>
      <c r="F321" s="12">
        <f>IF(302&lt;=B15,cper,"")</f>
        <v/>
      </c>
      <c r="G321" s="12">
        <f>IF(302&lt;=B15,B321+E321,"")</f>
        <v/>
      </c>
    </row>
    <row r="322">
      <c r="A322">
        <f>IF(303&lt;=B15,303,"")</f>
        <v/>
      </c>
      <c r="B322" s="12">
        <f>IF(303&lt;=B15,IF(303=1,ii,G321)+F322,"")</f>
        <v/>
      </c>
      <c r="E322" s="12">
        <f>IF(303&lt;=B15,B322*B16,"")</f>
        <v/>
      </c>
      <c r="F322" s="12">
        <f>IF(303&lt;=B15,cper,"")</f>
        <v/>
      </c>
      <c r="G322" s="12">
        <f>IF(303&lt;=B15,B322+E322,"")</f>
        <v/>
      </c>
    </row>
    <row r="323">
      <c r="A323">
        <f>IF(304&lt;=B15,304,"")</f>
        <v/>
      </c>
      <c r="B323" s="12">
        <f>IF(304&lt;=B15,IF(304=1,ii,G322)+F323,"")</f>
        <v/>
      </c>
      <c r="E323" s="12">
        <f>IF(304&lt;=B15,B323*B16,"")</f>
        <v/>
      </c>
      <c r="F323" s="12">
        <f>IF(304&lt;=B15,cper,"")</f>
        <v/>
      </c>
      <c r="G323" s="12">
        <f>IF(304&lt;=B15,B323+E323,"")</f>
        <v/>
      </c>
    </row>
    <row r="324">
      <c r="A324">
        <f>IF(305&lt;=B15,305,"")</f>
        <v/>
      </c>
      <c r="B324" s="12">
        <f>IF(305&lt;=B15,IF(305=1,ii,G323)+F324,"")</f>
        <v/>
      </c>
      <c r="E324" s="12">
        <f>IF(305&lt;=B15,B324*B16,"")</f>
        <v/>
      </c>
      <c r="F324" s="12">
        <f>IF(305&lt;=B15,cper,"")</f>
        <v/>
      </c>
      <c r="G324" s="12">
        <f>IF(305&lt;=B15,B324+E324,"")</f>
        <v/>
      </c>
    </row>
    <row r="325">
      <c r="A325">
        <f>IF(306&lt;=B15,306,"")</f>
        <v/>
      </c>
      <c r="B325" s="12">
        <f>IF(306&lt;=B15,IF(306=1,ii,G324)+F325,"")</f>
        <v/>
      </c>
      <c r="E325" s="12">
        <f>IF(306&lt;=B15,B325*B16,"")</f>
        <v/>
      </c>
      <c r="F325" s="12">
        <f>IF(306&lt;=B15,cper,"")</f>
        <v/>
      </c>
      <c r="G325" s="12">
        <f>IF(306&lt;=B15,B325+E325,"")</f>
        <v/>
      </c>
    </row>
    <row r="326">
      <c r="A326">
        <f>IF(307&lt;=B15,307,"")</f>
        <v/>
      </c>
      <c r="B326" s="12">
        <f>IF(307&lt;=B15,IF(307=1,ii,G325)+F326,"")</f>
        <v/>
      </c>
      <c r="E326" s="12">
        <f>IF(307&lt;=B15,B326*B16,"")</f>
        <v/>
      </c>
      <c r="F326" s="12">
        <f>IF(307&lt;=B15,cper,"")</f>
        <v/>
      </c>
      <c r="G326" s="12">
        <f>IF(307&lt;=B15,B326+E326,"")</f>
        <v/>
      </c>
    </row>
    <row r="327">
      <c r="A327">
        <f>IF(308&lt;=B15,308,"")</f>
        <v/>
      </c>
      <c r="B327" s="12">
        <f>IF(308&lt;=B15,IF(308=1,ii,G326)+F327,"")</f>
        <v/>
      </c>
      <c r="E327" s="12">
        <f>IF(308&lt;=B15,B327*B16,"")</f>
        <v/>
      </c>
      <c r="F327" s="12">
        <f>IF(308&lt;=B15,cper,"")</f>
        <v/>
      </c>
      <c r="G327" s="12">
        <f>IF(308&lt;=B15,B327+E327,"")</f>
        <v/>
      </c>
    </row>
    <row r="328">
      <c r="A328">
        <f>IF(309&lt;=B15,309,"")</f>
        <v/>
      </c>
      <c r="B328" s="12">
        <f>IF(309&lt;=B15,IF(309=1,ii,G327)+F328,"")</f>
        <v/>
      </c>
      <c r="E328" s="12">
        <f>IF(309&lt;=B15,B328*B16,"")</f>
        <v/>
      </c>
      <c r="F328" s="12">
        <f>IF(309&lt;=B15,cper,"")</f>
        <v/>
      </c>
      <c r="G328" s="12">
        <f>IF(309&lt;=B15,B328+E328,"")</f>
        <v/>
      </c>
    </row>
    <row r="329">
      <c r="A329">
        <f>IF(310&lt;=B15,310,"")</f>
        <v/>
      </c>
      <c r="B329" s="12">
        <f>IF(310&lt;=B15,IF(310=1,ii,G328)+F329,"")</f>
        <v/>
      </c>
      <c r="E329" s="12">
        <f>IF(310&lt;=B15,B329*B16,"")</f>
        <v/>
      </c>
      <c r="F329" s="12">
        <f>IF(310&lt;=B15,cper,"")</f>
        <v/>
      </c>
      <c r="G329" s="12">
        <f>IF(310&lt;=B15,B329+E329,"")</f>
        <v/>
      </c>
    </row>
    <row r="330">
      <c r="A330">
        <f>IF(311&lt;=B15,311,"")</f>
        <v/>
      </c>
      <c r="B330" s="12">
        <f>IF(311&lt;=B15,IF(311=1,ii,G329)+F330,"")</f>
        <v/>
      </c>
      <c r="E330" s="12">
        <f>IF(311&lt;=B15,B330*B16,"")</f>
        <v/>
      </c>
      <c r="F330" s="12">
        <f>IF(311&lt;=B15,cper,"")</f>
        <v/>
      </c>
      <c r="G330" s="12">
        <f>IF(311&lt;=B15,B330+E330,"")</f>
        <v/>
      </c>
    </row>
    <row r="331">
      <c r="A331">
        <f>IF(312&lt;=B15,312,"")</f>
        <v/>
      </c>
      <c r="B331" s="12">
        <f>IF(312&lt;=B15,IF(312=1,ii,G330)+F331,"")</f>
        <v/>
      </c>
      <c r="E331" s="12">
        <f>IF(312&lt;=B15,B331*B16,"")</f>
        <v/>
      </c>
      <c r="F331" s="12">
        <f>IF(312&lt;=B15,cper,"")</f>
        <v/>
      </c>
      <c r="G331" s="12">
        <f>IF(312&lt;=B15,B331+E331,"")</f>
        <v/>
      </c>
    </row>
    <row r="332">
      <c r="A332">
        <f>IF(313&lt;=B15,313,"")</f>
        <v/>
      </c>
      <c r="B332" s="12">
        <f>IF(313&lt;=B15,IF(313=1,ii,G331)+F332,"")</f>
        <v/>
      </c>
      <c r="E332" s="12">
        <f>IF(313&lt;=B15,B332*B16,"")</f>
        <v/>
      </c>
      <c r="F332" s="12">
        <f>IF(313&lt;=B15,cper,"")</f>
        <v/>
      </c>
      <c r="G332" s="12">
        <f>IF(313&lt;=B15,B332+E332,"")</f>
        <v/>
      </c>
    </row>
    <row r="333">
      <c r="A333">
        <f>IF(314&lt;=B15,314,"")</f>
        <v/>
      </c>
      <c r="B333" s="12">
        <f>IF(314&lt;=B15,IF(314=1,ii,G332)+F333,"")</f>
        <v/>
      </c>
      <c r="E333" s="12">
        <f>IF(314&lt;=B15,B333*B16,"")</f>
        <v/>
      </c>
      <c r="F333" s="12">
        <f>IF(314&lt;=B15,cper,"")</f>
        <v/>
      </c>
      <c r="G333" s="12">
        <f>IF(314&lt;=B15,B333+E333,"")</f>
        <v/>
      </c>
    </row>
    <row r="334">
      <c r="A334">
        <f>IF(315&lt;=B15,315,"")</f>
        <v/>
      </c>
      <c r="B334" s="12">
        <f>IF(315&lt;=B15,IF(315=1,ii,G333)+F334,"")</f>
        <v/>
      </c>
      <c r="E334" s="12">
        <f>IF(315&lt;=B15,B334*B16,"")</f>
        <v/>
      </c>
      <c r="F334" s="12">
        <f>IF(315&lt;=B15,cper,"")</f>
        <v/>
      </c>
      <c r="G334" s="12">
        <f>IF(315&lt;=B15,B334+E334,"")</f>
        <v/>
      </c>
    </row>
    <row r="335">
      <c r="A335">
        <f>IF(316&lt;=B15,316,"")</f>
        <v/>
      </c>
      <c r="B335" s="12">
        <f>IF(316&lt;=B15,IF(316=1,ii,G334)+F335,"")</f>
        <v/>
      </c>
      <c r="E335" s="12">
        <f>IF(316&lt;=B15,B335*B16,"")</f>
        <v/>
      </c>
      <c r="F335" s="12">
        <f>IF(316&lt;=B15,cper,"")</f>
        <v/>
      </c>
      <c r="G335" s="12">
        <f>IF(316&lt;=B15,B335+E335,"")</f>
        <v/>
      </c>
    </row>
    <row r="336">
      <c r="A336">
        <f>IF(317&lt;=B15,317,"")</f>
        <v/>
      </c>
      <c r="B336" s="12">
        <f>IF(317&lt;=B15,IF(317=1,ii,G335)+F336,"")</f>
        <v/>
      </c>
      <c r="E336" s="12">
        <f>IF(317&lt;=B15,B336*B16,"")</f>
        <v/>
      </c>
      <c r="F336" s="12">
        <f>IF(317&lt;=B15,cper,"")</f>
        <v/>
      </c>
      <c r="G336" s="12">
        <f>IF(317&lt;=B15,B336+E336,"")</f>
        <v/>
      </c>
    </row>
    <row r="337">
      <c r="A337">
        <f>IF(318&lt;=B15,318,"")</f>
        <v/>
      </c>
      <c r="B337" s="12">
        <f>IF(318&lt;=B15,IF(318=1,ii,G336)+F337,"")</f>
        <v/>
      </c>
      <c r="E337" s="12">
        <f>IF(318&lt;=B15,B337*B16,"")</f>
        <v/>
      </c>
      <c r="F337" s="12">
        <f>IF(318&lt;=B15,cper,"")</f>
        <v/>
      </c>
      <c r="G337" s="12">
        <f>IF(318&lt;=B15,B337+E337,"")</f>
        <v/>
      </c>
    </row>
    <row r="338">
      <c r="A338">
        <f>IF(319&lt;=B15,319,"")</f>
        <v/>
      </c>
      <c r="B338" s="12">
        <f>IF(319&lt;=B15,IF(319=1,ii,G337)+F338,"")</f>
        <v/>
      </c>
      <c r="E338" s="12">
        <f>IF(319&lt;=B15,B338*B16,"")</f>
        <v/>
      </c>
      <c r="F338" s="12">
        <f>IF(319&lt;=B15,cper,"")</f>
        <v/>
      </c>
      <c r="G338" s="12">
        <f>IF(319&lt;=B15,B338+E338,"")</f>
        <v/>
      </c>
    </row>
    <row r="339">
      <c r="A339">
        <f>IF(320&lt;=B15,320,"")</f>
        <v/>
      </c>
      <c r="B339" s="12">
        <f>IF(320&lt;=B15,IF(320=1,ii,G338)+F339,"")</f>
        <v/>
      </c>
      <c r="E339" s="12">
        <f>IF(320&lt;=B15,B339*B16,"")</f>
        <v/>
      </c>
      <c r="F339" s="12">
        <f>IF(320&lt;=B15,cper,"")</f>
        <v/>
      </c>
      <c r="G339" s="12">
        <f>IF(320&lt;=B15,B339+E339,"")</f>
        <v/>
      </c>
    </row>
    <row r="340">
      <c r="A340">
        <f>IF(321&lt;=B15,321,"")</f>
        <v/>
      </c>
      <c r="B340" s="12">
        <f>IF(321&lt;=B15,IF(321=1,ii,G339)+F340,"")</f>
        <v/>
      </c>
      <c r="E340" s="12">
        <f>IF(321&lt;=B15,B340*B16,"")</f>
        <v/>
      </c>
      <c r="F340" s="12">
        <f>IF(321&lt;=B15,cper,"")</f>
        <v/>
      </c>
      <c r="G340" s="12">
        <f>IF(321&lt;=B15,B340+E340,"")</f>
        <v/>
      </c>
    </row>
    <row r="341">
      <c r="A341">
        <f>IF(322&lt;=B15,322,"")</f>
        <v/>
      </c>
      <c r="B341" s="12">
        <f>IF(322&lt;=B15,IF(322=1,ii,G340)+F341,"")</f>
        <v/>
      </c>
      <c r="E341" s="12">
        <f>IF(322&lt;=B15,B341*B16,"")</f>
        <v/>
      </c>
      <c r="F341" s="12">
        <f>IF(322&lt;=B15,cper,"")</f>
        <v/>
      </c>
      <c r="G341" s="12">
        <f>IF(322&lt;=B15,B341+E341,"")</f>
        <v/>
      </c>
    </row>
    <row r="342">
      <c r="A342">
        <f>IF(323&lt;=B15,323,"")</f>
        <v/>
      </c>
      <c r="B342" s="12">
        <f>IF(323&lt;=B15,IF(323=1,ii,G341)+F342,"")</f>
        <v/>
      </c>
      <c r="E342" s="12">
        <f>IF(323&lt;=B15,B342*B16,"")</f>
        <v/>
      </c>
      <c r="F342" s="12">
        <f>IF(323&lt;=B15,cper,"")</f>
        <v/>
      </c>
      <c r="G342" s="12">
        <f>IF(323&lt;=B15,B342+E342,"")</f>
        <v/>
      </c>
    </row>
    <row r="343">
      <c r="A343">
        <f>IF(324&lt;=B15,324,"")</f>
        <v/>
      </c>
      <c r="B343" s="12">
        <f>IF(324&lt;=B15,IF(324=1,ii,G342)+F343,"")</f>
        <v/>
      </c>
      <c r="E343" s="12">
        <f>IF(324&lt;=B15,B343*B16,"")</f>
        <v/>
      </c>
      <c r="F343" s="12">
        <f>IF(324&lt;=B15,cper,"")</f>
        <v/>
      </c>
      <c r="G343" s="12">
        <f>IF(324&lt;=B15,B343+E343,"")</f>
        <v/>
      </c>
    </row>
    <row r="344">
      <c r="A344">
        <f>IF(325&lt;=B15,325,"")</f>
        <v/>
      </c>
      <c r="B344" s="12">
        <f>IF(325&lt;=B15,IF(325=1,ii,G343)+F344,"")</f>
        <v/>
      </c>
      <c r="E344" s="12">
        <f>IF(325&lt;=B15,B344*B16,"")</f>
        <v/>
      </c>
      <c r="F344" s="12">
        <f>IF(325&lt;=B15,cper,"")</f>
        <v/>
      </c>
      <c r="G344" s="12">
        <f>IF(325&lt;=B15,B344+E344,"")</f>
        <v/>
      </c>
    </row>
    <row r="345">
      <c r="A345">
        <f>IF(326&lt;=B15,326,"")</f>
        <v/>
      </c>
      <c r="B345" s="12">
        <f>IF(326&lt;=B15,IF(326=1,ii,G344)+F345,"")</f>
        <v/>
      </c>
      <c r="E345" s="12">
        <f>IF(326&lt;=B15,B345*B16,"")</f>
        <v/>
      </c>
      <c r="F345" s="12">
        <f>IF(326&lt;=B15,cper,"")</f>
        <v/>
      </c>
      <c r="G345" s="12">
        <f>IF(326&lt;=B15,B345+E345,"")</f>
        <v/>
      </c>
    </row>
    <row r="346">
      <c r="A346">
        <f>IF(327&lt;=B15,327,"")</f>
        <v/>
      </c>
      <c r="B346" s="12">
        <f>IF(327&lt;=B15,IF(327=1,ii,G345)+F346,"")</f>
        <v/>
      </c>
      <c r="E346" s="12">
        <f>IF(327&lt;=B15,B346*B16,"")</f>
        <v/>
      </c>
      <c r="F346" s="12">
        <f>IF(327&lt;=B15,cper,"")</f>
        <v/>
      </c>
      <c r="G346" s="12">
        <f>IF(327&lt;=B15,B346+E346,"")</f>
        <v/>
      </c>
    </row>
    <row r="347">
      <c r="A347">
        <f>IF(328&lt;=B15,328,"")</f>
        <v/>
      </c>
      <c r="B347" s="12">
        <f>IF(328&lt;=B15,IF(328=1,ii,G346)+F347,"")</f>
        <v/>
      </c>
      <c r="E347" s="12">
        <f>IF(328&lt;=B15,B347*B16,"")</f>
        <v/>
      </c>
      <c r="F347" s="12">
        <f>IF(328&lt;=B15,cper,"")</f>
        <v/>
      </c>
      <c r="G347" s="12">
        <f>IF(328&lt;=B15,B347+E347,"")</f>
        <v/>
      </c>
    </row>
    <row r="348">
      <c r="A348">
        <f>IF(329&lt;=B15,329,"")</f>
        <v/>
      </c>
      <c r="B348" s="12">
        <f>IF(329&lt;=B15,IF(329=1,ii,G347)+F348,"")</f>
        <v/>
      </c>
      <c r="E348" s="12">
        <f>IF(329&lt;=B15,B348*B16,"")</f>
        <v/>
      </c>
      <c r="F348" s="12">
        <f>IF(329&lt;=B15,cper,"")</f>
        <v/>
      </c>
      <c r="G348" s="12">
        <f>IF(329&lt;=B15,B348+E348,"")</f>
        <v/>
      </c>
    </row>
    <row r="349">
      <c r="A349">
        <f>IF(330&lt;=B15,330,"")</f>
        <v/>
      </c>
      <c r="B349" s="12">
        <f>IF(330&lt;=B15,IF(330=1,ii,G348)+F349,"")</f>
        <v/>
      </c>
      <c r="E349" s="12">
        <f>IF(330&lt;=B15,B349*B16,"")</f>
        <v/>
      </c>
      <c r="F349" s="12">
        <f>IF(330&lt;=B15,cper,"")</f>
        <v/>
      </c>
      <c r="G349" s="12">
        <f>IF(330&lt;=B15,B349+E349,"")</f>
        <v/>
      </c>
    </row>
    <row r="350">
      <c r="A350">
        <f>IF(331&lt;=B15,331,"")</f>
        <v/>
      </c>
      <c r="B350" s="12">
        <f>IF(331&lt;=B15,IF(331=1,ii,G349)+F350,"")</f>
        <v/>
      </c>
      <c r="E350" s="12">
        <f>IF(331&lt;=B15,B350*B16,"")</f>
        <v/>
      </c>
      <c r="F350" s="12">
        <f>IF(331&lt;=B15,cper,"")</f>
        <v/>
      </c>
      <c r="G350" s="12">
        <f>IF(331&lt;=B15,B350+E350,"")</f>
        <v/>
      </c>
    </row>
    <row r="351">
      <c r="A351">
        <f>IF(332&lt;=B15,332,"")</f>
        <v/>
      </c>
      <c r="B351" s="12">
        <f>IF(332&lt;=B15,IF(332=1,ii,G350)+F351,"")</f>
        <v/>
      </c>
      <c r="E351" s="12">
        <f>IF(332&lt;=B15,B351*B16,"")</f>
        <v/>
      </c>
      <c r="F351" s="12">
        <f>IF(332&lt;=B15,cper,"")</f>
        <v/>
      </c>
      <c r="G351" s="12">
        <f>IF(332&lt;=B15,B351+E351,"")</f>
        <v/>
      </c>
    </row>
    <row r="352">
      <c r="A352">
        <f>IF(333&lt;=B15,333,"")</f>
        <v/>
      </c>
      <c r="B352" s="12">
        <f>IF(333&lt;=B15,IF(333=1,ii,G351)+F352,"")</f>
        <v/>
      </c>
      <c r="E352" s="12">
        <f>IF(333&lt;=B15,B352*B16,"")</f>
        <v/>
      </c>
      <c r="F352" s="12">
        <f>IF(333&lt;=B15,cper,"")</f>
        <v/>
      </c>
      <c r="G352" s="12">
        <f>IF(333&lt;=B15,B352+E352,"")</f>
        <v/>
      </c>
    </row>
    <row r="353">
      <c r="A353">
        <f>IF(334&lt;=B15,334,"")</f>
        <v/>
      </c>
      <c r="B353" s="12">
        <f>IF(334&lt;=B15,IF(334=1,ii,G352)+F353,"")</f>
        <v/>
      </c>
      <c r="E353" s="12">
        <f>IF(334&lt;=B15,B353*B16,"")</f>
        <v/>
      </c>
      <c r="F353" s="12">
        <f>IF(334&lt;=B15,cper,"")</f>
        <v/>
      </c>
      <c r="G353" s="12">
        <f>IF(334&lt;=B15,B353+E353,"")</f>
        <v/>
      </c>
    </row>
    <row r="354">
      <c r="A354">
        <f>IF(335&lt;=B15,335,"")</f>
        <v/>
      </c>
      <c r="B354" s="12">
        <f>IF(335&lt;=B15,IF(335=1,ii,G353)+F354,"")</f>
        <v/>
      </c>
      <c r="E354" s="12">
        <f>IF(335&lt;=B15,B354*B16,"")</f>
        <v/>
      </c>
      <c r="F354" s="12">
        <f>IF(335&lt;=B15,cper,"")</f>
        <v/>
      </c>
      <c r="G354" s="12">
        <f>IF(335&lt;=B15,B354+E354,"")</f>
        <v/>
      </c>
    </row>
    <row r="355">
      <c r="A355">
        <f>IF(336&lt;=B15,336,"")</f>
        <v/>
      </c>
      <c r="B355" s="12">
        <f>IF(336&lt;=B15,IF(336=1,ii,G354)+F355,"")</f>
        <v/>
      </c>
      <c r="E355" s="12">
        <f>IF(336&lt;=B15,B355*B16,"")</f>
        <v/>
      </c>
      <c r="F355" s="12">
        <f>IF(336&lt;=B15,cper,"")</f>
        <v/>
      </c>
      <c r="G355" s="12">
        <f>IF(336&lt;=B15,B355+E355,"")</f>
        <v/>
      </c>
    </row>
    <row r="356">
      <c r="A356">
        <f>IF(337&lt;=B15,337,"")</f>
        <v/>
      </c>
      <c r="B356" s="12">
        <f>IF(337&lt;=B15,IF(337=1,ii,G355)+F356,"")</f>
        <v/>
      </c>
      <c r="E356" s="12">
        <f>IF(337&lt;=B15,B356*B16,"")</f>
        <v/>
      </c>
      <c r="F356" s="12">
        <f>IF(337&lt;=B15,cper,"")</f>
        <v/>
      </c>
      <c r="G356" s="12">
        <f>IF(337&lt;=B15,B356+E356,"")</f>
        <v/>
      </c>
    </row>
    <row r="357">
      <c r="A357">
        <f>IF(338&lt;=B15,338,"")</f>
        <v/>
      </c>
      <c r="B357" s="12">
        <f>IF(338&lt;=B15,IF(338=1,ii,G356)+F357,"")</f>
        <v/>
      </c>
      <c r="E357" s="12">
        <f>IF(338&lt;=B15,B357*B16,"")</f>
        <v/>
      </c>
      <c r="F357" s="12">
        <f>IF(338&lt;=B15,cper,"")</f>
        <v/>
      </c>
      <c r="G357" s="12">
        <f>IF(338&lt;=B15,B357+E357,"")</f>
        <v/>
      </c>
    </row>
    <row r="358">
      <c r="A358">
        <f>IF(339&lt;=B15,339,"")</f>
        <v/>
      </c>
      <c r="B358" s="12">
        <f>IF(339&lt;=B15,IF(339=1,ii,G357)+F358,"")</f>
        <v/>
      </c>
      <c r="E358" s="12">
        <f>IF(339&lt;=B15,B358*B16,"")</f>
        <v/>
      </c>
      <c r="F358" s="12">
        <f>IF(339&lt;=B15,cper,"")</f>
        <v/>
      </c>
      <c r="G358" s="12">
        <f>IF(339&lt;=B15,B358+E358,"")</f>
        <v/>
      </c>
    </row>
    <row r="359">
      <c r="A359">
        <f>IF(340&lt;=B15,340,"")</f>
        <v/>
      </c>
      <c r="B359" s="12">
        <f>IF(340&lt;=B15,IF(340=1,ii,G358)+F359,"")</f>
        <v/>
      </c>
      <c r="E359" s="12">
        <f>IF(340&lt;=B15,B359*B16,"")</f>
        <v/>
      </c>
      <c r="F359" s="12">
        <f>IF(340&lt;=B15,cper,"")</f>
        <v/>
      </c>
      <c r="G359" s="12">
        <f>IF(340&lt;=B15,B359+E359,"")</f>
        <v/>
      </c>
    </row>
    <row r="360">
      <c r="A360">
        <f>IF(341&lt;=B15,341,"")</f>
        <v/>
      </c>
      <c r="B360" s="12">
        <f>IF(341&lt;=B15,IF(341=1,ii,G359)+F360,"")</f>
        <v/>
      </c>
      <c r="E360" s="12">
        <f>IF(341&lt;=B15,B360*B16,"")</f>
        <v/>
      </c>
      <c r="F360" s="12">
        <f>IF(341&lt;=B15,cper,"")</f>
        <v/>
      </c>
      <c r="G360" s="12">
        <f>IF(341&lt;=B15,B360+E360,"")</f>
        <v/>
      </c>
    </row>
    <row r="361">
      <c r="A361">
        <f>IF(342&lt;=B15,342,"")</f>
        <v/>
      </c>
      <c r="B361" s="12">
        <f>IF(342&lt;=B15,IF(342=1,ii,G360)+F361,"")</f>
        <v/>
      </c>
      <c r="E361" s="12">
        <f>IF(342&lt;=B15,B361*B16,"")</f>
        <v/>
      </c>
      <c r="F361" s="12">
        <f>IF(342&lt;=B15,cper,"")</f>
        <v/>
      </c>
      <c r="G361" s="12">
        <f>IF(342&lt;=B15,B361+E361,"")</f>
        <v/>
      </c>
    </row>
    <row r="362">
      <c r="A362">
        <f>IF(343&lt;=B15,343,"")</f>
        <v/>
      </c>
      <c r="B362" s="12">
        <f>IF(343&lt;=B15,IF(343=1,ii,G361)+F362,"")</f>
        <v/>
      </c>
      <c r="E362" s="12">
        <f>IF(343&lt;=B15,B362*B16,"")</f>
        <v/>
      </c>
      <c r="F362" s="12">
        <f>IF(343&lt;=B15,cper,"")</f>
        <v/>
      </c>
      <c r="G362" s="12">
        <f>IF(343&lt;=B15,B362+E362,"")</f>
        <v/>
      </c>
    </row>
    <row r="363">
      <c r="A363">
        <f>IF(344&lt;=B15,344,"")</f>
        <v/>
      </c>
      <c r="B363" s="12">
        <f>IF(344&lt;=B15,IF(344=1,ii,G362)+F363,"")</f>
        <v/>
      </c>
      <c r="E363" s="12">
        <f>IF(344&lt;=B15,B363*B16,"")</f>
        <v/>
      </c>
      <c r="F363" s="12">
        <f>IF(344&lt;=B15,cper,"")</f>
        <v/>
      </c>
      <c r="G363" s="12">
        <f>IF(344&lt;=B15,B363+E363,"")</f>
        <v/>
      </c>
    </row>
    <row r="364">
      <c r="A364">
        <f>IF(345&lt;=B15,345,"")</f>
        <v/>
      </c>
      <c r="B364" s="12">
        <f>IF(345&lt;=B15,IF(345=1,ii,G363)+F364,"")</f>
        <v/>
      </c>
      <c r="E364" s="12">
        <f>IF(345&lt;=B15,B364*B16,"")</f>
        <v/>
      </c>
      <c r="F364" s="12">
        <f>IF(345&lt;=B15,cper,"")</f>
        <v/>
      </c>
      <c r="G364" s="12">
        <f>IF(345&lt;=B15,B364+E364,"")</f>
        <v/>
      </c>
    </row>
    <row r="365">
      <c r="A365">
        <f>IF(346&lt;=B15,346,"")</f>
        <v/>
      </c>
      <c r="B365" s="12">
        <f>IF(346&lt;=B15,IF(346=1,ii,G364)+F365,"")</f>
        <v/>
      </c>
      <c r="E365" s="12">
        <f>IF(346&lt;=B15,B365*B16,"")</f>
        <v/>
      </c>
      <c r="F365" s="12">
        <f>IF(346&lt;=B15,cper,"")</f>
        <v/>
      </c>
      <c r="G365" s="12">
        <f>IF(346&lt;=B15,B365+E365,"")</f>
        <v/>
      </c>
    </row>
    <row r="366">
      <c r="A366">
        <f>IF(347&lt;=B15,347,"")</f>
        <v/>
      </c>
      <c r="B366" s="12">
        <f>IF(347&lt;=B15,IF(347=1,ii,G365)+F366,"")</f>
        <v/>
      </c>
      <c r="E366" s="12">
        <f>IF(347&lt;=B15,B366*B16,"")</f>
        <v/>
      </c>
      <c r="F366" s="12">
        <f>IF(347&lt;=B15,cper,"")</f>
        <v/>
      </c>
      <c r="G366" s="12">
        <f>IF(347&lt;=B15,B366+E366,"")</f>
        <v/>
      </c>
    </row>
    <row r="367">
      <c r="A367">
        <f>IF(348&lt;=B15,348,"")</f>
        <v/>
      </c>
      <c r="B367" s="12">
        <f>IF(348&lt;=B15,IF(348=1,ii,G366)+F367,"")</f>
        <v/>
      </c>
      <c r="E367" s="12">
        <f>IF(348&lt;=B15,B367*B16,"")</f>
        <v/>
      </c>
      <c r="F367" s="12">
        <f>IF(348&lt;=B15,cper,"")</f>
        <v/>
      </c>
      <c r="G367" s="12">
        <f>IF(348&lt;=B15,B367+E367,"")</f>
        <v/>
      </c>
    </row>
    <row r="368">
      <c r="A368">
        <f>IF(349&lt;=B15,349,"")</f>
        <v/>
      </c>
      <c r="B368" s="12">
        <f>IF(349&lt;=B15,IF(349=1,ii,G367)+F368,"")</f>
        <v/>
      </c>
      <c r="E368" s="12">
        <f>IF(349&lt;=B15,B368*B16,"")</f>
        <v/>
      </c>
      <c r="F368" s="12">
        <f>IF(349&lt;=B15,cper,"")</f>
        <v/>
      </c>
      <c r="G368" s="12">
        <f>IF(349&lt;=B15,B368+E368,"")</f>
        <v/>
      </c>
    </row>
    <row r="369">
      <c r="A369">
        <f>IF(350&lt;=B15,350,"")</f>
        <v/>
      </c>
      <c r="B369" s="12">
        <f>IF(350&lt;=B15,IF(350=1,ii,G368)+F369,"")</f>
        <v/>
      </c>
      <c r="E369" s="12">
        <f>IF(350&lt;=B15,B369*B16,"")</f>
        <v/>
      </c>
      <c r="F369" s="12">
        <f>IF(350&lt;=B15,cper,"")</f>
        <v/>
      </c>
      <c r="G369" s="12">
        <f>IF(350&lt;=B15,B369+E369,"")</f>
        <v/>
      </c>
    </row>
    <row r="370">
      <c r="A370">
        <f>IF(351&lt;=B15,351,"")</f>
        <v/>
      </c>
      <c r="B370" s="12">
        <f>IF(351&lt;=B15,IF(351=1,ii,G369)+F370,"")</f>
        <v/>
      </c>
      <c r="E370" s="12">
        <f>IF(351&lt;=B15,B370*B16,"")</f>
        <v/>
      </c>
      <c r="F370" s="12">
        <f>IF(351&lt;=B15,cper,"")</f>
        <v/>
      </c>
      <c r="G370" s="12">
        <f>IF(351&lt;=B15,B370+E370,"")</f>
        <v/>
      </c>
    </row>
    <row r="371">
      <c r="A371">
        <f>IF(352&lt;=B15,352,"")</f>
        <v/>
      </c>
      <c r="B371" s="12">
        <f>IF(352&lt;=B15,IF(352=1,ii,G370)+F371,"")</f>
        <v/>
      </c>
      <c r="E371" s="12">
        <f>IF(352&lt;=B15,B371*B16,"")</f>
        <v/>
      </c>
      <c r="F371" s="12">
        <f>IF(352&lt;=B15,cper,"")</f>
        <v/>
      </c>
      <c r="G371" s="12">
        <f>IF(352&lt;=B15,B371+E371,"")</f>
        <v/>
      </c>
    </row>
    <row r="372">
      <c r="A372">
        <f>IF(353&lt;=B15,353,"")</f>
        <v/>
      </c>
      <c r="B372" s="12">
        <f>IF(353&lt;=B15,IF(353=1,ii,G371)+F372,"")</f>
        <v/>
      </c>
      <c r="E372" s="12">
        <f>IF(353&lt;=B15,B372*B16,"")</f>
        <v/>
      </c>
      <c r="F372" s="12">
        <f>IF(353&lt;=B15,cper,"")</f>
        <v/>
      </c>
      <c r="G372" s="12">
        <f>IF(353&lt;=B15,B372+E372,"")</f>
        <v/>
      </c>
    </row>
    <row r="373">
      <c r="A373">
        <f>IF(354&lt;=B15,354,"")</f>
        <v/>
      </c>
      <c r="B373" s="12">
        <f>IF(354&lt;=B15,IF(354=1,ii,G372)+F373,"")</f>
        <v/>
      </c>
      <c r="E373" s="12">
        <f>IF(354&lt;=B15,B373*B16,"")</f>
        <v/>
      </c>
      <c r="F373" s="12">
        <f>IF(354&lt;=B15,cper,"")</f>
        <v/>
      </c>
      <c r="G373" s="12">
        <f>IF(354&lt;=B15,B373+E373,"")</f>
        <v/>
      </c>
    </row>
    <row r="374">
      <c r="A374">
        <f>IF(355&lt;=B15,355,"")</f>
        <v/>
      </c>
      <c r="B374" s="12">
        <f>IF(355&lt;=B15,IF(355=1,ii,G373)+F374,"")</f>
        <v/>
      </c>
      <c r="E374" s="12">
        <f>IF(355&lt;=B15,B374*B16,"")</f>
        <v/>
      </c>
      <c r="F374" s="12">
        <f>IF(355&lt;=B15,cper,"")</f>
        <v/>
      </c>
      <c r="G374" s="12">
        <f>IF(355&lt;=B15,B374+E374,"")</f>
        <v/>
      </c>
    </row>
    <row r="375">
      <c r="A375">
        <f>IF(356&lt;=B15,356,"")</f>
        <v/>
      </c>
      <c r="B375" s="12">
        <f>IF(356&lt;=B15,IF(356=1,ii,G374)+F375,"")</f>
        <v/>
      </c>
      <c r="E375" s="12">
        <f>IF(356&lt;=B15,B375*B16,"")</f>
        <v/>
      </c>
      <c r="F375" s="12">
        <f>IF(356&lt;=B15,cper,"")</f>
        <v/>
      </c>
      <c r="G375" s="12">
        <f>IF(356&lt;=B15,B375+E375,"")</f>
        <v/>
      </c>
    </row>
    <row r="376">
      <c r="A376">
        <f>IF(357&lt;=B15,357,"")</f>
        <v/>
      </c>
      <c r="B376" s="12">
        <f>IF(357&lt;=B15,IF(357=1,ii,G375)+F376,"")</f>
        <v/>
      </c>
      <c r="E376" s="12">
        <f>IF(357&lt;=B15,B376*B16,"")</f>
        <v/>
      </c>
      <c r="F376" s="12">
        <f>IF(357&lt;=B15,cper,"")</f>
        <v/>
      </c>
      <c r="G376" s="12">
        <f>IF(357&lt;=B15,B376+E376,"")</f>
        <v/>
      </c>
    </row>
    <row r="377">
      <c r="A377">
        <f>IF(358&lt;=B15,358,"")</f>
        <v/>
      </c>
      <c r="B377" s="12">
        <f>IF(358&lt;=B15,IF(358=1,ii,G376)+F377,"")</f>
        <v/>
      </c>
      <c r="E377" s="12">
        <f>IF(358&lt;=B15,B377*B16,"")</f>
        <v/>
      </c>
      <c r="F377" s="12">
        <f>IF(358&lt;=B15,cper,"")</f>
        <v/>
      </c>
      <c r="G377" s="12">
        <f>IF(358&lt;=B15,B377+E377,"")</f>
        <v/>
      </c>
    </row>
    <row r="378">
      <c r="A378">
        <f>IF(359&lt;=B15,359,"")</f>
        <v/>
      </c>
      <c r="B378" s="12">
        <f>IF(359&lt;=B15,IF(359=1,ii,G377)+F378,"")</f>
        <v/>
      </c>
      <c r="E378" s="12">
        <f>IF(359&lt;=B15,B378*B16,"")</f>
        <v/>
      </c>
      <c r="F378" s="12">
        <f>IF(359&lt;=B15,cper,"")</f>
        <v/>
      </c>
      <c r="G378" s="12">
        <f>IF(359&lt;=B15,B378+E378,"")</f>
        <v/>
      </c>
    </row>
    <row r="379">
      <c r="A379">
        <f>IF(360&lt;=B15,360,"")</f>
        <v/>
      </c>
      <c r="B379" s="12">
        <f>IF(360&lt;=B15,IF(360=1,ii,G378)+F379,"")</f>
        <v/>
      </c>
      <c r="E379" s="12">
        <f>IF(360&lt;=B15,B379*B16,"")</f>
        <v/>
      </c>
      <c r="F379" s="12">
        <f>IF(360&lt;=B15,cper,"")</f>
        <v/>
      </c>
      <c r="G379" s="12">
        <f>IF(360&lt;=B15,B379+E379,"")</f>
        <v/>
      </c>
    </row>
    <row r="380">
      <c r="A380">
        <f>IF(361&lt;=B15,361,"")</f>
        <v/>
      </c>
      <c r="B380" s="12">
        <f>IF(361&lt;=B15,IF(361=1,ii,G379)+F380,"")</f>
        <v/>
      </c>
      <c r="E380" s="12">
        <f>IF(361&lt;=B15,B380*B16,"")</f>
        <v/>
      </c>
      <c r="F380" s="12">
        <f>IF(361&lt;=B15,cper,"")</f>
        <v/>
      </c>
      <c r="G380" s="12">
        <f>IF(361&lt;=B15,B380+E380,"")</f>
        <v/>
      </c>
    </row>
    <row r="381">
      <c r="A381">
        <f>IF(362&lt;=B15,362,"")</f>
        <v/>
      </c>
      <c r="B381" s="12">
        <f>IF(362&lt;=B15,IF(362=1,ii,G380)+F381,"")</f>
        <v/>
      </c>
      <c r="E381" s="12">
        <f>IF(362&lt;=B15,B381*B16,"")</f>
        <v/>
      </c>
      <c r="F381" s="12">
        <f>IF(362&lt;=B15,cper,"")</f>
        <v/>
      </c>
      <c r="G381" s="12">
        <f>IF(362&lt;=B15,B381+E381,"")</f>
        <v/>
      </c>
    </row>
    <row r="382">
      <c r="A382">
        <f>IF(363&lt;=B15,363,"")</f>
        <v/>
      </c>
      <c r="B382" s="12">
        <f>IF(363&lt;=B15,IF(363=1,ii,G381)+F382,"")</f>
        <v/>
      </c>
      <c r="E382" s="12">
        <f>IF(363&lt;=B15,B382*B16,"")</f>
        <v/>
      </c>
      <c r="F382" s="12">
        <f>IF(363&lt;=B15,cper,"")</f>
        <v/>
      </c>
      <c r="G382" s="12">
        <f>IF(363&lt;=B15,B382+E382,"")</f>
        <v/>
      </c>
    </row>
    <row r="383">
      <c r="A383">
        <f>IF(364&lt;=B15,364,"")</f>
        <v/>
      </c>
      <c r="B383" s="12">
        <f>IF(364&lt;=B15,IF(364=1,ii,G382)+F383,"")</f>
        <v/>
      </c>
      <c r="E383" s="12">
        <f>IF(364&lt;=B15,B383*B16,"")</f>
        <v/>
      </c>
      <c r="F383" s="12">
        <f>IF(364&lt;=B15,cper,"")</f>
        <v/>
      </c>
      <c r="G383" s="12">
        <f>IF(364&lt;=B15,B383+E383,"")</f>
        <v/>
      </c>
    </row>
    <row r="384">
      <c r="A384">
        <f>IF(365&lt;=B15,365,"")</f>
        <v/>
      </c>
      <c r="B384" s="12">
        <f>IF(365&lt;=B15,IF(365=1,ii,G383)+F384,"")</f>
        <v/>
      </c>
      <c r="E384" s="12">
        <f>IF(365&lt;=B15,B384*B16,"")</f>
        <v/>
      </c>
      <c r="F384" s="12">
        <f>IF(365&lt;=B15,cper,"")</f>
        <v/>
      </c>
      <c r="G384" s="12">
        <f>IF(365&lt;=B15,B384+E384,"")</f>
        <v/>
      </c>
    </row>
    <row r="385">
      <c r="A385">
        <f>IF(366&lt;=B15,366,"")</f>
        <v/>
      </c>
      <c r="B385" s="12">
        <f>IF(366&lt;=B15,IF(366=1,ii,G384)+F385,"")</f>
        <v/>
      </c>
      <c r="E385" s="12">
        <f>IF(366&lt;=B15,B385*B16,"")</f>
        <v/>
      </c>
      <c r="F385" s="12">
        <f>IF(366&lt;=B15,cper,"")</f>
        <v/>
      </c>
      <c r="G385" s="12">
        <f>IF(366&lt;=B15,B385+E385,"")</f>
        <v/>
      </c>
    </row>
    <row r="386">
      <c r="A386">
        <f>IF(367&lt;=B15,367,"")</f>
        <v/>
      </c>
      <c r="B386" s="12">
        <f>IF(367&lt;=B15,IF(367=1,ii,G385)+F386,"")</f>
        <v/>
      </c>
      <c r="E386" s="12">
        <f>IF(367&lt;=B15,B386*B16,"")</f>
        <v/>
      </c>
      <c r="F386" s="12">
        <f>IF(367&lt;=B15,cper,"")</f>
        <v/>
      </c>
      <c r="G386" s="12">
        <f>IF(367&lt;=B15,B386+E386,"")</f>
        <v/>
      </c>
    </row>
    <row r="387">
      <c r="A387">
        <f>IF(368&lt;=B15,368,"")</f>
        <v/>
      </c>
      <c r="B387" s="12">
        <f>IF(368&lt;=B15,IF(368=1,ii,G386)+F387,"")</f>
        <v/>
      </c>
      <c r="E387" s="12">
        <f>IF(368&lt;=B15,B387*B16,"")</f>
        <v/>
      </c>
      <c r="F387" s="12">
        <f>IF(368&lt;=B15,cper,"")</f>
        <v/>
      </c>
      <c r="G387" s="12">
        <f>IF(368&lt;=B15,B387+E387,"")</f>
        <v/>
      </c>
    </row>
    <row r="388">
      <c r="A388">
        <f>IF(369&lt;=B15,369,"")</f>
        <v/>
      </c>
      <c r="B388" s="12">
        <f>IF(369&lt;=B15,IF(369=1,ii,G387)+F388,"")</f>
        <v/>
      </c>
      <c r="E388" s="12">
        <f>IF(369&lt;=B15,B388*B16,"")</f>
        <v/>
      </c>
      <c r="F388" s="12">
        <f>IF(369&lt;=B15,cper,"")</f>
        <v/>
      </c>
      <c r="G388" s="12">
        <f>IF(369&lt;=B15,B388+E388,"")</f>
        <v/>
      </c>
    </row>
    <row r="389">
      <c r="A389">
        <f>IF(370&lt;=B15,370,"")</f>
        <v/>
      </c>
      <c r="B389" s="12">
        <f>IF(370&lt;=B15,IF(370=1,ii,G388)+F389,"")</f>
        <v/>
      </c>
      <c r="E389" s="12">
        <f>IF(370&lt;=B15,B389*B16,"")</f>
        <v/>
      </c>
      <c r="F389" s="12">
        <f>IF(370&lt;=B15,cper,"")</f>
        <v/>
      </c>
      <c r="G389" s="12">
        <f>IF(370&lt;=B15,B389+E389,"")</f>
        <v/>
      </c>
    </row>
    <row r="390">
      <c r="A390">
        <f>IF(371&lt;=B15,371,"")</f>
        <v/>
      </c>
      <c r="B390" s="12">
        <f>IF(371&lt;=B15,IF(371=1,ii,G389)+F390,"")</f>
        <v/>
      </c>
      <c r="E390" s="12">
        <f>IF(371&lt;=B15,B390*B16,"")</f>
        <v/>
      </c>
      <c r="F390" s="12">
        <f>IF(371&lt;=B15,cper,"")</f>
        <v/>
      </c>
      <c r="G390" s="12">
        <f>IF(371&lt;=B15,B390+E390,"")</f>
        <v/>
      </c>
    </row>
    <row r="391">
      <c r="A391">
        <f>IF(372&lt;=B15,372,"")</f>
        <v/>
      </c>
      <c r="B391" s="12">
        <f>IF(372&lt;=B15,IF(372=1,ii,G390)+F391,"")</f>
        <v/>
      </c>
      <c r="E391" s="12">
        <f>IF(372&lt;=B15,B391*B16,"")</f>
        <v/>
      </c>
      <c r="F391" s="12">
        <f>IF(372&lt;=B15,cper,"")</f>
        <v/>
      </c>
      <c r="G391" s="12">
        <f>IF(372&lt;=B15,B391+E391,"")</f>
        <v/>
      </c>
    </row>
    <row r="392">
      <c r="A392">
        <f>IF(373&lt;=B15,373,"")</f>
        <v/>
      </c>
      <c r="B392" s="12">
        <f>IF(373&lt;=B15,IF(373=1,ii,G391)+F392,"")</f>
        <v/>
      </c>
      <c r="E392" s="12">
        <f>IF(373&lt;=B15,B392*B16,"")</f>
        <v/>
      </c>
      <c r="F392" s="12">
        <f>IF(373&lt;=B15,cper,"")</f>
        <v/>
      </c>
      <c r="G392" s="12">
        <f>IF(373&lt;=B15,B392+E392,"")</f>
        <v/>
      </c>
    </row>
    <row r="393">
      <c r="A393">
        <f>IF(374&lt;=B15,374,"")</f>
        <v/>
      </c>
      <c r="B393" s="12">
        <f>IF(374&lt;=B15,IF(374=1,ii,G392)+F393,"")</f>
        <v/>
      </c>
      <c r="E393" s="12">
        <f>IF(374&lt;=B15,B393*B16,"")</f>
        <v/>
      </c>
      <c r="F393" s="12">
        <f>IF(374&lt;=B15,cper,"")</f>
        <v/>
      </c>
      <c r="G393" s="12">
        <f>IF(374&lt;=B15,B393+E393,"")</f>
        <v/>
      </c>
    </row>
    <row r="394">
      <c r="A394">
        <f>IF(375&lt;=B15,375,"")</f>
        <v/>
      </c>
      <c r="B394" s="12">
        <f>IF(375&lt;=B15,IF(375=1,ii,G393)+F394,"")</f>
        <v/>
      </c>
      <c r="E394" s="12">
        <f>IF(375&lt;=B15,B394*B16,"")</f>
        <v/>
      </c>
      <c r="F394" s="12">
        <f>IF(375&lt;=B15,cper,"")</f>
        <v/>
      </c>
      <c r="G394" s="12">
        <f>IF(375&lt;=B15,B394+E394,"")</f>
        <v/>
      </c>
    </row>
    <row r="395">
      <c r="A395">
        <f>IF(376&lt;=B15,376,"")</f>
        <v/>
      </c>
      <c r="B395" s="12">
        <f>IF(376&lt;=B15,IF(376=1,ii,G394)+F395,"")</f>
        <v/>
      </c>
      <c r="E395" s="12">
        <f>IF(376&lt;=B15,B395*B16,"")</f>
        <v/>
      </c>
      <c r="F395" s="12">
        <f>IF(376&lt;=B15,cper,"")</f>
        <v/>
      </c>
      <c r="G395" s="12">
        <f>IF(376&lt;=B15,B395+E395,"")</f>
        <v/>
      </c>
    </row>
    <row r="396">
      <c r="A396">
        <f>IF(377&lt;=B15,377,"")</f>
        <v/>
      </c>
      <c r="B396" s="12">
        <f>IF(377&lt;=B15,IF(377=1,ii,G395)+F396,"")</f>
        <v/>
      </c>
      <c r="E396" s="12">
        <f>IF(377&lt;=B15,B396*B16,"")</f>
        <v/>
      </c>
      <c r="F396" s="12">
        <f>IF(377&lt;=B15,cper,"")</f>
        <v/>
      </c>
      <c r="G396" s="12">
        <f>IF(377&lt;=B15,B396+E396,"")</f>
        <v/>
      </c>
    </row>
    <row r="397">
      <c r="A397">
        <f>IF(378&lt;=B15,378,"")</f>
        <v/>
      </c>
      <c r="B397" s="12">
        <f>IF(378&lt;=B15,IF(378=1,ii,G396)+F397,"")</f>
        <v/>
      </c>
      <c r="E397" s="12">
        <f>IF(378&lt;=B15,B397*B16,"")</f>
        <v/>
      </c>
      <c r="F397" s="12">
        <f>IF(378&lt;=B15,cper,"")</f>
        <v/>
      </c>
      <c r="G397" s="12">
        <f>IF(378&lt;=B15,B397+E397,"")</f>
        <v/>
      </c>
    </row>
    <row r="398">
      <c r="A398">
        <f>IF(379&lt;=B15,379,"")</f>
        <v/>
      </c>
      <c r="B398" s="12">
        <f>IF(379&lt;=B15,IF(379=1,ii,G397)+F398,"")</f>
        <v/>
      </c>
      <c r="E398" s="12">
        <f>IF(379&lt;=B15,B398*B16,"")</f>
        <v/>
      </c>
      <c r="F398" s="12">
        <f>IF(379&lt;=B15,cper,"")</f>
        <v/>
      </c>
      <c r="G398" s="12">
        <f>IF(379&lt;=B15,B398+E398,"")</f>
        <v/>
      </c>
    </row>
    <row r="399">
      <c r="A399">
        <f>IF(380&lt;=B15,380,"")</f>
        <v/>
      </c>
      <c r="B399" s="12">
        <f>IF(380&lt;=B15,IF(380=1,ii,G398)+F399,"")</f>
        <v/>
      </c>
      <c r="E399" s="12">
        <f>IF(380&lt;=B15,B399*B16,"")</f>
        <v/>
      </c>
      <c r="F399" s="12">
        <f>IF(380&lt;=B15,cper,"")</f>
        <v/>
      </c>
      <c r="G399" s="12">
        <f>IF(380&lt;=B15,B399+E399,"")</f>
        <v/>
      </c>
    </row>
    <row r="400">
      <c r="A400">
        <f>IF(381&lt;=B15,381,"")</f>
        <v/>
      </c>
      <c r="B400" s="12">
        <f>IF(381&lt;=B15,IF(381=1,ii,G399)+F400,"")</f>
        <v/>
      </c>
      <c r="E400" s="12">
        <f>IF(381&lt;=B15,B400*B16,"")</f>
        <v/>
      </c>
      <c r="F400" s="12">
        <f>IF(381&lt;=B15,cper,"")</f>
        <v/>
      </c>
      <c r="G400" s="12">
        <f>IF(381&lt;=B15,B400+E400,"")</f>
        <v/>
      </c>
    </row>
    <row r="401">
      <c r="A401">
        <f>IF(382&lt;=B15,382,"")</f>
        <v/>
      </c>
      <c r="B401" s="12">
        <f>IF(382&lt;=B15,IF(382=1,ii,G400)+F401,"")</f>
        <v/>
      </c>
      <c r="E401" s="12">
        <f>IF(382&lt;=B15,B401*B16,"")</f>
        <v/>
      </c>
      <c r="F401" s="12">
        <f>IF(382&lt;=B15,cper,"")</f>
        <v/>
      </c>
      <c r="G401" s="12">
        <f>IF(382&lt;=B15,B401+E401,"")</f>
        <v/>
      </c>
    </row>
    <row r="402">
      <c r="A402">
        <f>IF(383&lt;=B15,383,"")</f>
        <v/>
      </c>
      <c r="B402" s="12">
        <f>IF(383&lt;=B15,IF(383=1,ii,G401)+F402,"")</f>
        <v/>
      </c>
      <c r="E402" s="12">
        <f>IF(383&lt;=B15,B402*B16,"")</f>
        <v/>
      </c>
      <c r="F402" s="12">
        <f>IF(383&lt;=B15,cper,"")</f>
        <v/>
      </c>
      <c r="G402" s="12">
        <f>IF(383&lt;=B15,B402+E402,"")</f>
        <v/>
      </c>
    </row>
    <row r="403">
      <c r="A403">
        <f>IF(384&lt;=B15,384,"")</f>
        <v/>
      </c>
      <c r="B403" s="12">
        <f>IF(384&lt;=B15,IF(384=1,ii,G402)+F403,"")</f>
        <v/>
      </c>
      <c r="E403" s="12">
        <f>IF(384&lt;=B15,B403*B16,"")</f>
        <v/>
      </c>
      <c r="F403" s="12">
        <f>IF(384&lt;=B15,cper,"")</f>
        <v/>
      </c>
      <c r="G403" s="12">
        <f>IF(384&lt;=B15,B403+E403,"")</f>
        <v/>
      </c>
    </row>
    <row r="404">
      <c r="A404">
        <f>IF(385&lt;=B15,385,"")</f>
        <v/>
      </c>
      <c r="B404" s="12">
        <f>IF(385&lt;=B15,IF(385=1,ii,G403)+F404,"")</f>
        <v/>
      </c>
      <c r="E404" s="12">
        <f>IF(385&lt;=B15,B404*B16,"")</f>
        <v/>
      </c>
      <c r="F404" s="12">
        <f>IF(385&lt;=B15,cper,"")</f>
        <v/>
      </c>
      <c r="G404" s="12">
        <f>IF(385&lt;=B15,B404+E404,"")</f>
        <v/>
      </c>
    </row>
    <row r="405">
      <c r="A405">
        <f>IF(386&lt;=B15,386,"")</f>
        <v/>
      </c>
      <c r="B405" s="12">
        <f>IF(386&lt;=B15,IF(386=1,ii,G404)+F405,"")</f>
        <v/>
      </c>
      <c r="E405" s="12">
        <f>IF(386&lt;=B15,B405*B16,"")</f>
        <v/>
      </c>
      <c r="F405" s="12">
        <f>IF(386&lt;=B15,cper,"")</f>
        <v/>
      </c>
      <c r="G405" s="12">
        <f>IF(386&lt;=B15,B405+E405,"")</f>
        <v/>
      </c>
    </row>
    <row r="406">
      <c r="A406">
        <f>IF(387&lt;=B15,387,"")</f>
        <v/>
      </c>
      <c r="B406" s="12">
        <f>IF(387&lt;=B15,IF(387=1,ii,G405)+F406,"")</f>
        <v/>
      </c>
      <c r="E406" s="12">
        <f>IF(387&lt;=B15,B406*B16,"")</f>
        <v/>
      </c>
      <c r="F406" s="12">
        <f>IF(387&lt;=B15,cper,"")</f>
        <v/>
      </c>
      <c r="G406" s="12">
        <f>IF(387&lt;=B15,B406+E406,"")</f>
        <v/>
      </c>
    </row>
    <row r="407">
      <c r="A407">
        <f>IF(388&lt;=B15,388,"")</f>
        <v/>
      </c>
      <c r="B407" s="12">
        <f>IF(388&lt;=B15,IF(388=1,ii,G406)+F407,"")</f>
        <v/>
      </c>
      <c r="E407" s="12">
        <f>IF(388&lt;=B15,B407*B16,"")</f>
        <v/>
      </c>
      <c r="F407" s="12">
        <f>IF(388&lt;=B15,cper,"")</f>
        <v/>
      </c>
      <c r="G407" s="12">
        <f>IF(388&lt;=B15,B407+E407,"")</f>
        <v/>
      </c>
    </row>
    <row r="408">
      <c r="A408">
        <f>IF(389&lt;=B15,389,"")</f>
        <v/>
      </c>
      <c r="B408" s="12">
        <f>IF(389&lt;=B15,IF(389=1,ii,G407)+F408,"")</f>
        <v/>
      </c>
      <c r="E408" s="12">
        <f>IF(389&lt;=B15,B408*B16,"")</f>
        <v/>
      </c>
      <c r="F408" s="12">
        <f>IF(389&lt;=B15,cper,"")</f>
        <v/>
      </c>
      <c r="G408" s="12">
        <f>IF(389&lt;=B15,B408+E408,"")</f>
        <v/>
      </c>
    </row>
    <row r="409">
      <c r="A409">
        <f>IF(390&lt;=B15,390,"")</f>
        <v/>
      </c>
      <c r="B409" s="12">
        <f>IF(390&lt;=B15,IF(390=1,ii,G408)+F409,"")</f>
        <v/>
      </c>
      <c r="E409" s="12">
        <f>IF(390&lt;=B15,B409*B16,"")</f>
        <v/>
      </c>
      <c r="F409" s="12">
        <f>IF(390&lt;=B15,cper,"")</f>
        <v/>
      </c>
      <c r="G409" s="12">
        <f>IF(390&lt;=B15,B409+E409,"")</f>
        <v/>
      </c>
    </row>
    <row r="410">
      <c r="A410">
        <f>IF(391&lt;=B15,391,"")</f>
        <v/>
      </c>
      <c r="B410" s="12">
        <f>IF(391&lt;=B15,IF(391=1,ii,G409)+F410,"")</f>
        <v/>
      </c>
      <c r="E410" s="12">
        <f>IF(391&lt;=B15,B410*B16,"")</f>
        <v/>
      </c>
      <c r="F410" s="12">
        <f>IF(391&lt;=B15,cper,"")</f>
        <v/>
      </c>
      <c r="G410" s="12">
        <f>IF(391&lt;=B15,B410+E410,"")</f>
        <v/>
      </c>
    </row>
    <row r="411">
      <c r="A411">
        <f>IF(392&lt;=B15,392,"")</f>
        <v/>
      </c>
      <c r="B411" s="12">
        <f>IF(392&lt;=B15,IF(392=1,ii,G410)+F411,"")</f>
        <v/>
      </c>
      <c r="E411" s="12">
        <f>IF(392&lt;=B15,B411*B16,"")</f>
        <v/>
      </c>
      <c r="F411" s="12">
        <f>IF(392&lt;=B15,cper,"")</f>
        <v/>
      </c>
      <c r="G411" s="12">
        <f>IF(392&lt;=B15,B411+E411,"")</f>
        <v/>
      </c>
    </row>
    <row r="412">
      <c r="A412">
        <f>IF(393&lt;=B15,393,"")</f>
        <v/>
      </c>
      <c r="B412" s="12">
        <f>IF(393&lt;=B15,IF(393=1,ii,G411)+F412,"")</f>
        <v/>
      </c>
      <c r="E412" s="12">
        <f>IF(393&lt;=B15,B412*B16,"")</f>
        <v/>
      </c>
      <c r="F412" s="12">
        <f>IF(393&lt;=B15,cper,"")</f>
        <v/>
      </c>
      <c r="G412" s="12">
        <f>IF(393&lt;=B15,B412+E412,"")</f>
        <v/>
      </c>
    </row>
    <row r="413">
      <c r="A413">
        <f>IF(394&lt;=B15,394,"")</f>
        <v/>
      </c>
      <c r="B413" s="12">
        <f>IF(394&lt;=B15,IF(394=1,ii,G412)+F413,"")</f>
        <v/>
      </c>
      <c r="E413" s="12">
        <f>IF(394&lt;=B15,B413*B16,"")</f>
        <v/>
      </c>
      <c r="F413" s="12">
        <f>IF(394&lt;=B15,cper,"")</f>
        <v/>
      </c>
      <c r="G413" s="12">
        <f>IF(394&lt;=B15,B413+E413,"")</f>
        <v/>
      </c>
    </row>
    <row r="414">
      <c r="A414">
        <f>IF(395&lt;=B15,395,"")</f>
        <v/>
      </c>
      <c r="B414" s="12">
        <f>IF(395&lt;=B15,IF(395=1,ii,G413)+F414,"")</f>
        <v/>
      </c>
      <c r="E414" s="12">
        <f>IF(395&lt;=B15,B414*B16,"")</f>
        <v/>
      </c>
      <c r="F414" s="12">
        <f>IF(395&lt;=B15,cper,"")</f>
        <v/>
      </c>
      <c r="G414" s="12">
        <f>IF(395&lt;=B15,B414+E414,"")</f>
        <v/>
      </c>
    </row>
    <row r="415">
      <c r="A415">
        <f>IF(396&lt;=B15,396,"")</f>
        <v/>
      </c>
      <c r="B415" s="12">
        <f>IF(396&lt;=B15,IF(396=1,ii,G414)+F415,"")</f>
        <v/>
      </c>
      <c r="E415" s="12">
        <f>IF(396&lt;=B15,B415*B16,"")</f>
        <v/>
      </c>
      <c r="F415" s="12">
        <f>IF(396&lt;=B15,cper,"")</f>
        <v/>
      </c>
      <c r="G415" s="12">
        <f>IF(396&lt;=B15,B415+E415,"")</f>
        <v/>
      </c>
    </row>
    <row r="416">
      <c r="A416">
        <f>IF(397&lt;=B15,397,"")</f>
        <v/>
      </c>
      <c r="B416" s="12">
        <f>IF(397&lt;=B15,IF(397=1,ii,G415)+F416,"")</f>
        <v/>
      </c>
      <c r="E416" s="12">
        <f>IF(397&lt;=B15,B416*B16,"")</f>
        <v/>
      </c>
      <c r="F416" s="12">
        <f>IF(397&lt;=B15,cper,"")</f>
        <v/>
      </c>
      <c r="G416" s="12">
        <f>IF(397&lt;=B15,B416+E416,"")</f>
        <v/>
      </c>
    </row>
    <row r="417">
      <c r="A417">
        <f>IF(398&lt;=B15,398,"")</f>
        <v/>
      </c>
      <c r="B417" s="12">
        <f>IF(398&lt;=B15,IF(398=1,ii,G416)+F417,"")</f>
        <v/>
      </c>
      <c r="E417" s="12">
        <f>IF(398&lt;=B15,B417*B16,"")</f>
        <v/>
      </c>
      <c r="F417" s="12">
        <f>IF(398&lt;=B15,cper,"")</f>
        <v/>
      </c>
      <c r="G417" s="12">
        <f>IF(398&lt;=B15,B417+E417,"")</f>
        <v/>
      </c>
    </row>
    <row r="418">
      <c r="A418">
        <f>IF(399&lt;=B15,399,"")</f>
        <v/>
      </c>
      <c r="B418" s="12">
        <f>IF(399&lt;=B15,IF(399=1,ii,G417)+F418,"")</f>
        <v/>
      </c>
      <c r="E418" s="12">
        <f>IF(399&lt;=B15,B418*B16,"")</f>
        <v/>
      </c>
      <c r="F418" s="12">
        <f>IF(399&lt;=B15,cper,"")</f>
        <v/>
      </c>
      <c r="G418" s="12">
        <f>IF(399&lt;=B15,B418+E418,"")</f>
        <v/>
      </c>
    </row>
    <row r="419">
      <c r="A419">
        <f>IF(400&lt;=B15,400,"")</f>
        <v/>
      </c>
      <c r="B419" s="12">
        <f>IF(400&lt;=B15,IF(400=1,ii,G418)+F419,"")</f>
        <v/>
      </c>
      <c r="E419" s="12">
        <f>IF(400&lt;=B15,B419*B16,"")</f>
        <v/>
      </c>
      <c r="F419" s="12">
        <f>IF(400&lt;=B15,cper,"")</f>
        <v/>
      </c>
      <c r="G419" s="12">
        <f>IF(400&lt;=B15,B419+E419,"")</f>
        <v/>
      </c>
    </row>
    <row r="420">
      <c r="A420">
        <f>IF(401&lt;=B15,401,"")</f>
        <v/>
      </c>
      <c r="B420" s="12">
        <f>IF(401&lt;=B15,IF(401=1,ii,G419)+F420,"")</f>
        <v/>
      </c>
      <c r="E420" s="12">
        <f>IF(401&lt;=B15,B420*B16,"")</f>
        <v/>
      </c>
      <c r="F420" s="12">
        <f>IF(401&lt;=B15,cper,"")</f>
        <v/>
      </c>
      <c r="G420" s="12">
        <f>IF(401&lt;=B15,B420+E420,"")</f>
        <v/>
      </c>
    </row>
    <row r="421">
      <c r="A421">
        <f>IF(402&lt;=B15,402,"")</f>
        <v/>
      </c>
      <c r="B421" s="12">
        <f>IF(402&lt;=B15,IF(402=1,ii,G420)+F421,"")</f>
        <v/>
      </c>
      <c r="E421" s="12">
        <f>IF(402&lt;=B15,B421*B16,"")</f>
        <v/>
      </c>
      <c r="F421" s="12">
        <f>IF(402&lt;=B15,cper,"")</f>
        <v/>
      </c>
      <c r="G421" s="12">
        <f>IF(402&lt;=B15,B421+E421,"")</f>
        <v/>
      </c>
    </row>
    <row r="422">
      <c r="A422">
        <f>IF(403&lt;=B15,403,"")</f>
        <v/>
      </c>
      <c r="B422" s="12">
        <f>IF(403&lt;=B15,IF(403=1,ii,G421)+F422,"")</f>
        <v/>
      </c>
      <c r="E422" s="12">
        <f>IF(403&lt;=B15,B422*B16,"")</f>
        <v/>
      </c>
      <c r="F422" s="12">
        <f>IF(403&lt;=B15,cper,"")</f>
        <v/>
      </c>
      <c r="G422" s="12">
        <f>IF(403&lt;=B15,B422+E422,"")</f>
        <v/>
      </c>
    </row>
    <row r="423">
      <c r="A423">
        <f>IF(404&lt;=B15,404,"")</f>
        <v/>
      </c>
      <c r="B423" s="12">
        <f>IF(404&lt;=B15,IF(404=1,ii,G422)+F423,"")</f>
        <v/>
      </c>
      <c r="E423" s="12">
        <f>IF(404&lt;=B15,B423*B16,"")</f>
        <v/>
      </c>
      <c r="F423" s="12">
        <f>IF(404&lt;=B15,cper,"")</f>
        <v/>
      </c>
      <c r="G423" s="12">
        <f>IF(404&lt;=B15,B423+E423,"")</f>
        <v/>
      </c>
    </row>
    <row r="424">
      <c r="A424">
        <f>IF(405&lt;=B15,405,"")</f>
        <v/>
      </c>
      <c r="B424" s="12">
        <f>IF(405&lt;=B15,IF(405=1,ii,G423)+F424,"")</f>
        <v/>
      </c>
      <c r="E424" s="12">
        <f>IF(405&lt;=B15,B424*B16,"")</f>
        <v/>
      </c>
      <c r="F424" s="12">
        <f>IF(405&lt;=B15,cper,"")</f>
        <v/>
      </c>
      <c r="G424" s="12">
        <f>IF(405&lt;=B15,B424+E424,"")</f>
        <v/>
      </c>
    </row>
    <row r="425">
      <c r="A425">
        <f>IF(406&lt;=B15,406,"")</f>
        <v/>
      </c>
      <c r="B425" s="12">
        <f>IF(406&lt;=B15,IF(406=1,ii,G424)+F425,"")</f>
        <v/>
      </c>
      <c r="E425" s="12">
        <f>IF(406&lt;=B15,B425*B16,"")</f>
        <v/>
      </c>
      <c r="F425" s="12">
        <f>IF(406&lt;=B15,cper,"")</f>
        <v/>
      </c>
      <c r="G425" s="12">
        <f>IF(406&lt;=B15,B425+E425,"")</f>
        <v/>
      </c>
    </row>
    <row r="426">
      <c r="A426">
        <f>IF(407&lt;=B15,407,"")</f>
        <v/>
      </c>
      <c r="B426" s="12">
        <f>IF(407&lt;=B15,IF(407=1,ii,G425)+F426,"")</f>
        <v/>
      </c>
      <c r="E426" s="12">
        <f>IF(407&lt;=B15,B426*B16,"")</f>
        <v/>
      </c>
      <c r="F426" s="12">
        <f>IF(407&lt;=B15,cper,"")</f>
        <v/>
      </c>
      <c r="G426" s="12">
        <f>IF(407&lt;=B15,B426+E426,"")</f>
        <v/>
      </c>
    </row>
    <row r="427">
      <c r="A427">
        <f>IF(408&lt;=B15,408,"")</f>
        <v/>
      </c>
      <c r="B427" s="12">
        <f>IF(408&lt;=B15,IF(408=1,ii,G426)+F427,"")</f>
        <v/>
      </c>
      <c r="E427" s="12">
        <f>IF(408&lt;=B15,B427*B16,"")</f>
        <v/>
      </c>
      <c r="F427" s="12">
        <f>IF(408&lt;=B15,cper,"")</f>
        <v/>
      </c>
      <c r="G427" s="12">
        <f>IF(408&lt;=B15,B427+E427,"")</f>
        <v/>
      </c>
    </row>
    <row r="428">
      <c r="A428">
        <f>IF(409&lt;=B15,409,"")</f>
        <v/>
      </c>
      <c r="B428" s="12">
        <f>IF(409&lt;=B15,IF(409=1,ii,G427)+F428,"")</f>
        <v/>
      </c>
      <c r="E428" s="12">
        <f>IF(409&lt;=B15,B428*B16,"")</f>
        <v/>
      </c>
      <c r="F428" s="12">
        <f>IF(409&lt;=B15,cper,"")</f>
        <v/>
      </c>
      <c r="G428" s="12">
        <f>IF(409&lt;=B15,B428+E428,"")</f>
        <v/>
      </c>
    </row>
    <row r="429">
      <c r="A429">
        <f>IF(410&lt;=B15,410,"")</f>
        <v/>
      </c>
      <c r="B429" s="12">
        <f>IF(410&lt;=B15,IF(410=1,ii,G428)+F429,"")</f>
        <v/>
      </c>
      <c r="E429" s="12">
        <f>IF(410&lt;=B15,B429*B16,"")</f>
        <v/>
      </c>
      <c r="F429" s="12">
        <f>IF(410&lt;=B15,cper,"")</f>
        <v/>
      </c>
      <c r="G429" s="12">
        <f>IF(410&lt;=B15,B429+E429,"")</f>
        <v/>
      </c>
    </row>
    <row r="430">
      <c r="A430">
        <f>IF(411&lt;=B15,411,"")</f>
        <v/>
      </c>
      <c r="B430" s="12">
        <f>IF(411&lt;=B15,IF(411=1,ii,G429)+F430,"")</f>
        <v/>
      </c>
      <c r="E430" s="12">
        <f>IF(411&lt;=B15,B430*B16,"")</f>
        <v/>
      </c>
      <c r="F430" s="12">
        <f>IF(411&lt;=B15,cper,"")</f>
        <v/>
      </c>
      <c r="G430" s="12">
        <f>IF(411&lt;=B15,B430+E430,"")</f>
        <v/>
      </c>
    </row>
    <row r="431">
      <c r="A431">
        <f>IF(412&lt;=B15,412,"")</f>
        <v/>
      </c>
      <c r="B431" s="12">
        <f>IF(412&lt;=B15,IF(412=1,ii,G430)+F431,"")</f>
        <v/>
      </c>
      <c r="E431" s="12">
        <f>IF(412&lt;=B15,B431*B16,"")</f>
        <v/>
      </c>
      <c r="F431" s="12">
        <f>IF(412&lt;=B15,cper,"")</f>
        <v/>
      </c>
      <c r="G431" s="12">
        <f>IF(412&lt;=B15,B431+E431,"")</f>
        <v/>
      </c>
    </row>
    <row r="432">
      <c r="A432">
        <f>IF(413&lt;=B15,413,"")</f>
        <v/>
      </c>
      <c r="B432" s="12">
        <f>IF(413&lt;=B15,IF(413=1,ii,G431)+F432,"")</f>
        <v/>
      </c>
      <c r="E432" s="12">
        <f>IF(413&lt;=B15,B432*B16,"")</f>
        <v/>
      </c>
      <c r="F432" s="12">
        <f>IF(413&lt;=B15,cper,"")</f>
        <v/>
      </c>
      <c r="G432" s="12">
        <f>IF(413&lt;=B15,B432+E432,"")</f>
        <v/>
      </c>
    </row>
    <row r="433">
      <c r="A433">
        <f>IF(414&lt;=B15,414,"")</f>
        <v/>
      </c>
      <c r="B433" s="12">
        <f>IF(414&lt;=B15,IF(414=1,ii,G432)+F433,"")</f>
        <v/>
      </c>
      <c r="E433" s="12">
        <f>IF(414&lt;=B15,B433*B16,"")</f>
        <v/>
      </c>
      <c r="F433" s="12">
        <f>IF(414&lt;=B15,cper,"")</f>
        <v/>
      </c>
      <c r="G433" s="12">
        <f>IF(414&lt;=B15,B433+E433,"")</f>
        <v/>
      </c>
    </row>
    <row r="434">
      <c r="A434">
        <f>IF(415&lt;=B15,415,"")</f>
        <v/>
      </c>
      <c r="B434" s="12">
        <f>IF(415&lt;=B15,IF(415=1,ii,G433)+F434,"")</f>
        <v/>
      </c>
      <c r="E434" s="12">
        <f>IF(415&lt;=B15,B434*B16,"")</f>
        <v/>
      </c>
      <c r="F434" s="12">
        <f>IF(415&lt;=B15,cper,"")</f>
        <v/>
      </c>
      <c r="G434" s="12">
        <f>IF(415&lt;=B15,B434+E434,"")</f>
        <v/>
      </c>
    </row>
    <row r="435">
      <c r="A435">
        <f>IF(416&lt;=B15,416,"")</f>
        <v/>
      </c>
      <c r="B435" s="12">
        <f>IF(416&lt;=B15,IF(416=1,ii,G434)+F435,"")</f>
        <v/>
      </c>
      <c r="E435" s="12">
        <f>IF(416&lt;=B15,B435*B16,"")</f>
        <v/>
      </c>
      <c r="F435" s="12">
        <f>IF(416&lt;=B15,cper,"")</f>
        <v/>
      </c>
      <c r="G435" s="12">
        <f>IF(416&lt;=B15,B435+E435,"")</f>
        <v/>
      </c>
    </row>
    <row r="436">
      <c r="A436">
        <f>IF(417&lt;=B15,417,"")</f>
        <v/>
      </c>
      <c r="B436" s="12">
        <f>IF(417&lt;=B15,IF(417=1,ii,G435)+F436,"")</f>
        <v/>
      </c>
      <c r="E436" s="12">
        <f>IF(417&lt;=B15,B436*B16,"")</f>
        <v/>
      </c>
      <c r="F436" s="12">
        <f>IF(417&lt;=B15,cper,"")</f>
        <v/>
      </c>
      <c r="G436" s="12">
        <f>IF(417&lt;=B15,B436+E436,"")</f>
        <v/>
      </c>
    </row>
    <row r="437">
      <c r="A437">
        <f>IF(418&lt;=B15,418,"")</f>
        <v/>
      </c>
      <c r="B437" s="12">
        <f>IF(418&lt;=B15,IF(418=1,ii,G436)+F437,"")</f>
        <v/>
      </c>
      <c r="E437" s="12">
        <f>IF(418&lt;=B15,B437*B16,"")</f>
        <v/>
      </c>
      <c r="F437" s="12">
        <f>IF(418&lt;=B15,cper,"")</f>
        <v/>
      </c>
      <c r="G437" s="12">
        <f>IF(418&lt;=B15,B437+E437,"")</f>
        <v/>
      </c>
    </row>
    <row r="438">
      <c r="A438">
        <f>IF(419&lt;=B15,419,"")</f>
        <v/>
      </c>
      <c r="B438" s="12">
        <f>IF(419&lt;=B15,IF(419=1,ii,G437)+F438,"")</f>
        <v/>
      </c>
      <c r="E438" s="12">
        <f>IF(419&lt;=B15,B438*B16,"")</f>
        <v/>
      </c>
      <c r="F438" s="12">
        <f>IF(419&lt;=B15,cper,"")</f>
        <v/>
      </c>
      <c r="G438" s="12">
        <f>IF(419&lt;=B15,B438+E438,"")</f>
        <v/>
      </c>
    </row>
    <row r="439">
      <c r="A439">
        <f>IF(420&lt;=B15,420,"")</f>
        <v/>
      </c>
      <c r="B439" s="12">
        <f>IF(420&lt;=B15,IF(420=1,ii,G438)+F439,"")</f>
        <v/>
      </c>
      <c r="E439" s="12">
        <f>IF(420&lt;=B15,B439*B16,"")</f>
        <v/>
      </c>
      <c r="F439" s="12">
        <f>IF(420&lt;=B15,cper,"")</f>
        <v/>
      </c>
      <c r="G439" s="12">
        <f>IF(420&lt;=B15,B439+E439,"")</f>
        <v/>
      </c>
    </row>
    <row r="440">
      <c r="A440">
        <f>IF(421&lt;=B15,421,"")</f>
        <v/>
      </c>
      <c r="B440" s="12">
        <f>IF(421&lt;=B15,IF(421=1,ii,G439)+F440,"")</f>
        <v/>
      </c>
      <c r="E440" s="12">
        <f>IF(421&lt;=B15,B440*B16,"")</f>
        <v/>
      </c>
      <c r="F440" s="12">
        <f>IF(421&lt;=B15,cper,"")</f>
        <v/>
      </c>
      <c r="G440" s="12">
        <f>IF(421&lt;=B15,B440+E440,"")</f>
        <v/>
      </c>
    </row>
    <row r="441">
      <c r="A441">
        <f>IF(422&lt;=B15,422,"")</f>
        <v/>
      </c>
      <c r="B441" s="12">
        <f>IF(422&lt;=B15,IF(422=1,ii,G440)+F441,"")</f>
        <v/>
      </c>
      <c r="E441" s="12">
        <f>IF(422&lt;=B15,B441*B16,"")</f>
        <v/>
      </c>
      <c r="F441" s="12">
        <f>IF(422&lt;=B15,cper,"")</f>
        <v/>
      </c>
      <c r="G441" s="12">
        <f>IF(422&lt;=B15,B441+E441,"")</f>
        <v/>
      </c>
    </row>
    <row r="442">
      <c r="A442">
        <f>IF(423&lt;=B15,423,"")</f>
        <v/>
      </c>
      <c r="B442" s="12">
        <f>IF(423&lt;=B15,IF(423=1,ii,G441)+F442,"")</f>
        <v/>
      </c>
      <c r="E442" s="12">
        <f>IF(423&lt;=B15,B442*B16,"")</f>
        <v/>
      </c>
      <c r="F442" s="12">
        <f>IF(423&lt;=B15,cper,"")</f>
        <v/>
      </c>
      <c r="G442" s="12">
        <f>IF(423&lt;=B15,B442+E442,"")</f>
        <v/>
      </c>
    </row>
    <row r="443">
      <c r="A443">
        <f>IF(424&lt;=B15,424,"")</f>
        <v/>
      </c>
      <c r="B443" s="12">
        <f>IF(424&lt;=B15,IF(424=1,ii,G442)+F443,"")</f>
        <v/>
      </c>
      <c r="E443" s="12">
        <f>IF(424&lt;=B15,B443*B16,"")</f>
        <v/>
      </c>
      <c r="F443" s="12">
        <f>IF(424&lt;=B15,cper,"")</f>
        <v/>
      </c>
      <c r="G443" s="12">
        <f>IF(424&lt;=B15,B443+E443,"")</f>
        <v/>
      </c>
    </row>
    <row r="444">
      <c r="A444">
        <f>IF(425&lt;=B15,425,"")</f>
        <v/>
      </c>
      <c r="B444" s="12">
        <f>IF(425&lt;=B15,IF(425=1,ii,G443)+F444,"")</f>
        <v/>
      </c>
      <c r="E444" s="12">
        <f>IF(425&lt;=B15,B444*B16,"")</f>
        <v/>
      </c>
      <c r="F444" s="12">
        <f>IF(425&lt;=B15,cper,"")</f>
        <v/>
      </c>
      <c r="G444" s="12">
        <f>IF(425&lt;=B15,B444+E444,"")</f>
        <v/>
      </c>
    </row>
    <row r="445">
      <c r="A445">
        <f>IF(426&lt;=B15,426,"")</f>
        <v/>
      </c>
      <c r="B445" s="12">
        <f>IF(426&lt;=B15,IF(426=1,ii,G444)+F445,"")</f>
        <v/>
      </c>
      <c r="E445" s="12">
        <f>IF(426&lt;=B15,B445*B16,"")</f>
        <v/>
      </c>
      <c r="F445" s="12">
        <f>IF(426&lt;=B15,cper,"")</f>
        <v/>
      </c>
      <c r="G445" s="12">
        <f>IF(426&lt;=B15,B445+E445,"")</f>
        <v/>
      </c>
    </row>
    <row r="446">
      <c r="A446">
        <f>IF(427&lt;=B15,427,"")</f>
        <v/>
      </c>
      <c r="B446" s="12">
        <f>IF(427&lt;=B15,IF(427=1,ii,G445)+F446,"")</f>
        <v/>
      </c>
      <c r="E446" s="12">
        <f>IF(427&lt;=B15,B446*B16,"")</f>
        <v/>
      </c>
      <c r="F446" s="12">
        <f>IF(427&lt;=B15,cper,"")</f>
        <v/>
      </c>
      <c r="G446" s="12">
        <f>IF(427&lt;=B15,B446+E446,"")</f>
        <v/>
      </c>
    </row>
    <row r="447">
      <c r="A447">
        <f>IF(428&lt;=B15,428,"")</f>
        <v/>
      </c>
      <c r="B447" s="12">
        <f>IF(428&lt;=B15,IF(428=1,ii,G446)+F447,"")</f>
        <v/>
      </c>
      <c r="E447" s="12">
        <f>IF(428&lt;=B15,B447*B16,"")</f>
        <v/>
      </c>
      <c r="F447" s="12">
        <f>IF(428&lt;=B15,cper,"")</f>
        <v/>
      </c>
      <c r="G447" s="12">
        <f>IF(428&lt;=B15,B447+E447,"")</f>
        <v/>
      </c>
    </row>
    <row r="448">
      <c r="A448">
        <f>IF(429&lt;=B15,429,"")</f>
        <v/>
      </c>
      <c r="B448" s="12">
        <f>IF(429&lt;=B15,IF(429=1,ii,G447)+F448,"")</f>
        <v/>
      </c>
      <c r="E448" s="12">
        <f>IF(429&lt;=B15,B448*B16,"")</f>
        <v/>
      </c>
      <c r="F448" s="12">
        <f>IF(429&lt;=B15,cper,"")</f>
        <v/>
      </c>
      <c r="G448" s="12">
        <f>IF(429&lt;=B15,B448+E448,"")</f>
        <v/>
      </c>
    </row>
    <row r="449">
      <c r="A449">
        <f>IF(430&lt;=B15,430,"")</f>
        <v/>
      </c>
      <c r="B449" s="12">
        <f>IF(430&lt;=B15,IF(430=1,ii,G448)+F449,"")</f>
        <v/>
      </c>
      <c r="E449" s="12">
        <f>IF(430&lt;=B15,B449*B16,"")</f>
        <v/>
      </c>
      <c r="F449" s="12">
        <f>IF(430&lt;=B15,cper,"")</f>
        <v/>
      </c>
      <c r="G449" s="12">
        <f>IF(430&lt;=B15,B449+E449,"")</f>
        <v/>
      </c>
    </row>
    <row r="450">
      <c r="A450">
        <f>IF(431&lt;=B15,431,"")</f>
        <v/>
      </c>
      <c r="B450" s="12">
        <f>IF(431&lt;=B15,IF(431=1,ii,G449)+F450,"")</f>
        <v/>
      </c>
      <c r="E450" s="12">
        <f>IF(431&lt;=B15,B450*B16,"")</f>
        <v/>
      </c>
      <c r="F450" s="12">
        <f>IF(431&lt;=B15,cper,"")</f>
        <v/>
      </c>
      <c r="G450" s="12">
        <f>IF(431&lt;=B15,B450+E450,"")</f>
        <v/>
      </c>
    </row>
    <row r="451">
      <c r="A451">
        <f>IF(432&lt;=B15,432,"")</f>
        <v/>
      </c>
      <c r="B451" s="12">
        <f>IF(432&lt;=B15,IF(432=1,ii,G450)+F451,"")</f>
        <v/>
      </c>
      <c r="E451" s="12">
        <f>IF(432&lt;=B15,B451*B16,"")</f>
        <v/>
      </c>
      <c r="F451" s="12">
        <f>IF(432&lt;=B15,cper,"")</f>
        <v/>
      </c>
      <c r="G451" s="12">
        <f>IF(432&lt;=B15,B451+E451,"")</f>
        <v/>
      </c>
    </row>
    <row r="452">
      <c r="A452">
        <f>IF(433&lt;=B15,433,"")</f>
        <v/>
      </c>
      <c r="B452" s="12">
        <f>IF(433&lt;=B15,IF(433=1,ii,G451)+F452,"")</f>
        <v/>
      </c>
      <c r="E452" s="12">
        <f>IF(433&lt;=B15,B452*B16,"")</f>
        <v/>
      </c>
      <c r="F452" s="12">
        <f>IF(433&lt;=B15,cper,"")</f>
        <v/>
      </c>
      <c r="G452" s="12">
        <f>IF(433&lt;=B15,B452+E452,"")</f>
        <v/>
      </c>
    </row>
    <row r="453">
      <c r="A453">
        <f>IF(434&lt;=B15,434,"")</f>
        <v/>
      </c>
      <c r="B453" s="12">
        <f>IF(434&lt;=B15,IF(434=1,ii,G452)+F453,"")</f>
        <v/>
      </c>
      <c r="E453" s="12">
        <f>IF(434&lt;=B15,B453*B16,"")</f>
        <v/>
      </c>
      <c r="F453" s="12">
        <f>IF(434&lt;=B15,cper,"")</f>
        <v/>
      </c>
      <c r="G453" s="12">
        <f>IF(434&lt;=B15,B453+E453,"")</f>
        <v/>
      </c>
    </row>
    <row r="454">
      <c r="A454">
        <f>IF(435&lt;=B15,435,"")</f>
        <v/>
      </c>
      <c r="B454" s="12">
        <f>IF(435&lt;=B15,IF(435=1,ii,G453)+F454,"")</f>
        <v/>
      </c>
      <c r="E454" s="12">
        <f>IF(435&lt;=B15,B454*B16,"")</f>
        <v/>
      </c>
      <c r="F454" s="12">
        <f>IF(435&lt;=B15,cper,"")</f>
        <v/>
      </c>
      <c r="G454" s="12">
        <f>IF(435&lt;=B15,B454+E454,"")</f>
        <v/>
      </c>
    </row>
    <row r="455">
      <c r="A455">
        <f>IF(436&lt;=B15,436,"")</f>
        <v/>
      </c>
      <c r="B455" s="12">
        <f>IF(436&lt;=B15,IF(436=1,ii,G454)+F455,"")</f>
        <v/>
      </c>
      <c r="E455" s="12">
        <f>IF(436&lt;=B15,B455*B16,"")</f>
        <v/>
      </c>
      <c r="F455" s="12">
        <f>IF(436&lt;=B15,cper,"")</f>
        <v/>
      </c>
      <c r="G455" s="12">
        <f>IF(436&lt;=B15,B455+E455,"")</f>
        <v/>
      </c>
    </row>
    <row r="456">
      <c r="A456">
        <f>IF(437&lt;=B15,437,"")</f>
        <v/>
      </c>
      <c r="B456" s="12">
        <f>IF(437&lt;=B15,IF(437=1,ii,G455)+F456,"")</f>
        <v/>
      </c>
      <c r="E456" s="12">
        <f>IF(437&lt;=B15,B456*B16,"")</f>
        <v/>
      </c>
      <c r="F456" s="12">
        <f>IF(437&lt;=B15,cper,"")</f>
        <v/>
      </c>
      <c r="G456" s="12">
        <f>IF(437&lt;=B15,B456+E456,"")</f>
        <v/>
      </c>
    </row>
    <row r="457">
      <c r="A457">
        <f>IF(438&lt;=B15,438,"")</f>
        <v/>
      </c>
      <c r="B457" s="12">
        <f>IF(438&lt;=B15,IF(438=1,ii,G456)+F457,"")</f>
        <v/>
      </c>
      <c r="E457" s="12">
        <f>IF(438&lt;=B15,B457*B16,"")</f>
        <v/>
      </c>
      <c r="F457" s="12">
        <f>IF(438&lt;=B15,cper,"")</f>
        <v/>
      </c>
      <c r="G457" s="12">
        <f>IF(438&lt;=B15,B457+E457,"")</f>
        <v/>
      </c>
    </row>
    <row r="458">
      <c r="A458">
        <f>IF(439&lt;=B15,439,"")</f>
        <v/>
      </c>
      <c r="B458" s="12">
        <f>IF(439&lt;=B15,IF(439=1,ii,G457)+F458,"")</f>
        <v/>
      </c>
      <c r="E458" s="12">
        <f>IF(439&lt;=B15,B458*B16,"")</f>
        <v/>
      </c>
      <c r="F458" s="12">
        <f>IF(439&lt;=B15,cper,"")</f>
        <v/>
      </c>
      <c r="G458" s="12">
        <f>IF(439&lt;=B15,B458+E458,"")</f>
        <v/>
      </c>
    </row>
    <row r="459">
      <c r="A459">
        <f>IF(440&lt;=B15,440,"")</f>
        <v/>
      </c>
      <c r="B459" s="12">
        <f>IF(440&lt;=B15,IF(440=1,ii,G458)+F459,"")</f>
        <v/>
      </c>
      <c r="E459" s="12">
        <f>IF(440&lt;=B15,B459*B16,"")</f>
        <v/>
      </c>
      <c r="F459" s="12">
        <f>IF(440&lt;=B15,cper,"")</f>
        <v/>
      </c>
      <c r="G459" s="12">
        <f>IF(440&lt;=B15,B459+E459,"")</f>
        <v/>
      </c>
    </row>
    <row r="460">
      <c r="A460">
        <f>IF(441&lt;=B15,441,"")</f>
        <v/>
      </c>
      <c r="B460" s="12">
        <f>IF(441&lt;=B15,IF(441=1,ii,G459)+F460,"")</f>
        <v/>
      </c>
      <c r="E460" s="12">
        <f>IF(441&lt;=B15,B460*B16,"")</f>
        <v/>
      </c>
      <c r="F460" s="12">
        <f>IF(441&lt;=B15,cper,"")</f>
        <v/>
      </c>
      <c r="G460" s="12">
        <f>IF(441&lt;=B15,B460+E460,"")</f>
        <v/>
      </c>
    </row>
    <row r="461">
      <c r="A461">
        <f>IF(442&lt;=B15,442,"")</f>
        <v/>
      </c>
      <c r="B461" s="12">
        <f>IF(442&lt;=B15,IF(442=1,ii,G460)+F461,"")</f>
        <v/>
      </c>
      <c r="E461" s="12">
        <f>IF(442&lt;=B15,B461*B16,"")</f>
        <v/>
      </c>
      <c r="F461" s="12">
        <f>IF(442&lt;=B15,cper,"")</f>
        <v/>
      </c>
      <c r="G461" s="12">
        <f>IF(442&lt;=B15,B461+E461,"")</f>
        <v/>
      </c>
    </row>
    <row r="462">
      <c r="A462">
        <f>IF(443&lt;=B15,443,"")</f>
        <v/>
      </c>
      <c r="B462" s="12">
        <f>IF(443&lt;=B15,IF(443=1,ii,G461)+F462,"")</f>
        <v/>
      </c>
      <c r="E462" s="12">
        <f>IF(443&lt;=B15,B462*B16,"")</f>
        <v/>
      </c>
      <c r="F462" s="12">
        <f>IF(443&lt;=B15,cper,"")</f>
        <v/>
      </c>
      <c r="G462" s="12">
        <f>IF(443&lt;=B15,B462+E462,"")</f>
        <v/>
      </c>
    </row>
    <row r="463">
      <c r="A463">
        <f>IF(444&lt;=B15,444,"")</f>
        <v/>
      </c>
      <c r="B463" s="12">
        <f>IF(444&lt;=B15,IF(444=1,ii,G462)+F463,"")</f>
        <v/>
      </c>
      <c r="E463" s="12">
        <f>IF(444&lt;=B15,B463*B16,"")</f>
        <v/>
      </c>
      <c r="F463" s="12">
        <f>IF(444&lt;=B15,cper,"")</f>
        <v/>
      </c>
      <c r="G463" s="12">
        <f>IF(444&lt;=B15,B463+E463,"")</f>
        <v/>
      </c>
    </row>
    <row r="464">
      <c r="A464">
        <f>IF(445&lt;=B15,445,"")</f>
        <v/>
      </c>
      <c r="B464" s="12">
        <f>IF(445&lt;=B15,IF(445=1,ii,G463)+F464,"")</f>
        <v/>
      </c>
      <c r="E464" s="12">
        <f>IF(445&lt;=B15,B464*B16,"")</f>
        <v/>
      </c>
      <c r="F464" s="12">
        <f>IF(445&lt;=B15,cper,"")</f>
        <v/>
      </c>
      <c r="G464" s="12">
        <f>IF(445&lt;=B15,B464+E464,"")</f>
        <v/>
      </c>
    </row>
    <row r="465">
      <c r="A465">
        <f>IF(446&lt;=B15,446,"")</f>
        <v/>
      </c>
      <c r="B465" s="12">
        <f>IF(446&lt;=B15,IF(446=1,ii,G464)+F465,"")</f>
        <v/>
      </c>
      <c r="E465" s="12">
        <f>IF(446&lt;=B15,B465*B16,"")</f>
        <v/>
      </c>
      <c r="F465" s="12">
        <f>IF(446&lt;=B15,cper,"")</f>
        <v/>
      </c>
      <c r="G465" s="12">
        <f>IF(446&lt;=B15,B465+E465,"")</f>
        <v/>
      </c>
    </row>
    <row r="466">
      <c r="A466">
        <f>IF(447&lt;=B15,447,"")</f>
        <v/>
      </c>
      <c r="B466" s="12">
        <f>IF(447&lt;=B15,IF(447=1,ii,G465)+F466,"")</f>
        <v/>
      </c>
      <c r="E466" s="12">
        <f>IF(447&lt;=B15,B466*B16,"")</f>
        <v/>
      </c>
      <c r="F466" s="12">
        <f>IF(447&lt;=B15,cper,"")</f>
        <v/>
      </c>
      <c r="G466" s="12">
        <f>IF(447&lt;=B15,B466+E466,"")</f>
        <v/>
      </c>
    </row>
    <row r="467">
      <c r="A467">
        <f>IF(448&lt;=B15,448,"")</f>
        <v/>
      </c>
      <c r="B467" s="12">
        <f>IF(448&lt;=B15,IF(448=1,ii,G466)+F467,"")</f>
        <v/>
      </c>
      <c r="E467" s="12">
        <f>IF(448&lt;=B15,B467*B16,"")</f>
        <v/>
      </c>
      <c r="F467" s="12">
        <f>IF(448&lt;=B15,cper,"")</f>
        <v/>
      </c>
      <c r="G467" s="12">
        <f>IF(448&lt;=B15,B467+E467,"")</f>
        <v/>
      </c>
    </row>
    <row r="468">
      <c r="A468">
        <f>IF(449&lt;=B15,449,"")</f>
        <v/>
      </c>
      <c r="B468" s="12">
        <f>IF(449&lt;=B15,IF(449=1,ii,G467)+F468,"")</f>
        <v/>
      </c>
      <c r="E468" s="12">
        <f>IF(449&lt;=B15,B468*B16,"")</f>
        <v/>
      </c>
      <c r="F468" s="12">
        <f>IF(449&lt;=B15,cper,"")</f>
        <v/>
      </c>
      <c r="G468" s="12">
        <f>IF(449&lt;=B15,B468+E468,"")</f>
        <v/>
      </c>
    </row>
    <row r="469">
      <c r="A469">
        <f>IF(450&lt;=B15,450,"")</f>
        <v/>
      </c>
      <c r="B469" s="12">
        <f>IF(450&lt;=B15,IF(450=1,ii,G468)+F469,"")</f>
        <v/>
      </c>
      <c r="E469" s="12">
        <f>IF(450&lt;=B15,B469*B16,"")</f>
        <v/>
      </c>
      <c r="F469" s="12">
        <f>IF(450&lt;=B15,cper,"")</f>
        <v/>
      </c>
      <c r="G469" s="12">
        <f>IF(450&lt;=B15,B469+E469,"")</f>
        <v/>
      </c>
    </row>
    <row r="470">
      <c r="A470">
        <f>IF(451&lt;=B15,451,"")</f>
        <v/>
      </c>
      <c r="B470" s="12">
        <f>IF(451&lt;=B15,IF(451=1,ii,G469)+F470,"")</f>
        <v/>
      </c>
      <c r="E470" s="12">
        <f>IF(451&lt;=B15,B470*B16,"")</f>
        <v/>
      </c>
      <c r="F470" s="12">
        <f>IF(451&lt;=B15,cper,"")</f>
        <v/>
      </c>
      <c r="G470" s="12">
        <f>IF(451&lt;=B15,B470+E470,"")</f>
        <v/>
      </c>
    </row>
    <row r="471">
      <c r="A471">
        <f>IF(452&lt;=B15,452,"")</f>
        <v/>
      </c>
      <c r="B471" s="12">
        <f>IF(452&lt;=B15,IF(452=1,ii,G470)+F471,"")</f>
        <v/>
      </c>
      <c r="E471" s="12">
        <f>IF(452&lt;=B15,B471*B16,"")</f>
        <v/>
      </c>
      <c r="F471" s="12">
        <f>IF(452&lt;=B15,cper,"")</f>
        <v/>
      </c>
      <c r="G471" s="12">
        <f>IF(452&lt;=B15,B471+E471,"")</f>
        <v/>
      </c>
    </row>
    <row r="472">
      <c r="A472">
        <f>IF(453&lt;=B15,453,"")</f>
        <v/>
      </c>
      <c r="B472" s="12">
        <f>IF(453&lt;=B15,IF(453=1,ii,G471)+F472,"")</f>
        <v/>
      </c>
      <c r="E472" s="12">
        <f>IF(453&lt;=B15,B472*B16,"")</f>
        <v/>
      </c>
      <c r="F472" s="12">
        <f>IF(453&lt;=B15,cper,"")</f>
        <v/>
      </c>
      <c r="G472" s="12">
        <f>IF(453&lt;=B15,B472+E472,"")</f>
        <v/>
      </c>
    </row>
    <row r="473">
      <c r="A473">
        <f>IF(454&lt;=B15,454,"")</f>
        <v/>
      </c>
      <c r="B473" s="12">
        <f>IF(454&lt;=B15,IF(454=1,ii,G472)+F473,"")</f>
        <v/>
      </c>
      <c r="E473" s="12">
        <f>IF(454&lt;=B15,B473*B16,"")</f>
        <v/>
      </c>
      <c r="F473" s="12">
        <f>IF(454&lt;=B15,cper,"")</f>
        <v/>
      </c>
      <c r="G473" s="12">
        <f>IF(454&lt;=B15,B473+E473,"")</f>
        <v/>
      </c>
    </row>
    <row r="474">
      <c r="A474">
        <f>IF(455&lt;=B15,455,"")</f>
        <v/>
      </c>
      <c r="B474" s="12">
        <f>IF(455&lt;=B15,IF(455=1,ii,G473)+F474,"")</f>
        <v/>
      </c>
      <c r="E474" s="12">
        <f>IF(455&lt;=B15,B474*B16,"")</f>
        <v/>
      </c>
      <c r="F474" s="12">
        <f>IF(455&lt;=B15,cper,"")</f>
        <v/>
      </c>
      <c r="G474" s="12">
        <f>IF(455&lt;=B15,B474+E474,"")</f>
        <v/>
      </c>
    </row>
    <row r="475">
      <c r="A475">
        <f>IF(456&lt;=B15,456,"")</f>
        <v/>
      </c>
      <c r="B475" s="12">
        <f>IF(456&lt;=B15,IF(456=1,ii,G474)+F475,"")</f>
        <v/>
      </c>
      <c r="E475" s="12">
        <f>IF(456&lt;=B15,B475*B16,"")</f>
        <v/>
      </c>
      <c r="F475" s="12">
        <f>IF(456&lt;=B15,cper,"")</f>
        <v/>
      </c>
      <c r="G475" s="12">
        <f>IF(456&lt;=B15,B475+E475,"")</f>
        <v/>
      </c>
    </row>
    <row r="476">
      <c r="A476">
        <f>IF(457&lt;=B15,457,"")</f>
        <v/>
      </c>
      <c r="B476" s="12">
        <f>IF(457&lt;=B15,IF(457=1,ii,G475)+F476,"")</f>
        <v/>
      </c>
      <c r="E476" s="12">
        <f>IF(457&lt;=B15,B476*B16,"")</f>
        <v/>
      </c>
      <c r="F476" s="12">
        <f>IF(457&lt;=B15,cper,"")</f>
        <v/>
      </c>
      <c r="G476" s="12">
        <f>IF(457&lt;=B15,B476+E476,"")</f>
        <v/>
      </c>
    </row>
    <row r="477">
      <c r="A477">
        <f>IF(458&lt;=B15,458,"")</f>
        <v/>
      </c>
      <c r="B477" s="12">
        <f>IF(458&lt;=B15,IF(458=1,ii,G476)+F477,"")</f>
        <v/>
      </c>
      <c r="E477" s="12">
        <f>IF(458&lt;=B15,B477*B16,"")</f>
        <v/>
      </c>
      <c r="F477" s="12">
        <f>IF(458&lt;=B15,cper,"")</f>
        <v/>
      </c>
      <c r="G477" s="12">
        <f>IF(458&lt;=B15,B477+E477,"")</f>
        <v/>
      </c>
    </row>
    <row r="478">
      <c r="A478">
        <f>IF(459&lt;=B15,459,"")</f>
        <v/>
      </c>
      <c r="B478" s="12">
        <f>IF(459&lt;=B15,IF(459=1,ii,G477)+F478,"")</f>
        <v/>
      </c>
      <c r="E478" s="12">
        <f>IF(459&lt;=B15,B478*B16,"")</f>
        <v/>
      </c>
      <c r="F478" s="12">
        <f>IF(459&lt;=B15,cper,"")</f>
        <v/>
      </c>
      <c r="G478" s="12">
        <f>IF(459&lt;=B15,B478+E478,"")</f>
        <v/>
      </c>
    </row>
    <row r="479">
      <c r="A479">
        <f>IF(460&lt;=B15,460,"")</f>
        <v/>
      </c>
      <c r="B479" s="12">
        <f>IF(460&lt;=B15,IF(460=1,ii,G478)+F479,"")</f>
        <v/>
      </c>
      <c r="E479" s="12">
        <f>IF(460&lt;=B15,B479*B16,"")</f>
        <v/>
      </c>
      <c r="F479" s="12">
        <f>IF(460&lt;=B15,cper,"")</f>
        <v/>
      </c>
      <c r="G479" s="12">
        <f>IF(460&lt;=B15,B479+E479,"")</f>
        <v/>
      </c>
    </row>
    <row r="480">
      <c r="A480">
        <f>IF(461&lt;=B15,461,"")</f>
        <v/>
      </c>
      <c r="B480" s="12">
        <f>IF(461&lt;=B15,IF(461=1,ii,G479)+F480,"")</f>
        <v/>
      </c>
      <c r="E480" s="12">
        <f>IF(461&lt;=B15,B480*B16,"")</f>
        <v/>
      </c>
      <c r="F480" s="12">
        <f>IF(461&lt;=B15,cper,"")</f>
        <v/>
      </c>
      <c r="G480" s="12">
        <f>IF(461&lt;=B15,B480+E480,"")</f>
        <v/>
      </c>
    </row>
    <row r="481">
      <c r="A481">
        <f>IF(462&lt;=B15,462,"")</f>
        <v/>
      </c>
      <c r="B481" s="12">
        <f>IF(462&lt;=B15,IF(462=1,ii,G480)+F481,"")</f>
        <v/>
      </c>
      <c r="E481" s="12">
        <f>IF(462&lt;=B15,B481*B16,"")</f>
        <v/>
      </c>
      <c r="F481" s="12">
        <f>IF(462&lt;=B15,cper,"")</f>
        <v/>
      </c>
      <c r="G481" s="12">
        <f>IF(462&lt;=B15,B481+E481,"")</f>
        <v/>
      </c>
    </row>
    <row r="482">
      <c r="A482">
        <f>IF(463&lt;=B15,463,"")</f>
        <v/>
      </c>
      <c r="B482" s="12">
        <f>IF(463&lt;=B15,IF(463=1,ii,G481)+F482,"")</f>
        <v/>
      </c>
      <c r="E482" s="12">
        <f>IF(463&lt;=B15,B482*B16,"")</f>
        <v/>
      </c>
      <c r="F482" s="12">
        <f>IF(463&lt;=B15,cper,"")</f>
        <v/>
      </c>
      <c r="G482" s="12">
        <f>IF(463&lt;=B15,B482+E482,"")</f>
        <v/>
      </c>
    </row>
    <row r="483">
      <c r="A483">
        <f>IF(464&lt;=B15,464,"")</f>
        <v/>
      </c>
      <c r="B483" s="12">
        <f>IF(464&lt;=B15,IF(464=1,ii,G482)+F483,"")</f>
        <v/>
      </c>
      <c r="E483" s="12">
        <f>IF(464&lt;=B15,B483*B16,"")</f>
        <v/>
      </c>
      <c r="F483" s="12">
        <f>IF(464&lt;=B15,cper,"")</f>
        <v/>
      </c>
      <c r="G483" s="12">
        <f>IF(464&lt;=B15,B483+E483,"")</f>
        <v/>
      </c>
    </row>
    <row r="484">
      <c r="A484">
        <f>IF(465&lt;=B15,465,"")</f>
        <v/>
      </c>
      <c r="B484" s="12">
        <f>IF(465&lt;=B15,IF(465=1,ii,G483)+F484,"")</f>
        <v/>
      </c>
      <c r="E484" s="12">
        <f>IF(465&lt;=B15,B484*B16,"")</f>
        <v/>
      </c>
      <c r="F484" s="12">
        <f>IF(465&lt;=B15,cper,"")</f>
        <v/>
      </c>
      <c r="G484" s="12">
        <f>IF(465&lt;=B15,B484+E484,"")</f>
        <v/>
      </c>
    </row>
    <row r="485">
      <c r="A485">
        <f>IF(466&lt;=B15,466,"")</f>
        <v/>
      </c>
      <c r="B485" s="12">
        <f>IF(466&lt;=B15,IF(466=1,ii,G484)+F485,"")</f>
        <v/>
      </c>
      <c r="E485" s="12">
        <f>IF(466&lt;=B15,B485*B16,"")</f>
        <v/>
      </c>
      <c r="F485" s="12">
        <f>IF(466&lt;=B15,cper,"")</f>
        <v/>
      </c>
      <c r="G485" s="12">
        <f>IF(466&lt;=B15,B485+E485,"")</f>
        <v/>
      </c>
    </row>
    <row r="486">
      <c r="A486">
        <f>IF(467&lt;=B15,467,"")</f>
        <v/>
      </c>
      <c r="B486" s="12">
        <f>IF(467&lt;=B15,IF(467=1,ii,G485)+F486,"")</f>
        <v/>
      </c>
      <c r="E486" s="12">
        <f>IF(467&lt;=B15,B486*B16,"")</f>
        <v/>
      </c>
      <c r="F486" s="12">
        <f>IF(467&lt;=B15,cper,"")</f>
        <v/>
      </c>
      <c r="G486" s="12">
        <f>IF(467&lt;=B15,B486+E486,"")</f>
        <v/>
      </c>
    </row>
    <row r="487">
      <c r="A487">
        <f>IF(468&lt;=B15,468,"")</f>
        <v/>
      </c>
      <c r="B487" s="12">
        <f>IF(468&lt;=B15,IF(468=1,ii,G486)+F487,"")</f>
        <v/>
      </c>
      <c r="E487" s="12">
        <f>IF(468&lt;=B15,B487*B16,"")</f>
        <v/>
      </c>
      <c r="F487" s="12">
        <f>IF(468&lt;=B15,cper,"")</f>
        <v/>
      </c>
      <c r="G487" s="12">
        <f>IF(468&lt;=B15,B487+E487,"")</f>
        <v/>
      </c>
    </row>
    <row r="488">
      <c r="A488">
        <f>IF(469&lt;=B15,469,"")</f>
        <v/>
      </c>
      <c r="B488" s="12">
        <f>IF(469&lt;=B15,IF(469=1,ii,G487)+F488,"")</f>
        <v/>
      </c>
      <c r="E488" s="12">
        <f>IF(469&lt;=B15,B488*B16,"")</f>
        <v/>
      </c>
      <c r="F488" s="12">
        <f>IF(469&lt;=B15,cper,"")</f>
        <v/>
      </c>
      <c r="G488" s="12">
        <f>IF(469&lt;=B15,B488+E488,"")</f>
        <v/>
      </c>
    </row>
    <row r="489">
      <c r="A489">
        <f>IF(470&lt;=B15,470,"")</f>
        <v/>
      </c>
      <c r="B489" s="12">
        <f>IF(470&lt;=B15,IF(470=1,ii,G488)+F489,"")</f>
        <v/>
      </c>
      <c r="E489" s="12">
        <f>IF(470&lt;=B15,B489*B16,"")</f>
        <v/>
      </c>
      <c r="F489" s="12">
        <f>IF(470&lt;=B15,cper,"")</f>
        <v/>
      </c>
      <c r="G489" s="12">
        <f>IF(470&lt;=B15,B489+E489,"")</f>
        <v/>
      </c>
    </row>
    <row r="490">
      <c r="A490">
        <f>IF(471&lt;=B15,471,"")</f>
        <v/>
      </c>
      <c r="B490" s="12">
        <f>IF(471&lt;=B15,IF(471=1,ii,G489)+F490,"")</f>
        <v/>
      </c>
      <c r="E490" s="12">
        <f>IF(471&lt;=B15,B490*B16,"")</f>
        <v/>
      </c>
      <c r="F490" s="12">
        <f>IF(471&lt;=B15,cper,"")</f>
        <v/>
      </c>
      <c r="G490" s="12">
        <f>IF(471&lt;=B15,B490+E490,"")</f>
        <v/>
      </c>
    </row>
    <row r="491">
      <c r="A491">
        <f>IF(472&lt;=B15,472,"")</f>
        <v/>
      </c>
      <c r="B491" s="12">
        <f>IF(472&lt;=B15,IF(472=1,ii,G490)+F491,"")</f>
        <v/>
      </c>
      <c r="E491" s="12">
        <f>IF(472&lt;=B15,B491*B16,"")</f>
        <v/>
      </c>
      <c r="F491" s="12">
        <f>IF(472&lt;=B15,cper,"")</f>
        <v/>
      </c>
      <c r="G491" s="12">
        <f>IF(472&lt;=B15,B491+E491,"")</f>
        <v/>
      </c>
    </row>
    <row r="492">
      <c r="A492">
        <f>IF(473&lt;=B15,473,"")</f>
        <v/>
      </c>
      <c r="B492" s="12">
        <f>IF(473&lt;=B15,IF(473=1,ii,G491)+F492,"")</f>
        <v/>
      </c>
      <c r="E492" s="12">
        <f>IF(473&lt;=B15,B492*B16,"")</f>
        <v/>
      </c>
      <c r="F492" s="12">
        <f>IF(473&lt;=B15,cper,"")</f>
        <v/>
      </c>
      <c r="G492" s="12">
        <f>IF(473&lt;=B15,B492+E492,"")</f>
        <v/>
      </c>
    </row>
    <row r="493">
      <c r="A493">
        <f>IF(474&lt;=B15,474,"")</f>
        <v/>
      </c>
      <c r="B493" s="12">
        <f>IF(474&lt;=B15,IF(474=1,ii,G492)+F493,"")</f>
        <v/>
      </c>
      <c r="E493" s="12">
        <f>IF(474&lt;=B15,B493*B16,"")</f>
        <v/>
      </c>
      <c r="F493" s="12">
        <f>IF(474&lt;=B15,cper,"")</f>
        <v/>
      </c>
      <c r="G493" s="12">
        <f>IF(474&lt;=B15,B493+E493,"")</f>
        <v/>
      </c>
    </row>
    <row r="494">
      <c r="A494">
        <f>IF(475&lt;=B15,475,"")</f>
        <v/>
      </c>
      <c r="B494" s="12">
        <f>IF(475&lt;=B15,IF(475=1,ii,G493)+F494,"")</f>
        <v/>
      </c>
      <c r="E494" s="12">
        <f>IF(475&lt;=B15,B494*B16,"")</f>
        <v/>
      </c>
      <c r="F494" s="12">
        <f>IF(475&lt;=B15,cper,"")</f>
        <v/>
      </c>
      <c r="G494" s="12">
        <f>IF(475&lt;=B15,B494+E494,"")</f>
        <v/>
      </c>
    </row>
    <row r="495">
      <c r="A495">
        <f>IF(476&lt;=B15,476,"")</f>
        <v/>
      </c>
      <c r="B495" s="12">
        <f>IF(476&lt;=B15,IF(476=1,ii,G494)+F495,"")</f>
        <v/>
      </c>
      <c r="E495" s="12">
        <f>IF(476&lt;=B15,B495*B16,"")</f>
        <v/>
      </c>
      <c r="F495" s="12">
        <f>IF(476&lt;=B15,cper,"")</f>
        <v/>
      </c>
      <c r="G495" s="12">
        <f>IF(476&lt;=B15,B495+E495,"")</f>
        <v/>
      </c>
    </row>
    <row r="496">
      <c r="A496">
        <f>IF(477&lt;=B15,477,"")</f>
        <v/>
      </c>
      <c r="B496" s="12">
        <f>IF(477&lt;=B15,IF(477=1,ii,G495)+F496,"")</f>
        <v/>
      </c>
      <c r="E496" s="12">
        <f>IF(477&lt;=B15,B496*B16,"")</f>
        <v/>
      </c>
      <c r="F496" s="12">
        <f>IF(477&lt;=B15,cper,"")</f>
        <v/>
      </c>
      <c r="G496" s="12">
        <f>IF(477&lt;=B15,B496+E496,"")</f>
        <v/>
      </c>
    </row>
    <row r="497">
      <c r="A497">
        <f>IF(478&lt;=B15,478,"")</f>
        <v/>
      </c>
      <c r="B497" s="12">
        <f>IF(478&lt;=B15,IF(478=1,ii,G496)+F497,"")</f>
        <v/>
      </c>
      <c r="E497" s="12">
        <f>IF(478&lt;=B15,B497*B16,"")</f>
        <v/>
      </c>
      <c r="F497" s="12">
        <f>IF(478&lt;=B15,cper,"")</f>
        <v/>
      </c>
      <c r="G497" s="12">
        <f>IF(478&lt;=B15,B497+E497,"")</f>
        <v/>
      </c>
    </row>
    <row r="498">
      <c r="A498">
        <f>IF(479&lt;=B15,479,"")</f>
        <v/>
      </c>
      <c r="B498" s="12">
        <f>IF(479&lt;=B15,IF(479=1,ii,G497)+F498,"")</f>
        <v/>
      </c>
      <c r="E498" s="12">
        <f>IF(479&lt;=B15,B498*B16,"")</f>
        <v/>
      </c>
      <c r="F498" s="12">
        <f>IF(479&lt;=B15,cper,"")</f>
        <v/>
      </c>
      <c r="G498" s="12">
        <f>IF(479&lt;=B15,B498+E498,"")</f>
        <v/>
      </c>
    </row>
    <row r="499">
      <c r="A499">
        <f>IF(480&lt;=B15,480,"")</f>
        <v/>
      </c>
      <c r="B499" s="12">
        <f>IF(480&lt;=B15,IF(480=1,ii,G498)+F499,"")</f>
        <v/>
      </c>
      <c r="E499" s="12">
        <f>IF(480&lt;=B15,B499*B16,"")</f>
        <v/>
      </c>
      <c r="F499" s="12">
        <f>IF(480&lt;=B15,cper,"")</f>
        <v/>
      </c>
      <c r="G499" s="12">
        <f>IF(480&lt;=B15,B499+E499,"")</f>
        <v/>
      </c>
    </row>
    <row r="500">
      <c r="A500">
        <f>IF(481&lt;=B15,481,"")</f>
        <v/>
      </c>
      <c r="B500" s="12">
        <f>IF(481&lt;=B15,IF(481=1,ii,G499)+F500,"")</f>
        <v/>
      </c>
      <c r="E500" s="12">
        <f>IF(481&lt;=B15,B500*B16,"")</f>
        <v/>
      </c>
      <c r="F500" s="12">
        <f>IF(481&lt;=B15,cper,"")</f>
        <v/>
      </c>
      <c r="G500" s="12">
        <f>IF(481&lt;=B15,B500+E500,"")</f>
        <v/>
      </c>
    </row>
    <row r="501">
      <c r="A501">
        <f>IF(482&lt;=B15,482,"")</f>
        <v/>
      </c>
      <c r="B501" s="12">
        <f>IF(482&lt;=B15,IF(482=1,ii,G500)+F501,"")</f>
        <v/>
      </c>
      <c r="E501" s="12">
        <f>IF(482&lt;=B15,B501*B16,"")</f>
        <v/>
      </c>
      <c r="F501" s="12">
        <f>IF(482&lt;=B15,cper,"")</f>
        <v/>
      </c>
      <c r="G501" s="12">
        <f>IF(482&lt;=B15,B501+E501,"")</f>
        <v/>
      </c>
    </row>
    <row r="502">
      <c r="A502">
        <f>IF(483&lt;=B15,483,"")</f>
        <v/>
      </c>
      <c r="B502" s="12">
        <f>IF(483&lt;=B15,IF(483=1,ii,G501)+F502,"")</f>
        <v/>
      </c>
      <c r="E502" s="12">
        <f>IF(483&lt;=B15,B502*B16,"")</f>
        <v/>
      </c>
      <c r="F502" s="12">
        <f>IF(483&lt;=B15,cper,"")</f>
        <v/>
      </c>
      <c r="G502" s="12">
        <f>IF(483&lt;=B15,B502+E502,"")</f>
        <v/>
      </c>
    </row>
    <row r="503">
      <c r="A503">
        <f>IF(484&lt;=B15,484,"")</f>
        <v/>
      </c>
      <c r="B503" s="12">
        <f>IF(484&lt;=B15,IF(484=1,ii,G502)+F503,"")</f>
        <v/>
      </c>
      <c r="E503" s="12">
        <f>IF(484&lt;=B15,B503*B16,"")</f>
        <v/>
      </c>
      <c r="F503" s="12">
        <f>IF(484&lt;=B15,cper,"")</f>
        <v/>
      </c>
      <c r="G503" s="12">
        <f>IF(484&lt;=B15,B503+E503,"")</f>
        <v/>
      </c>
    </row>
    <row r="504">
      <c r="A504">
        <f>IF(485&lt;=B15,485,"")</f>
        <v/>
      </c>
      <c r="B504" s="12">
        <f>IF(485&lt;=B15,IF(485=1,ii,G503)+F504,"")</f>
        <v/>
      </c>
      <c r="E504" s="12">
        <f>IF(485&lt;=B15,B504*B16,"")</f>
        <v/>
      </c>
      <c r="F504" s="12">
        <f>IF(485&lt;=B15,cper,"")</f>
        <v/>
      </c>
      <c r="G504" s="12">
        <f>IF(485&lt;=B15,B504+E504,"")</f>
        <v/>
      </c>
    </row>
    <row r="505">
      <c r="A505">
        <f>IF(486&lt;=B15,486,"")</f>
        <v/>
      </c>
      <c r="B505" s="12">
        <f>IF(486&lt;=B15,IF(486=1,ii,G504)+F505,"")</f>
        <v/>
      </c>
      <c r="E505" s="12">
        <f>IF(486&lt;=B15,B505*B16,"")</f>
        <v/>
      </c>
      <c r="F505" s="12">
        <f>IF(486&lt;=B15,cper,"")</f>
        <v/>
      </c>
      <c r="G505" s="12">
        <f>IF(486&lt;=B15,B505+E505,"")</f>
        <v/>
      </c>
    </row>
    <row r="506">
      <c r="A506">
        <f>IF(487&lt;=B15,487,"")</f>
        <v/>
      </c>
      <c r="B506" s="12">
        <f>IF(487&lt;=B15,IF(487=1,ii,G505)+F506,"")</f>
        <v/>
      </c>
      <c r="E506" s="12">
        <f>IF(487&lt;=B15,B506*B16,"")</f>
        <v/>
      </c>
      <c r="F506" s="12">
        <f>IF(487&lt;=B15,cper,"")</f>
        <v/>
      </c>
      <c r="G506" s="12">
        <f>IF(487&lt;=B15,B506+E506,"")</f>
        <v/>
      </c>
    </row>
    <row r="507">
      <c r="A507">
        <f>IF(488&lt;=B15,488,"")</f>
        <v/>
      </c>
      <c r="B507" s="12">
        <f>IF(488&lt;=B15,IF(488=1,ii,G506)+F507,"")</f>
        <v/>
      </c>
      <c r="E507" s="12">
        <f>IF(488&lt;=B15,B507*B16,"")</f>
        <v/>
      </c>
      <c r="F507" s="12">
        <f>IF(488&lt;=B15,cper,"")</f>
        <v/>
      </c>
      <c r="G507" s="12">
        <f>IF(488&lt;=B15,B507+E507,"")</f>
        <v/>
      </c>
    </row>
    <row r="508">
      <c r="A508">
        <f>IF(489&lt;=B15,489,"")</f>
        <v/>
      </c>
      <c r="B508" s="12">
        <f>IF(489&lt;=B15,IF(489=1,ii,G507)+F508,"")</f>
        <v/>
      </c>
      <c r="E508" s="12">
        <f>IF(489&lt;=B15,B508*B16,"")</f>
        <v/>
      </c>
      <c r="F508" s="12">
        <f>IF(489&lt;=B15,cper,"")</f>
        <v/>
      </c>
      <c r="G508" s="12">
        <f>IF(489&lt;=B15,B508+E508,"")</f>
        <v/>
      </c>
    </row>
    <row r="509">
      <c r="A509">
        <f>IF(490&lt;=B15,490,"")</f>
        <v/>
      </c>
      <c r="B509" s="12">
        <f>IF(490&lt;=B15,IF(490=1,ii,G508)+F509,"")</f>
        <v/>
      </c>
      <c r="E509" s="12">
        <f>IF(490&lt;=B15,B509*B16,"")</f>
        <v/>
      </c>
      <c r="F509" s="12">
        <f>IF(490&lt;=B15,cper,"")</f>
        <v/>
      </c>
      <c r="G509" s="12">
        <f>IF(490&lt;=B15,B509+E509,"")</f>
        <v/>
      </c>
    </row>
    <row r="510">
      <c r="A510">
        <f>IF(491&lt;=B15,491,"")</f>
        <v/>
      </c>
      <c r="B510" s="12">
        <f>IF(491&lt;=B15,IF(491=1,ii,G509)+F510,"")</f>
        <v/>
      </c>
      <c r="E510" s="12">
        <f>IF(491&lt;=B15,B510*B16,"")</f>
        <v/>
      </c>
      <c r="F510" s="12">
        <f>IF(491&lt;=B15,cper,"")</f>
        <v/>
      </c>
      <c r="G510" s="12">
        <f>IF(491&lt;=B15,B510+E510,"")</f>
        <v/>
      </c>
    </row>
    <row r="511">
      <c r="A511">
        <f>IF(492&lt;=B15,492,"")</f>
        <v/>
      </c>
      <c r="B511" s="12">
        <f>IF(492&lt;=B15,IF(492=1,ii,G510)+F511,"")</f>
        <v/>
      </c>
      <c r="E511" s="12">
        <f>IF(492&lt;=B15,B511*B16,"")</f>
        <v/>
      </c>
      <c r="F511" s="12">
        <f>IF(492&lt;=B15,cper,"")</f>
        <v/>
      </c>
      <c r="G511" s="12">
        <f>IF(492&lt;=B15,B511+E511,"")</f>
        <v/>
      </c>
    </row>
    <row r="512">
      <c r="A512">
        <f>IF(493&lt;=B15,493,"")</f>
        <v/>
      </c>
      <c r="B512" s="12">
        <f>IF(493&lt;=B15,IF(493=1,ii,G511)+F512,"")</f>
        <v/>
      </c>
      <c r="E512" s="12">
        <f>IF(493&lt;=B15,B512*B16,"")</f>
        <v/>
      </c>
      <c r="F512" s="12">
        <f>IF(493&lt;=B15,cper,"")</f>
        <v/>
      </c>
      <c r="G512" s="12">
        <f>IF(493&lt;=B15,B512+E512,"")</f>
        <v/>
      </c>
    </row>
    <row r="513">
      <c r="A513">
        <f>IF(494&lt;=B15,494,"")</f>
        <v/>
      </c>
      <c r="B513" s="12">
        <f>IF(494&lt;=B15,IF(494=1,ii,G512)+F513,"")</f>
        <v/>
      </c>
      <c r="E513" s="12">
        <f>IF(494&lt;=B15,B513*B16,"")</f>
        <v/>
      </c>
      <c r="F513" s="12">
        <f>IF(494&lt;=B15,cper,"")</f>
        <v/>
      </c>
      <c r="G513" s="12">
        <f>IF(494&lt;=B15,B513+E513,"")</f>
        <v/>
      </c>
    </row>
    <row r="514">
      <c r="A514">
        <f>IF(495&lt;=B15,495,"")</f>
        <v/>
      </c>
      <c r="B514" s="12">
        <f>IF(495&lt;=B15,IF(495=1,ii,G513)+F514,"")</f>
        <v/>
      </c>
      <c r="E514" s="12">
        <f>IF(495&lt;=B15,B514*B16,"")</f>
        <v/>
      </c>
      <c r="F514" s="12">
        <f>IF(495&lt;=B15,cper,"")</f>
        <v/>
      </c>
      <c r="G514" s="12">
        <f>IF(495&lt;=B15,B514+E514,"")</f>
        <v/>
      </c>
    </row>
    <row r="515">
      <c r="A515">
        <f>IF(496&lt;=B15,496,"")</f>
        <v/>
      </c>
      <c r="B515" s="12">
        <f>IF(496&lt;=B15,IF(496=1,ii,G514)+F515,"")</f>
        <v/>
      </c>
      <c r="E515" s="12">
        <f>IF(496&lt;=B15,B515*B16,"")</f>
        <v/>
      </c>
      <c r="F515" s="12">
        <f>IF(496&lt;=B15,cper,"")</f>
        <v/>
      </c>
      <c r="G515" s="12">
        <f>IF(496&lt;=B15,B515+E515,"")</f>
        <v/>
      </c>
    </row>
    <row r="516">
      <c r="A516">
        <f>IF(497&lt;=B15,497,"")</f>
        <v/>
      </c>
      <c r="B516" s="12">
        <f>IF(497&lt;=B15,IF(497=1,ii,G515)+F516,"")</f>
        <v/>
      </c>
      <c r="E516" s="12">
        <f>IF(497&lt;=B15,B516*B16,"")</f>
        <v/>
      </c>
      <c r="F516" s="12">
        <f>IF(497&lt;=B15,cper,"")</f>
        <v/>
      </c>
      <c r="G516" s="12">
        <f>IF(497&lt;=B15,B516+E516,"")</f>
        <v/>
      </c>
    </row>
    <row r="517">
      <c r="A517">
        <f>IF(498&lt;=B15,498,"")</f>
        <v/>
      </c>
      <c r="B517" s="12">
        <f>IF(498&lt;=B15,IF(498=1,ii,G516)+F517,"")</f>
        <v/>
      </c>
      <c r="E517" s="12">
        <f>IF(498&lt;=B15,B517*B16,"")</f>
        <v/>
      </c>
      <c r="F517" s="12">
        <f>IF(498&lt;=B15,cper,"")</f>
        <v/>
      </c>
      <c r="G517" s="12">
        <f>IF(498&lt;=B15,B517+E517,"")</f>
        <v/>
      </c>
    </row>
    <row r="518">
      <c r="A518">
        <f>IF(499&lt;=B15,499,"")</f>
        <v/>
      </c>
      <c r="B518" s="12">
        <f>IF(499&lt;=B15,IF(499=1,ii,G517)+F518,"")</f>
        <v/>
      </c>
      <c r="E518" s="12">
        <f>IF(499&lt;=B15,B518*B16,"")</f>
        <v/>
      </c>
      <c r="F518" s="12">
        <f>IF(499&lt;=B15,cper,"")</f>
        <v/>
      </c>
      <c r="G518" s="12">
        <f>IF(499&lt;=B15,B518+E518,"")</f>
        <v/>
      </c>
    </row>
    <row r="519">
      <c r="A519">
        <f>IF(500&lt;=B15,500,"")</f>
        <v/>
      </c>
      <c r="B519" s="12">
        <f>IF(500&lt;=B15,IF(500=1,ii,G518)+F519,"")</f>
        <v/>
      </c>
      <c r="E519" s="12">
        <f>IF(500&lt;=B15,B519*B16,"")</f>
        <v/>
      </c>
      <c r="F519" s="12">
        <f>IF(500&lt;=B15,cper,"")</f>
        <v/>
      </c>
      <c r="G519" s="12">
        <f>IF(500&lt;=B15,B519+E519,"")</f>
        <v/>
      </c>
    </row>
    <row r="520">
      <c r="A520">
        <f>IF(501&lt;=B15,501,"")</f>
        <v/>
      </c>
      <c r="B520" s="12">
        <f>IF(501&lt;=B15,IF(501=1,ii,G519)+F520,"")</f>
        <v/>
      </c>
      <c r="E520" s="12">
        <f>IF(501&lt;=B15,B520*B16,"")</f>
        <v/>
      </c>
      <c r="F520" s="12">
        <f>IF(501&lt;=B15,cper,"")</f>
        <v/>
      </c>
      <c r="G520" s="12">
        <f>IF(501&lt;=B15,B520+E520,"")</f>
        <v/>
      </c>
    </row>
    <row r="521">
      <c r="A521">
        <f>IF(502&lt;=B15,502,"")</f>
        <v/>
      </c>
      <c r="B521" s="12">
        <f>IF(502&lt;=B15,IF(502=1,ii,G520)+F521,"")</f>
        <v/>
      </c>
      <c r="E521" s="12">
        <f>IF(502&lt;=B15,B521*B16,"")</f>
        <v/>
      </c>
      <c r="F521" s="12">
        <f>IF(502&lt;=B15,cper,"")</f>
        <v/>
      </c>
      <c r="G521" s="12">
        <f>IF(502&lt;=B15,B521+E521,"")</f>
        <v/>
      </c>
    </row>
    <row r="522">
      <c r="A522">
        <f>IF(503&lt;=B15,503,"")</f>
        <v/>
      </c>
      <c r="B522" s="12">
        <f>IF(503&lt;=B15,IF(503=1,ii,G521)+F522,"")</f>
        <v/>
      </c>
      <c r="E522" s="12">
        <f>IF(503&lt;=B15,B522*B16,"")</f>
        <v/>
      </c>
      <c r="F522" s="12">
        <f>IF(503&lt;=B15,cper,"")</f>
        <v/>
      </c>
      <c r="G522" s="12">
        <f>IF(503&lt;=B15,B522+E522,"")</f>
        <v/>
      </c>
    </row>
    <row r="523">
      <c r="A523">
        <f>IF(504&lt;=B15,504,"")</f>
        <v/>
      </c>
      <c r="B523" s="12">
        <f>IF(504&lt;=B15,IF(504=1,ii,G522)+F523,"")</f>
        <v/>
      </c>
      <c r="E523" s="12">
        <f>IF(504&lt;=B15,B523*B16,"")</f>
        <v/>
      </c>
      <c r="F523" s="12">
        <f>IF(504&lt;=B15,cper,"")</f>
        <v/>
      </c>
      <c r="G523" s="12">
        <f>IF(504&lt;=B15,B523+E523,"")</f>
        <v/>
      </c>
    </row>
    <row r="524">
      <c r="A524">
        <f>IF(505&lt;=B15,505,"")</f>
        <v/>
      </c>
      <c r="B524" s="12">
        <f>IF(505&lt;=B15,IF(505=1,ii,G523)+F524,"")</f>
        <v/>
      </c>
      <c r="E524" s="12">
        <f>IF(505&lt;=B15,B524*B16,"")</f>
        <v/>
      </c>
      <c r="F524" s="12">
        <f>IF(505&lt;=B15,cper,"")</f>
        <v/>
      </c>
      <c r="G524" s="12">
        <f>IF(505&lt;=B15,B524+E524,"")</f>
        <v/>
      </c>
    </row>
    <row r="525">
      <c r="A525">
        <f>IF(506&lt;=B15,506,"")</f>
        <v/>
      </c>
      <c r="B525" s="12">
        <f>IF(506&lt;=B15,IF(506=1,ii,G524)+F525,"")</f>
        <v/>
      </c>
      <c r="E525" s="12">
        <f>IF(506&lt;=B15,B525*B16,"")</f>
        <v/>
      </c>
      <c r="F525" s="12">
        <f>IF(506&lt;=B15,cper,"")</f>
        <v/>
      </c>
      <c r="G525" s="12">
        <f>IF(506&lt;=B15,B525+E525,"")</f>
        <v/>
      </c>
    </row>
    <row r="526">
      <c r="A526">
        <f>IF(507&lt;=B15,507,"")</f>
        <v/>
      </c>
      <c r="B526" s="12">
        <f>IF(507&lt;=B15,IF(507=1,ii,G525)+F526,"")</f>
        <v/>
      </c>
      <c r="E526" s="12">
        <f>IF(507&lt;=B15,B526*B16,"")</f>
        <v/>
      </c>
      <c r="F526" s="12">
        <f>IF(507&lt;=B15,cper,"")</f>
        <v/>
      </c>
      <c r="G526" s="12">
        <f>IF(507&lt;=B15,B526+E526,"")</f>
        <v/>
      </c>
    </row>
    <row r="527">
      <c r="A527">
        <f>IF(508&lt;=B15,508,"")</f>
        <v/>
      </c>
      <c r="B527" s="12">
        <f>IF(508&lt;=B15,IF(508=1,ii,G526)+F527,"")</f>
        <v/>
      </c>
      <c r="E527" s="12">
        <f>IF(508&lt;=B15,B527*B16,"")</f>
        <v/>
      </c>
      <c r="F527" s="12">
        <f>IF(508&lt;=B15,cper,"")</f>
        <v/>
      </c>
      <c r="G527" s="12">
        <f>IF(508&lt;=B15,B527+E527,"")</f>
        <v/>
      </c>
    </row>
    <row r="528">
      <c r="A528">
        <f>IF(509&lt;=B15,509,"")</f>
        <v/>
      </c>
      <c r="B528" s="12">
        <f>IF(509&lt;=B15,IF(509=1,ii,G527)+F528,"")</f>
        <v/>
      </c>
      <c r="E528" s="12">
        <f>IF(509&lt;=B15,B528*B16,"")</f>
        <v/>
      </c>
      <c r="F528" s="12">
        <f>IF(509&lt;=B15,cper,"")</f>
        <v/>
      </c>
      <c r="G528" s="12">
        <f>IF(509&lt;=B15,B528+E528,"")</f>
        <v/>
      </c>
    </row>
    <row r="529">
      <c r="A529">
        <f>IF(510&lt;=B15,510,"")</f>
        <v/>
      </c>
      <c r="B529" s="12">
        <f>IF(510&lt;=B15,IF(510=1,ii,G528)+F529,"")</f>
        <v/>
      </c>
      <c r="E529" s="12">
        <f>IF(510&lt;=B15,B529*B16,"")</f>
        <v/>
      </c>
      <c r="F529" s="12">
        <f>IF(510&lt;=B15,cper,"")</f>
        <v/>
      </c>
      <c r="G529" s="12">
        <f>IF(510&lt;=B15,B529+E529,"")</f>
        <v/>
      </c>
    </row>
    <row r="530">
      <c r="A530">
        <f>IF(511&lt;=B15,511,"")</f>
        <v/>
      </c>
      <c r="B530" s="12">
        <f>IF(511&lt;=B15,IF(511=1,ii,G529)+F530,"")</f>
        <v/>
      </c>
      <c r="E530" s="12">
        <f>IF(511&lt;=B15,B530*B16,"")</f>
        <v/>
      </c>
      <c r="F530" s="12">
        <f>IF(511&lt;=B15,cper,"")</f>
        <v/>
      </c>
      <c r="G530" s="12">
        <f>IF(511&lt;=B15,B530+E530,"")</f>
        <v/>
      </c>
    </row>
    <row r="531">
      <c r="A531">
        <f>IF(512&lt;=B15,512,"")</f>
        <v/>
      </c>
      <c r="B531" s="12">
        <f>IF(512&lt;=B15,IF(512=1,ii,G530)+F531,"")</f>
        <v/>
      </c>
      <c r="E531" s="12">
        <f>IF(512&lt;=B15,B531*B16,"")</f>
        <v/>
      </c>
      <c r="F531" s="12">
        <f>IF(512&lt;=B15,cper,"")</f>
        <v/>
      </c>
      <c r="G531" s="12">
        <f>IF(512&lt;=B15,B531+E531,"")</f>
        <v/>
      </c>
    </row>
    <row r="532">
      <c r="A532">
        <f>IF(513&lt;=B15,513,"")</f>
        <v/>
      </c>
      <c r="B532" s="12">
        <f>IF(513&lt;=B15,IF(513=1,ii,G531)+F532,"")</f>
        <v/>
      </c>
      <c r="E532" s="12">
        <f>IF(513&lt;=B15,B532*B16,"")</f>
        <v/>
      </c>
      <c r="F532" s="12">
        <f>IF(513&lt;=B15,cper,"")</f>
        <v/>
      </c>
      <c r="G532" s="12">
        <f>IF(513&lt;=B15,B532+E532,"")</f>
        <v/>
      </c>
    </row>
    <row r="533">
      <c r="A533">
        <f>IF(514&lt;=B15,514,"")</f>
        <v/>
      </c>
      <c r="B533" s="12">
        <f>IF(514&lt;=B15,IF(514=1,ii,G532)+F533,"")</f>
        <v/>
      </c>
      <c r="E533" s="12">
        <f>IF(514&lt;=B15,B533*B16,"")</f>
        <v/>
      </c>
      <c r="F533" s="12">
        <f>IF(514&lt;=B15,cper,"")</f>
        <v/>
      </c>
      <c r="G533" s="12">
        <f>IF(514&lt;=B15,B533+E533,"")</f>
        <v/>
      </c>
    </row>
    <row r="534">
      <c r="A534">
        <f>IF(515&lt;=B15,515,"")</f>
        <v/>
      </c>
      <c r="B534" s="12">
        <f>IF(515&lt;=B15,IF(515=1,ii,G533)+F534,"")</f>
        <v/>
      </c>
      <c r="E534" s="12">
        <f>IF(515&lt;=B15,B534*B16,"")</f>
        <v/>
      </c>
      <c r="F534" s="12">
        <f>IF(515&lt;=B15,cper,"")</f>
        <v/>
      </c>
      <c r="G534" s="12">
        <f>IF(515&lt;=B15,B534+E534,"")</f>
        <v/>
      </c>
    </row>
    <row r="535">
      <c r="A535">
        <f>IF(516&lt;=B15,516,"")</f>
        <v/>
      </c>
      <c r="B535" s="12">
        <f>IF(516&lt;=B15,IF(516=1,ii,G534)+F535,"")</f>
        <v/>
      </c>
      <c r="E535" s="12">
        <f>IF(516&lt;=B15,B535*B16,"")</f>
        <v/>
      </c>
      <c r="F535" s="12">
        <f>IF(516&lt;=B15,cper,"")</f>
        <v/>
      </c>
      <c r="G535" s="12">
        <f>IF(516&lt;=B15,B535+E535,"")</f>
        <v/>
      </c>
    </row>
    <row r="536">
      <c r="A536">
        <f>IF(517&lt;=B15,517,"")</f>
        <v/>
      </c>
      <c r="B536" s="12">
        <f>IF(517&lt;=B15,IF(517=1,ii,G535)+F536,"")</f>
        <v/>
      </c>
      <c r="E536" s="12">
        <f>IF(517&lt;=B15,B536*B16,"")</f>
        <v/>
      </c>
      <c r="F536" s="12">
        <f>IF(517&lt;=B15,cper,"")</f>
        <v/>
      </c>
      <c r="G536" s="12">
        <f>IF(517&lt;=B15,B536+E536,"")</f>
        <v/>
      </c>
    </row>
    <row r="537">
      <c r="A537">
        <f>IF(518&lt;=B15,518,"")</f>
        <v/>
      </c>
      <c r="B537" s="12">
        <f>IF(518&lt;=B15,IF(518=1,ii,G536)+F537,"")</f>
        <v/>
      </c>
      <c r="E537" s="12">
        <f>IF(518&lt;=B15,B537*B16,"")</f>
        <v/>
      </c>
      <c r="F537" s="12">
        <f>IF(518&lt;=B15,cper,"")</f>
        <v/>
      </c>
      <c r="G537" s="12">
        <f>IF(518&lt;=B15,B537+E537,"")</f>
        <v/>
      </c>
    </row>
    <row r="538">
      <c r="A538">
        <f>IF(519&lt;=B15,519,"")</f>
        <v/>
      </c>
      <c r="B538" s="12">
        <f>IF(519&lt;=B15,IF(519=1,ii,G537)+F538,"")</f>
        <v/>
      </c>
      <c r="E538" s="12">
        <f>IF(519&lt;=B15,B538*B16,"")</f>
        <v/>
      </c>
      <c r="F538" s="12">
        <f>IF(519&lt;=B15,cper,"")</f>
        <v/>
      </c>
      <c r="G538" s="12">
        <f>IF(519&lt;=B15,B538+E538,"")</f>
        <v/>
      </c>
    </row>
    <row r="539">
      <c r="A539">
        <f>IF(520&lt;=B15,520,"")</f>
        <v/>
      </c>
      <c r="B539" s="12">
        <f>IF(520&lt;=B15,IF(520=1,ii,G538)+F539,"")</f>
        <v/>
      </c>
      <c r="E539" s="12">
        <f>IF(520&lt;=B15,B539*B16,"")</f>
        <v/>
      </c>
      <c r="F539" s="12">
        <f>IF(520&lt;=B15,cper,"")</f>
        <v/>
      </c>
      <c r="G539" s="12">
        <f>IF(520&lt;=B15,B539+E539,"")</f>
        <v/>
      </c>
    </row>
    <row r="540">
      <c r="A540">
        <f>IF(521&lt;=B15,521,"")</f>
        <v/>
      </c>
      <c r="B540" s="12">
        <f>IF(521&lt;=B15,IF(521=1,ii,G539)+F540,"")</f>
        <v/>
      </c>
      <c r="E540" s="12">
        <f>IF(521&lt;=B15,B540*B16,"")</f>
        <v/>
      </c>
      <c r="F540" s="12">
        <f>IF(521&lt;=B15,cper,"")</f>
        <v/>
      </c>
      <c r="G540" s="12">
        <f>IF(521&lt;=B15,B540+E540,"")</f>
        <v/>
      </c>
    </row>
    <row r="541">
      <c r="A541">
        <f>IF(522&lt;=B15,522,"")</f>
        <v/>
      </c>
      <c r="B541" s="12">
        <f>IF(522&lt;=B15,IF(522=1,ii,G540)+F541,"")</f>
        <v/>
      </c>
      <c r="E541" s="12">
        <f>IF(522&lt;=B15,B541*B16,"")</f>
        <v/>
      </c>
      <c r="F541" s="12">
        <f>IF(522&lt;=B15,cper,"")</f>
        <v/>
      </c>
      <c r="G541" s="12">
        <f>IF(522&lt;=B15,B541+E541,"")</f>
        <v/>
      </c>
    </row>
    <row r="542">
      <c r="A542">
        <f>IF(523&lt;=B15,523,"")</f>
        <v/>
      </c>
      <c r="B542" s="12">
        <f>IF(523&lt;=B15,IF(523=1,ii,G541)+F542,"")</f>
        <v/>
      </c>
      <c r="E542" s="12">
        <f>IF(523&lt;=B15,B542*B16,"")</f>
        <v/>
      </c>
      <c r="F542" s="12">
        <f>IF(523&lt;=B15,cper,"")</f>
        <v/>
      </c>
      <c r="G542" s="12">
        <f>IF(523&lt;=B15,B542+E542,"")</f>
        <v/>
      </c>
    </row>
    <row r="543">
      <c r="A543">
        <f>IF(524&lt;=B15,524,"")</f>
        <v/>
      </c>
      <c r="B543" s="12">
        <f>IF(524&lt;=B15,IF(524=1,ii,G542)+F543,"")</f>
        <v/>
      </c>
      <c r="E543" s="12">
        <f>IF(524&lt;=B15,B543*B16,"")</f>
        <v/>
      </c>
      <c r="F543" s="12">
        <f>IF(524&lt;=B15,cper,"")</f>
        <v/>
      </c>
      <c r="G543" s="12">
        <f>IF(524&lt;=B15,B543+E543,"")</f>
        <v/>
      </c>
    </row>
    <row r="544">
      <c r="A544">
        <f>IF(525&lt;=B15,525,"")</f>
        <v/>
      </c>
      <c r="B544" s="12">
        <f>IF(525&lt;=B15,IF(525=1,ii,G543)+F544,"")</f>
        <v/>
      </c>
      <c r="E544" s="12">
        <f>IF(525&lt;=B15,B544*B16,"")</f>
        <v/>
      </c>
      <c r="F544" s="12">
        <f>IF(525&lt;=B15,cper,"")</f>
        <v/>
      </c>
      <c r="G544" s="12">
        <f>IF(525&lt;=B15,B544+E544,"")</f>
        <v/>
      </c>
    </row>
    <row r="545">
      <c r="A545">
        <f>IF(526&lt;=B15,526,"")</f>
        <v/>
      </c>
      <c r="B545" s="12">
        <f>IF(526&lt;=B15,IF(526=1,ii,G544)+F545,"")</f>
        <v/>
      </c>
      <c r="E545" s="12">
        <f>IF(526&lt;=B15,B545*B16,"")</f>
        <v/>
      </c>
      <c r="F545" s="12">
        <f>IF(526&lt;=B15,cper,"")</f>
        <v/>
      </c>
      <c r="G545" s="12">
        <f>IF(526&lt;=B15,B545+E545,"")</f>
        <v/>
      </c>
    </row>
    <row r="546">
      <c r="A546">
        <f>IF(527&lt;=B15,527,"")</f>
        <v/>
      </c>
      <c r="B546" s="12">
        <f>IF(527&lt;=B15,IF(527=1,ii,G545)+F546,"")</f>
        <v/>
      </c>
      <c r="E546" s="12">
        <f>IF(527&lt;=B15,B546*B16,"")</f>
        <v/>
      </c>
      <c r="F546" s="12">
        <f>IF(527&lt;=B15,cper,"")</f>
        <v/>
      </c>
      <c r="G546" s="12">
        <f>IF(527&lt;=B15,B546+E546,"")</f>
        <v/>
      </c>
    </row>
    <row r="547">
      <c r="A547">
        <f>IF(528&lt;=B15,528,"")</f>
        <v/>
      </c>
      <c r="B547" s="12">
        <f>IF(528&lt;=B15,IF(528=1,ii,G546)+F547,"")</f>
        <v/>
      </c>
      <c r="E547" s="12">
        <f>IF(528&lt;=B15,B547*B16,"")</f>
        <v/>
      </c>
      <c r="F547" s="12">
        <f>IF(528&lt;=B15,cper,"")</f>
        <v/>
      </c>
      <c r="G547" s="12">
        <f>IF(528&lt;=B15,B547+E547,"")</f>
        <v/>
      </c>
    </row>
    <row r="548">
      <c r="A548">
        <f>IF(529&lt;=B15,529,"")</f>
        <v/>
      </c>
      <c r="B548" s="12">
        <f>IF(529&lt;=B15,IF(529=1,ii,G547)+F548,"")</f>
        <v/>
      </c>
      <c r="E548" s="12">
        <f>IF(529&lt;=B15,B548*B16,"")</f>
        <v/>
      </c>
      <c r="F548" s="12">
        <f>IF(529&lt;=B15,cper,"")</f>
        <v/>
      </c>
      <c r="G548" s="12">
        <f>IF(529&lt;=B15,B548+E548,"")</f>
        <v/>
      </c>
    </row>
    <row r="549">
      <c r="A549">
        <f>IF(530&lt;=B15,530,"")</f>
        <v/>
      </c>
      <c r="B549" s="12">
        <f>IF(530&lt;=B15,IF(530=1,ii,G548)+F549,"")</f>
        <v/>
      </c>
      <c r="E549" s="12">
        <f>IF(530&lt;=B15,B549*B16,"")</f>
        <v/>
      </c>
      <c r="F549" s="12">
        <f>IF(530&lt;=B15,cper,"")</f>
        <v/>
      </c>
      <c r="G549" s="12">
        <f>IF(530&lt;=B15,B549+E549,"")</f>
        <v/>
      </c>
    </row>
    <row r="550">
      <c r="A550">
        <f>IF(531&lt;=B15,531,"")</f>
        <v/>
      </c>
      <c r="B550" s="12">
        <f>IF(531&lt;=B15,IF(531=1,ii,G549)+F550,"")</f>
        <v/>
      </c>
      <c r="E550" s="12">
        <f>IF(531&lt;=B15,B550*B16,"")</f>
        <v/>
      </c>
      <c r="F550" s="12">
        <f>IF(531&lt;=B15,cper,"")</f>
        <v/>
      </c>
      <c r="G550" s="12">
        <f>IF(531&lt;=B15,B550+E550,"")</f>
        <v/>
      </c>
    </row>
    <row r="551">
      <c r="A551">
        <f>IF(532&lt;=B15,532,"")</f>
        <v/>
      </c>
      <c r="B551" s="12">
        <f>IF(532&lt;=B15,IF(532=1,ii,G550)+F551,"")</f>
        <v/>
      </c>
      <c r="E551" s="12">
        <f>IF(532&lt;=B15,B551*B16,"")</f>
        <v/>
      </c>
      <c r="F551" s="12">
        <f>IF(532&lt;=B15,cper,"")</f>
        <v/>
      </c>
      <c r="G551" s="12">
        <f>IF(532&lt;=B15,B551+E551,"")</f>
        <v/>
      </c>
    </row>
    <row r="552">
      <c r="A552">
        <f>IF(533&lt;=B15,533,"")</f>
        <v/>
      </c>
      <c r="B552" s="12">
        <f>IF(533&lt;=B15,IF(533=1,ii,G551)+F552,"")</f>
        <v/>
      </c>
      <c r="E552" s="12">
        <f>IF(533&lt;=B15,B552*B16,"")</f>
        <v/>
      </c>
      <c r="F552" s="12">
        <f>IF(533&lt;=B15,cper,"")</f>
        <v/>
      </c>
      <c r="G552" s="12">
        <f>IF(533&lt;=B15,B552+E552,"")</f>
        <v/>
      </c>
    </row>
    <row r="553">
      <c r="A553">
        <f>IF(534&lt;=B15,534,"")</f>
        <v/>
      </c>
      <c r="B553" s="12">
        <f>IF(534&lt;=B15,IF(534=1,ii,G552)+F553,"")</f>
        <v/>
      </c>
      <c r="E553" s="12">
        <f>IF(534&lt;=B15,B553*B16,"")</f>
        <v/>
      </c>
      <c r="F553" s="12">
        <f>IF(534&lt;=B15,cper,"")</f>
        <v/>
      </c>
      <c r="G553" s="12">
        <f>IF(534&lt;=B15,B553+E553,"")</f>
        <v/>
      </c>
    </row>
    <row r="554">
      <c r="A554">
        <f>IF(535&lt;=B15,535,"")</f>
        <v/>
      </c>
      <c r="B554" s="12">
        <f>IF(535&lt;=B15,IF(535=1,ii,G553)+F554,"")</f>
        <v/>
      </c>
      <c r="E554" s="12">
        <f>IF(535&lt;=B15,B554*B16,"")</f>
        <v/>
      </c>
      <c r="F554" s="12">
        <f>IF(535&lt;=B15,cper,"")</f>
        <v/>
      </c>
      <c r="G554" s="12">
        <f>IF(535&lt;=B15,B554+E554,"")</f>
        <v/>
      </c>
    </row>
    <row r="555">
      <c r="A555">
        <f>IF(536&lt;=B15,536,"")</f>
        <v/>
      </c>
      <c r="B555" s="12">
        <f>IF(536&lt;=B15,IF(536=1,ii,G554)+F555,"")</f>
        <v/>
      </c>
      <c r="E555" s="12">
        <f>IF(536&lt;=B15,B555*B16,"")</f>
        <v/>
      </c>
      <c r="F555" s="12">
        <f>IF(536&lt;=B15,cper,"")</f>
        <v/>
      </c>
      <c r="G555" s="12">
        <f>IF(536&lt;=B15,B555+E555,"")</f>
        <v/>
      </c>
    </row>
    <row r="556">
      <c r="A556">
        <f>IF(537&lt;=B15,537,"")</f>
        <v/>
      </c>
      <c r="B556" s="12">
        <f>IF(537&lt;=B15,IF(537=1,ii,G555)+F556,"")</f>
        <v/>
      </c>
      <c r="E556" s="12">
        <f>IF(537&lt;=B15,B556*B16,"")</f>
        <v/>
      </c>
      <c r="F556" s="12">
        <f>IF(537&lt;=B15,cper,"")</f>
        <v/>
      </c>
      <c r="G556" s="12">
        <f>IF(537&lt;=B15,B556+E556,"")</f>
        <v/>
      </c>
    </row>
    <row r="557">
      <c r="A557">
        <f>IF(538&lt;=B15,538,"")</f>
        <v/>
      </c>
      <c r="B557" s="12">
        <f>IF(538&lt;=B15,IF(538=1,ii,G556)+F557,"")</f>
        <v/>
      </c>
      <c r="E557" s="12">
        <f>IF(538&lt;=B15,B557*B16,"")</f>
        <v/>
      </c>
      <c r="F557" s="12">
        <f>IF(538&lt;=B15,cper,"")</f>
        <v/>
      </c>
      <c r="G557" s="12">
        <f>IF(538&lt;=B15,B557+E557,"")</f>
        <v/>
      </c>
    </row>
    <row r="558">
      <c r="A558">
        <f>IF(539&lt;=B15,539,"")</f>
        <v/>
      </c>
      <c r="B558" s="12">
        <f>IF(539&lt;=B15,IF(539=1,ii,G557)+F558,"")</f>
        <v/>
      </c>
      <c r="E558" s="12">
        <f>IF(539&lt;=B15,B558*B16,"")</f>
        <v/>
      </c>
      <c r="F558" s="12">
        <f>IF(539&lt;=B15,cper,"")</f>
        <v/>
      </c>
      <c r="G558" s="12">
        <f>IF(539&lt;=B15,B558+E558,"")</f>
        <v/>
      </c>
    </row>
    <row r="559">
      <c r="A559">
        <f>IF(540&lt;=B15,540,"")</f>
        <v/>
      </c>
      <c r="B559" s="12">
        <f>IF(540&lt;=B15,IF(540=1,ii,G558)+F559,"")</f>
        <v/>
      </c>
      <c r="E559" s="12">
        <f>IF(540&lt;=B15,B559*B16,"")</f>
        <v/>
      </c>
      <c r="F559" s="12">
        <f>IF(540&lt;=B15,cper,"")</f>
        <v/>
      </c>
      <c r="G559" s="12">
        <f>IF(540&lt;=B15,B559+E559,"")</f>
        <v/>
      </c>
    </row>
    <row r="560">
      <c r="A560">
        <f>IF(541&lt;=B15,541,"")</f>
        <v/>
      </c>
      <c r="B560" s="12">
        <f>IF(541&lt;=B15,IF(541=1,ii,G559)+F560,"")</f>
        <v/>
      </c>
      <c r="E560" s="12">
        <f>IF(541&lt;=B15,B560*B16,"")</f>
        <v/>
      </c>
      <c r="F560" s="12">
        <f>IF(541&lt;=B15,cper,"")</f>
        <v/>
      </c>
      <c r="G560" s="12">
        <f>IF(541&lt;=B15,B560+E560,"")</f>
        <v/>
      </c>
    </row>
    <row r="561">
      <c r="A561">
        <f>IF(542&lt;=B15,542,"")</f>
        <v/>
      </c>
      <c r="B561" s="12">
        <f>IF(542&lt;=B15,IF(542=1,ii,G560)+F561,"")</f>
        <v/>
      </c>
      <c r="E561" s="12">
        <f>IF(542&lt;=B15,B561*B16,"")</f>
        <v/>
      </c>
      <c r="F561" s="12">
        <f>IF(542&lt;=B15,cper,"")</f>
        <v/>
      </c>
      <c r="G561" s="12">
        <f>IF(542&lt;=B15,B561+E561,"")</f>
        <v/>
      </c>
    </row>
    <row r="562">
      <c r="A562">
        <f>IF(543&lt;=B15,543,"")</f>
        <v/>
      </c>
      <c r="B562" s="12">
        <f>IF(543&lt;=B15,IF(543=1,ii,G561)+F562,"")</f>
        <v/>
      </c>
      <c r="E562" s="12">
        <f>IF(543&lt;=B15,B562*B16,"")</f>
        <v/>
      </c>
      <c r="F562" s="12">
        <f>IF(543&lt;=B15,cper,"")</f>
        <v/>
      </c>
      <c r="G562" s="12">
        <f>IF(543&lt;=B15,B562+E562,"")</f>
        <v/>
      </c>
    </row>
    <row r="563">
      <c r="A563">
        <f>IF(544&lt;=B15,544,"")</f>
        <v/>
      </c>
      <c r="B563" s="12">
        <f>IF(544&lt;=B15,IF(544=1,ii,G562)+F563,"")</f>
        <v/>
      </c>
      <c r="E563" s="12">
        <f>IF(544&lt;=B15,B563*B16,"")</f>
        <v/>
      </c>
      <c r="F563" s="12">
        <f>IF(544&lt;=B15,cper,"")</f>
        <v/>
      </c>
      <c r="G563" s="12">
        <f>IF(544&lt;=B15,B563+E563,"")</f>
        <v/>
      </c>
    </row>
    <row r="564">
      <c r="A564">
        <f>IF(545&lt;=B15,545,"")</f>
        <v/>
      </c>
      <c r="B564" s="12">
        <f>IF(545&lt;=B15,IF(545=1,ii,G563)+F564,"")</f>
        <v/>
      </c>
      <c r="E564" s="12">
        <f>IF(545&lt;=B15,B564*B16,"")</f>
        <v/>
      </c>
      <c r="F564" s="12">
        <f>IF(545&lt;=B15,cper,"")</f>
        <v/>
      </c>
      <c r="G564" s="12">
        <f>IF(545&lt;=B15,B564+E564,"")</f>
        <v/>
      </c>
    </row>
    <row r="565">
      <c r="A565">
        <f>IF(546&lt;=B15,546,"")</f>
        <v/>
      </c>
      <c r="B565" s="12">
        <f>IF(546&lt;=B15,IF(546=1,ii,G564)+F565,"")</f>
        <v/>
      </c>
      <c r="E565" s="12">
        <f>IF(546&lt;=B15,B565*B16,"")</f>
        <v/>
      </c>
      <c r="F565" s="12">
        <f>IF(546&lt;=B15,cper,"")</f>
        <v/>
      </c>
      <c r="G565" s="12">
        <f>IF(546&lt;=B15,B565+E565,"")</f>
        <v/>
      </c>
    </row>
    <row r="566">
      <c r="A566">
        <f>IF(547&lt;=B15,547,"")</f>
        <v/>
      </c>
      <c r="B566" s="12">
        <f>IF(547&lt;=B15,IF(547=1,ii,G565)+F566,"")</f>
        <v/>
      </c>
      <c r="E566" s="12">
        <f>IF(547&lt;=B15,B566*B16,"")</f>
        <v/>
      </c>
      <c r="F566" s="12">
        <f>IF(547&lt;=B15,cper,"")</f>
        <v/>
      </c>
      <c r="G566" s="12">
        <f>IF(547&lt;=B15,B566+E566,"")</f>
        <v/>
      </c>
    </row>
    <row r="567">
      <c r="A567">
        <f>IF(548&lt;=B15,548,"")</f>
        <v/>
      </c>
      <c r="B567" s="12">
        <f>IF(548&lt;=B15,IF(548=1,ii,G566)+F567,"")</f>
        <v/>
      </c>
      <c r="E567" s="12">
        <f>IF(548&lt;=B15,B567*B16,"")</f>
        <v/>
      </c>
      <c r="F567" s="12">
        <f>IF(548&lt;=B15,cper,"")</f>
        <v/>
      </c>
      <c r="G567" s="12">
        <f>IF(548&lt;=B15,B567+E567,"")</f>
        <v/>
      </c>
    </row>
    <row r="568">
      <c r="A568">
        <f>IF(549&lt;=B15,549,"")</f>
        <v/>
      </c>
      <c r="B568" s="12">
        <f>IF(549&lt;=B15,IF(549=1,ii,G567)+F568,"")</f>
        <v/>
      </c>
      <c r="E568" s="12">
        <f>IF(549&lt;=B15,B568*B16,"")</f>
        <v/>
      </c>
      <c r="F568" s="12">
        <f>IF(549&lt;=B15,cper,"")</f>
        <v/>
      </c>
      <c r="G568" s="12">
        <f>IF(549&lt;=B15,B568+E568,"")</f>
        <v/>
      </c>
    </row>
    <row r="569">
      <c r="A569">
        <f>IF(550&lt;=B15,550,"")</f>
        <v/>
      </c>
      <c r="B569" s="12">
        <f>IF(550&lt;=B15,IF(550=1,ii,G568)+F569,"")</f>
        <v/>
      </c>
      <c r="E569" s="12">
        <f>IF(550&lt;=B15,B569*B16,"")</f>
        <v/>
      </c>
      <c r="F569" s="12">
        <f>IF(550&lt;=B15,cper,"")</f>
        <v/>
      </c>
      <c r="G569" s="12">
        <f>IF(550&lt;=B15,B569+E569,"")</f>
        <v/>
      </c>
    </row>
    <row r="570">
      <c r="A570">
        <f>IF(551&lt;=B15,551,"")</f>
        <v/>
      </c>
      <c r="B570" s="12">
        <f>IF(551&lt;=B15,IF(551=1,ii,G569)+F570,"")</f>
        <v/>
      </c>
      <c r="E570" s="12">
        <f>IF(551&lt;=B15,B570*B16,"")</f>
        <v/>
      </c>
      <c r="F570" s="12">
        <f>IF(551&lt;=B15,cper,"")</f>
        <v/>
      </c>
      <c r="G570" s="12">
        <f>IF(551&lt;=B15,B570+E570,"")</f>
        <v/>
      </c>
    </row>
    <row r="571">
      <c r="A571">
        <f>IF(552&lt;=B15,552,"")</f>
        <v/>
      </c>
      <c r="B571" s="12">
        <f>IF(552&lt;=B15,IF(552=1,ii,G570)+F571,"")</f>
        <v/>
      </c>
      <c r="E571" s="12">
        <f>IF(552&lt;=B15,B571*B16,"")</f>
        <v/>
      </c>
      <c r="F571" s="12">
        <f>IF(552&lt;=B15,cper,"")</f>
        <v/>
      </c>
      <c r="G571" s="12">
        <f>IF(552&lt;=B15,B571+E571,"")</f>
        <v/>
      </c>
    </row>
    <row r="572">
      <c r="A572">
        <f>IF(553&lt;=B15,553,"")</f>
        <v/>
      </c>
      <c r="B572" s="12">
        <f>IF(553&lt;=B15,IF(553=1,ii,G571)+F572,"")</f>
        <v/>
      </c>
      <c r="E572" s="12">
        <f>IF(553&lt;=B15,B572*B16,"")</f>
        <v/>
      </c>
      <c r="F572" s="12">
        <f>IF(553&lt;=B15,cper,"")</f>
        <v/>
      </c>
      <c r="G572" s="12">
        <f>IF(553&lt;=B15,B572+E572,"")</f>
        <v/>
      </c>
    </row>
    <row r="573">
      <c r="A573">
        <f>IF(554&lt;=B15,554,"")</f>
        <v/>
      </c>
      <c r="B573" s="12">
        <f>IF(554&lt;=B15,IF(554=1,ii,G572)+F573,"")</f>
        <v/>
      </c>
      <c r="E573" s="12">
        <f>IF(554&lt;=B15,B573*B16,"")</f>
        <v/>
      </c>
      <c r="F573" s="12">
        <f>IF(554&lt;=B15,cper,"")</f>
        <v/>
      </c>
      <c r="G573" s="12">
        <f>IF(554&lt;=B15,B573+E573,"")</f>
        <v/>
      </c>
    </row>
    <row r="574">
      <c r="A574">
        <f>IF(555&lt;=B15,555,"")</f>
        <v/>
      </c>
      <c r="B574" s="12">
        <f>IF(555&lt;=B15,IF(555=1,ii,G573)+F574,"")</f>
        <v/>
      </c>
      <c r="E574" s="12">
        <f>IF(555&lt;=B15,B574*B16,"")</f>
        <v/>
      </c>
      <c r="F574" s="12">
        <f>IF(555&lt;=B15,cper,"")</f>
        <v/>
      </c>
      <c r="G574" s="12">
        <f>IF(555&lt;=B15,B574+E574,"")</f>
        <v/>
      </c>
    </row>
    <row r="575">
      <c r="A575">
        <f>IF(556&lt;=B15,556,"")</f>
        <v/>
      </c>
      <c r="B575" s="12">
        <f>IF(556&lt;=B15,IF(556=1,ii,G574)+F575,"")</f>
        <v/>
      </c>
      <c r="E575" s="12">
        <f>IF(556&lt;=B15,B575*B16,"")</f>
        <v/>
      </c>
      <c r="F575" s="12">
        <f>IF(556&lt;=B15,cper,"")</f>
        <v/>
      </c>
      <c r="G575" s="12">
        <f>IF(556&lt;=B15,B575+E575,"")</f>
        <v/>
      </c>
    </row>
    <row r="576">
      <c r="A576">
        <f>IF(557&lt;=B15,557,"")</f>
        <v/>
      </c>
      <c r="B576" s="12">
        <f>IF(557&lt;=B15,IF(557=1,ii,G575)+F576,"")</f>
        <v/>
      </c>
      <c r="E576" s="12">
        <f>IF(557&lt;=B15,B576*B16,"")</f>
        <v/>
      </c>
      <c r="F576" s="12">
        <f>IF(557&lt;=B15,cper,"")</f>
        <v/>
      </c>
      <c r="G576" s="12">
        <f>IF(557&lt;=B15,B576+E576,"")</f>
        <v/>
      </c>
    </row>
    <row r="577">
      <c r="A577">
        <f>IF(558&lt;=B15,558,"")</f>
        <v/>
      </c>
      <c r="B577" s="12">
        <f>IF(558&lt;=B15,IF(558=1,ii,G576)+F577,"")</f>
        <v/>
      </c>
      <c r="E577" s="12">
        <f>IF(558&lt;=B15,B577*B16,"")</f>
        <v/>
      </c>
      <c r="F577" s="12">
        <f>IF(558&lt;=B15,cper,"")</f>
        <v/>
      </c>
      <c r="G577" s="12">
        <f>IF(558&lt;=B15,B577+E577,"")</f>
        <v/>
      </c>
    </row>
    <row r="578">
      <c r="A578">
        <f>IF(559&lt;=B15,559,"")</f>
        <v/>
      </c>
      <c r="B578" s="12">
        <f>IF(559&lt;=B15,IF(559=1,ii,G577)+F578,"")</f>
        <v/>
      </c>
      <c r="E578" s="12">
        <f>IF(559&lt;=B15,B578*B16,"")</f>
        <v/>
      </c>
      <c r="F578" s="12">
        <f>IF(559&lt;=B15,cper,"")</f>
        <v/>
      </c>
      <c r="G578" s="12">
        <f>IF(559&lt;=B15,B578+E578,"")</f>
        <v/>
      </c>
    </row>
    <row r="579">
      <c r="A579">
        <f>IF(560&lt;=B15,560,"")</f>
        <v/>
      </c>
      <c r="B579" s="12">
        <f>IF(560&lt;=B15,IF(560=1,ii,G578)+F579,"")</f>
        <v/>
      </c>
      <c r="E579" s="12">
        <f>IF(560&lt;=B15,B579*B16,"")</f>
        <v/>
      </c>
      <c r="F579" s="12">
        <f>IF(560&lt;=B15,cper,"")</f>
        <v/>
      </c>
      <c r="G579" s="12">
        <f>IF(560&lt;=B15,B579+E579,"")</f>
        <v/>
      </c>
    </row>
    <row r="580">
      <c r="A580">
        <f>IF(561&lt;=B15,561,"")</f>
        <v/>
      </c>
      <c r="B580" s="12">
        <f>IF(561&lt;=B15,IF(561=1,ii,G579)+F580,"")</f>
        <v/>
      </c>
      <c r="E580" s="12">
        <f>IF(561&lt;=B15,B580*B16,"")</f>
        <v/>
      </c>
      <c r="F580" s="12">
        <f>IF(561&lt;=B15,cper,"")</f>
        <v/>
      </c>
      <c r="G580" s="12">
        <f>IF(561&lt;=B15,B580+E580,"")</f>
        <v/>
      </c>
    </row>
    <row r="581">
      <c r="A581">
        <f>IF(562&lt;=B15,562,"")</f>
        <v/>
      </c>
      <c r="B581" s="12">
        <f>IF(562&lt;=B15,IF(562=1,ii,G580)+F581,"")</f>
        <v/>
      </c>
      <c r="E581" s="12">
        <f>IF(562&lt;=B15,B581*B16,"")</f>
        <v/>
      </c>
      <c r="F581" s="12">
        <f>IF(562&lt;=B15,cper,"")</f>
        <v/>
      </c>
      <c r="G581" s="12">
        <f>IF(562&lt;=B15,B581+E581,"")</f>
        <v/>
      </c>
    </row>
    <row r="582">
      <c r="A582">
        <f>IF(563&lt;=B15,563,"")</f>
        <v/>
      </c>
      <c r="B582" s="12">
        <f>IF(563&lt;=B15,IF(563=1,ii,G581)+F582,"")</f>
        <v/>
      </c>
      <c r="E582" s="12">
        <f>IF(563&lt;=B15,B582*B16,"")</f>
        <v/>
      </c>
      <c r="F582" s="12">
        <f>IF(563&lt;=B15,cper,"")</f>
        <v/>
      </c>
      <c r="G582" s="12">
        <f>IF(563&lt;=B15,B582+E582,"")</f>
        <v/>
      </c>
    </row>
    <row r="583">
      <c r="A583">
        <f>IF(564&lt;=B15,564,"")</f>
        <v/>
      </c>
      <c r="B583" s="12">
        <f>IF(564&lt;=B15,IF(564=1,ii,G582)+F583,"")</f>
        <v/>
      </c>
      <c r="E583" s="12">
        <f>IF(564&lt;=B15,B583*B16,"")</f>
        <v/>
      </c>
      <c r="F583" s="12">
        <f>IF(564&lt;=B15,cper,"")</f>
        <v/>
      </c>
      <c r="G583" s="12">
        <f>IF(564&lt;=B15,B583+E583,"")</f>
        <v/>
      </c>
    </row>
    <row r="584">
      <c r="A584">
        <f>IF(565&lt;=B15,565,"")</f>
        <v/>
      </c>
      <c r="B584" s="12">
        <f>IF(565&lt;=B15,IF(565=1,ii,G583)+F584,"")</f>
        <v/>
      </c>
      <c r="E584" s="12">
        <f>IF(565&lt;=B15,B584*B16,"")</f>
        <v/>
      </c>
      <c r="F584" s="12">
        <f>IF(565&lt;=B15,cper,"")</f>
        <v/>
      </c>
      <c r="G584" s="12">
        <f>IF(565&lt;=B15,B584+E584,"")</f>
        <v/>
      </c>
    </row>
    <row r="585">
      <c r="A585">
        <f>IF(566&lt;=B15,566,"")</f>
        <v/>
      </c>
      <c r="B585" s="12">
        <f>IF(566&lt;=B15,IF(566=1,ii,G584)+F585,"")</f>
        <v/>
      </c>
      <c r="E585" s="12">
        <f>IF(566&lt;=B15,B585*B16,"")</f>
        <v/>
      </c>
      <c r="F585" s="12">
        <f>IF(566&lt;=B15,cper,"")</f>
        <v/>
      </c>
      <c r="G585" s="12">
        <f>IF(566&lt;=B15,B585+E585,"")</f>
        <v/>
      </c>
    </row>
    <row r="586">
      <c r="A586">
        <f>IF(567&lt;=B15,567,"")</f>
        <v/>
      </c>
      <c r="B586" s="12">
        <f>IF(567&lt;=B15,IF(567=1,ii,G585)+F586,"")</f>
        <v/>
      </c>
      <c r="E586" s="12">
        <f>IF(567&lt;=B15,B586*B16,"")</f>
        <v/>
      </c>
      <c r="F586" s="12">
        <f>IF(567&lt;=B15,cper,"")</f>
        <v/>
      </c>
      <c r="G586" s="12">
        <f>IF(567&lt;=B15,B586+E586,"")</f>
        <v/>
      </c>
    </row>
    <row r="587">
      <c r="A587">
        <f>IF(568&lt;=B15,568,"")</f>
        <v/>
      </c>
      <c r="B587" s="12">
        <f>IF(568&lt;=B15,IF(568=1,ii,G586)+F587,"")</f>
        <v/>
      </c>
      <c r="E587" s="12">
        <f>IF(568&lt;=B15,B587*B16,"")</f>
        <v/>
      </c>
      <c r="F587" s="12">
        <f>IF(568&lt;=B15,cper,"")</f>
        <v/>
      </c>
      <c r="G587" s="12">
        <f>IF(568&lt;=B15,B587+E587,"")</f>
        <v/>
      </c>
    </row>
    <row r="588">
      <c r="A588">
        <f>IF(569&lt;=B15,569,"")</f>
        <v/>
      </c>
      <c r="B588" s="12">
        <f>IF(569&lt;=B15,IF(569=1,ii,G587)+F588,"")</f>
        <v/>
      </c>
      <c r="E588" s="12">
        <f>IF(569&lt;=B15,B588*B16,"")</f>
        <v/>
      </c>
      <c r="F588" s="12">
        <f>IF(569&lt;=B15,cper,"")</f>
        <v/>
      </c>
      <c r="G588" s="12">
        <f>IF(569&lt;=B15,B588+E588,"")</f>
        <v/>
      </c>
    </row>
    <row r="589">
      <c r="A589">
        <f>IF(570&lt;=B15,570,"")</f>
        <v/>
      </c>
      <c r="B589" s="12">
        <f>IF(570&lt;=B15,IF(570=1,ii,G588)+F589,"")</f>
        <v/>
      </c>
      <c r="E589" s="12">
        <f>IF(570&lt;=B15,B589*B16,"")</f>
        <v/>
      </c>
      <c r="F589" s="12">
        <f>IF(570&lt;=B15,cper,"")</f>
        <v/>
      </c>
      <c r="G589" s="12">
        <f>IF(570&lt;=B15,B589+E589,"")</f>
        <v/>
      </c>
    </row>
    <row r="590">
      <c r="A590">
        <f>IF(571&lt;=B15,571,"")</f>
        <v/>
      </c>
      <c r="B590" s="12">
        <f>IF(571&lt;=B15,IF(571=1,ii,G589)+F590,"")</f>
        <v/>
      </c>
      <c r="E590" s="12">
        <f>IF(571&lt;=B15,B590*B16,"")</f>
        <v/>
      </c>
      <c r="F590" s="12">
        <f>IF(571&lt;=B15,cper,"")</f>
        <v/>
      </c>
      <c r="G590" s="12">
        <f>IF(571&lt;=B15,B590+E590,"")</f>
        <v/>
      </c>
    </row>
    <row r="591">
      <c r="A591">
        <f>IF(572&lt;=B15,572,"")</f>
        <v/>
      </c>
      <c r="B591" s="12">
        <f>IF(572&lt;=B15,IF(572=1,ii,G590)+F591,"")</f>
        <v/>
      </c>
      <c r="E591" s="12">
        <f>IF(572&lt;=B15,B591*B16,"")</f>
        <v/>
      </c>
      <c r="F591" s="12">
        <f>IF(572&lt;=B15,cper,"")</f>
        <v/>
      </c>
      <c r="G591" s="12">
        <f>IF(572&lt;=B15,B591+E591,"")</f>
        <v/>
      </c>
    </row>
    <row r="592">
      <c r="A592">
        <f>IF(573&lt;=B15,573,"")</f>
        <v/>
      </c>
      <c r="B592" s="12">
        <f>IF(573&lt;=B15,IF(573=1,ii,G591)+F592,"")</f>
        <v/>
      </c>
      <c r="E592" s="12">
        <f>IF(573&lt;=B15,B592*B16,"")</f>
        <v/>
      </c>
      <c r="F592" s="12">
        <f>IF(573&lt;=B15,cper,"")</f>
        <v/>
      </c>
      <c r="G592" s="12">
        <f>IF(573&lt;=B15,B592+E592,"")</f>
        <v/>
      </c>
    </row>
    <row r="593">
      <c r="A593">
        <f>IF(574&lt;=B15,574,"")</f>
        <v/>
      </c>
      <c r="B593" s="12">
        <f>IF(574&lt;=B15,IF(574=1,ii,G592)+F593,"")</f>
        <v/>
      </c>
      <c r="E593" s="12">
        <f>IF(574&lt;=B15,B593*B16,"")</f>
        <v/>
      </c>
      <c r="F593" s="12">
        <f>IF(574&lt;=B15,cper,"")</f>
        <v/>
      </c>
      <c r="G593" s="12">
        <f>IF(574&lt;=B15,B593+E593,"")</f>
        <v/>
      </c>
    </row>
    <row r="594">
      <c r="A594">
        <f>IF(575&lt;=B15,575,"")</f>
        <v/>
      </c>
      <c r="B594" s="12">
        <f>IF(575&lt;=B15,IF(575=1,ii,G593)+F594,"")</f>
        <v/>
      </c>
      <c r="E594" s="12">
        <f>IF(575&lt;=B15,B594*B16,"")</f>
        <v/>
      </c>
      <c r="F594" s="12">
        <f>IF(575&lt;=B15,cper,"")</f>
        <v/>
      </c>
      <c r="G594" s="12">
        <f>IF(575&lt;=B15,B594+E594,"")</f>
        <v/>
      </c>
    </row>
    <row r="595">
      <c r="A595">
        <f>IF(576&lt;=B15,576,"")</f>
        <v/>
      </c>
      <c r="B595" s="12">
        <f>IF(576&lt;=B15,IF(576=1,ii,G594)+F595,"")</f>
        <v/>
      </c>
      <c r="E595" s="12">
        <f>IF(576&lt;=B15,B595*B16,"")</f>
        <v/>
      </c>
      <c r="F595" s="12">
        <f>IF(576&lt;=B15,cper,"")</f>
        <v/>
      </c>
      <c r="G595" s="12">
        <f>IF(576&lt;=B15,B595+E595,"")</f>
        <v/>
      </c>
    </row>
    <row r="596">
      <c r="A596">
        <f>IF(577&lt;=B15,577,"")</f>
        <v/>
      </c>
      <c r="B596" s="12">
        <f>IF(577&lt;=B15,IF(577=1,ii,G595)+F596,"")</f>
        <v/>
      </c>
      <c r="E596" s="12">
        <f>IF(577&lt;=B15,B596*B16,"")</f>
        <v/>
      </c>
      <c r="F596" s="12">
        <f>IF(577&lt;=B15,cper,"")</f>
        <v/>
      </c>
      <c r="G596" s="12">
        <f>IF(577&lt;=B15,B596+E596,"")</f>
        <v/>
      </c>
    </row>
    <row r="597">
      <c r="A597">
        <f>IF(578&lt;=B15,578,"")</f>
        <v/>
      </c>
      <c r="B597" s="12">
        <f>IF(578&lt;=B15,IF(578=1,ii,G596)+F597,"")</f>
        <v/>
      </c>
      <c r="E597" s="12">
        <f>IF(578&lt;=B15,B597*B16,"")</f>
        <v/>
      </c>
      <c r="F597" s="12">
        <f>IF(578&lt;=B15,cper,"")</f>
        <v/>
      </c>
      <c r="G597" s="12">
        <f>IF(578&lt;=B15,B597+E597,"")</f>
        <v/>
      </c>
    </row>
    <row r="598">
      <c r="A598">
        <f>IF(579&lt;=B15,579,"")</f>
        <v/>
      </c>
      <c r="B598" s="12">
        <f>IF(579&lt;=B15,IF(579=1,ii,G597)+F598,"")</f>
        <v/>
      </c>
      <c r="E598" s="12">
        <f>IF(579&lt;=B15,B598*B16,"")</f>
        <v/>
      </c>
      <c r="F598" s="12">
        <f>IF(579&lt;=B15,cper,"")</f>
        <v/>
      </c>
      <c r="G598" s="12">
        <f>IF(579&lt;=B15,B598+E598,"")</f>
        <v/>
      </c>
    </row>
    <row r="599">
      <c r="A599">
        <f>IF(580&lt;=B15,580,"")</f>
        <v/>
      </c>
      <c r="B599" s="12">
        <f>IF(580&lt;=B15,IF(580=1,ii,G598)+F599,"")</f>
        <v/>
      </c>
      <c r="E599" s="12">
        <f>IF(580&lt;=B15,B599*B16,"")</f>
        <v/>
      </c>
      <c r="F599" s="12">
        <f>IF(580&lt;=B15,cper,"")</f>
        <v/>
      </c>
      <c r="G599" s="12">
        <f>IF(580&lt;=B15,B599+E599,"")</f>
        <v/>
      </c>
    </row>
    <row r="600">
      <c r="A600">
        <f>IF(581&lt;=B15,581,"")</f>
        <v/>
      </c>
      <c r="B600" s="12">
        <f>IF(581&lt;=B15,IF(581=1,ii,G599)+F600,"")</f>
        <v/>
      </c>
      <c r="E600" s="12">
        <f>IF(581&lt;=B15,B600*B16,"")</f>
        <v/>
      </c>
      <c r="F600" s="12">
        <f>IF(581&lt;=B15,cper,"")</f>
        <v/>
      </c>
      <c r="G600" s="12">
        <f>IF(581&lt;=B15,B600+E600,"")</f>
        <v/>
      </c>
    </row>
    <row r="601">
      <c r="A601">
        <f>IF(582&lt;=B15,582,"")</f>
        <v/>
      </c>
      <c r="B601" s="12">
        <f>IF(582&lt;=B15,IF(582=1,ii,G600)+F601,"")</f>
        <v/>
      </c>
      <c r="E601" s="12">
        <f>IF(582&lt;=B15,B601*B16,"")</f>
        <v/>
      </c>
      <c r="F601" s="12">
        <f>IF(582&lt;=B15,cper,"")</f>
        <v/>
      </c>
      <c r="G601" s="12">
        <f>IF(582&lt;=B15,B601+E601,"")</f>
        <v/>
      </c>
    </row>
    <row r="602">
      <c r="A602">
        <f>IF(583&lt;=B15,583,"")</f>
        <v/>
      </c>
      <c r="B602" s="12">
        <f>IF(583&lt;=B15,IF(583=1,ii,G601)+F602,"")</f>
        <v/>
      </c>
      <c r="E602" s="12">
        <f>IF(583&lt;=B15,B602*B16,"")</f>
        <v/>
      </c>
      <c r="F602" s="12">
        <f>IF(583&lt;=B15,cper,"")</f>
        <v/>
      </c>
      <c r="G602" s="12">
        <f>IF(583&lt;=B15,B602+E602,"")</f>
        <v/>
      </c>
    </row>
    <row r="603">
      <c r="A603">
        <f>IF(584&lt;=B15,584,"")</f>
        <v/>
      </c>
      <c r="B603" s="12">
        <f>IF(584&lt;=B15,IF(584=1,ii,G602)+F603,"")</f>
        <v/>
      </c>
      <c r="E603" s="12">
        <f>IF(584&lt;=B15,B603*B16,"")</f>
        <v/>
      </c>
      <c r="F603" s="12">
        <f>IF(584&lt;=B15,cper,"")</f>
        <v/>
      </c>
      <c r="G603" s="12">
        <f>IF(584&lt;=B15,B603+E603,"")</f>
        <v/>
      </c>
    </row>
    <row r="604">
      <c r="A604">
        <f>IF(585&lt;=B15,585,"")</f>
        <v/>
      </c>
      <c r="B604" s="12">
        <f>IF(585&lt;=B15,IF(585=1,ii,G603)+F604,"")</f>
        <v/>
      </c>
      <c r="E604" s="12">
        <f>IF(585&lt;=B15,B604*B16,"")</f>
        <v/>
      </c>
      <c r="F604" s="12">
        <f>IF(585&lt;=B15,cper,"")</f>
        <v/>
      </c>
      <c r="G604" s="12">
        <f>IF(585&lt;=B15,B604+E604,"")</f>
        <v/>
      </c>
    </row>
    <row r="605">
      <c r="A605">
        <f>IF(586&lt;=B15,586,"")</f>
        <v/>
      </c>
      <c r="B605" s="12">
        <f>IF(586&lt;=B15,IF(586=1,ii,G604)+F605,"")</f>
        <v/>
      </c>
      <c r="E605" s="12">
        <f>IF(586&lt;=B15,B605*B16,"")</f>
        <v/>
      </c>
      <c r="F605" s="12">
        <f>IF(586&lt;=B15,cper,"")</f>
        <v/>
      </c>
      <c r="G605" s="12">
        <f>IF(586&lt;=B15,B605+E605,"")</f>
        <v/>
      </c>
    </row>
    <row r="606">
      <c r="A606">
        <f>IF(587&lt;=B15,587,"")</f>
        <v/>
      </c>
      <c r="B606" s="12">
        <f>IF(587&lt;=B15,IF(587=1,ii,G605)+F606,"")</f>
        <v/>
      </c>
      <c r="E606" s="12">
        <f>IF(587&lt;=B15,B606*B16,"")</f>
        <v/>
      </c>
      <c r="F606" s="12">
        <f>IF(587&lt;=B15,cper,"")</f>
        <v/>
      </c>
      <c r="G606" s="12">
        <f>IF(587&lt;=B15,B606+E606,"")</f>
        <v/>
      </c>
    </row>
    <row r="607">
      <c r="A607">
        <f>IF(588&lt;=B15,588,"")</f>
        <v/>
      </c>
      <c r="B607" s="12">
        <f>IF(588&lt;=B15,IF(588=1,ii,G606)+F607,"")</f>
        <v/>
      </c>
      <c r="E607" s="12">
        <f>IF(588&lt;=B15,B607*B16,"")</f>
        <v/>
      </c>
      <c r="F607" s="12">
        <f>IF(588&lt;=B15,cper,"")</f>
        <v/>
      </c>
      <c r="G607" s="12">
        <f>IF(588&lt;=B15,B607+E607,"")</f>
        <v/>
      </c>
    </row>
    <row r="608">
      <c r="A608">
        <f>IF(589&lt;=B15,589,"")</f>
        <v/>
      </c>
      <c r="B608" s="12">
        <f>IF(589&lt;=B15,IF(589=1,ii,G607)+F608,"")</f>
        <v/>
      </c>
      <c r="E608" s="12">
        <f>IF(589&lt;=B15,B608*B16,"")</f>
        <v/>
      </c>
      <c r="F608" s="12">
        <f>IF(589&lt;=B15,cper,"")</f>
        <v/>
      </c>
      <c r="G608" s="12">
        <f>IF(589&lt;=B15,B608+E608,"")</f>
        <v/>
      </c>
    </row>
    <row r="609">
      <c r="A609">
        <f>IF(590&lt;=B15,590,"")</f>
        <v/>
      </c>
      <c r="B609" s="12">
        <f>IF(590&lt;=B15,IF(590=1,ii,G608)+F609,"")</f>
        <v/>
      </c>
      <c r="E609" s="12">
        <f>IF(590&lt;=B15,B609*B16,"")</f>
        <v/>
      </c>
      <c r="F609" s="12">
        <f>IF(590&lt;=B15,cper,"")</f>
        <v/>
      </c>
      <c r="G609" s="12">
        <f>IF(590&lt;=B15,B609+E609,"")</f>
        <v/>
      </c>
    </row>
    <row r="610">
      <c r="A610">
        <f>IF(591&lt;=B15,591,"")</f>
        <v/>
      </c>
      <c r="B610" s="12">
        <f>IF(591&lt;=B15,IF(591=1,ii,G609)+F610,"")</f>
        <v/>
      </c>
      <c r="E610" s="12">
        <f>IF(591&lt;=B15,B610*B16,"")</f>
        <v/>
      </c>
      <c r="F610" s="12">
        <f>IF(591&lt;=B15,cper,"")</f>
        <v/>
      </c>
      <c r="G610" s="12">
        <f>IF(591&lt;=B15,B610+E610,"")</f>
        <v/>
      </c>
    </row>
    <row r="611">
      <c r="A611">
        <f>IF(592&lt;=B15,592,"")</f>
        <v/>
      </c>
      <c r="B611" s="12">
        <f>IF(592&lt;=B15,IF(592=1,ii,G610)+F611,"")</f>
        <v/>
      </c>
      <c r="E611" s="12">
        <f>IF(592&lt;=B15,B611*B16,"")</f>
        <v/>
      </c>
      <c r="F611" s="12">
        <f>IF(592&lt;=B15,cper,"")</f>
        <v/>
      </c>
      <c r="G611" s="12">
        <f>IF(592&lt;=B15,B611+E611,"")</f>
        <v/>
      </c>
    </row>
    <row r="612">
      <c r="A612">
        <f>IF(593&lt;=B15,593,"")</f>
        <v/>
      </c>
      <c r="B612" s="12">
        <f>IF(593&lt;=B15,IF(593=1,ii,G611)+F612,"")</f>
        <v/>
      </c>
      <c r="E612" s="12">
        <f>IF(593&lt;=B15,B612*B16,"")</f>
        <v/>
      </c>
      <c r="F612" s="12">
        <f>IF(593&lt;=B15,cper,"")</f>
        <v/>
      </c>
      <c r="G612" s="12">
        <f>IF(593&lt;=B15,B612+E612,"")</f>
        <v/>
      </c>
    </row>
    <row r="613">
      <c r="A613">
        <f>IF(594&lt;=B15,594,"")</f>
        <v/>
      </c>
      <c r="B613" s="12">
        <f>IF(594&lt;=B15,IF(594=1,ii,G612)+F613,"")</f>
        <v/>
      </c>
      <c r="E613" s="12">
        <f>IF(594&lt;=B15,B613*B16,"")</f>
        <v/>
      </c>
      <c r="F613" s="12">
        <f>IF(594&lt;=B15,cper,"")</f>
        <v/>
      </c>
      <c r="G613" s="12">
        <f>IF(594&lt;=B15,B613+E613,"")</f>
        <v/>
      </c>
    </row>
    <row r="614">
      <c r="A614">
        <f>IF(595&lt;=B15,595,"")</f>
        <v/>
      </c>
      <c r="B614" s="12">
        <f>IF(595&lt;=B15,IF(595=1,ii,G613)+F614,"")</f>
        <v/>
      </c>
      <c r="E614" s="12">
        <f>IF(595&lt;=B15,B614*B16,"")</f>
        <v/>
      </c>
      <c r="F614" s="12">
        <f>IF(595&lt;=B15,cper,"")</f>
        <v/>
      </c>
      <c r="G614" s="12">
        <f>IF(595&lt;=B15,B614+E614,"")</f>
        <v/>
      </c>
    </row>
    <row r="615">
      <c r="A615">
        <f>IF(596&lt;=B15,596,"")</f>
        <v/>
      </c>
      <c r="B615" s="12">
        <f>IF(596&lt;=B15,IF(596=1,ii,G614)+F615,"")</f>
        <v/>
      </c>
      <c r="E615" s="12">
        <f>IF(596&lt;=B15,B615*B16,"")</f>
        <v/>
      </c>
      <c r="F615" s="12">
        <f>IF(596&lt;=B15,cper,"")</f>
        <v/>
      </c>
      <c r="G615" s="12">
        <f>IF(596&lt;=B15,B615+E615,"")</f>
        <v/>
      </c>
    </row>
    <row r="616">
      <c r="A616">
        <f>IF(597&lt;=B15,597,"")</f>
        <v/>
      </c>
      <c r="B616" s="12">
        <f>IF(597&lt;=B15,IF(597=1,ii,G615)+F616,"")</f>
        <v/>
      </c>
      <c r="E616" s="12">
        <f>IF(597&lt;=B15,B616*B16,"")</f>
        <v/>
      </c>
      <c r="F616" s="12">
        <f>IF(597&lt;=B15,cper,"")</f>
        <v/>
      </c>
      <c r="G616" s="12">
        <f>IF(597&lt;=B15,B616+E616,"")</f>
        <v/>
      </c>
    </row>
    <row r="617">
      <c r="A617">
        <f>IF(598&lt;=B15,598,"")</f>
        <v/>
      </c>
      <c r="B617" s="12">
        <f>IF(598&lt;=B15,IF(598=1,ii,G616)+F617,"")</f>
        <v/>
      </c>
      <c r="E617" s="12">
        <f>IF(598&lt;=B15,B617*B16,"")</f>
        <v/>
      </c>
      <c r="F617" s="12">
        <f>IF(598&lt;=B15,cper,"")</f>
        <v/>
      </c>
      <c r="G617" s="12">
        <f>IF(598&lt;=B15,B617+E617,"")</f>
        <v/>
      </c>
    </row>
    <row r="618">
      <c r="A618">
        <f>IF(599&lt;=B15,599,"")</f>
        <v/>
      </c>
      <c r="B618" s="12">
        <f>IF(599&lt;=B15,IF(599=1,ii,G617)+F618,"")</f>
        <v/>
      </c>
      <c r="E618" s="12">
        <f>IF(599&lt;=B15,B618*B16,"")</f>
        <v/>
      </c>
      <c r="F618" s="12">
        <f>IF(599&lt;=B15,cper,"")</f>
        <v/>
      </c>
      <c r="G618" s="12">
        <f>IF(599&lt;=B15,B618+E618,"")</f>
        <v/>
      </c>
    </row>
    <row r="619">
      <c r="A619">
        <f>IF(600&lt;=B15,600,"")</f>
        <v/>
      </c>
      <c r="B619" s="12">
        <f>IF(600&lt;=B15,IF(600=1,ii,G618)+F619,"")</f>
        <v/>
      </c>
      <c r="E619" s="12">
        <f>IF(600&lt;=B15,B619*B16,"")</f>
        <v/>
      </c>
      <c r="F619" s="12">
        <f>IF(600&lt;=B15,cper,"")</f>
        <v/>
      </c>
      <c r="G619" s="12">
        <f>IF(600&lt;=B15,B619+E619,"")</f>
        <v/>
      </c>
    </row>
    <row r="621">
      <c r="A621" s="13" t="inlineStr">
        <is>
          <t>Free from Future Savvy, futuresavvy.co.uk. Yellow cells are inputs; everything else calculates. Excel training for UK teams: futuresavvy.co.uk/courses/microsoft-excel</t>
        </is>
      </c>
    </row>
  </sheetData>
  <mergeCells count="14">
    <mergeCell ref="D18:G18"/>
    <mergeCell ref="A1:G1"/>
    <mergeCell ref="D9:G9"/>
    <mergeCell ref="D12:G12"/>
    <mergeCell ref="D8:G8"/>
    <mergeCell ref="D6:G6"/>
    <mergeCell ref="D16:G16"/>
    <mergeCell ref="D7:G7"/>
    <mergeCell ref="A2:G2"/>
    <mergeCell ref="D15:G15"/>
    <mergeCell ref="D13:G13"/>
    <mergeCell ref="D5:G5"/>
    <mergeCell ref="D14:G14"/>
    <mergeCell ref="A621:G6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2026-10-09T14:19:32Z</dcterms:created>
  <dcterms:modified xmlns:dcterms="http://purl.org/dc/terms/" xmlns:xsi="http://www.w3.org/2001/XMLSchema-instance" xsi:type="dcterms:W3CDTF">2026-10-09T14:19:33Z</dcterms:modified>
</cp:coreProperties>
</file>