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Item Master" sheetId="2" state="visible" r:id="rId4"/>
    <sheet name="Daily Ordering" sheetId="3" state="visible" r:id="rId5"/>
    <sheet name="Supplier Order" sheetId="4" state="visible" r:id="rId6"/>
    <sheet name="Lists" sheetId="5" state="hidden" r:id="rId7"/>
  </sheets>
  <definedNames>
    <definedName function="false" hidden="false" localSheetId="2" name="_xlnm.Print_Area" vbProcedure="false">'Daily Ordering'!$A$1:$M$159</definedName>
    <definedName function="false" hidden="false" localSheetId="2" name="_xlnm.Print_Titles" vbProcedure="false">'Daily Ordering'!$9:$9</definedName>
    <definedName function="false" hidden="true" localSheetId="2" name="_xlnm._FilterDatabase" vbProcedure="false">'Daily Ordering'!$B$9:$M$159</definedName>
    <definedName function="false" hidden="false" localSheetId="1" name="_xlnm.Print_Area" vbProcedure="false">'Item Master'!$A$1:$K$155</definedName>
    <definedName function="false" hidden="false" localSheetId="1" name="_xlnm.Print_Titles" vbProcedure="false">'Item Master'!$5:$5</definedName>
    <definedName function="false" hidden="true" localSheetId="1" name="_xlnm._FilterDatabase" vbProcedure="false">'Item Master'!$B$5:$K$155</definedName>
    <definedName function="false" hidden="false" localSheetId="0" name="_xlnm.Print_Area" vbProcedure="false">'Start Here'!$A$1:$E$55</definedName>
    <definedName function="false" hidden="false" localSheetId="3" name="_xlnm.Print_Area" vbProcedure="false">'Supplier Order'!$A$1:$H$100</definedName>
    <definedName function="false" hidden="false" localSheetId="3" name="_xlnm.Print_Titles" vbProcedure="false">'Supplier Order'!$10:$10</definedName>
    <definedName function="false" hidden="false" name="CURRENCY" vbProcedure="false">'Start Here'!$D$35</definedName>
    <definedName function="false" hidden="false" name="SEL" vbProcedure="false">'Supplier Order'!$D$5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<sst xmlns="http://schemas.openxmlformats.org/spreadsheetml/2006/main" count="235" uniqueCount="151">
  <si>
    <t xml:space="preserve">CHEF OPERATIONS</t>
  </si>
  <si>
    <t xml:space="preserve">STARTER EDITION</t>
  </si>
  <si>
    <t xml:space="preserve">Kitchen Ordering Sheet</t>
  </si>
  <si>
    <t xml:space="preserve">Check your stock. Know what you need. Order the right amount.</t>
  </si>
  <si>
    <t xml:space="preserve">1.  How to Use</t>
  </si>
  <si>
    <t xml:space="preserve">Set up Item Master</t>
  </si>
  <si>
    <t xml:space="preserve">One time only. Add every item you order: unit, par level, supplier and pack size.</t>
  </si>
  <si>
    <t xml:space="preserve">Count your stock</t>
  </si>
  <si>
    <t xml:space="preserve">Open Daily Ordering. Type what you have now (Stock) and what is coming (On Order).</t>
  </si>
  <si>
    <t xml:space="preserve">Check Suggested</t>
  </si>
  <si>
    <t xml:space="preserve">The sheet shows how many packs to order. It always rounds up to full packs.</t>
  </si>
  <si>
    <t xml:space="preserve">Decide Final Order</t>
  </si>
  <si>
    <t xml:space="preserve">You are the chef. Change the number if you need to, for example for a banquet.</t>
  </si>
  <si>
    <t xml:space="preserve">Send the order</t>
  </si>
  <si>
    <t xml:space="preserve">Open Supplier Order. Pick a supplier. Print it or copy it to Purchasing.</t>
  </si>
  <si>
    <t xml:space="preserve">Tip: the file has example items and counts. Look at them first, then replace them with your own.</t>
  </si>
  <si>
    <t xml:space="preserve">2.  How the Order Is Calculated</t>
  </si>
  <si>
    <t xml:space="preserve">Need</t>
  </si>
  <si>
    <t xml:space="preserve">Par  −  Stock  −  On Order.  Never less than 0.</t>
  </si>
  <si>
    <t xml:space="preserve">Suggested</t>
  </si>
  <si>
    <t xml:space="preserve">Need ÷ Pack Size, rounded up to full packs.</t>
  </si>
  <si>
    <t xml:space="preserve">Example</t>
  </si>
  <si>
    <t xml:space="preserve">Par 15 kg. Stock 8 kg. Nothing on order. Need = 7 kg. Chicken comes in a 5 kg box. Suggested = 2 boxes.</t>
  </si>
  <si>
    <t xml:space="preserve">3.  Units</t>
  </si>
  <si>
    <t xml:space="preserve">Count Unit</t>
  </si>
  <si>
    <t xml:space="preserve">How you count it in the kitchen. Example: Cream in L.</t>
  </si>
  <si>
    <t xml:space="preserve">Purchase Unit</t>
  </si>
  <si>
    <t xml:space="preserve">How the supplier sells it. Example: Case.</t>
  </si>
  <si>
    <t xml:space="preserve">Pack Size</t>
  </si>
  <si>
    <t xml:space="preserve">How many count units are in one purchase unit. Example: 1 case = 12 L, so type 12.</t>
  </si>
  <si>
    <t xml:space="preserve">Same unit?</t>
  </si>
  <si>
    <t xml:space="preserve">If you buy it the same way you count it (Salmon by kg), use Pack Size 1.</t>
  </si>
  <si>
    <t xml:space="preserve">4.  Simple Rules</t>
  </si>
  <si>
    <t xml:space="preserve">Blank or 0?</t>
  </si>
  <si>
    <t xml:space="preserve">Stock blank = not counted, so nothing is ordered. Have none? Type 0.</t>
  </si>
  <si>
    <t xml:space="preserve">Final Order</t>
  </si>
  <si>
    <t xml:space="preserve">Leave it blank to use Suggested. Type a number to change it. Type 0 to skip the item.</t>
  </si>
  <si>
    <t xml:space="preserve">No delivery tomorrow?</t>
  </si>
  <si>
    <t xml:space="preserve">Example: no delivery on Sunday. Order more on Saturday in Final Order.</t>
  </si>
  <si>
    <t xml:space="preserve">New day</t>
  </si>
  <si>
    <t xml:space="preserve">Clear Stock, On Order, Final Order and Notes: select the white boxes and press Delete. Want a record? First use Save As with the date.</t>
  </si>
  <si>
    <t xml:space="preserve">Sorting</t>
  </si>
  <si>
    <t xml:space="preserve">Sort the Item Master before you count, never during. In Daily Ordering use Filter only.</t>
  </si>
  <si>
    <t xml:space="preserve">Walk order</t>
  </si>
  <si>
    <t xml:space="preserve">Sort Item Master by Storage. Then you count chiller, freezer and dry store in one walk.</t>
  </si>
  <si>
    <t xml:space="preserve">5.  Settings</t>
  </si>
  <si>
    <t xml:space="preserve">Currency</t>
  </si>
  <si>
    <t xml:space="preserve">$</t>
  </si>
  <si>
    <t xml:space="preserve">Only for the price estimate. Type $, AED, THB, €, £</t>
  </si>
  <si>
    <t xml:space="preserve">Categories</t>
  </si>
  <si>
    <t xml:space="preserve">Vegetables &amp; Fruits</t>
  </si>
  <si>
    <t xml:space="preserve">Change these to fit your kitchen. 3 empty boxes for more.</t>
  </si>
  <si>
    <t xml:space="preserve">Meat &amp; Poultry</t>
  </si>
  <si>
    <t xml:space="preserve">Seafood</t>
  </si>
  <si>
    <t xml:space="preserve">Dairy &amp; Chilled</t>
  </si>
  <si>
    <t xml:space="preserve">Frozen</t>
  </si>
  <si>
    <t xml:space="preserve">Dry Goods</t>
  </si>
  <si>
    <t xml:space="preserve">Bakery &amp; Others</t>
  </si>
  <si>
    <t xml:space="preserve">6.  Cell Guide</t>
  </si>
  <si>
    <t xml:space="preserve">White box = you type here.</t>
  </si>
  <si>
    <t xml:space="preserve">Grey box = automatic. Do not type here.</t>
  </si>
  <si>
    <t xml:space="preserve">Navy = headings.</t>
  </si>
  <si>
    <t xml:space="preserve">Google Sheets</t>
  </si>
  <si>
    <t xml:space="preserve">Upload this file to Google Drive and open it with Google Sheets. It works the same.</t>
  </si>
  <si>
    <t xml:space="preserve">CHEF OPERATIONS  ·  Free tool for chefs. Share it with your team.</t>
  </si>
  <si>
    <t xml:space="preserve">CHEF OPERATIONS  /  ITEM MASTER</t>
  </si>
  <si>
    <t xml:space="preserve">Item Master</t>
  </si>
  <si>
    <t xml:space="preserve">Set up once. Add new items at the bottom. Sort before you count, never during. Pack Price is optional.</t>
  </si>
  <si>
    <t xml:space="preserve">Item Name</t>
  </si>
  <si>
    <t xml:space="preserve">Category</t>
  </si>
  <si>
    <t xml:space="preserve">Storage</t>
  </si>
  <si>
    <t xml:space="preserve">Supplier</t>
  </si>
  <si>
    <t xml:space="preserve">Count
Unit</t>
  </si>
  <si>
    <t xml:space="preserve">Par
(Target)</t>
  </si>
  <si>
    <t xml:space="preserve">Purchase
Unit</t>
  </si>
  <si>
    <t xml:space="preserve">Pack
Size</t>
  </si>
  <si>
    <t xml:space="preserve">Notes</t>
  </si>
  <si>
    <t xml:space="preserve">Salmon Fillet</t>
  </si>
  <si>
    <t xml:space="preserve">Chilled</t>
  </si>
  <si>
    <t xml:space="preserve">Ocean Fresh Seafood</t>
  </si>
  <si>
    <t xml:space="preserve">kg</t>
  </si>
  <si>
    <t xml:space="preserve">Ribeye</t>
  </si>
  <si>
    <t xml:space="preserve">Prime Meats</t>
  </si>
  <si>
    <t xml:space="preserve">Chicken Breast</t>
  </si>
  <si>
    <t xml:space="preserve">Box</t>
  </si>
  <si>
    <t xml:space="preserve">Tomato</t>
  </si>
  <si>
    <t xml:space="preserve">Green Farm Produce</t>
  </si>
  <si>
    <t xml:space="preserve">Romaine Lettuce</t>
  </si>
  <si>
    <t xml:space="preserve">pc</t>
  </si>
  <si>
    <t xml:space="preserve">Case</t>
  </si>
  <si>
    <t xml:space="preserve">Fresh Basil</t>
  </si>
  <si>
    <t xml:space="preserve">bunch</t>
  </si>
  <si>
    <t xml:space="preserve">Cream 35%</t>
  </si>
  <si>
    <t xml:space="preserve">Daily Dairy</t>
  </si>
  <si>
    <t xml:space="preserve">L</t>
  </si>
  <si>
    <t xml:space="preserve">Milk</t>
  </si>
  <si>
    <t xml:space="preserve">Mozzarella</t>
  </si>
  <si>
    <t xml:space="preserve">Bag</t>
  </si>
  <si>
    <t xml:space="preserve">Unsalted Butter</t>
  </si>
  <si>
    <t xml:space="preserve">Carton</t>
  </si>
  <si>
    <t xml:space="preserve">Prawns 16/20</t>
  </si>
  <si>
    <t xml:space="preserve">Frozen Fries</t>
  </si>
  <si>
    <t xml:space="preserve">Frozen Foods Co</t>
  </si>
  <si>
    <t xml:space="preserve">Frozen Dumplings</t>
  </si>
  <si>
    <t xml:space="preserve">Jasmine Rice</t>
  </si>
  <si>
    <t xml:space="preserve">Dry</t>
  </si>
  <si>
    <t xml:space="preserve">Dry Goods Trading</t>
  </si>
  <si>
    <t xml:space="preserve">Flour Tipo 00</t>
  </si>
  <si>
    <t xml:space="preserve">Olive Oil</t>
  </si>
  <si>
    <t xml:space="preserve">Tin</t>
  </si>
  <si>
    <t xml:space="preserve">Soy Sauce</t>
  </si>
  <si>
    <t xml:space="preserve">Bottle</t>
  </si>
  <si>
    <t xml:space="preserve">Onion</t>
  </si>
  <si>
    <t xml:space="preserve">Ambient</t>
  </si>
  <si>
    <t xml:space="preserve">Sourdough Bread</t>
  </si>
  <si>
    <t xml:space="preserve">City Bakery</t>
  </si>
  <si>
    <t xml:space="preserve">CHEF OPERATIONS  /  DAILY ORDERING</t>
  </si>
  <si>
    <t xml:space="preserve">Daily Ordering</t>
  </si>
  <si>
    <t xml:space="preserve">Type Stock and On Order in the count unit. Use Filter to see one category or storage. Do not sort this page.</t>
  </si>
  <si>
    <t xml:space="preserve">Date</t>
  </si>
  <si>
    <t xml:space="preserve">Counted by</t>
  </si>
  <si>
    <t xml:space="preserve">White = you type.  Grey = automatic.  Final blank = use Suggested.</t>
  </si>
  <si>
    <t xml:space="preserve">Item</t>
  </si>
  <si>
    <t xml:space="preserve">Unit</t>
  </si>
  <si>
    <t xml:space="preserve">Par</t>
  </si>
  <si>
    <t xml:space="preserve">Stock</t>
  </si>
  <si>
    <t xml:space="preserve">On
Order</t>
  </si>
  <si>
    <t xml:space="preserve">Suggested
(packs)</t>
  </si>
  <si>
    <t xml:space="preserve">Final
(packs)</t>
  </si>
  <si>
    <t xml:space="preserve">Pack
Unit</t>
  </si>
  <si>
    <t xml:space="preserve">Banquet Saturday +1 box</t>
  </si>
  <si>
    <t xml:space="preserve">Carton too big. Use 2 kg from pastry.</t>
  </si>
  <si>
    <t xml:space="preserve">CHEF OPERATIONS  /  SUPPLIER ORDER</t>
  </si>
  <si>
    <t xml:space="preserve">All</t>
  </si>
  <si>
    <t xml:space="preserve">Lines</t>
  </si>
  <si>
    <t xml:space="preserve">Order Date</t>
  </si>
  <si>
    <t xml:space="preserve">Delivery Date</t>
  </si>
  <si>
    <t xml:space="preserve">Pick a supplier in the white box.</t>
  </si>
  <si>
    <t xml:space="preserve">Prepared by</t>
  </si>
  <si>
    <t xml:space="preserve">#</t>
  </si>
  <si>
    <t xml:space="preserve">Qty</t>
  </si>
  <si>
    <t xml:space="preserve">Total</t>
  </si>
  <si>
    <t xml:space="preserve">Notes for Supplier</t>
  </si>
  <si>
    <t xml:space="preserve">Checked by chef: ______________________          Signature: ______________________</t>
  </si>
  <si>
    <t xml:space="preserve">&lt;- supplier first-seen index</t>
  </si>
  <si>
    <t xml:space="preserve">Supplier dropdown</t>
  </si>
  <si>
    <t xml:space="preserve">Supplier rank</t>
  </si>
  <si>
    <t xml:space="preserve">Order packs</t>
  </si>
  <si>
    <t xml:space="preserve">Sort key</t>
  </si>
  <si>
    <t xml:space="preserve">k-th key</t>
  </si>
  <si>
    <t xml:space="preserve">Item position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</si>
</sst>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##"/>
    <numFmt numFmtId="166" formatCode="#,##0.00"/>
    <numFmt numFmtId="167" formatCode="ddd\ dd\ mmm\ yyyy"/>
    <numFmt numFmtId="168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FFFFFF"/>
      <name val="Arial"/>
      <family val="0"/>
      <charset val="1"/>
    </font>
    <font>
      <b val="true"/>
      <sz val="20"/>
      <color rgb="FF1E1E1E"/>
      <name val="Arial"/>
      <family val="0"/>
      <charset val="1"/>
    </font>
    <font>
      <sz val="10"/>
      <color rgb="FF6B7278"/>
      <name val="Arial"/>
      <family val="0"/>
      <charset val="1"/>
    </font>
    <font>
      <b val="true"/>
      <sz val="11"/>
      <color rgb="FF293B4A"/>
      <name val="Arial"/>
      <family val="0"/>
      <charset val="1"/>
    </font>
    <font>
      <b val="true"/>
      <sz val="14"/>
      <color rgb="FF293B4A"/>
      <name val="Arial"/>
      <family val="0"/>
      <charset val="1"/>
    </font>
    <font>
      <b val="true"/>
      <sz val="10"/>
      <color rgb="FF1E1E1E"/>
      <name val="Arial"/>
      <family val="0"/>
      <charset val="1"/>
    </font>
    <font>
      <sz val="10"/>
      <color rgb="FF1E1E1E"/>
      <name val="Arial"/>
      <family val="0"/>
      <charset val="1"/>
    </font>
    <font>
      <i val="true"/>
      <sz val="9"/>
      <color rgb="FF6B7278"/>
      <name val="Arial"/>
      <family val="0"/>
      <charset val="1"/>
    </font>
    <font>
      <sz val="9"/>
      <color rgb="FF6B7278"/>
      <name val="Arial"/>
      <family val="0"/>
      <charset val="1"/>
    </font>
    <font>
      <sz val="8"/>
      <color rgb="FF6B7278"/>
      <name val="Arial"/>
      <family val="0"/>
      <charset val="1"/>
    </font>
    <font>
      <b val="true"/>
      <sz val="16"/>
      <color rgb="FF1E1E1E"/>
      <name val="Arial"/>
      <family val="0"/>
      <charset val="1"/>
    </font>
    <font>
      <b val="true"/>
      <sz val="9"/>
      <color rgb="FF6B7278"/>
      <name val="Arial"/>
      <family val="0"/>
      <charset val="1"/>
    </font>
    <font>
      <b val="true"/>
      <sz val="10"/>
      <color rgb="FF293B4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93B4A"/>
        <bgColor rgb="FF003366"/>
      </patternFill>
    </fill>
    <fill>
      <patternFill patternType="solid">
        <fgColor rgb="FFF2F3F4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293B4A"/>
      </bottom>
      <diagonal/>
    </border>
    <border diagonalUp="false" diagonalDown="false">
      <left style="thin">
        <color rgb="FFC9CDD1"/>
      </left>
      <right style="thin">
        <color rgb="FFC9CDD1"/>
      </right>
      <top style="thin">
        <color rgb="FFC9CDD1"/>
      </top>
      <bottom style="thin">
        <color rgb="FFC9CDD1"/>
      </bottom>
      <diagonal/>
    </border>
    <border diagonalUp="false" diagonalDown="false">
      <left/>
      <right/>
      <top style="thin">
        <color rgb="FF293B4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0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0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9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1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general" vertical="top" textRotation="0" wrapText="true" indent="1" shrinkToFit="false"/>
      <protection locked="fals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293B4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E1E1E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3F4"/>
          <bgColor rgb="FF000000"/>
        </patternFill>
      </fill>
    </dxf>
    <dxf>
      <font>
        <name val="Arial"/>
        <charset val="1"/>
        <family val="0"/>
        <b val="1"/>
        <color rgb="FF293B4A"/>
      </font>
    </dxf>
    <dxf>
      <border diagonalUp="false" diagonalDown="false">
        <left/>
        <right/>
        <top/>
        <bottom style="thin">
          <color rgb="FFC9CDD1"/>
        </bottom>
        <diagonal/>
      </border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DD1"/>
      <rgbColor rgb="FF808080"/>
      <rgbColor rgb="FF9999FF"/>
      <rgbColor rgb="FF993366"/>
      <rgbColor rgb="FFF2F3F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78"/>
      <rgbColor rgb="FF969696"/>
      <rgbColor rgb="FF003366"/>
      <rgbColor rgb="FF339966"/>
      <rgbColor rgb="FF003300"/>
      <rgbColor rgb="FF1E1E1E"/>
      <rgbColor rgb="FF993300"/>
      <rgbColor rgb="FF993366"/>
      <rgbColor rgb="FF333399"/>
      <rgbColor rgb="FF293B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30"/>
    <col collapsed="false" customWidth="true" hidden="false" outlineLevel="0" max="4" min="4" style="0" width="16"/>
    <col collapsed="false" customWidth="true" hidden="false" outlineLevel="0" max="5" min="5" style="0" width="62"/>
  </cols>
  <sheetData>
    <row r="2" customFormat="false" ht="21.75" hidden="false" customHeight="true" outlineLevel="0" collapsed="false">
      <c r="B2" s="1" t="s">
        <v>0</v>
      </c>
      <c r="C2" s="2"/>
      <c r="D2" s="2"/>
      <c r="E2" s="3" t="s">
        <v>1</v>
      </c>
    </row>
    <row r="4" customFormat="false" ht="30" hidden="false" customHeight="true" outlineLevel="0" collapsed="false">
      <c r="B4" s="4" t="s">
        <v>2</v>
      </c>
    </row>
    <row r="5" customFormat="false" ht="15" hidden="false" customHeight="false" outlineLevel="0" collapsed="false">
      <c r="B5" s="5" t="s">
        <v>3</v>
      </c>
    </row>
    <row r="7" customFormat="false" ht="19.5" hidden="false" customHeight="true" outlineLevel="0" collapsed="false">
      <c r="B7" s="6" t="s">
        <v>4</v>
      </c>
      <c r="C7" s="7"/>
      <c r="D7" s="7"/>
      <c r="E7" s="7"/>
    </row>
    <row r="8" customFormat="false" ht="30" hidden="false" customHeight="true" outlineLevel="0" collapsed="false">
      <c r="B8" s="8" t="n">
        <v>1</v>
      </c>
      <c r="C8" s="9" t="s">
        <v>5</v>
      </c>
      <c r="D8" s="10" t="s">
        <v>6</v>
      </c>
      <c r="E8" s="10"/>
    </row>
    <row r="9" customFormat="false" ht="30" hidden="false" customHeight="true" outlineLevel="0" collapsed="false">
      <c r="B9" s="8" t="n">
        <v>2</v>
      </c>
      <c r="C9" s="9" t="s">
        <v>7</v>
      </c>
      <c r="D9" s="10" t="s">
        <v>8</v>
      </c>
      <c r="E9" s="10"/>
    </row>
    <row r="10" customFormat="false" ht="30" hidden="false" customHeight="true" outlineLevel="0" collapsed="false">
      <c r="B10" s="8" t="n">
        <v>3</v>
      </c>
      <c r="C10" s="9" t="s">
        <v>9</v>
      </c>
      <c r="D10" s="10" t="s">
        <v>10</v>
      </c>
      <c r="E10" s="10"/>
    </row>
    <row r="11" customFormat="false" ht="30" hidden="false" customHeight="true" outlineLevel="0" collapsed="false">
      <c r="B11" s="8" t="n">
        <v>4</v>
      </c>
      <c r="C11" s="9" t="s">
        <v>11</v>
      </c>
      <c r="D11" s="10" t="s">
        <v>12</v>
      </c>
      <c r="E11" s="10"/>
    </row>
    <row r="12" customFormat="false" ht="30" hidden="false" customHeight="true" outlineLevel="0" collapsed="false">
      <c r="B12" s="8" t="n">
        <v>5</v>
      </c>
      <c r="C12" s="9" t="s">
        <v>13</v>
      </c>
      <c r="D12" s="10" t="s">
        <v>14</v>
      </c>
      <c r="E12" s="10"/>
    </row>
    <row r="13" customFormat="false" ht="15" hidden="false" customHeight="false" outlineLevel="0" collapsed="false">
      <c r="C13" s="11" t="s">
        <v>15</v>
      </c>
    </row>
    <row r="15" customFormat="false" ht="19.5" hidden="false" customHeight="true" outlineLevel="0" collapsed="false">
      <c r="B15" s="6" t="s">
        <v>16</v>
      </c>
      <c r="C15" s="7"/>
      <c r="D15" s="7"/>
      <c r="E15" s="7"/>
    </row>
    <row r="16" customFormat="false" ht="30" hidden="false" customHeight="true" outlineLevel="0" collapsed="false">
      <c r="C16" s="9" t="s">
        <v>17</v>
      </c>
      <c r="D16" s="10" t="s">
        <v>18</v>
      </c>
      <c r="E16" s="10"/>
    </row>
    <row r="17" customFormat="false" ht="30" hidden="false" customHeight="true" outlineLevel="0" collapsed="false">
      <c r="C17" s="9" t="s">
        <v>19</v>
      </c>
      <c r="D17" s="10" t="s">
        <v>20</v>
      </c>
      <c r="E17" s="10"/>
    </row>
    <row r="18" customFormat="false" ht="30" hidden="false" customHeight="true" outlineLevel="0" collapsed="false">
      <c r="C18" s="9" t="s">
        <v>21</v>
      </c>
      <c r="D18" s="10" t="s">
        <v>22</v>
      </c>
      <c r="E18" s="10"/>
    </row>
    <row r="20" customFormat="false" ht="19.5" hidden="false" customHeight="true" outlineLevel="0" collapsed="false">
      <c r="B20" s="6" t="s">
        <v>23</v>
      </c>
      <c r="C20" s="7"/>
      <c r="D20" s="7"/>
      <c r="E20" s="7"/>
    </row>
    <row r="21" customFormat="false" ht="30" hidden="false" customHeight="true" outlineLevel="0" collapsed="false">
      <c r="C21" s="9" t="s">
        <v>24</v>
      </c>
      <c r="D21" s="10" t="s">
        <v>25</v>
      </c>
      <c r="E21" s="10"/>
    </row>
    <row r="22" customFormat="false" ht="30" hidden="false" customHeight="true" outlineLevel="0" collapsed="false">
      <c r="C22" s="9" t="s">
        <v>26</v>
      </c>
      <c r="D22" s="10" t="s">
        <v>27</v>
      </c>
      <c r="E22" s="10"/>
    </row>
    <row r="23" customFormat="false" ht="30" hidden="false" customHeight="true" outlineLevel="0" collapsed="false">
      <c r="C23" s="9" t="s">
        <v>28</v>
      </c>
      <c r="D23" s="10" t="s">
        <v>29</v>
      </c>
      <c r="E23" s="10"/>
    </row>
    <row r="24" customFormat="false" ht="30" hidden="false" customHeight="true" outlineLevel="0" collapsed="false">
      <c r="C24" s="9" t="s">
        <v>30</v>
      </c>
      <c r="D24" s="10" t="s">
        <v>31</v>
      </c>
      <c r="E24" s="10"/>
    </row>
    <row r="26" customFormat="false" ht="19.5" hidden="false" customHeight="true" outlineLevel="0" collapsed="false">
      <c r="B26" s="6" t="s">
        <v>32</v>
      </c>
      <c r="C26" s="7"/>
      <c r="D26" s="7"/>
      <c r="E26" s="7"/>
    </row>
    <row r="27" customFormat="false" ht="30" hidden="false" customHeight="true" outlineLevel="0" collapsed="false">
      <c r="C27" s="9" t="s">
        <v>33</v>
      </c>
      <c r="D27" s="10" t="s">
        <v>34</v>
      </c>
      <c r="E27" s="10"/>
    </row>
    <row r="28" customFormat="false" ht="30" hidden="false" customHeight="true" outlineLevel="0" collapsed="false">
      <c r="C28" s="9" t="s">
        <v>35</v>
      </c>
      <c r="D28" s="10" t="s">
        <v>36</v>
      </c>
      <c r="E28" s="10"/>
    </row>
    <row r="29" customFormat="false" ht="30" hidden="false" customHeight="true" outlineLevel="0" collapsed="false">
      <c r="C29" s="9" t="s">
        <v>37</v>
      </c>
      <c r="D29" s="10" t="s">
        <v>38</v>
      </c>
      <c r="E29" s="10"/>
    </row>
    <row r="30" customFormat="false" ht="30" hidden="false" customHeight="true" outlineLevel="0" collapsed="false">
      <c r="C30" s="9" t="s">
        <v>39</v>
      </c>
      <c r="D30" s="10" t="s">
        <v>40</v>
      </c>
      <c r="E30" s="10"/>
    </row>
    <row r="31" customFormat="false" ht="30" hidden="false" customHeight="true" outlineLevel="0" collapsed="false">
      <c r="C31" s="9" t="s">
        <v>41</v>
      </c>
      <c r="D31" s="10" t="s">
        <v>42</v>
      </c>
      <c r="E31" s="10"/>
    </row>
    <row r="32" customFormat="false" ht="30" hidden="false" customHeight="true" outlineLevel="0" collapsed="false">
      <c r="C32" s="9" t="s">
        <v>43</v>
      </c>
      <c r="D32" s="10" t="s">
        <v>44</v>
      </c>
      <c r="E32" s="10"/>
    </row>
    <row r="34" customFormat="false" ht="19.5" hidden="false" customHeight="true" outlineLevel="0" collapsed="false">
      <c r="B34" s="6" t="s">
        <v>45</v>
      </c>
      <c r="C34" s="7"/>
      <c r="D34" s="7"/>
      <c r="E34" s="7"/>
    </row>
    <row r="35" customFormat="false" ht="19.5" hidden="false" customHeight="true" outlineLevel="0" collapsed="false">
      <c r="C35" s="9" t="s">
        <v>46</v>
      </c>
      <c r="D35" s="12" t="s">
        <v>47</v>
      </c>
      <c r="E35" s="13" t="s">
        <v>48</v>
      </c>
    </row>
    <row r="36" customFormat="false" ht="15" hidden="false" customHeight="false" outlineLevel="0" collapsed="false">
      <c r="C36" s="14" t="s">
        <v>49</v>
      </c>
      <c r="D36" s="15" t="s">
        <v>50</v>
      </c>
      <c r="E36" s="13" t="s">
        <v>51</v>
      </c>
    </row>
    <row r="37" customFormat="false" ht="15" hidden="false" customHeight="false" outlineLevel="0" collapsed="false">
      <c r="D37" s="15" t="s">
        <v>52</v>
      </c>
    </row>
    <row r="38" customFormat="false" ht="15" hidden="false" customHeight="false" outlineLevel="0" collapsed="false">
      <c r="D38" s="15" t="s">
        <v>53</v>
      </c>
    </row>
    <row r="39" customFormat="false" ht="15" hidden="false" customHeight="false" outlineLevel="0" collapsed="false">
      <c r="D39" s="15" t="s">
        <v>54</v>
      </c>
    </row>
    <row r="40" customFormat="false" ht="15" hidden="false" customHeight="false" outlineLevel="0" collapsed="false">
      <c r="D40" s="15" t="s">
        <v>55</v>
      </c>
    </row>
    <row r="41" customFormat="false" ht="15" hidden="false" customHeight="false" outlineLevel="0" collapsed="false">
      <c r="D41" s="15" t="s">
        <v>56</v>
      </c>
    </row>
    <row r="42" customFormat="false" ht="15" hidden="false" customHeight="false" outlineLevel="0" collapsed="false">
      <c r="D42" s="15" t="s">
        <v>57</v>
      </c>
    </row>
    <row r="43" customFormat="false" ht="15" hidden="false" customHeight="false" outlineLevel="0" collapsed="false">
      <c r="D43" s="15"/>
    </row>
    <row r="44" customFormat="false" ht="15" hidden="false" customHeight="false" outlineLevel="0" collapsed="false">
      <c r="D44" s="15"/>
    </row>
    <row r="45" customFormat="false" ht="15" hidden="false" customHeight="false" outlineLevel="0" collapsed="false">
      <c r="D45" s="15"/>
    </row>
    <row r="47" customFormat="false" ht="19.5" hidden="false" customHeight="true" outlineLevel="0" collapsed="false">
      <c r="B47" s="6" t="s">
        <v>58</v>
      </c>
      <c r="C47" s="7"/>
      <c r="D47" s="7"/>
      <c r="E47" s="7"/>
    </row>
    <row r="48" customFormat="false" ht="19.5" hidden="false" customHeight="true" outlineLevel="0" collapsed="false">
      <c r="D48" s="16"/>
      <c r="E48" s="17" t="s">
        <v>59</v>
      </c>
    </row>
    <row r="49" customFormat="false" ht="19.5" hidden="false" customHeight="true" outlineLevel="0" collapsed="false">
      <c r="D49" s="18"/>
      <c r="E49" s="17" t="s">
        <v>60</v>
      </c>
    </row>
    <row r="50" customFormat="false" ht="19.5" hidden="false" customHeight="true" outlineLevel="0" collapsed="false">
      <c r="D50" s="19"/>
      <c r="E50" s="17" t="s">
        <v>61</v>
      </c>
    </row>
    <row r="52" customFormat="false" ht="30" hidden="false" customHeight="true" outlineLevel="0" collapsed="false">
      <c r="C52" s="9" t="s">
        <v>62</v>
      </c>
      <c r="D52" s="10" t="s">
        <v>63</v>
      </c>
      <c r="E52" s="10"/>
    </row>
    <row r="55" customFormat="false" ht="15" hidden="false" customHeight="false" outlineLevel="0" collapsed="false">
      <c r="B55" s="20" t="s">
        <v>64</v>
      </c>
    </row>
  </sheetData>
  <sheetProtection sheet="true"/>
  <mergeCells count="19">
    <mergeCell ref="D8:E8"/>
    <mergeCell ref="D9:E9"/>
    <mergeCell ref="D10:E10"/>
    <mergeCell ref="D11:E11"/>
    <mergeCell ref="D12:E12"/>
    <mergeCell ref="D16:E16"/>
    <mergeCell ref="D17:E17"/>
    <mergeCell ref="D18:E18"/>
    <mergeCell ref="D21:E21"/>
    <mergeCell ref="D22:E22"/>
    <mergeCell ref="D23:E23"/>
    <mergeCell ref="D24:E24"/>
    <mergeCell ref="D27:E27"/>
    <mergeCell ref="D28:E28"/>
    <mergeCell ref="D29:E29"/>
    <mergeCell ref="D30:E30"/>
    <mergeCell ref="D31:E31"/>
    <mergeCell ref="D32:E32"/>
    <mergeCell ref="D52:E52"/>
  </mergeCell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K1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19"/>
    <col collapsed="false" customWidth="true" hidden="false" outlineLevel="0" max="4" min="4" style="0" width="10"/>
    <col collapsed="false" customWidth="true" hidden="false" outlineLevel="0" max="5" min="5" style="0" width="22"/>
    <col collapsed="false" customWidth="true" hidden="false" outlineLevel="0" max="6" min="6" style="0" width="9"/>
    <col collapsed="false" customWidth="true" hidden="false" outlineLevel="0" max="7" min="7" style="0" width="10"/>
    <col collapsed="false" customWidth="true" hidden="false" outlineLevel="0" max="8" min="8" style="0" width="11"/>
    <col collapsed="false" customWidth="true" hidden="false" outlineLevel="0" max="9" min="9" style="0" width="10"/>
    <col collapsed="false" customWidth="true" hidden="false" outlineLevel="0" max="10" min="10" style="0" width="11"/>
    <col collapsed="false" customWidth="true" hidden="false" outlineLevel="0" max="11" min="11" style="0" width="24"/>
  </cols>
  <sheetData>
    <row r="2" customFormat="false" ht="21.75" hidden="false" customHeight="true" outlineLevel="0" collapsed="false">
      <c r="B2" s="1" t="s">
        <v>65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.5" hidden="false" customHeight="true" outlineLevel="0" collapsed="false">
      <c r="B3" s="21" t="s">
        <v>66</v>
      </c>
    </row>
    <row r="4" customFormat="false" ht="15" hidden="false" customHeight="false" outlineLevel="0" collapsed="false">
      <c r="B4" s="22" t="s">
        <v>67</v>
      </c>
    </row>
    <row r="5" customFormat="false" ht="31.5" hidden="false" customHeight="true" outlineLevel="0" collapsed="false">
      <c r="B5" s="23" t="s">
        <v>68</v>
      </c>
      <c r="C5" s="23" t="s">
        <v>69</v>
      </c>
      <c r="D5" s="24" t="s">
        <v>70</v>
      </c>
      <c r="E5" s="23" t="s">
        <v>71</v>
      </c>
      <c r="F5" s="24" t="s">
        <v>72</v>
      </c>
      <c r="G5" s="24" t="s">
        <v>73</v>
      </c>
      <c r="H5" s="24" t="s">
        <v>74</v>
      </c>
      <c r="I5" s="24" t="s">
        <v>75</v>
      </c>
      <c r="J5" s="24" t="str">
        <f aca="false">"Pack Price"&amp;CHAR(10)&amp;"("&amp;CURRENCY&amp;")"</f>
        <v>Pack Price
($)</v>
      </c>
      <c r="K5" s="23" t="s">
        <v>76</v>
      </c>
    </row>
    <row r="6" customFormat="false" ht="18" hidden="false" customHeight="true" outlineLevel="0" collapsed="false">
      <c r="B6" s="25" t="s">
        <v>77</v>
      </c>
      <c r="C6" s="25" t="s">
        <v>53</v>
      </c>
      <c r="D6" s="26" t="s">
        <v>78</v>
      </c>
      <c r="E6" s="25" t="s">
        <v>79</v>
      </c>
      <c r="F6" s="26" t="s">
        <v>80</v>
      </c>
      <c r="G6" s="27" t="n">
        <v>10</v>
      </c>
      <c r="H6" s="26" t="s">
        <v>80</v>
      </c>
      <c r="I6" s="27" t="n">
        <v>1</v>
      </c>
      <c r="J6" s="28" t="n">
        <v>40</v>
      </c>
      <c r="K6" s="25"/>
    </row>
    <row r="7" customFormat="false" ht="18" hidden="false" customHeight="true" outlineLevel="0" collapsed="false">
      <c r="B7" s="25" t="s">
        <v>81</v>
      </c>
      <c r="C7" s="25" t="s">
        <v>52</v>
      </c>
      <c r="D7" s="26" t="s">
        <v>78</v>
      </c>
      <c r="E7" s="25" t="s">
        <v>82</v>
      </c>
      <c r="F7" s="26" t="s">
        <v>80</v>
      </c>
      <c r="G7" s="27" t="n">
        <v>8</v>
      </c>
      <c r="H7" s="26" t="s">
        <v>80</v>
      </c>
      <c r="I7" s="27" t="n">
        <v>1</v>
      </c>
      <c r="J7" s="28" t="n">
        <v>70</v>
      </c>
      <c r="K7" s="25"/>
    </row>
    <row r="8" customFormat="false" ht="18" hidden="false" customHeight="true" outlineLevel="0" collapsed="false">
      <c r="B8" s="25" t="s">
        <v>83</v>
      </c>
      <c r="C8" s="25" t="s">
        <v>52</v>
      </c>
      <c r="D8" s="26" t="s">
        <v>78</v>
      </c>
      <c r="E8" s="25" t="s">
        <v>82</v>
      </c>
      <c r="F8" s="26" t="s">
        <v>80</v>
      </c>
      <c r="G8" s="27" t="n">
        <v>15</v>
      </c>
      <c r="H8" s="26" t="s">
        <v>84</v>
      </c>
      <c r="I8" s="27" t="n">
        <v>5</v>
      </c>
      <c r="J8" s="28" t="n">
        <v>45</v>
      </c>
      <c r="K8" s="25"/>
    </row>
    <row r="9" customFormat="false" ht="18" hidden="false" customHeight="true" outlineLevel="0" collapsed="false">
      <c r="B9" s="25" t="s">
        <v>85</v>
      </c>
      <c r="C9" s="25" t="s">
        <v>50</v>
      </c>
      <c r="D9" s="26" t="s">
        <v>78</v>
      </c>
      <c r="E9" s="25" t="s">
        <v>86</v>
      </c>
      <c r="F9" s="26" t="s">
        <v>80</v>
      </c>
      <c r="G9" s="27" t="n">
        <v>6</v>
      </c>
      <c r="H9" s="26" t="s">
        <v>80</v>
      </c>
      <c r="I9" s="27" t="n">
        <v>1</v>
      </c>
      <c r="J9" s="28" t="n">
        <v>4</v>
      </c>
      <c r="K9" s="25"/>
    </row>
    <row r="10" customFormat="false" ht="18" hidden="false" customHeight="true" outlineLevel="0" collapsed="false">
      <c r="B10" s="25" t="s">
        <v>87</v>
      </c>
      <c r="C10" s="25" t="s">
        <v>50</v>
      </c>
      <c r="D10" s="26" t="s">
        <v>78</v>
      </c>
      <c r="E10" s="25" t="s">
        <v>86</v>
      </c>
      <c r="F10" s="26" t="s">
        <v>88</v>
      </c>
      <c r="G10" s="27" t="n">
        <v>24</v>
      </c>
      <c r="H10" s="26" t="s">
        <v>89</v>
      </c>
      <c r="I10" s="27" t="n">
        <v>12</v>
      </c>
      <c r="J10" s="28" t="n">
        <v>18</v>
      </c>
      <c r="K10" s="25"/>
    </row>
    <row r="11" customFormat="false" ht="18" hidden="false" customHeight="true" outlineLevel="0" collapsed="false">
      <c r="B11" s="25" t="s">
        <v>90</v>
      </c>
      <c r="C11" s="25" t="s">
        <v>50</v>
      </c>
      <c r="D11" s="26" t="s">
        <v>78</v>
      </c>
      <c r="E11" s="25" t="s">
        <v>86</v>
      </c>
      <c r="F11" s="26" t="s">
        <v>91</v>
      </c>
      <c r="G11" s="27" t="n">
        <v>10</v>
      </c>
      <c r="H11" s="26" t="s">
        <v>91</v>
      </c>
      <c r="I11" s="27" t="n">
        <v>1</v>
      </c>
      <c r="J11" s="28" t="n">
        <v>2</v>
      </c>
      <c r="K11" s="25"/>
    </row>
    <row r="12" customFormat="false" ht="18" hidden="false" customHeight="true" outlineLevel="0" collapsed="false">
      <c r="B12" s="25" t="s">
        <v>92</v>
      </c>
      <c r="C12" s="25" t="s">
        <v>54</v>
      </c>
      <c r="D12" s="26" t="s">
        <v>78</v>
      </c>
      <c r="E12" s="25" t="s">
        <v>93</v>
      </c>
      <c r="F12" s="26" t="s">
        <v>94</v>
      </c>
      <c r="G12" s="27" t="n">
        <v>12</v>
      </c>
      <c r="H12" s="26" t="s">
        <v>89</v>
      </c>
      <c r="I12" s="27" t="n">
        <v>12</v>
      </c>
      <c r="J12" s="28" t="n">
        <v>60</v>
      </c>
      <c r="K12" s="25"/>
    </row>
    <row r="13" customFormat="false" ht="18" hidden="false" customHeight="true" outlineLevel="0" collapsed="false">
      <c r="B13" s="25" t="s">
        <v>95</v>
      </c>
      <c r="C13" s="25" t="s">
        <v>54</v>
      </c>
      <c r="D13" s="26" t="s">
        <v>78</v>
      </c>
      <c r="E13" s="25" t="s">
        <v>93</v>
      </c>
      <c r="F13" s="26" t="s">
        <v>94</v>
      </c>
      <c r="G13" s="27" t="n">
        <v>20</v>
      </c>
      <c r="H13" s="26" t="s">
        <v>89</v>
      </c>
      <c r="I13" s="27" t="n">
        <v>12</v>
      </c>
      <c r="J13" s="28" t="n">
        <v>30</v>
      </c>
      <c r="K13" s="25"/>
    </row>
    <row r="14" customFormat="false" ht="18" hidden="false" customHeight="true" outlineLevel="0" collapsed="false">
      <c r="B14" s="25" t="s">
        <v>96</v>
      </c>
      <c r="C14" s="25" t="s">
        <v>54</v>
      </c>
      <c r="D14" s="26" t="s">
        <v>78</v>
      </c>
      <c r="E14" s="25" t="s">
        <v>93</v>
      </c>
      <c r="F14" s="26" t="s">
        <v>80</v>
      </c>
      <c r="G14" s="27" t="n">
        <v>6</v>
      </c>
      <c r="H14" s="26" t="s">
        <v>97</v>
      </c>
      <c r="I14" s="27" t="n">
        <v>2</v>
      </c>
      <c r="J14" s="28" t="n">
        <v>30</v>
      </c>
      <c r="K14" s="25"/>
    </row>
    <row r="15" customFormat="false" ht="18" hidden="false" customHeight="true" outlineLevel="0" collapsed="false">
      <c r="B15" s="25" t="s">
        <v>98</v>
      </c>
      <c r="C15" s="25" t="s">
        <v>54</v>
      </c>
      <c r="D15" s="26" t="s">
        <v>78</v>
      </c>
      <c r="E15" s="25" t="s">
        <v>93</v>
      </c>
      <c r="F15" s="26" t="s">
        <v>80</v>
      </c>
      <c r="G15" s="27" t="n">
        <v>5</v>
      </c>
      <c r="H15" s="26" t="s">
        <v>99</v>
      </c>
      <c r="I15" s="27" t="n">
        <v>10</v>
      </c>
      <c r="J15" s="28" t="n">
        <v>95</v>
      </c>
      <c r="K15" s="25"/>
    </row>
    <row r="16" customFormat="false" ht="18" hidden="false" customHeight="true" outlineLevel="0" collapsed="false">
      <c r="B16" s="25" t="s">
        <v>100</v>
      </c>
      <c r="C16" s="25" t="s">
        <v>53</v>
      </c>
      <c r="D16" s="26" t="s">
        <v>55</v>
      </c>
      <c r="E16" s="25" t="s">
        <v>79</v>
      </c>
      <c r="F16" s="26" t="s">
        <v>80</v>
      </c>
      <c r="G16" s="27" t="n">
        <v>6</v>
      </c>
      <c r="H16" s="26" t="s">
        <v>84</v>
      </c>
      <c r="I16" s="27" t="n">
        <v>1</v>
      </c>
      <c r="J16" s="28" t="n">
        <v>38</v>
      </c>
      <c r="K16" s="25"/>
    </row>
    <row r="17" customFormat="false" ht="18" hidden="false" customHeight="true" outlineLevel="0" collapsed="false">
      <c r="B17" s="25" t="s">
        <v>101</v>
      </c>
      <c r="C17" s="25" t="s">
        <v>55</v>
      </c>
      <c r="D17" s="26" t="s">
        <v>55</v>
      </c>
      <c r="E17" s="25" t="s">
        <v>102</v>
      </c>
      <c r="F17" s="26" t="s">
        <v>80</v>
      </c>
      <c r="G17" s="27" t="n">
        <v>30</v>
      </c>
      <c r="H17" s="26" t="s">
        <v>89</v>
      </c>
      <c r="I17" s="27" t="n">
        <v>10</v>
      </c>
      <c r="J17" s="28" t="n">
        <v>55</v>
      </c>
      <c r="K17" s="25"/>
    </row>
    <row r="18" customFormat="false" ht="18" hidden="false" customHeight="true" outlineLevel="0" collapsed="false">
      <c r="B18" s="25" t="s">
        <v>103</v>
      </c>
      <c r="C18" s="25" t="s">
        <v>55</v>
      </c>
      <c r="D18" s="26" t="s">
        <v>55</v>
      </c>
      <c r="E18" s="25" t="s">
        <v>102</v>
      </c>
      <c r="F18" s="26" t="s">
        <v>88</v>
      </c>
      <c r="G18" s="27" t="n">
        <v>200</v>
      </c>
      <c r="H18" s="26" t="s">
        <v>97</v>
      </c>
      <c r="I18" s="27" t="n">
        <v>50</v>
      </c>
      <c r="J18" s="28" t="n">
        <v>25</v>
      </c>
      <c r="K18" s="25"/>
    </row>
    <row r="19" customFormat="false" ht="18" hidden="false" customHeight="true" outlineLevel="0" collapsed="false">
      <c r="B19" s="25" t="s">
        <v>104</v>
      </c>
      <c r="C19" s="25" t="s">
        <v>56</v>
      </c>
      <c r="D19" s="26" t="s">
        <v>105</v>
      </c>
      <c r="E19" s="25" t="s">
        <v>106</v>
      </c>
      <c r="F19" s="26" t="s">
        <v>80</v>
      </c>
      <c r="G19" s="27" t="n">
        <v>50</v>
      </c>
      <c r="H19" s="26" t="s">
        <v>97</v>
      </c>
      <c r="I19" s="27" t="n">
        <v>25</v>
      </c>
      <c r="J19" s="28" t="n">
        <v>60</v>
      </c>
      <c r="K19" s="25"/>
    </row>
    <row r="20" customFormat="false" ht="18" hidden="false" customHeight="true" outlineLevel="0" collapsed="false">
      <c r="B20" s="25" t="s">
        <v>107</v>
      </c>
      <c r="C20" s="25" t="s">
        <v>56</v>
      </c>
      <c r="D20" s="26" t="s">
        <v>105</v>
      </c>
      <c r="E20" s="25" t="s">
        <v>106</v>
      </c>
      <c r="F20" s="26" t="s">
        <v>80</v>
      </c>
      <c r="G20" s="27" t="n">
        <v>25</v>
      </c>
      <c r="H20" s="26" t="s">
        <v>97</v>
      </c>
      <c r="I20" s="27" t="n">
        <v>25</v>
      </c>
      <c r="J20" s="28" t="n">
        <v>30</v>
      </c>
      <c r="K20" s="25"/>
    </row>
    <row r="21" customFormat="false" ht="18" hidden="false" customHeight="true" outlineLevel="0" collapsed="false">
      <c r="B21" s="25" t="s">
        <v>108</v>
      </c>
      <c r="C21" s="25" t="s">
        <v>56</v>
      </c>
      <c r="D21" s="26" t="s">
        <v>105</v>
      </c>
      <c r="E21" s="25" t="s">
        <v>106</v>
      </c>
      <c r="F21" s="26" t="s">
        <v>94</v>
      </c>
      <c r="G21" s="27" t="n">
        <v>10</v>
      </c>
      <c r="H21" s="26" t="s">
        <v>109</v>
      </c>
      <c r="I21" s="27" t="n">
        <v>5</v>
      </c>
      <c r="J21" s="28" t="n">
        <v>50</v>
      </c>
      <c r="K21" s="25"/>
    </row>
    <row r="22" customFormat="false" ht="18" hidden="false" customHeight="true" outlineLevel="0" collapsed="false">
      <c r="B22" s="25" t="s">
        <v>110</v>
      </c>
      <c r="C22" s="25" t="s">
        <v>56</v>
      </c>
      <c r="D22" s="26" t="s">
        <v>105</v>
      </c>
      <c r="E22" s="25" t="s">
        <v>106</v>
      </c>
      <c r="F22" s="26" t="s">
        <v>94</v>
      </c>
      <c r="G22" s="27" t="n">
        <v>4</v>
      </c>
      <c r="H22" s="26" t="s">
        <v>111</v>
      </c>
      <c r="I22" s="27" t="n">
        <v>1</v>
      </c>
      <c r="J22" s="28" t="n">
        <v>6</v>
      </c>
      <c r="K22" s="25"/>
    </row>
    <row r="23" customFormat="false" ht="18" hidden="false" customHeight="true" outlineLevel="0" collapsed="false">
      <c r="B23" s="25" t="s">
        <v>112</v>
      </c>
      <c r="C23" s="25" t="s">
        <v>50</v>
      </c>
      <c r="D23" s="26" t="s">
        <v>113</v>
      </c>
      <c r="E23" s="25" t="s">
        <v>86</v>
      </c>
      <c r="F23" s="26" t="s">
        <v>80</v>
      </c>
      <c r="G23" s="27" t="n">
        <v>10</v>
      </c>
      <c r="H23" s="26" t="s">
        <v>97</v>
      </c>
      <c r="I23" s="27" t="n">
        <v>10</v>
      </c>
      <c r="J23" s="28" t="n">
        <v>12</v>
      </c>
      <c r="K23" s="25"/>
    </row>
    <row r="24" customFormat="false" ht="18" hidden="false" customHeight="true" outlineLevel="0" collapsed="false">
      <c r="B24" s="25" t="s">
        <v>114</v>
      </c>
      <c r="C24" s="25" t="s">
        <v>57</v>
      </c>
      <c r="D24" s="26" t="s">
        <v>113</v>
      </c>
      <c r="E24" s="25" t="s">
        <v>115</v>
      </c>
      <c r="F24" s="26" t="s">
        <v>88</v>
      </c>
      <c r="G24" s="27" t="n">
        <v>20</v>
      </c>
      <c r="H24" s="26" t="s">
        <v>88</v>
      </c>
      <c r="I24" s="27" t="n">
        <v>1</v>
      </c>
      <c r="J24" s="28" t="n">
        <v>3.5</v>
      </c>
      <c r="K24" s="25"/>
    </row>
    <row r="25" customFormat="false" ht="18" hidden="false" customHeight="true" outlineLevel="0" collapsed="false">
      <c r="B25" s="25"/>
      <c r="C25" s="25"/>
      <c r="D25" s="26"/>
      <c r="E25" s="25"/>
      <c r="F25" s="26"/>
      <c r="G25" s="27"/>
      <c r="H25" s="26"/>
      <c r="I25" s="27"/>
      <c r="J25" s="28"/>
      <c r="K25" s="25"/>
    </row>
    <row r="26" customFormat="false" ht="18" hidden="false" customHeight="true" outlineLevel="0" collapsed="false">
      <c r="B26" s="25"/>
      <c r="C26" s="25"/>
      <c r="D26" s="26"/>
      <c r="E26" s="25"/>
      <c r="F26" s="26"/>
      <c r="G26" s="27"/>
      <c r="H26" s="26"/>
      <c r="I26" s="27"/>
      <c r="J26" s="28"/>
      <c r="K26" s="25"/>
    </row>
    <row r="27" customFormat="false" ht="18" hidden="false" customHeight="true" outlineLevel="0" collapsed="false">
      <c r="B27" s="25"/>
      <c r="C27" s="25"/>
      <c r="D27" s="26"/>
      <c r="E27" s="25"/>
      <c r="F27" s="26"/>
      <c r="G27" s="27"/>
      <c r="H27" s="26"/>
      <c r="I27" s="27"/>
      <c r="J27" s="28"/>
      <c r="K27" s="25"/>
    </row>
    <row r="28" customFormat="false" ht="18" hidden="false" customHeight="true" outlineLevel="0" collapsed="false">
      <c r="B28" s="25"/>
      <c r="C28" s="25"/>
      <c r="D28" s="26"/>
      <c r="E28" s="25"/>
      <c r="F28" s="26"/>
      <c r="G28" s="27"/>
      <c r="H28" s="26"/>
      <c r="I28" s="27"/>
      <c r="J28" s="28"/>
      <c r="K28" s="25"/>
    </row>
    <row r="29" customFormat="false" ht="18" hidden="false" customHeight="true" outlineLevel="0" collapsed="false">
      <c r="B29" s="25"/>
      <c r="C29" s="25"/>
      <c r="D29" s="26"/>
      <c r="E29" s="25"/>
      <c r="F29" s="26"/>
      <c r="G29" s="27"/>
      <c r="H29" s="26"/>
      <c r="I29" s="27"/>
      <c r="J29" s="28"/>
      <c r="K29" s="25"/>
    </row>
    <row r="30" customFormat="false" ht="18" hidden="false" customHeight="true" outlineLevel="0" collapsed="false">
      <c r="B30" s="25"/>
      <c r="C30" s="25"/>
      <c r="D30" s="26"/>
      <c r="E30" s="25"/>
      <c r="F30" s="26"/>
      <c r="G30" s="27"/>
      <c r="H30" s="26"/>
      <c r="I30" s="27"/>
      <c r="J30" s="28"/>
      <c r="K30" s="25"/>
    </row>
    <row r="31" customFormat="false" ht="18" hidden="false" customHeight="true" outlineLevel="0" collapsed="false">
      <c r="B31" s="25"/>
      <c r="C31" s="25"/>
      <c r="D31" s="26"/>
      <c r="E31" s="25"/>
      <c r="F31" s="26"/>
      <c r="G31" s="27"/>
      <c r="H31" s="26"/>
      <c r="I31" s="27"/>
      <c r="J31" s="28"/>
      <c r="K31" s="25"/>
    </row>
    <row r="32" customFormat="false" ht="18" hidden="false" customHeight="true" outlineLevel="0" collapsed="false">
      <c r="B32" s="25"/>
      <c r="C32" s="25"/>
      <c r="D32" s="26"/>
      <c r="E32" s="25"/>
      <c r="F32" s="26"/>
      <c r="G32" s="27"/>
      <c r="H32" s="26"/>
      <c r="I32" s="27"/>
      <c r="J32" s="28"/>
      <c r="K32" s="25"/>
    </row>
    <row r="33" customFormat="false" ht="18" hidden="false" customHeight="true" outlineLevel="0" collapsed="false">
      <c r="B33" s="25"/>
      <c r="C33" s="25"/>
      <c r="D33" s="26"/>
      <c r="E33" s="25"/>
      <c r="F33" s="26"/>
      <c r="G33" s="27"/>
      <c r="H33" s="26"/>
      <c r="I33" s="27"/>
      <c r="J33" s="28"/>
      <c r="K33" s="25"/>
    </row>
    <row r="34" customFormat="false" ht="18" hidden="false" customHeight="true" outlineLevel="0" collapsed="false">
      <c r="B34" s="25"/>
      <c r="C34" s="25"/>
      <c r="D34" s="26"/>
      <c r="E34" s="25"/>
      <c r="F34" s="26"/>
      <c r="G34" s="27"/>
      <c r="H34" s="26"/>
      <c r="I34" s="27"/>
      <c r="J34" s="28"/>
      <c r="K34" s="25"/>
    </row>
    <row r="35" customFormat="false" ht="18" hidden="false" customHeight="true" outlineLevel="0" collapsed="false">
      <c r="B35" s="25"/>
      <c r="C35" s="25"/>
      <c r="D35" s="26"/>
      <c r="E35" s="25"/>
      <c r="F35" s="26"/>
      <c r="G35" s="27"/>
      <c r="H35" s="26"/>
      <c r="I35" s="27"/>
      <c r="J35" s="28"/>
      <c r="K35" s="25"/>
    </row>
    <row r="36" customFormat="false" ht="18" hidden="false" customHeight="true" outlineLevel="0" collapsed="false">
      <c r="B36" s="25"/>
      <c r="C36" s="25"/>
      <c r="D36" s="26"/>
      <c r="E36" s="25"/>
      <c r="F36" s="26"/>
      <c r="G36" s="27"/>
      <c r="H36" s="26"/>
      <c r="I36" s="27"/>
      <c r="J36" s="28"/>
      <c r="K36" s="25"/>
    </row>
    <row r="37" customFormat="false" ht="18" hidden="false" customHeight="true" outlineLevel="0" collapsed="false">
      <c r="B37" s="25"/>
      <c r="C37" s="25"/>
      <c r="D37" s="26"/>
      <c r="E37" s="25"/>
      <c r="F37" s="26"/>
      <c r="G37" s="27"/>
      <c r="H37" s="26"/>
      <c r="I37" s="27"/>
      <c r="J37" s="28"/>
      <c r="K37" s="25"/>
    </row>
    <row r="38" customFormat="false" ht="18" hidden="false" customHeight="true" outlineLevel="0" collapsed="false">
      <c r="B38" s="25"/>
      <c r="C38" s="25"/>
      <c r="D38" s="26"/>
      <c r="E38" s="25"/>
      <c r="F38" s="26"/>
      <c r="G38" s="27"/>
      <c r="H38" s="26"/>
      <c r="I38" s="27"/>
      <c r="J38" s="28"/>
      <c r="K38" s="25"/>
    </row>
    <row r="39" customFormat="false" ht="18" hidden="false" customHeight="true" outlineLevel="0" collapsed="false">
      <c r="B39" s="25"/>
      <c r="C39" s="25"/>
      <c r="D39" s="26"/>
      <c r="E39" s="25"/>
      <c r="F39" s="26"/>
      <c r="G39" s="27"/>
      <c r="H39" s="26"/>
      <c r="I39" s="27"/>
      <c r="J39" s="28"/>
      <c r="K39" s="25"/>
    </row>
    <row r="40" customFormat="false" ht="18" hidden="false" customHeight="true" outlineLevel="0" collapsed="false">
      <c r="B40" s="25"/>
      <c r="C40" s="25"/>
      <c r="D40" s="26"/>
      <c r="E40" s="25"/>
      <c r="F40" s="26"/>
      <c r="G40" s="27"/>
      <c r="H40" s="26"/>
      <c r="I40" s="27"/>
      <c r="J40" s="28"/>
      <c r="K40" s="25"/>
    </row>
    <row r="41" customFormat="false" ht="18" hidden="false" customHeight="true" outlineLevel="0" collapsed="false">
      <c r="B41" s="25"/>
      <c r="C41" s="25"/>
      <c r="D41" s="26"/>
      <c r="E41" s="25"/>
      <c r="F41" s="26"/>
      <c r="G41" s="27"/>
      <c r="H41" s="26"/>
      <c r="I41" s="27"/>
      <c r="J41" s="28"/>
      <c r="K41" s="25"/>
    </row>
    <row r="42" customFormat="false" ht="18" hidden="false" customHeight="true" outlineLevel="0" collapsed="false">
      <c r="B42" s="25"/>
      <c r="C42" s="25"/>
      <c r="D42" s="26"/>
      <c r="E42" s="25"/>
      <c r="F42" s="26"/>
      <c r="G42" s="27"/>
      <c r="H42" s="26"/>
      <c r="I42" s="27"/>
      <c r="J42" s="28"/>
      <c r="K42" s="25"/>
    </row>
    <row r="43" customFormat="false" ht="18" hidden="false" customHeight="true" outlineLevel="0" collapsed="false">
      <c r="B43" s="25"/>
      <c r="C43" s="25"/>
      <c r="D43" s="26"/>
      <c r="E43" s="25"/>
      <c r="F43" s="26"/>
      <c r="G43" s="27"/>
      <c r="H43" s="26"/>
      <c r="I43" s="27"/>
      <c r="J43" s="28"/>
      <c r="K43" s="25"/>
    </row>
    <row r="44" customFormat="false" ht="18" hidden="false" customHeight="true" outlineLevel="0" collapsed="false">
      <c r="B44" s="25"/>
      <c r="C44" s="25"/>
      <c r="D44" s="26"/>
      <c r="E44" s="25"/>
      <c r="F44" s="26"/>
      <c r="G44" s="27"/>
      <c r="H44" s="26"/>
      <c r="I44" s="27"/>
      <c r="J44" s="28"/>
      <c r="K44" s="25"/>
    </row>
    <row r="45" customFormat="false" ht="18" hidden="false" customHeight="true" outlineLevel="0" collapsed="false">
      <c r="B45" s="25"/>
      <c r="C45" s="25"/>
      <c r="D45" s="26"/>
      <c r="E45" s="25"/>
      <c r="F45" s="26"/>
      <c r="G45" s="27"/>
      <c r="H45" s="26"/>
      <c r="I45" s="27"/>
      <c r="J45" s="28"/>
      <c r="K45" s="25"/>
    </row>
    <row r="46" customFormat="false" ht="18" hidden="false" customHeight="true" outlineLevel="0" collapsed="false">
      <c r="B46" s="25"/>
      <c r="C46" s="25"/>
      <c r="D46" s="26"/>
      <c r="E46" s="25"/>
      <c r="F46" s="26"/>
      <c r="G46" s="27"/>
      <c r="H46" s="26"/>
      <c r="I46" s="27"/>
      <c r="J46" s="28"/>
      <c r="K46" s="25"/>
    </row>
    <row r="47" customFormat="false" ht="18" hidden="false" customHeight="true" outlineLevel="0" collapsed="false">
      <c r="B47" s="25"/>
      <c r="C47" s="25"/>
      <c r="D47" s="26"/>
      <c r="E47" s="25"/>
      <c r="F47" s="26"/>
      <c r="G47" s="27"/>
      <c r="H47" s="26"/>
      <c r="I47" s="27"/>
      <c r="J47" s="28"/>
      <c r="K47" s="25"/>
    </row>
    <row r="48" customFormat="false" ht="18" hidden="false" customHeight="true" outlineLevel="0" collapsed="false">
      <c r="B48" s="25"/>
      <c r="C48" s="25"/>
      <c r="D48" s="26"/>
      <c r="E48" s="25"/>
      <c r="F48" s="26"/>
      <c r="G48" s="27"/>
      <c r="H48" s="26"/>
      <c r="I48" s="27"/>
      <c r="J48" s="28"/>
      <c r="K48" s="25"/>
    </row>
    <row r="49" customFormat="false" ht="18" hidden="false" customHeight="true" outlineLevel="0" collapsed="false">
      <c r="B49" s="25"/>
      <c r="C49" s="25"/>
      <c r="D49" s="26"/>
      <c r="E49" s="25"/>
      <c r="F49" s="26"/>
      <c r="G49" s="27"/>
      <c r="H49" s="26"/>
      <c r="I49" s="27"/>
      <c r="J49" s="28"/>
      <c r="K49" s="25"/>
    </row>
    <row r="50" customFormat="false" ht="18" hidden="false" customHeight="true" outlineLevel="0" collapsed="false">
      <c r="B50" s="25"/>
      <c r="C50" s="25"/>
      <c r="D50" s="26"/>
      <c r="E50" s="25"/>
      <c r="F50" s="26"/>
      <c r="G50" s="27"/>
      <c r="H50" s="26"/>
      <c r="I50" s="27"/>
      <c r="J50" s="28"/>
      <c r="K50" s="25"/>
    </row>
    <row r="51" customFormat="false" ht="18" hidden="false" customHeight="true" outlineLevel="0" collapsed="false">
      <c r="B51" s="25"/>
      <c r="C51" s="25"/>
      <c r="D51" s="26"/>
      <c r="E51" s="25"/>
      <c r="F51" s="26"/>
      <c r="G51" s="27"/>
      <c r="H51" s="26"/>
      <c r="I51" s="27"/>
      <c r="J51" s="28"/>
      <c r="K51" s="25"/>
    </row>
    <row r="52" customFormat="false" ht="18" hidden="false" customHeight="true" outlineLevel="0" collapsed="false">
      <c r="B52" s="25"/>
      <c r="C52" s="25"/>
      <c r="D52" s="26"/>
      <c r="E52" s="25"/>
      <c r="F52" s="26"/>
      <c r="G52" s="27"/>
      <c r="H52" s="26"/>
      <c r="I52" s="27"/>
      <c r="J52" s="28"/>
      <c r="K52" s="25"/>
    </row>
    <row r="53" customFormat="false" ht="18" hidden="false" customHeight="true" outlineLevel="0" collapsed="false">
      <c r="B53" s="25"/>
      <c r="C53" s="25"/>
      <c r="D53" s="26"/>
      <c r="E53" s="25"/>
      <c r="F53" s="26"/>
      <c r="G53" s="27"/>
      <c r="H53" s="26"/>
      <c r="I53" s="27"/>
      <c r="J53" s="28"/>
      <c r="K53" s="25"/>
    </row>
    <row r="54" customFormat="false" ht="18" hidden="false" customHeight="true" outlineLevel="0" collapsed="false">
      <c r="B54" s="25"/>
      <c r="C54" s="25"/>
      <c r="D54" s="26"/>
      <c r="E54" s="25"/>
      <c r="F54" s="26"/>
      <c r="G54" s="27"/>
      <c r="H54" s="26"/>
      <c r="I54" s="27"/>
      <c r="J54" s="28"/>
      <c r="K54" s="25"/>
    </row>
    <row r="55" customFormat="false" ht="18" hidden="false" customHeight="true" outlineLevel="0" collapsed="false">
      <c r="B55" s="25"/>
      <c r="C55" s="25"/>
      <c r="D55" s="26"/>
      <c r="E55" s="25"/>
      <c r="F55" s="26"/>
      <c r="G55" s="27"/>
      <c r="H55" s="26"/>
      <c r="I55" s="27"/>
      <c r="J55" s="28"/>
      <c r="K55" s="25"/>
    </row>
    <row r="56" customFormat="false" ht="18" hidden="false" customHeight="true" outlineLevel="0" collapsed="false">
      <c r="B56" s="25"/>
      <c r="C56" s="25"/>
      <c r="D56" s="26"/>
      <c r="E56" s="25"/>
      <c r="F56" s="26"/>
      <c r="G56" s="27"/>
      <c r="H56" s="26"/>
      <c r="I56" s="27"/>
      <c r="J56" s="28"/>
      <c r="K56" s="25"/>
    </row>
    <row r="57" customFormat="false" ht="18" hidden="false" customHeight="true" outlineLevel="0" collapsed="false">
      <c r="B57" s="25"/>
      <c r="C57" s="25"/>
      <c r="D57" s="26"/>
      <c r="E57" s="25"/>
      <c r="F57" s="26"/>
      <c r="G57" s="27"/>
      <c r="H57" s="26"/>
      <c r="I57" s="27"/>
      <c r="J57" s="28"/>
      <c r="K57" s="25"/>
    </row>
    <row r="58" customFormat="false" ht="18" hidden="false" customHeight="true" outlineLevel="0" collapsed="false">
      <c r="B58" s="25"/>
      <c r="C58" s="25"/>
      <c r="D58" s="26"/>
      <c r="E58" s="25"/>
      <c r="F58" s="26"/>
      <c r="G58" s="27"/>
      <c r="H58" s="26"/>
      <c r="I58" s="27"/>
      <c r="J58" s="28"/>
      <c r="K58" s="25"/>
    </row>
    <row r="59" customFormat="false" ht="18" hidden="false" customHeight="true" outlineLevel="0" collapsed="false">
      <c r="B59" s="25"/>
      <c r="C59" s="25"/>
      <c r="D59" s="26"/>
      <c r="E59" s="25"/>
      <c r="F59" s="26"/>
      <c r="G59" s="27"/>
      <c r="H59" s="26"/>
      <c r="I59" s="27"/>
      <c r="J59" s="28"/>
      <c r="K59" s="25"/>
    </row>
    <row r="60" customFormat="false" ht="18" hidden="false" customHeight="true" outlineLevel="0" collapsed="false">
      <c r="B60" s="25"/>
      <c r="C60" s="25"/>
      <c r="D60" s="26"/>
      <c r="E60" s="25"/>
      <c r="F60" s="26"/>
      <c r="G60" s="27"/>
      <c r="H60" s="26"/>
      <c r="I60" s="27"/>
      <c r="J60" s="28"/>
      <c r="K60" s="25"/>
    </row>
    <row r="61" customFormat="false" ht="18" hidden="false" customHeight="true" outlineLevel="0" collapsed="false">
      <c r="B61" s="25"/>
      <c r="C61" s="25"/>
      <c r="D61" s="26"/>
      <c r="E61" s="25"/>
      <c r="F61" s="26"/>
      <c r="G61" s="27"/>
      <c r="H61" s="26"/>
      <c r="I61" s="27"/>
      <c r="J61" s="28"/>
      <c r="K61" s="25"/>
    </row>
    <row r="62" customFormat="false" ht="18" hidden="false" customHeight="true" outlineLevel="0" collapsed="false">
      <c r="B62" s="25"/>
      <c r="C62" s="25"/>
      <c r="D62" s="26"/>
      <c r="E62" s="25"/>
      <c r="F62" s="26"/>
      <c r="G62" s="27"/>
      <c r="H62" s="26"/>
      <c r="I62" s="27"/>
      <c r="J62" s="28"/>
      <c r="K62" s="25"/>
    </row>
    <row r="63" customFormat="false" ht="18" hidden="false" customHeight="true" outlineLevel="0" collapsed="false">
      <c r="B63" s="25"/>
      <c r="C63" s="25"/>
      <c r="D63" s="26"/>
      <c r="E63" s="25"/>
      <c r="F63" s="26"/>
      <c r="G63" s="27"/>
      <c r="H63" s="26"/>
      <c r="I63" s="27"/>
      <c r="J63" s="28"/>
      <c r="K63" s="25"/>
    </row>
    <row r="64" customFormat="false" ht="18" hidden="false" customHeight="true" outlineLevel="0" collapsed="false">
      <c r="B64" s="25"/>
      <c r="C64" s="25"/>
      <c r="D64" s="26"/>
      <c r="E64" s="25"/>
      <c r="F64" s="26"/>
      <c r="G64" s="27"/>
      <c r="H64" s="26"/>
      <c r="I64" s="27"/>
      <c r="J64" s="28"/>
      <c r="K64" s="25"/>
    </row>
    <row r="65" customFormat="false" ht="18" hidden="false" customHeight="true" outlineLevel="0" collapsed="false">
      <c r="B65" s="25"/>
      <c r="C65" s="25"/>
      <c r="D65" s="26"/>
      <c r="E65" s="25"/>
      <c r="F65" s="26"/>
      <c r="G65" s="27"/>
      <c r="H65" s="26"/>
      <c r="I65" s="27"/>
      <c r="J65" s="28"/>
      <c r="K65" s="25"/>
    </row>
    <row r="66" customFormat="false" ht="18" hidden="false" customHeight="true" outlineLevel="0" collapsed="false">
      <c r="B66" s="25"/>
      <c r="C66" s="25"/>
      <c r="D66" s="26"/>
      <c r="E66" s="25"/>
      <c r="F66" s="26"/>
      <c r="G66" s="27"/>
      <c r="H66" s="26"/>
      <c r="I66" s="27"/>
      <c r="J66" s="28"/>
      <c r="K66" s="25"/>
    </row>
    <row r="67" customFormat="false" ht="18" hidden="false" customHeight="true" outlineLevel="0" collapsed="false">
      <c r="B67" s="25"/>
      <c r="C67" s="25"/>
      <c r="D67" s="26"/>
      <c r="E67" s="25"/>
      <c r="F67" s="26"/>
      <c r="G67" s="27"/>
      <c r="H67" s="26"/>
      <c r="I67" s="27"/>
      <c r="J67" s="28"/>
      <c r="K67" s="25"/>
    </row>
    <row r="68" customFormat="false" ht="18" hidden="false" customHeight="true" outlineLevel="0" collapsed="false">
      <c r="B68" s="25"/>
      <c r="C68" s="25"/>
      <c r="D68" s="26"/>
      <c r="E68" s="25"/>
      <c r="F68" s="26"/>
      <c r="G68" s="27"/>
      <c r="H68" s="26"/>
      <c r="I68" s="27"/>
      <c r="J68" s="28"/>
      <c r="K68" s="25"/>
    </row>
    <row r="69" customFormat="false" ht="18" hidden="false" customHeight="true" outlineLevel="0" collapsed="false">
      <c r="B69" s="25"/>
      <c r="C69" s="25"/>
      <c r="D69" s="26"/>
      <c r="E69" s="25"/>
      <c r="F69" s="26"/>
      <c r="G69" s="27"/>
      <c r="H69" s="26"/>
      <c r="I69" s="27"/>
      <c r="J69" s="28"/>
      <c r="K69" s="25"/>
    </row>
    <row r="70" customFormat="false" ht="18" hidden="false" customHeight="true" outlineLevel="0" collapsed="false">
      <c r="B70" s="25"/>
      <c r="C70" s="25"/>
      <c r="D70" s="26"/>
      <c r="E70" s="25"/>
      <c r="F70" s="26"/>
      <c r="G70" s="27"/>
      <c r="H70" s="26"/>
      <c r="I70" s="27"/>
      <c r="J70" s="28"/>
      <c r="K70" s="25"/>
    </row>
    <row r="71" customFormat="false" ht="18" hidden="false" customHeight="true" outlineLevel="0" collapsed="false">
      <c r="B71" s="25"/>
      <c r="C71" s="25"/>
      <c r="D71" s="26"/>
      <c r="E71" s="25"/>
      <c r="F71" s="26"/>
      <c r="G71" s="27"/>
      <c r="H71" s="26"/>
      <c r="I71" s="27"/>
      <c r="J71" s="28"/>
      <c r="K71" s="25"/>
    </row>
    <row r="72" customFormat="false" ht="18" hidden="false" customHeight="true" outlineLevel="0" collapsed="false">
      <c r="B72" s="25"/>
      <c r="C72" s="25"/>
      <c r="D72" s="26"/>
      <c r="E72" s="25"/>
      <c r="F72" s="26"/>
      <c r="G72" s="27"/>
      <c r="H72" s="26"/>
      <c r="I72" s="27"/>
      <c r="J72" s="28"/>
      <c r="K72" s="25"/>
    </row>
    <row r="73" customFormat="false" ht="18" hidden="false" customHeight="true" outlineLevel="0" collapsed="false">
      <c r="B73" s="25"/>
      <c r="C73" s="25"/>
      <c r="D73" s="26"/>
      <c r="E73" s="25"/>
      <c r="F73" s="26"/>
      <c r="G73" s="27"/>
      <c r="H73" s="26"/>
      <c r="I73" s="27"/>
      <c r="J73" s="28"/>
      <c r="K73" s="25"/>
    </row>
    <row r="74" customFormat="false" ht="18" hidden="false" customHeight="true" outlineLevel="0" collapsed="false">
      <c r="B74" s="25"/>
      <c r="C74" s="25"/>
      <c r="D74" s="26"/>
      <c r="E74" s="25"/>
      <c r="F74" s="26"/>
      <c r="G74" s="27"/>
      <c r="H74" s="26"/>
      <c r="I74" s="27"/>
      <c r="J74" s="28"/>
      <c r="K74" s="25"/>
    </row>
    <row r="75" customFormat="false" ht="18" hidden="false" customHeight="true" outlineLevel="0" collapsed="false">
      <c r="B75" s="25"/>
      <c r="C75" s="25"/>
      <c r="D75" s="26"/>
      <c r="E75" s="25"/>
      <c r="F75" s="26"/>
      <c r="G75" s="27"/>
      <c r="H75" s="26"/>
      <c r="I75" s="27"/>
      <c r="J75" s="28"/>
      <c r="K75" s="25"/>
    </row>
    <row r="76" customFormat="false" ht="18" hidden="false" customHeight="true" outlineLevel="0" collapsed="false">
      <c r="B76" s="25"/>
      <c r="C76" s="25"/>
      <c r="D76" s="26"/>
      <c r="E76" s="25"/>
      <c r="F76" s="26"/>
      <c r="G76" s="27"/>
      <c r="H76" s="26"/>
      <c r="I76" s="27"/>
      <c r="J76" s="28"/>
      <c r="K76" s="25"/>
    </row>
    <row r="77" customFormat="false" ht="18" hidden="false" customHeight="true" outlineLevel="0" collapsed="false">
      <c r="B77" s="25"/>
      <c r="C77" s="25"/>
      <c r="D77" s="26"/>
      <c r="E77" s="25"/>
      <c r="F77" s="26"/>
      <c r="G77" s="27"/>
      <c r="H77" s="26"/>
      <c r="I77" s="27"/>
      <c r="J77" s="28"/>
      <c r="K77" s="25"/>
    </row>
    <row r="78" customFormat="false" ht="18" hidden="false" customHeight="true" outlineLevel="0" collapsed="false">
      <c r="B78" s="25"/>
      <c r="C78" s="25"/>
      <c r="D78" s="26"/>
      <c r="E78" s="25"/>
      <c r="F78" s="26"/>
      <c r="G78" s="27"/>
      <c r="H78" s="26"/>
      <c r="I78" s="27"/>
      <c r="J78" s="28"/>
      <c r="K78" s="25"/>
    </row>
    <row r="79" customFormat="false" ht="18" hidden="false" customHeight="true" outlineLevel="0" collapsed="false">
      <c r="B79" s="25"/>
      <c r="C79" s="25"/>
      <c r="D79" s="26"/>
      <c r="E79" s="25"/>
      <c r="F79" s="26"/>
      <c r="G79" s="27"/>
      <c r="H79" s="26"/>
      <c r="I79" s="27"/>
      <c r="J79" s="28"/>
      <c r="K79" s="25"/>
    </row>
    <row r="80" customFormat="false" ht="18" hidden="false" customHeight="true" outlineLevel="0" collapsed="false">
      <c r="B80" s="25"/>
      <c r="C80" s="25"/>
      <c r="D80" s="26"/>
      <c r="E80" s="25"/>
      <c r="F80" s="26"/>
      <c r="G80" s="27"/>
      <c r="H80" s="26"/>
      <c r="I80" s="27"/>
      <c r="J80" s="28"/>
      <c r="K80" s="25"/>
    </row>
    <row r="81" customFormat="false" ht="18" hidden="false" customHeight="true" outlineLevel="0" collapsed="false">
      <c r="B81" s="25"/>
      <c r="C81" s="25"/>
      <c r="D81" s="26"/>
      <c r="E81" s="25"/>
      <c r="F81" s="26"/>
      <c r="G81" s="27"/>
      <c r="H81" s="26"/>
      <c r="I81" s="27"/>
      <c r="J81" s="28"/>
      <c r="K81" s="25"/>
    </row>
    <row r="82" customFormat="false" ht="18" hidden="false" customHeight="true" outlineLevel="0" collapsed="false">
      <c r="B82" s="25"/>
      <c r="C82" s="25"/>
      <c r="D82" s="26"/>
      <c r="E82" s="25"/>
      <c r="F82" s="26"/>
      <c r="G82" s="27"/>
      <c r="H82" s="26"/>
      <c r="I82" s="27"/>
      <c r="J82" s="28"/>
      <c r="K82" s="25"/>
    </row>
    <row r="83" customFormat="false" ht="18" hidden="false" customHeight="true" outlineLevel="0" collapsed="false">
      <c r="B83" s="25"/>
      <c r="C83" s="25"/>
      <c r="D83" s="26"/>
      <c r="E83" s="25"/>
      <c r="F83" s="26"/>
      <c r="G83" s="27"/>
      <c r="H83" s="26"/>
      <c r="I83" s="27"/>
      <c r="J83" s="28"/>
      <c r="K83" s="25"/>
    </row>
    <row r="84" customFormat="false" ht="18" hidden="false" customHeight="true" outlineLevel="0" collapsed="false">
      <c r="B84" s="25"/>
      <c r="C84" s="25"/>
      <c r="D84" s="26"/>
      <c r="E84" s="25"/>
      <c r="F84" s="26"/>
      <c r="G84" s="27"/>
      <c r="H84" s="26"/>
      <c r="I84" s="27"/>
      <c r="J84" s="28"/>
      <c r="K84" s="25"/>
    </row>
    <row r="85" customFormat="false" ht="18" hidden="false" customHeight="true" outlineLevel="0" collapsed="false">
      <c r="B85" s="25"/>
      <c r="C85" s="25"/>
      <c r="D85" s="26"/>
      <c r="E85" s="25"/>
      <c r="F85" s="26"/>
      <c r="G85" s="27"/>
      <c r="H85" s="26"/>
      <c r="I85" s="27"/>
      <c r="J85" s="28"/>
      <c r="K85" s="25"/>
    </row>
    <row r="86" customFormat="false" ht="18" hidden="false" customHeight="true" outlineLevel="0" collapsed="false">
      <c r="B86" s="25"/>
      <c r="C86" s="25"/>
      <c r="D86" s="26"/>
      <c r="E86" s="25"/>
      <c r="F86" s="26"/>
      <c r="G86" s="27"/>
      <c r="H86" s="26"/>
      <c r="I86" s="27"/>
      <c r="J86" s="28"/>
      <c r="K86" s="25"/>
    </row>
    <row r="87" customFormat="false" ht="18" hidden="false" customHeight="true" outlineLevel="0" collapsed="false">
      <c r="B87" s="25"/>
      <c r="C87" s="25"/>
      <c r="D87" s="26"/>
      <c r="E87" s="25"/>
      <c r="F87" s="26"/>
      <c r="G87" s="27"/>
      <c r="H87" s="26"/>
      <c r="I87" s="27"/>
      <c r="J87" s="28"/>
      <c r="K87" s="25"/>
    </row>
    <row r="88" customFormat="false" ht="18" hidden="false" customHeight="true" outlineLevel="0" collapsed="false">
      <c r="B88" s="25"/>
      <c r="C88" s="25"/>
      <c r="D88" s="26"/>
      <c r="E88" s="25"/>
      <c r="F88" s="26"/>
      <c r="G88" s="27"/>
      <c r="H88" s="26"/>
      <c r="I88" s="27"/>
      <c r="J88" s="28"/>
      <c r="K88" s="25"/>
    </row>
    <row r="89" customFormat="false" ht="18" hidden="false" customHeight="true" outlineLevel="0" collapsed="false">
      <c r="B89" s="25"/>
      <c r="C89" s="25"/>
      <c r="D89" s="26"/>
      <c r="E89" s="25"/>
      <c r="F89" s="26"/>
      <c r="G89" s="27"/>
      <c r="H89" s="26"/>
      <c r="I89" s="27"/>
      <c r="J89" s="28"/>
      <c r="K89" s="25"/>
    </row>
    <row r="90" customFormat="false" ht="18" hidden="false" customHeight="true" outlineLevel="0" collapsed="false">
      <c r="B90" s="25"/>
      <c r="C90" s="25"/>
      <c r="D90" s="26"/>
      <c r="E90" s="25"/>
      <c r="F90" s="26"/>
      <c r="G90" s="27"/>
      <c r="H90" s="26"/>
      <c r="I90" s="27"/>
      <c r="J90" s="28"/>
      <c r="K90" s="25"/>
    </row>
    <row r="91" customFormat="false" ht="18" hidden="false" customHeight="true" outlineLevel="0" collapsed="false">
      <c r="B91" s="25"/>
      <c r="C91" s="25"/>
      <c r="D91" s="26"/>
      <c r="E91" s="25"/>
      <c r="F91" s="26"/>
      <c r="G91" s="27"/>
      <c r="H91" s="26"/>
      <c r="I91" s="27"/>
      <c r="J91" s="28"/>
      <c r="K91" s="25"/>
    </row>
    <row r="92" customFormat="false" ht="18" hidden="false" customHeight="true" outlineLevel="0" collapsed="false">
      <c r="B92" s="25"/>
      <c r="C92" s="25"/>
      <c r="D92" s="26"/>
      <c r="E92" s="25"/>
      <c r="F92" s="26"/>
      <c r="G92" s="27"/>
      <c r="H92" s="26"/>
      <c r="I92" s="27"/>
      <c r="J92" s="28"/>
      <c r="K92" s="25"/>
    </row>
    <row r="93" customFormat="false" ht="18" hidden="false" customHeight="true" outlineLevel="0" collapsed="false">
      <c r="B93" s="25"/>
      <c r="C93" s="25"/>
      <c r="D93" s="26"/>
      <c r="E93" s="25"/>
      <c r="F93" s="26"/>
      <c r="G93" s="27"/>
      <c r="H93" s="26"/>
      <c r="I93" s="27"/>
      <c r="J93" s="28"/>
      <c r="K93" s="25"/>
    </row>
    <row r="94" customFormat="false" ht="18" hidden="false" customHeight="true" outlineLevel="0" collapsed="false">
      <c r="B94" s="25"/>
      <c r="C94" s="25"/>
      <c r="D94" s="26"/>
      <c r="E94" s="25"/>
      <c r="F94" s="26"/>
      <c r="G94" s="27"/>
      <c r="H94" s="26"/>
      <c r="I94" s="27"/>
      <c r="J94" s="28"/>
      <c r="K94" s="25"/>
    </row>
    <row r="95" customFormat="false" ht="18" hidden="false" customHeight="true" outlineLevel="0" collapsed="false">
      <c r="B95" s="25"/>
      <c r="C95" s="25"/>
      <c r="D95" s="26"/>
      <c r="E95" s="25"/>
      <c r="F95" s="26"/>
      <c r="G95" s="27"/>
      <c r="H95" s="26"/>
      <c r="I95" s="27"/>
      <c r="J95" s="28"/>
      <c r="K95" s="25"/>
    </row>
    <row r="96" customFormat="false" ht="18" hidden="false" customHeight="true" outlineLevel="0" collapsed="false">
      <c r="B96" s="25"/>
      <c r="C96" s="25"/>
      <c r="D96" s="26"/>
      <c r="E96" s="25"/>
      <c r="F96" s="26"/>
      <c r="G96" s="27"/>
      <c r="H96" s="26"/>
      <c r="I96" s="27"/>
      <c r="J96" s="28"/>
      <c r="K96" s="25"/>
    </row>
    <row r="97" customFormat="false" ht="18" hidden="false" customHeight="true" outlineLevel="0" collapsed="false">
      <c r="B97" s="25"/>
      <c r="C97" s="25"/>
      <c r="D97" s="26"/>
      <c r="E97" s="25"/>
      <c r="F97" s="26"/>
      <c r="G97" s="27"/>
      <c r="H97" s="26"/>
      <c r="I97" s="27"/>
      <c r="J97" s="28"/>
      <c r="K97" s="25"/>
    </row>
    <row r="98" customFormat="false" ht="18" hidden="false" customHeight="true" outlineLevel="0" collapsed="false">
      <c r="B98" s="25"/>
      <c r="C98" s="25"/>
      <c r="D98" s="26"/>
      <c r="E98" s="25"/>
      <c r="F98" s="26"/>
      <c r="G98" s="27"/>
      <c r="H98" s="26"/>
      <c r="I98" s="27"/>
      <c r="J98" s="28"/>
      <c r="K98" s="25"/>
    </row>
    <row r="99" customFormat="false" ht="18" hidden="false" customHeight="true" outlineLevel="0" collapsed="false">
      <c r="B99" s="25"/>
      <c r="C99" s="25"/>
      <c r="D99" s="26"/>
      <c r="E99" s="25"/>
      <c r="F99" s="26"/>
      <c r="G99" s="27"/>
      <c r="H99" s="26"/>
      <c r="I99" s="27"/>
      <c r="J99" s="28"/>
      <c r="K99" s="25"/>
    </row>
    <row r="100" customFormat="false" ht="18" hidden="false" customHeight="true" outlineLevel="0" collapsed="false">
      <c r="B100" s="25"/>
      <c r="C100" s="25"/>
      <c r="D100" s="26"/>
      <c r="E100" s="25"/>
      <c r="F100" s="26"/>
      <c r="G100" s="27"/>
      <c r="H100" s="26"/>
      <c r="I100" s="27"/>
      <c r="J100" s="28"/>
      <c r="K100" s="25"/>
    </row>
    <row r="101" customFormat="false" ht="18" hidden="false" customHeight="true" outlineLevel="0" collapsed="false">
      <c r="B101" s="25"/>
      <c r="C101" s="25"/>
      <c r="D101" s="26"/>
      <c r="E101" s="25"/>
      <c r="F101" s="26"/>
      <c r="G101" s="27"/>
      <c r="H101" s="26"/>
      <c r="I101" s="27"/>
      <c r="J101" s="28"/>
      <c r="K101" s="25"/>
    </row>
    <row r="102" customFormat="false" ht="18" hidden="false" customHeight="true" outlineLevel="0" collapsed="false">
      <c r="B102" s="25"/>
      <c r="C102" s="25"/>
      <c r="D102" s="26"/>
      <c r="E102" s="25"/>
      <c r="F102" s="26"/>
      <c r="G102" s="27"/>
      <c r="H102" s="26"/>
      <c r="I102" s="27"/>
      <c r="J102" s="28"/>
      <c r="K102" s="25"/>
    </row>
    <row r="103" customFormat="false" ht="18" hidden="false" customHeight="true" outlineLevel="0" collapsed="false">
      <c r="B103" s="25"/>
      <c r="C103" s="25"/>
      <c r="D103" s="26"/>
      <c r="E103" s="25"/>
      <c r="F103" s="26"/>
      <c r="G103" s="27"/>
      <c r="H103" s="26"/>
      <c r="I103" s="27"/>
      <c r="J103" s="28"/>
      <c r="K103" s="25"/>
    </row>
    <row r="104" customFormat="false" ht="18" hidden="false" customHeight="true" outlineLevel="0" collapsed="false">
      <c r="B104" s="25"/>
      <c r="C104" s="25"/>
      <c r="D104" s="26"/>
      <c r="E104" s="25"/>
      <c r="F104" s="26"/>
      <c r="G104" s="27"/>
      <c r="H104" s="26"/>
      <c r="I104" s="27"/>
      <c r="J104" s="28"/>
      <c r="K104" s="25"/>
    </row>
    <row r="105" customFormat="false" ht="18" hidden="false" customHeight="true" outlineLevel="0" collapsed="false">
      <c r="B105" s="25"/>
      <c r="C105" s="25"/>
      <c r="D105" s="26"/>
      <c r="E105" s="25"/>
      <c r="F105" s="26"/>
      <c r="G105" s="27"/>
      <c r="H105" s="26"/>
      <c r="I105" s="27"/>
      <c r="J105" s="28"/>
      <c r="K105" s="25"/>
    </row>
    <row r="106" customFormat="false" ht="18" hidden="false" customHeight="true" outlineLevel="0" collapsed="false">
      <c r="B106" s="25"/>
      <c r="C106" s="25"/>
      <c r="D106" s="26"/>
      <c r="E106" s="25"/>
      <c r="F106" s="26"/>
      <c r="G106" s="27"/>
      <c r="H106" s="26"/>
      <c r="I106" s="27"/>
      <c r="J106" s="28"/>
      <c r="K106" s="25"/>
    </row>
    <row r="107" customFormat="false" ht="18" hidden="false" customHeight="true" outlineLevel="0" collapsed="false">
      <c r="B107" s="25"/>
      <c r="C107" s="25"/>
      <c r="D107" s="26"/>
      <c r="E107" s="25"/>
      <c r="F107" s="26"/>
      <c r="G107" s="27"/>
      <c r="H107" s="26"/>
      <c r="I107" s="27"/>
      <c r="J107" s="28"/>
      <c r="K107" s="25"/>
    </row>
    <row r="108" customFormat="false" ht="18" hidden="false" customHeight="true" outlineLevel="0" collapsed="false">
      <c r="B108" s="25"/>
      <c r="C108" s="25"/>
      <c r="D108" s="26"/>
      <c r="E108" s="25"/>
      <c r="F108" s="26"/>
      <c r="G108" s="27"/>
      <c r="H108" s="26"/>
      <c r="I108" s="27"/>
      <c r="J108" s="28"/>
      <c r="K108" s="25"/>
    </row>
    <row r="109" customFormat="false" ht="18" hidden="false" customHeight="true" outlineLevel="0" collapsed="false">
      <c r="B109" s="25"/>
      <c r="C109" s="25"/>
      <c r="D109" s="26"/>
      <c r="E109" s="25"/>
      <c r="F109" s="26"/>
      <c r="G109" s="27"/>
      <c r="H109" s="26"/>
      <c r="I109" s="27"/>
      <c r="J109" s="28"/>
      <c r="K109" s="25"/>
    </row>
    <row r="110" customFormat="false" ht="18" hidden="false" customHeight="true" outlineLevel="0" collapsed="false">
      <c r="B110" s="25"/>
      <c r="C110" s="25"/>
      <c r="D110" s="26"/>
      <c r="E110" s="25"/>
      <c r="F110" s="26"/>
      <c r="G110" s="27"/>
      <c r="H110" s="26"/>
      <c r="I110" s="27"/>
      <c r="J110" s="28"/>
      <c r="K110" s="25"/>
    </row>
    <row r="111" customFormat="false" ht="18" hidden="false" customHeight="true" outlineLevel="0" collapsed="false">
      <c r="B111" s="25"/>
      <c r="C111" s="25"/>
      <c r="D111" s="26"/>
      <c r="E111" s="25"/>
      <c r="F111" s="26"/>
      <c r="G111" s="27"/>
      <c r="H111" s="26"/>
      <c r="I111" s="27"/>
      <c r="J111" s="28"/>
      <c r="K111" s="25"/>
    </row>
    <row r="112" customFormat="false" ht="18" hidden="false" customHeight="true" outlineLevel="0" collapsed="false">
      <c r="B112" s="25"/>
      <c r="C112" s="25"/>
      <c r="D112" s="26"/>
      <c r="E112" s="25"/>
      <c r="F112" s="26"/>
      <c r="G112" s="27"/>
      <c r="H112" s="26"/>
      <c r="I112" s="27"/>
      <c r="J112" s="28"/>
      <c r="K112" s="25"/>
    </row>
    <row r="113" customFormat="false" ht="18" hidden="false" customHeight="true" outlineLevel="0" collapsed="false">
      <c r="B113" s="25"/>
      <c r="C113" s="25"/>
      <c r="D113" s="26"/>
      <c r="E113" s="25"/>
      <c r="F113" s="26"/>
      <c r="G113" s="27"/>
      <c r="H113" s="26"/>
      <c r="I113" s="27"/>
      <c r="J113" s="28"/>
      <c r="K113" s="25"/>
    </row>
    <row r="114" customFormat="false" ht="18" hidden="false" customHeight="true" outlineLevel="0" collapsed="false">
      <c r="B114" s="25"/>
      <c r="C114" s="25"/>
      <c r="D114" s="26"/>
      <c r="E114" s="25"/>
      <c r="F114" s="26"/>
      <c r="G114" s="27"/>
      <c r="H114" s="26"/>
      <c r="I114" s="27"/>
      <c r="J114" s="28"/>
      <c r="K114" s="25"/>
    </row>
    <row r="115" customFormat="false" ht="18" hidden="false" customHeight="true" outlineLevel="0" collapsed="false">
      <c r="B115" s="25"/>
      <c r="C115" s="25"/>
      <c r="D115" s="26"/>
      <c r="E115" s="25"/>
      <c r="F115" s="26"/>
      <c r="G115" s="27"/>
      <c r="H115" s="26"/>
      <c r="I115" s="27"/>
      <c r="J115" s="28"/>
      <c r="K115" s="25"/>
    </row>
    <row r="116" customFormat="false" ht="18" hidden="false" customHeight="true" outlineLevel="0" collapsed="false">
      <c r="B116" s="25"/>
      <c r="C116" s="25"/>
      <c r="D116" s="26"/>
      <c r="E116" s="25"/>
      <c r="F116" s="26"/>
      <c r="G116" s="27"/>
      <c r="H116" s="26"/>
      <c r="I116" s="27"/>
      <c r="J116" s="28"/>
      <c r="K116" s="25"/>
    </row>
    <row r="117" customFormat="false" ht="18" hidden="false" customHeight="true" outlineLevel="0" collapsed="false">
      <c r="B117" s="25"/>
      <c r="C117" s="25"/>
      <c r="D117" s="26"/>
      <c r="E117" s="25"/>
      <c r="F117" s="26"/>
      <c r="G117" s="27"/>
      <c r="H117" s="26"/>
      <c r="I117" s="27"/>
      <c r="J117" s="28"/>
      <c r="K117" s="25"/>
    </row>
    <row r="118" customFormat="false" ht="18" hidden="false" customHeight="true" outlineLevel="0" collapsed="false">
      <c r="B118" s="25"/>
      <c r="C118" s="25"/>
      <c r="D118" s="26"/>
      <c r="E118" s="25"/>
      <c r="F118" s="26"/>
      <c r="G118" s="27"/>
      <c r="H118" s="26"/>
      <c r="I118" s="27"/>
      <c r="J118" s="28"/>
      <c r="K118" s="25"/>
    </row>
    <row r="119" customFormat="false" ht="18" hidden="false" customHeight="true" outlineLevel="0" collapsed="false">
      <c r="B119" s="25"/>
      <c r="C119" s="25"/>
      <c r="D119" s="26"/>
      <c r="E119" s="25"/>
      <c r="F119" s="26"/>
      <c r="G119" s="27"/>
      <c r="H119" s="26"/>
      <c r="I119" s="27"/>
      <c r="J119" s="28"/>
      <c r="K119" s="25"/>
    </row>
    <row r="120" customFormat="false" ht="18" hidden="false" customHeight="true" outlineLevel="0" collapsed="false">
      <c r="B120" s="25"/>
      <c r="C120" s="25"/>
      <c r="D120" s="26"/>
      <c r="E120" s="25"/>
      <c r="F120" s="26"/>
      <c r="G120" s="27"/>
      <c r="H120" s="26"/>
      <c r="I120" s="27"/>
      <c r="J120" s="28"/>
      <c r="K120" s="25"/>
    </row>
    <row r="121" customFormat="false" ht="18" hidden="false" customHeight="true" outlineLevel="0" collapsed="false">
      <c r="B121" s="25"/>
      <c r="C121" s="25"/>
      <c r="D121" s="26"/>
      <c r="E121" s="25"/>
      <c r="F121" s="26"/>
      <c r="G121" s="27"/>
      <c r="H121" s="26"/>
      <c r="I121" s="27"/>
      <c r="J121" s="28"/>
      <c r="K121" s="25"/>
    </row>
    <row r="122" customFormat="false" ht="18" hidden="false" customHeight="true" outlineLevel="0" collapsed="false">
      <c r="B122" s="25"/>
      <c r="C122" s="25"/>
      <c r="D122" s="26"/>
      <c r="E122" s="25"/>
      <c r="F122" s="26"/>
      <c r="G122" s="27"/>
      <c r="H122" s="26"/>
      <c r="I122" s="27"/>
      <c r="J122" s="28"/>
      <c r="K122" s="25"/>
    </row>
    <row r="123" customFormat="false" ht="18" hidden="false" customHeight="true" outlineLevel="0" collapsed="false">
      <c r="B123" s="25"/>
      <c r="C123" s="25"/>
      <c r="D123" s="26"/>
      <c r="E123" s="25"/>
      <c r="F123" s="26"/>
      <c r="G123" s="27"/>
      <c r="H123" s="26"/>
      <c r="I123" s="27"/>
      <c r="J123" s="28"/>
      <c r="K123" s="25"/>
    </row>
    <row r="124" customFormat="false" ht="18" hidden="false" customHeight="true" outlineLevel="0" collapsed="false">
      <c r="B124" s="25"/>
      <c r="C124" s="25"/>
      <c r="D124" s="26"/>
      <c r="E124" s="25"/>
      <c r="F124" s="26"/>
      <c r="G124" s="27"/>
      <c r="H124" s="26"/>
      <c r="I124" s="27"/>
      <c r="J124" s="28"/>
      <c r="K124" s="25"/>
    </row>
    <row r="125" customFormat="false" ht="18" hidden="false" customHeight="true" outlineLevel="0" collapsed="false">
      <c r="B125" s="25"/>
      <c r="C125" s="25"/>
      <c r="D125" s="26"/>
      <c r="E125" s="25"/>
      <c r="F125" s="26"/>
      <c r="G125" s="27"/>
      <c r="H125" s="26"/>
      <c r="I125" s="27"/>
      <c r="J125" s="28"/>
      <c r="K125" s="25"/>
    </row>
    <row r="126" customFormat="false" ht="18" hidden="false" customHeight="true" outlineLevel="0" collapsed="false">
      <c r="B126" s="25"/>
      <c r="C126" s="25"/>
      <c r="D126" s="26"/>
      <c r="E126" s="25"/>
      <c r="F126" s="26"/>
      <c r="G126" s="27"/>
      <c r="H126" s="26"/>
      <c r="I126" s="27"/>
      <c r="J126" s="28"/>
      <c r="K126" s="25"/>
    </row>
    <row r="127" customFormat="false" ht="18" hidden="false" customHeight="true" outlineLevel="0" collapsed="false">
      <c r="B127" s="25"/>
      <c r="C127" s="25"/>
      <c r="D127" s="26"/>
      <c r="E127" s="25"/>
      <c r="F127" s="26"/>
      <c r="G127" s="27"/>
      <c r="H127" s="26"/>
      <c r="I127" s="27"/>
      <c r="J127" s="28"/>
      <c r="K127" s="25"/>
    </row>
    <row r="128" customFormat="false" ht="18" hidden="false" customHeight="true" outlineLevel="0" collapsed="false">
      <c r="B128" s="25"/>
      <c r="C128" s="25"/>
      <c r="D128" s="26"/>
      <c r="E128" s="25"/>
      <c r="F128" s="26"/>
      <c r="G128" s="27"/>
      <c r="H128" s="26"/>
      <c r="I128" s="27"/>
      <c r="J128" s="28"/>
      <c r="K128" s="25"/>
    </row>
    <row r="129" customFormat="false" ht="18" hidden="false" customHeight="true" outlineLevel="0" collapsed="false">
      <c r="B129" s="25"/>
      <c r="C129" s="25"/>
      <c r="D129" s="26"/>
      <c r="E129" s="25"/>
      <c r="F129" s="26"/>
      <c r="G129" s="27"/>
      <c r="H129" s="26"/>
      <c r="I129" s="27"/>
      <c r="J129" s="28"/>
      <c r="K129" s="25"/>
    </row>
    <row r="130" customFormat="false" ht="18" hidden="false" customHeight="true" outlineLevel="0" collapsed="false">
      <c r="B130" s="25"/>
      <c r="C130" s="25"/>
      <c r="D130" s="26"/>
      <c r="E130" s="25"/>
      <c r="F130" s="26"/>
      <c r="G130" s="27"/>
      <c r="H130" s="26"/>
      <c r="I130" s="27"/>
      <c r="J130" s="28"/>
      <c r="K130" s="25"/>
    </row>
    <row r="131" customFormat="false" ht="18" hidden="false" customHeight="true" outlineLevel="0" collapsed="false">
      <c r="B131" s="25"/>
      <c r="C131" s="25"/>
      <c r="D131" s="26"/>
      <c r="E131" s="25"/>
      <c r="F131" s="26"/>
      <c r="G131" s="27"/>
      <c r="H131" s="26"/>
      <c r="I131" s="27"/>
      <c r="J131" s="28"/>
      <c r="K131" s="25"/>
    </row>
    <row r="132" customFormat="false" ht="18" hidden="false" customHeight="true" outlineLevel="0" collapsed="false">
      <c r="B132" s="25"/>
      <c r="C132" s="25"/>
      <c r="D132" s="26"/>
      <c r="E132" s="25"/>
      <c r="F132" s="26"/>
      <c r="G132" s="27"/>
      <c r="H132" s="26"/>
      <c r="I132" s="27"/>
      <c r="J132" s="28"/>
      <c r="K132" s="25"/>
    </row>
    <row r="133" customFormat="false" ht="18" hidden="false" customHeight="true" outlineLevel="0" collapsed="false">
      <c r="B133" s="25"/>
      <c r="C133" s="25"/>
      <c r="D133" s="26"/>
      <c r="E133" s="25"/>
      <c r="F133" s="26"/>
      <c r="G133" s="27"/>
      <c r="H133" s="26"/>
      <c r="I133" s="27"/>
      <c r="J133" s="28"/>
      <c r="K133" s="25"/>
    </row>
    <row r="134" customFormat="false" ht="18" hidden="false" customHeight="true" outlineLevel="0" collapsed="false">
      <c r="B134" s="25"/>
      <c r="C134" s="25"/>
      <c r="D134" s="26"/>
      <c r="E134" s="25"/>
      <c r="F134" s="26"/>
      <c r="G134" s="27"/>
      <c r="H134" s="26"/>
      <c r="I134" s="27"/>
      <c r="J134" s="28"/>
      <c r="K134" s="25"/>
    </row>
    <row r="135" customFormat="false" ht="18" hidden="false" customHeight="true" outlineLevel="0" collapsed="false">
      <c r="B135" s="25"/>
      <c r="C135" s="25"/>
      <c r="D135" s="26"/>
      <c r="E135" s="25"/>
      <c r="F135" s="26"/>
      <c r="G135" s="27"/>
      <c r="H135" s="26"/>
      <c r="I135" s="27"/>
      <c r="J135" s="28"/>
      <c r="K135" s="25"/>
    </row>
    <row r="136" customFormat="false" ht="18" hidden="false" customHeight="true" outlineLevel="0" collapsed="false">
      <c r="B136" s="25"/>
      <c r="C136" s="25"/>
      <c r="D136" s="26"/>
      <c r="E136" s="25"/>
      <c r="F136" s="26"/>
      <c r="G136" s="27"/>
      <c r="H136" s="26"/>
      <c r="I136" s="27"/>
      <c r="J136" s="28"/>
      <c r="K136" s="25"/>
    </row>
    <row r="137" customFormat="false" ht="18" hidden="false" customHeight="true" outlineLevel="0" collapsed="false">
      <c r="B137" s="25"/>
      <c r="C137" s="25"/>
      <c r="D137" s="26"/>
      <c r="E137" s="25"/>
      <c r="F137" s="26"/>
      <c r="G137" s="27"/>
      <c r="H137" s="26"/>
      <c r="I137" s="27"/>
      <c r="J137" s="28"/>
      <c r="K137" s="25"/>
    </row>
    <row r="138" customFormat="false" ht="18" hidden="false" customHeight="true" outlineLevel="0" collapsed="false">
      <c r="B138" s="25"/>
      <c r="C138" s="25"/>
      <c r="D138" s="26"/>
      <c r="E138" s="25"/>
      <c r="F138" s="26"/>
      <c r="G138" s="27"/>
      <c r="H138" s="26"/>
      <c r="I138" s="27"/>
      <c r="J138" s="28"/>
      <c r="K138" s="25"/>
    </row>
    <row r="139" customFormat="false" ht="18" hidden="false" customHeight="true" outlineLevel="0" collapsed="false">
      <c r="B139" s="25"/>
      <c r="C139" s="25"/>
      <c r="D139" s="26"/>
      <c r="E139" s="25"/>
      <c r="F139" s="26"/>
      <c r="G139" s="27"/>
      <c r="H139" s="26"/>
      <c r="I139" s="27"/>
      <c r="J139" s="28"/>
      <c r="K139" s="25"/>
    </row>
    <row r="140" customFormat="false" ht="18" hidden="false" customHeight="true" outlineLevel="0" collapsed="false">
      <c r="B140" s="25"/>
      <c r="C140" s="25"/>
      <c r="D140" s="26"/>
      <c r="E140" s="25"/>
      <c r="F140" s="26"/>
      <c r="G140" s="27"/>
      <c r="H140" s="26"/>
      <c r="I140" s="27"/>
      <c r="J140" s="28"/>
      <c r="K140" s="25"/>
    </row>
    <row r="141" customFormat="false" ht="18" hidden="false" customHeight="true" outlineLevel="0" collapsed="false">
      <c r="B141" s="25"/>
      <c r="C141" s="25"/>
      <c r="D141" s="26"/>
      <c r="E141" s="25"/>
      <c r="F141" s="26"/>
      <c r="G141" s="27"/>
      <c r="H141" s="26"/>
      <c r="I141" s="27"/>
      <c r="J141" s="28"/>
      <c r="K141" s="25"/>
    </row>
    <row r="142" customFormat="false" ht="18" hidden="false" customHeight="true" outlineLevel="0" collapsed="false">
      <c r="B142" s="25"/>
      <c r="C142" s="25"/>
      <c r="D142" s="26"/>
      <c r="E142" s="25"/>
      <c r="F142" s="26"/>
      <c r="G142" s="27"/>
      <c r="H142" s="26"/>
      <c r="I142" s="27"/>
      <c r="J142" s="28"/>
      <c r="K142" s="25"/>
    </row>
    <row r="143" customFormat="false" ht="18" hidden="false" customHeight="true" outlineLevel="0" collapsed="false">
      <c r="B143" s="25"/>
      <c r="C143" s="25"/>
      <c r="D143" s="26"/>
      <c r="E143" s="25"/>
      <c r="F143" s="26"/>
      <c r="G143" s="27"/>
      <c r="H143" s="26"/>
      <c r="I143" s="27"/>
      <c r="J143" s="28"/>
      <c r="K143" s="25"/>
    </row>
    <row r="144" customFormat="false" ht="18" hidden="false" customHeight="true" outlineLevel="0" collapsed="false">
      <c r="B144" s="25"/>
      <c r="C144" s="25"/>
      <c r="D144" s="26"/>
      <c r="E144" s="25"/>
      <c r="F144" s="26"/>
      <c r="G144" s="27"/>
      <c r="H144" s="26"/>
      <c r="I144" s="27"/>
      <c r="J144" s="28"/>
      <c r="K144" s="25"/>
    </row>
    <row r="145" customFormat="false" ht="18" hidden="false" customHeight="true" outlineLevel="0" collapsed="false">
      <c r="B145" s="25"/>
      <c r="C145" s="25"/>
      <c r="D145" s="26"/>
      <c r="E145" s="25"/>
      <c r="F145" s="26"/>
      <c r="G145" s="27"/>
      <c r="H145" s="26"/>
      <c r="I145" s="27"/>
      <c r="J145" s="28"/>
      <c r="K145" s="25"/>
    </row>
    <row r="146" customFormat="false" ht="18" hidden="false" customHeight="true" outlineLevel="0" collapsed="false">
      <c r="B146" s="25"/>
      <c r="C146" s="25"/>
      <c r="D146" s="26"/>
      <c r="E146" s="25"/>
      <c r="F146" s="26"/>
      <c r="G146" s="27"/>
      <c r="H146" s="26"/>
      <c r="I146" s="27"/>
      <c r="J146" s="28"/>
      <c r="K146" s="25"/>
    </row>
    <row r="147" customFormat="false" ht="18" hidden="false" customHeight="true" outlineLevel="0" collapsed="false">
      <c r="B147" s="25"/>
      <c r="C147" s="25"/>
      <c r="D147" s="26"/>
      <c r="E147" s="25"/>
      <c r="F147" s="26"/>
      <c r="G147" s="27"/>
      <c r="H147" s="26"/>
      <c r="I147" s="27"/>
      <c r="J147" s="28"/>
      <c r="K147" s="25"/>
    </row>
    <row r="148" customFormat="false" ht="18" hidden="false" customHeight="true" outlineLevel="0" collapsed="false">
      <c r="B148" s="25"/>
      <c r="C148" s="25"/>
      <c r="D148" s="26"/>
      <c r="E148" s="25"/>
      <c r="F148" s="26"/>
      <c r="G148" s="27"/>
      <c r="H148" s="26"/>
      <c r="I148" s="27"/>
      <c r="J148" s="28"/>
      <c r="K148" s="25"/>
    </row>
    <row r="149" customFormat="false" ht="18" hidden="false" customHeight="true" outlineLevel="0" collapsed="false">
      <c r="B149" s="25"/>
      <c r="C149" s="25"/>
      <c r="D149" s="26"/>
      <c r="E149" s="25"/>
      <c r="F149" s="26"/>
      <c r="G149" s="27"/>
      <c r="H149" s="26"/>
      <c r="I149" s="27"/>
      <c r="J149" s="28"/>
      <c r="K149" s="25"/>
    </row>
    <row r="150" customFormat="false" ht="18" hidden="false" customHeight="true" outlineLevel="0" collapsed="false">
      <c r="B150" s="25"/>
      <c r="C150" s="25"/>
      <c r="D150" s="26"/>
      <c r="E150" s="25"/>
      <c r="F150" s="26"/>
      <c r="G150" s="27"/>
      <c r="H150" s="26"/>
      <c r="I150" s="27"/>
      <c r="J150" s="28"/>
      <c r="K150" s="25"/>
    </row>
    <row r="151" customFormat="false" ht="18" hidden="false" customHeight="true" outlineLevel="0" collapsed="false">
      <c r="B151" s="25"/>
      <c r="C151" s="25"/>
      <c r="D151" s="26"/>
      <c r="E151" s="25"/>
      <c r="F151" s="26"/>
      <c r="G151" s="27"/>
      <c r="H151" s="26"/>
      <c r="I151" s="27"/>
      <c r="J151" s="28"/>
      <c r="K151" s="25"/>
    </row>
    <row r="152" customFormat="false" ht="18" hidden="false" customHeight="true" outlineLevel="0" collapsed="false">
      <c r="B152" s="25"/>
      <c r="C152" s="25"/>
      <c r="D152" s="26"/>
      <c r="E152" s="25"/>
      <c r="F152" s="26"/>
      <c r="G152" s="27"/>
      <c r="H152" s="26"/>
      <c r="I152" s="27"/>
      <c r="J152" s="28"/>
      <c r="K152" s="25"/>
    </row>
    <row r="153" customFormat="false" ht="18" hidden="false" customHeight="true" outlineLevel="0" collapsed="false">
      <c r="B153" s="25"/>
      <c r="C153" s="25"/>
      <c r="D153" s="26"/>
      <c r="E153" s="25"/>
      <c r="F153" s="26"/>
      <c r="G153" s="27"/>
      <c r="H153" s="26"/>
      <c r="I153" s="27"/>
      <c r="J153" s="28"/>
      <c r="K153" s="25"/>
    </row>
    <row r="154" customFormat="false" ht="18" hidden="false" customHeight="true" outlineLevel="0" collapsed="false">
      <c r="B154" s="25"/>
      <c r="C154" s="25"/>
      <c r="D154" s="26"/>
      <c r="E154" s="25"/>
      <c r="F154" s="26"/>
      <c r="G154" s="27"/>
      <c r="H154" s="26"/>
      <c r="I154" s="27"/>
      <c r="J154" s="28"/>
      <c r="K154" s="25"/>
    </row>
    <row r="155" customFormat="false" ht="18" hidden="false" customHeight="true" outlineLevel="0" collapsed="false">
      <c r="B155" s="25"/>
      <c r="C155" s="25"/>
      <c r="D155" s="26"/>
      <c r="E155" s="25"/>
      <c r="F155" s="26"/>
      <c r="G155" s="27"/>
      <c r="H155" s="26"/>
      <c r="I155" s="27"/>
      <c r="J155" s="28"/>
      <c r="K155" s="25"/>
    </row>
  </sheetData>
  <autoFilter ref="B5:K155"/>
  <dataValidations count="5">
    <dataValidation allowBlank="true" errorStyle="stop" operator="between" showDropDown="false" showErrorMessage="false" showInputMessage="false" sqref="C6:C155" type="list">
      <formula1>'Start Here'!$D$36:$D$45</formula1>
      <formula2>0</formula2>
    </dataValidation>
    <dataValidation allowBlank="true" errorStyle="stop" operator="between" showDropDown="false" showErrorMessage="false" showInputMessage="false" sqref="D6:D155" type="list">
      <formula1>"Chilled,Frozen,Dry,Ambient"</formula1>
      <formula2>0</formula2>
    </dataValidation>
    <dataValidation allowBlank="true" errorStyle="stop" operator="between" showDropDown="false" showErrorMessage="false" showInputMessage="false" sqref="F6:F155" type="list">
      <formula1>"kg,g,L,ml,pc,bunch,pack,tray"</formula1>
      <formula2>0</formula2>
    </dataValidation>
    <dataValidation allowBlank="true" errorStyle="stop" operator="between" showDropDown="false" showErrorMessage="false" showInputMessage="false" sqref="H6:H155" type="list">
      <formula1>"Case,Box,Bag,Carton,Pack,Tray,Tin,Bottle,kg,L,pc,bunch"</formula1>
      <formula2>0</formula2>
    </dataValidation>
    <dataValidation allowBlank="true" error="Must be more than 0." errorStyle="stop" operator="greaterThan" showDropDown="false" showErrorMessage="false" showInputMessage="false" sqref="G6:G155 I6:I155" type="decimal">
      <formula1>0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M1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17"/>
    <col collapsed="false" customWidth="true" hidden="false" outlineLevel="0" max="4" min="4" style="0" width="9"/>
    <col collapsed="false" customWidth="true" hidden="false" outlineLevel="0" max="5" min="5" style="0" width="7"/>
    <col collapsed="false" customWidth="true" hidden="false" outlineLevel="0" max="6" min="6" style="0" width="8"/>
    <col collapsed="false" customWidth="true" hidden="false" outlineLevel="0" max="8" min="7" style="0" width="9"/>
    <col collapsed="false" customWidth="true" hidden="false" outlineLevel="0" max="9" min="9" style="0" width="8"/>
    <col collapsed="false" customWidth="true" hidden="false" outlineLevel="0" max="10" min="10" style="0" width="10"/>
    <col collapsed="false" customWidth="true" hidden="false" outlineLevel="0" max="12" min="11" style="0" width="9"/>
    <col collapsed="false" customWidth="true" hidden="false" outlineLevel="0" max="13" min="13" style="0" width="28"/>
  </cols>
  <sheetData>
    <row r="2" customFormat="false" ht="21.75" hidden="false" customHeight="true" outlineLevel="0" collapsed="false">
      <c r="B2" s="1" t="s">
        <v>116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25.5" hidden="false" customHeight="true" outlineLevel="0" collapsed="false">
      <c r="B3" s="21" t="s">
        <v>117</v>
      </c>
    </row>
    <row r="4" customFormat="false" ht="15" hidden="false" customHeight="false" outlineLevel="0" collapsed="false">
      <c r="B4" s="22" t="s">
        <v>118</v>
      </c>
    </row>
    <row r="6" customFormat="false" ht="19.5" hidden="false" customHeight="true" outlineLevel="0" collapsed="false">
      <c r="B6" s="29" t="s">
        <v>119</v>
      </c>
      <c r="C6" s="30" t="n">
        <v>46312</v>
      </c>
      <c r="D6" s="30"/>
      <c r="I6" s="31" t="str">
        <f aca="false">COUNT(G10:G159)&amp;" of "&amp;COUNTIF(B10:B159,"?*")&amp;" items counted"</f>
        <v>19 of 19 items counted</v>
      </c>
      <c r="J6" s="31"/>
      <c r="K6" s="31"/>
      <c r="L6" s="31"/>
      <c r="M6" s="31"/>
    </row>
    <row r="7" customFormat="false" ht="19.5" hidden="false" customHeight="true" outlineLevel="0" collapsed="false">
      <c r="B7" s="29" t="s">
        <v>120</v>
      </c>
      <c r="C7" s="26"/>
      <c r="D7" s="26"/>
      <c r="I7" s="31" t="str">
        <f aca="false">COUNTIF(Lists!$E$2:$E$151,"&gt;0")&amp;" items to order"</f>
        <v>15 items to order</v>
      </c>
      <c r="J7" s="31"/>
      <c r="K7" s="31"/>
      <c r="L7" s="31"/>
      <c r="M7" s="31"/>
    </row>
    <row r="8" customFormat="false" ht="15" hidden="false" customHeight="false" outlineLevel="0" collapsed="false">
      <c r="B8" s="20" t="s">
        <v>121</v>
      </c>
    </row>
    <row r="9" customFormat="false" ht="31.5" hidden="false" customHeight="true" outlineLevel="0" collapsed="false">
      <c r="B9" s="23" t="s">
        <v>122</v>
      </c>
      <c r="C9" s="23" t="s">
        <v>69</v>
      </c>
      <c r="D9" s="24" t="s">
        <v>70</v>
      </c>
      <c r="E9" s="24" t="s">
        <v>123</v>
      </c>
      <c r="F9" s="24" t="s">
        <v>124</v>
      </c>
      <c r="G9" s="24" t="s">
        <v>125</v>
      </c>
      <c r="H9" s="24" t="s">
        <v>126</v>
      </c>
      <c r="I9" s="24" t="s">
        <v>17</v>
      </c>
      <c r="J9" s="24" t="s">
        <v>127</v>
      </c>
      <c r="K9" s="24" t="s">
        <v>128</v>
      </c>
      <c r="L9" s="24" t="s">
        <v>129</v>
      </c>
      <c r="M9" s="23" t="s">
        <v>76</v>
      </c>
    </row>
    <row r="10" customFormat="false" ht="18.75" hidden="false" customHeight="true" outlineLevel="0" collapsed="false">
      <c r="B10" s="32" t="str">
        <f aca="false">IF('Item Master'!B6="","",'Item Master'!B6)</f>
        <v>Salmon Fillet</v>
      </c>
      <c r="C10" s="32" t="str">
        <f aca="false">IF(B10="","",IF('Item Master'!C6="","",'Item Master'!C6))</f>
        <v>Seafood</v>
      </c>
      <c r="D10" s="33" t="str">
        <f aca="false">IF(B10="","",IF('Item Master'!D6="","",'Item Master'!D6))</f>
        <v>Chilled</v>
      </c>
      <c r="E10" s="33" t="str">
        <f aca="false">IF(B10="","",IF('Item Master'!F6="","",'Item Master'!F6))</f>
        <v>kg</v>
      </c>
      <c r="F10" s="34" t="n">
        <f aca="false">IF(B10="","",IF('Item Master'!G6="","",'Item Master'!G6))</f>
        <v>10</v>
      </c>
      <c r="G10" s="27" t="n">
        <v>3</v>
      </c>
      <c r="H10" s="27" t="n">
        <v>2</v>
      </c>
      <c r="I10" s="35" t="n">
        <f aca="false">IF(OR(B10="",G10=""),"",MAX(0,N(F10)-G10-N(H10)))</f>
        <v>5</v>
      </c>
      <c r="J10" s="35" t="n">
        <f aca="false">IF(I10="","",ROUNDUP(I10/IF(N('Item Master'!I6)=0,1,'Item Master'!I6),0))</f>
        <v>5</v>
      </c>
      <c r="K10" s="36"/>
      <c r="L10" s="33" t="str">
        <f aca="false">IF(B10="","",IF('Item Master'!H6="",E10,'Item Master'!H6))</f>
        <v>kg</v>
      </c>
      <c r="M10" s="25"/>
    </row>
    <row r="11" customFormat="false" ht="18.75" hidden="false" customHeight="true" outlineLevel="0" collapsed="false">
      <c r="B11" s="32" t="str">
        <f aca="false">IF('Item Master'!B7="","",'Item Master'!B7)</f>
        <v>Ribeye</v>
      </c>
      <c r="C11" s="32" t="str">
        <f aca="false">IF(B11="","",IF('Item Master'!C7="","",'Item Master'!C7))</f>
        <v>Meat &amp; Poultry</v>
      </c>
      <c r="D11" s="33" t="str">
        <f aca="false">IF(B11="","",IF('Item Master'!D7="","",'Item Master'!D7))</f>
        <v>Chilled</v>
      </c>
      <c r="E11" s="33" t="str">
        <f aca="false">IF(B11="","",IF('Item Master'!F7="","",'Item Master'!F7))</f>
        <v>kg</v>
      </c>
      <c r="F11" s="34" t="n">
        <f aca="false">IF(B11="","",IF('Item Master'!G7="","",'Item Master'!G7))</f>
        <v>8</v>
      </c>
      <c r="G11" s="27" t="n">
        <v>5</v>
      </c>
      <c r="H11" s="27"/>
      <c r="I11" s="35" t="n">
        <f aca="false">IF(OR(B11="",G11=""),"",MAX(0,N(F11)-G11-N(H11)))</f>
        <v>3</v>
      </c>
      <c r="J11" s="35" t="n">
        <f aca="false">IF(I11="","",ROUNDUP(I11/IF(N('Item Master'!I7)=0,1,'Item Master'!I7),0))</f>
        <v>3</v>
      </c>
      <c r="K11" s="36"/>
      <c r="L11" s="33" t="str">
        <f aca="false">IF(B11="","",IF('Item Master'!H7="",E11,'Item Master'!H7))</f>
        <v>kg</v>
      </c>
      <c r="M11" s="25"/>
    </row>
    <row r="12" customFormat="false" ht="18.75" hidden="false" customHeight="true" outlineLevel="0" collapsed="false">
      <c r="B12" s="32" t="str">
        <f aca="false">IF('Item Master'!B8="","",'Item Master'!B8)</f>
        <v>Chicken Breast</v>
      </c>
      <c r="C12" s="32" t="str">
        <f aca="false">IF(B12="","",IF('Item Master'!C8="","",'Item Master'!C8))</f>
        <v>Meat &amp; Poultry</v>
      </c>
      <c r="D12" s="33" t="str">
        <f aca="false">IF(B12="","",IF('Item Master'!D8="","",'Item Master'!D8))</f>
        <v>Chilled</v>
      </c>
      <c r="E12" s="33" t="str">
        <f aca="false">IF(B12="","",IF('Item Master'!F8="","",'Item Master'!F8))</f>
        <v>kg</v>
      </c>
      <c r="F12" s="34" t="n">
        <f aca="false">IF(B12="","",IF('Item Master'!G8="","",'Item Master'!G8))</f>
        <v>15</v>
      </c>
      <c r="G12" s="27" t="n">
        <v>8</v>
      </c>
      <c r="H12" s="27"/>
      <c r="I12" s="35" t="n">
        <f aca="false">IF(OR(B12="",G12=""),"",MAX(0,N(F12)-G12-N(H12)))</f>
        <v>7</v>
      </c>
      <c r="J12" s="35" t="n">
        <f aca="false">IF(I12="","",ROUNDUP(I12/IF(N('Item Master'!I8)=0,1,'Item Master'!I8),0))</f>
        <v>2</v>
      </c>
      <c r="K12" s="36" t="n">
        <v>3</v>
      </c>
      <c r="L12" s="33" t="str">
        <f aca="false">IF(B12="","",IF('Item Master'!H8="",E12,'Item Master'!H8))</f>
        <v>Box</v>
      </c>
      <c r="M12" s="25" t="s">
        <v>130</v>
      </c>
    </row>
    <row r="13" customFormat="false" ht="18.75" hidden="false" customHeight="true" outlineLevel="0" collapsed="false">
      <c r="B13" s="32" t="str">
        <f aca="false">IF('Item Master'!B9="","",'Item Master'!B9)</f>
        <v>Tomato</v>
      </c>
      <c r="C13" s="32" t="str">
        <f aca="false">IF(B13="","",IF('Item Master'!C9="","",'Item Master'!C9))</f>
        <v>Vegetables &amp; Fruits</v>
      </c>
      <c r="D13" s="33" t="str">
        <f aca="false">IF(B13="","",IF('Item Master'!D9="","",'Item Master'!D9))</f>
        <v>Chilled</v>
      </c>
      <c r="E13" s="33" t="str">
        <f aca="false">IF(B13="","",IF('Item Master'!F9="","",'Item Master'!F9))</f>
        <v>kg</v>
      </c>
      <c r="F13" s="34" t="n">
        <f aca="false">IF(B13="","",IF('Item Master'!G9="","",'Item Master'!G9))</f>
        <v>6</v>
      </c>
      <c r="G13" s="27" t="n">
        <v>2</v>
      </c>
      <c r="H13" s="27"/>
      <c r="I13" s="35" t="n">
        <f aca="false">IF(OR(B13="",G13=""),"",MAX(0,N(F13)-G13-N(H13)))</f>
        <v>4</v>
      </c>
      <c r="J13" s="35" t="n">
        <f aca="false">IF(I13="","",ROUNDUP(I13/IF(N('Item Master'!I9)=0,1,'Item Master'!I9),0))</f>
        <v>4</v>
      </c>
      <c r="K13" s="36"/>
      <c r="L13" s="33" t="str">
        <f aca="false">IF(B13="","",IF('Item Master'!H9="",E13,'Item Master'!H9))</f>
        <v>kg</v>
      </c>
      <c r="M13" s="25"/>
    </row>
    <row r="14" customFormat="false" ht="18.75" hidden="false" customHeight="true" outlineLevel="0" collapsed="false">
      <c r="B14" s="32" t="str">
        <f aca="false">IF('Item Master'!B10="","",'Item Master'!B10)</f>
        <v>Romaine Lettuce</v>
      </c>
      <c r="C14" s="32" t="str">
        <f aca="false">IF(B14="","",IF('Item Master'!C10="","",'Item Master'!C10))</f>
        <v>Vegetables &amp; Fruits</v>
      </c>
      <c r="D14" s="33" t="str">
        <f aca="false">IF(B14="","",IF('Item Master'!D10="","",'Item Master'!D10))</f>
        <v>Chilled</v>
      </c>
      <c r="E14" s="33" t="str">
        <f aca="false">IF(B14="","",IF('Item Master'!F10="","",'Item Master'!F10))</f>
        <v>pc</v>
      </c>
      <c r="F14" s="34" t="n">
        <f aca="false">IF(B14="","",IF('Item Master'!G10="","",'Item Master'!G10))</f>
        <v>24</v>
      </c>
      <c r="G14" s="27" t="n">
        <v>10</v>
      </c>
      <c r="H14" s="27"/>
      <c r="I14" s="35" t="n">
        <f aca="false">IF(OR(B14="",G14=""),"",MAX(0,N(F14)-G14-N(H14)))</f>
        <v>14</v>
      </c>
      <c r="J14" s="35" t="n">
        <f aca="false">IF(I14="","",ROUNDUP(I14/IF(N('Item Master'!I10)=0,1,'Item Master'!I10),0))</f>
        <v>2</v>
      </c>
      <c r="K14" s="36"/>
      <c r="L14" s="33" t="str">
        <f aca="false">IF(B14="","",IF('Item Master'!H10="",E14,'Item Master'!H10))</f>
        <v>Case</v>
      </c>
      <c r="M14" s="25"/>
    </row>
    <row r="15" customFormat="false" ht="18.75" hidden="false" customHeight="true" outlineLevel="0" collapsed="false">
      <c r="B15" s="32" t="str">
        <f aca="false">IF('Item Master'!B11="","",'Item Master'!B11)</f>
        <v>Fresh Basil</v>
      </c>
      <c r="C15" s="32" t="str">
        <f aca="false">IF(B15="","",IF('Item Master'!C11="","",'Item Master'!C11))</f>
        <v>Vegetables &amp; Fruits</v>
      </c>
      <c r="D15" s="33" t="str">
        <f aca="false">IF(B15="","",IF('Item Master'!D11="","",'Item Master'!D11))</f>
        <v>Chilled</v>
      </c>
      <c r="E15" s="33" t="str">
        <f aca="false">IF(B15="","",IF('Item Master'!F11="","",'Item Master'!F11))</f>
        <v>bunch</v>
      </c>
      <c r="F15" s="34" t="n">
        <f aca="false">IF(B15="","",IF('Item Master'!G11="","",'Item Master'!G11))</f>
        <v>10</v>
      </c>
      <c r="G15" s="27" t="n">
        <v>10</v>
      </c>
      <c r="H15" s="27"/>
      <c r="I15" s="35" t="n">
        <f aca="false">IF(OR(B15="",G15=""),"",MAX(0,N(F15)-G15-N(H15)))</f>
        <v>0</v>
      </c>
      <c r="J15" s="35" t="n">
        <f aca="false">IF(I15="","",ROUNDUP(I15/IF(N('Item Master'!I11)=0,1,'Item Master'!I11),0))</f>
        <v>0</v>
      </c>
      <c r="K15" s="36"/>
      <c r="L15" s="33" t="str">
        <f aca="false">IF(B15="","",IF('Item Master'!H11="",E15,'Item Master'!H11))</f>
        <v>bunch</v>
      </c>
      <c r="M15" s="25"/>
    </row>
    <row r="16" customFormat="false" ht="18.75" hidden="false" customHeight="true" outlineLevel="0" collapsed="false">
      <c r="B16" s="32" t="str">
        <f aca="false">IF('Item Master'!B12="","",'Item Master'!B12)</f>
        <v>Cream 35%</v>
      </c>
      <c r="C16" s="32" t="str">
        <f aca="false">IF(B16="","",IF('Item Master'!C12="","",'Item Master'!C12))</f>
        <v>Dairy &amp; Chilled</v>
      </c>
      <c r="D16" s="33" t="str">
        <f aca="false">IF(B16="","",IF('Item Master'!D12="","",'Item Master'!D12))</f>
        <v>Chilled</v>
      </c>
      <c r="E16" s="33" t="str">
        <f aca="false">IF(B16="","",IF('Item Master'!F12="","",'Item Master'!F12))</f>
        <v>L</v>
      </c>
      <c r="F16" s="34" t="n">
        <f aca="false">IF(B16="","",IF('Item Master'!G12="","",'Item Master'!G12))</f>
        <v>12</v>
      </c>
      <c r="G16" s="27" t="n">
        <v>9</v>
      </c>
      <c r="H16" s="27"/>
      <c r="I16" s="35" t="n">
        <f aca="false">IF(OR(B16="",G16=""),"",MAX(0,N(F16)-G16-N(H16)))</f>
        <v>3</v>
      </c>
      <c r="J16" s="35" t="n">
        <f aca="false">IF(I16="","",ROUNDUP(I16/IF(N('Item Master'!I12)=0,1,'Item Master'!I12),0))</f>
        <v>1</v>
      </c>
      <c r="K16" s="36"/>
      <c r="L16" s="33" t="str">
        <f aca="false">IF(B16="","",IF('Item Master'!H12="",E16,'Item Master'!H12))</f>
        <v>Case</v>
      </c>
      <c r="M16" s="25"/>
    </row>
    <row r="17" customFormat="false" ht="18.75" hidden="false" customHeight="true" outlineLevel="0" collapsed="false">
      <c r="B17" s="32" t="str">
        <f aca="false">IF('Item Master'!B13="","",'Item Master'!B13)</f>
        <v>Milk</v>
      </c>
      <c r="C17" s="32" t="str">
        <f aca="false">IF(B17="","",IF('Item Master'!C13="","",'Item Master'!C13))</f>
        <v>Dairy &amp; Chilled</v>
      </c>
      <c r="D17" s="33" t="str">
        <f aca="false">IF(B17="","",IF('Item Master'!D13="","",'Item Master'!D13))</f>
        <v>Chilled</v>
      </c>
      <c r="E17" s="33" t="str">
        <f aca="false">IF(B17="","",IF('Item Master'!F13="","",'Item Master'!F13))</f>
        <v>L</v>
      </c>
      <c r="F17" s="34" t="n">
        <f aca="false">IF(B17="","",IF('Item Master'!G13="","",'Item Master'!G13))</f>
        <v>20</v>
      </c>
      <c r="G17" s="27" t="n">
        <v>6</v>
      </c>
      <c r="H17" s="27" t="n">
        <v>12</v>
      </c>
      <c r="I17" s="35" t="n">
        <f aca="false">IF(OR(B17="",G17=""),"",MAX(0,N(F17)-G17-N(H17)))</f>
        <v>2</v>
      </c>
      <c r="J17" s="35" t="n">
        <f aca="false">IF(I17="","",ROUNDUP(I17/IF(N('Item Master'!I13)=0,1,'Item Master'!I13),0))</f>
        <v>1</v>
      </c>
      <c r="K17" s="36"/>
      <c r="L17" s="33" t="str">
        <f aca="false">IF(B17="","",IF('Item Master'!H13="",E17,'Item Master'!H13))</f>
        <v>Case</v>
      </c>
      <c r="M17" s="25"/>
    </row>
    <row r="18" customFormat="false" ht="18.75" hidden="false" customHeight="true" outlineLevel="0" collapsed="false">
      <c r="B18" s="32" t="str">
        <f aca="false">IF('Item Master'!B14="","",'Item Master'!B14)</f>
        <v>Mozzarella</v>
      </c>
      <c r="C18" s="32" t="str">
        <f aca="false">IF(B18="","",IF('Item Master'!C14="","",'Item Master'!C14))</f>
        <v>Dairy &amp; Chilled</v>
      </c>
      <c r="D18" s="33" t="str">
        <f aca="false">IF(B18="","",IF('Item Master'!D14="","",'Item Master'!D14))</f>
        <v>Chilled</v>
      </c>
      <c r="E18" s="33" t="str">
        <f aca="false">IF(B18="","",IF('Item Master'!F14="","",'Item Master'!F14))</f>
        <v>kg</v>
      </c>
      <c r="F18" s="34" t="n">
        <f aca="false">IF(B18="","",IF('Item Master'!G14="","",'Item Master'!G14))</f>
        <v>6</v>
      </c>
      <c r="G18" s="27" t="n">
        <v>5</v>
      </c>
      <c r="H18" s="27"/>
      <c r="I18" s="35" t="n">
        <f aca="false">IF(OR(B18="",G18=""),"",MAX(0,N(F18)-G18-N(H18)))</f>
        <v>1</v>
      </c>
      <c r="J18" s="35" t="n">
        <f aca="false">IF(I18="","",ROUNDUP(I18/IF(N('Item Master'!I14)=0,1,'Item Master'!I14),0))</f>
        <v>1</v>
      </c>
      <c r="K18" s="36"/>
      <c r="L18" s="33" t="str">
        <f aca="false">IF(B18="","",IF('Item Master'!H14="",E18,'Item Master'!H14))</f>
        <v>Bag</v>
      </c>
      <c r="M18" s="25"/>
    </row>
    <row r="19" customFormat="false" ht="18.75" hidden="false" customHeight="true" outlineLevel="0" collapsed="false">
      <c r="B19" s="32" t="str">
        <f aca="false">IF('Item Master'!B15="","",'Item Master'!B15)</f>
        <v>Unsalted Butter</v>
      </c>
      <c r="C19" s="32" t="str">
        <f aca="false">IF(B19="","",IF('Item Master'!C15="","",'Item Master'!C15))</f>
        <v>Dairy &amp; Chilled</v>
      </c>
      <c r="D19" s="33" t="str">
        <f aca="false">IF(B19="","",IF('Item Master'!D15="","",'Item Master'!D15))</f>
        <v>Chilled</v>
      </c>
      <c r="E19" s="33" t="str">
        <f aca="false">IF(B19="","",IF('Item Master'!F15="","",'Item Master'!F15))</f>
        <v>kg</v>
      </c>
      <c r="F19" s="34" t="n">
        <f aca="false">IF(B19="","",IF('Item Master'!G15="","",'Item Master'!G15))</f>
        <v>5</v>
      </c>
      <c r="G19" s="27" t="n">
        <v>2</v>
      </c>
      <c r="H19" s="27"/>
      <c r="I19" s="35" t="n">
        <f aca="false">IF(OR(B19="",G19=""),"",MAX(0,N(F19)-G19-N(H19)))</f>
        <v>3</v>
      </c>
      <c r="J19" s="35" t="n">
        <f aca="false">IF(I19="","",ROUNDUP(I19/IF(N('Item Master'!I15)=0,1,'Item Master'!I15),0))</f>
        <v>1</v>
      </c>
      <c r="K19" s="36" t="n">
        <v>0</v>
      </c>
      <c r="L19" s="33" t="str">
        <f aca="false">IF(B19="","",IF('Item Master'!H15="",E19,'Item Master'!H15))</f>
        <v>Carton</v>
      </c>
      <c r="M19" s="25" t="s">
        <v>131</v>
      </c>
    </row>
    <row r="20" customFormat="false" ht="18.75" hidden="false" customHeight="true" outlineLevel="0" collapsed="false">
      <c r="B20" s="32" t="str">
        <f aca="false">IF('Item Master'!B16="","",'Item Master'!B16)</f>
        <v>Prawns 16/20</v>
      </c>
      <c r="C20" s="32" t="str">
        <f aca="false">IF(B20="","",IF('Item Master'!C16="","",'Item Master'!C16))</f>
        <v>Seafood</v>
      </c>
      <c r="D20" s="33" t="str">
        <f aca="false">IF(B20="","",IF('Item Master'!D16="","",'Item Master'!D16))</f>
        <v>Frozen</v>
      </c>
      <c r="E20" s="33" t="str">
        <f aca="false">IF(B20="","",IF('Item Master'!F16="","",'Item Master'!F16))</f>
        <v>kg</v>
      </c>
      <c r="F20" s="34" t="n">
        <f aca="false">IF(B20="","",IF('Item Master'!G16="","",'Item Master'!G16))</f>
        <v>6</v>
      </c>
      <c r="G20" s="27" t="n">
        <v>6</v>
      </c>
      <c r="H20" s="27"/>
      <c r="I20" s="35" t="n">
        <f aca="false">IF(OR(B20="",G20=""),"",MAX(0,N(F20)-G20-N(H20)))</f>
        <v>0</v>
      </c>
      <c r="J20" s="35" t="n">
        <f aca="false">IF(I20="","",ROUNDUP(I20/IF(N('Item Master'!I16)=0,1,'Item Master'!I16),0))</f>
        <v>0</v>
      </c>
      <c r="K20" s="36"/>
      <c r="L20" s="33" t="str">
        <f aca="false">IF(B20="","",IF('Item Master'!H16="",E20,'Item Master'!H16))</f>
        <v>Box</v>
      </c>
      <c r="M20" s="25"/>
    </row>
    <row r="21" customFormat="false" ht="18.75" hidden="false" customHeight="true" outlineLevel="0" collapsed="false">
      <c r="B21" s="32" t="str">
        <f aca="false">IF('Item Master'!B17="","",'Item Master'!B17)</f>
        <v>Frozen Fries</v>
      </c>
      <c r="C21" s="32" t="str">
        <f aca="false">IF(B21="","",IF('Item Master'!C17="","",'Item Master'!C17))</f>
        <v>Frozen</v>
      </c>
      <c r="D21" s="33" t="str">
        <f aca="false">IF(B21="","",IF('Item Master'!D17="","",'Item Master'!D17))</f>
        <v>Frozen</v>
      </c>
      <c r="E21" s="33" t="str">
        <f aca="false">IF(B21="","",IF('Item Master'!F17="","",'Item Master'!F17))</f>
        <v>kg</v>
      </c>
      <c r="F21" s="34" t="n">
        <f aca="false">IF(B21="","",IF('Item Master'!G17="","",'Item Master'!G17))</f>
        <v>30</v>
      </c>
      <c r="G21" s="27" t="n">
        <v>12</v>
      </c>
      <c r="H21" s="27"/>
      <c r="I21" s="35" t="n">
        <f aca="false">IF(OR(B21="",G21=""),"",MAX(0,N(F21)-G21-N(H21)))</f>
        <v>18</v>
      </c>
      <c r="J21" s="35" t="n">
        <f aca="false">IF(I21="","",ROUNDUP(I21/IF(N('Item Master'!I17)=0,1,'Item Master'!I17),0))</f>
        <v>2</v>
      </c>
      <c r="K21" s="36"/>
      <c r="L21" s="33" t="str">
        <f aca="false">IF(B21="","",IF('Item Master'!H17="",E21,'Item Master'!H17))</f>
        <v>Case</v>
      </c>
      <c r="M21" s="25"/>
    </row>
    <row r="22" customFormat="false" ht="18.75" hidden="false" customHeight="true" outlineLevel="0" collapsed="false">
      <c r="B22" s="32" t="str">
        <f aca="false">IF('Item Master'!B18="","",'Item Master'!B18)</f>
        <v>Frozen Dumplings</v>
      </c>
      <c r="C22" s="32" t="str">
        <f aca="false">IF(B22="","",IF('Item Master'!C18="","",'Item Master'!C18))</f>
        <v>Frozen</v>
      </c>
      <c r="D22" s="33" t="str">
        <f aca="false">IF(B22="","",IF('Item Master'!D18="","",'Item Master'!D18))</f>
        <v>Frozen</v>
      </c>
      <c r="E22" s="33" t="str">
        <f aca="false">IF(B22="","",IF('Item Master'!F18="","",'Item Master'!F18))</f>
        <v>pc</v>
      </c>
      <c r="F22" s="34" t="n">
        <f aca="false">IF(B22="","",IF('Item Master'!G18="","",'Item Master'!G18))</f>
        <v>200</v>
      </c>
      <c r="G22" s="27" t="n">
        <v>80</v>
      </c>
      <c r="H22" s="27"/>
      <c r="I22" s="35" t="n">
        <f aca="false">IF(OR(B22="",G22=""),"",MAX(0,N(F22)-G22-N(H22)))</f>
        <v>120</v>
      </c>
      <c r="J22" s="35" t="n">
        <f aca="false">IF(I22="","",ROUNDUP(I22/IF(N('Item Master'!I18)=0,1,'Item Master'!I18),0))</f>
        <v>3</v>
      </c>
      <c r="K22" s="36"/>
      <c r="L22" s="33" t="str">
        <f aca="false">IF(B22="","",IF('Item Master'!H18="",E22,'Item Master'!H18))</f>
        <v>Bag</v>
      </c>
      <c r="M22" s="25"/>
    </row>
    <row r="23" customFormat="false" ht="18.75" hidden="false" customHeight="true" outlineLevel="0" collapsed="false">
      <c r="B23" s="32" t="str">
        <f aca="false">IF('Item Master'!B19="","",'Item Master'!B19)</f>
        <v>Jasmine Rice</v>
      </c>
      <c r="C23" s="32" t="str">
        <f aca="false">IF(B23="","",IF('Item Master'!C19="","",'Item Master'!C19))</f>
        <v>Dry Goods</v>
      </c>
      <c r="D23" s="33" t="str">
        <f aca="false">IF(B23="","",IF('Item Master'!D19="","",'Item Master'!D19))</f>
        <v>Dry</v>
      </c>
      <c r="E23" s="33" t="str">
        <f aca="false">IF(B23="","",IF('Item Master'!F19="","",'Item Master'!F19))</f>
        <v>kg</v>
      </c>
      <c r="F23" s="34" t="n">
        <f aca="false">IF(B23="","",IF('Item Master'!G19="","",'Item Master'!G19))</f>
        <v>50</v>
      </c>
      <c r="G23" s="27" t="n">
        <v>20</v>
      </c>
      <c r="H23" s="27"/>
      <c r="I23" s="35" t="n">
        <f aca="false">IF(OR(B23="",G23=""),"",MAX(0,N(F23)-G23-N(H23)))</f>
        <v>30</v>
      </c>
      <c r="J23" s="35" t="n">
        <f aca="false">IF(I23="","",ROUNDUP(I23/IF(N('Item Master'!I19)=0,1,'Item Master'!I19),0))</f>
        <v>2</v>
      </c>
      <c r="K23" s="36"/>
      <c r="L23" s="33" t="str">
        <f aca="false">IF(B23="","",IF('Item Master'!H19="",E23,'Item Master'!H19))</f>
        <v>Bag</v>
      </c>
      <c r="M23" s="25"/>
    </row>
    <row r="24" customFormat="false" ht="18.75" hidden="false" customHeight="true" outlineLevel="0" collapsed="false">
      <c r="B24" s="32" t="str">
        <f aca="false">IF('Item Master'!B20="","",'Item Master'!B20)</f>
        <v>Flour Tipo 00</v>
      </c>
      <c r="C24" s="32" t="str">
        <f aca="false">IF(B24="","",IF('Item Master'!C20="","",'Item Master'!C20))</f>
        <v>Dry Goods</v>
      </c>
      <c r="D24" s="33" t="str">
        <f aca="false">IF(B24="","",IF('Item Master'!D20="","",'Item Master'!D20))</f>
        <v>Dry</v>
      </c>
      <c r="E24" s="33" t="str">
        <f aca="false">IF(B24="","",IF('Item Master'!F20="","",'Item Master'!F20))</f>
        <v>kg</v>
      </c>
      <c r="F24" s="34" t="n">
        <f aca="false">IF(B24="","",IF('Item Master'!G20="","",'Item Master'!G20))</f>
        <v>25</v>
      </c>
      <c r="G24" s="27" t="n">
        <v>18</v>
      </c>
      <c r="H24" s="27"/>
      <c r="I24" s="35" t="n">
        <f aca="false">IF(OR(B24="",G24=""),"",MAX(0,N(F24)-G24-N(H24)))</f>
        <v>7</v>
      </c>
      <c r="J24" s="35" t="n">
        <f aca="false">IF(I24="","",ROUNDUP(I24/IF(N('Item Master'!I20)=0,1,'Item Master'!I20),0))</f>
        <v>1</v>
      </c>
      <c r="K24" s="36"/>
      <c r="L24" s="33" t="str">
        <f aca="false">IF(B24="","",IF('Item Master'!H20="",E24,'Item Master'!H20))</f>
        <v>Bag</v>
      </c>
      <c r="M24" s="25"/>
    </row>
    <row r="25" customFormat="false" ht="18.75" hidden="false" customHeight="true" outlineLevel="0" collapsed="false">
      <c r="B25" s="32" t="str">
        <f aca="false">IF('Item Master'!B21="","",'Item Master'!B21)</f>
        <v>Olive Oil</v>
      </c>
      <c r="C25" s="32" t="str">
        <f aca="false">IF(B25="","",IF('Item Master'!C21="","",'Item Master'!C21))</f>
        <v>Dry Goods</v>
      </c>
      <c r="D25" s="33" t="str">
        <f aca="false">IF(B25="","",IF('Item Master'!D21="","",'Item Master'!D21))</f>
        <v>Dry</v>
      </c>
      <c r="E25" s="33" t="str">
        <f aca="false">IF(B25="","",IF('Item Master'!F21="","",'Item Master'!F21))</f>
        <v>L</v>
      </c>
      <c r="F25" s="34" t="n">
        <f aca="false">IF(B25="","",IF('Item Master'!G21="","",'Item Master'!G21))</f>
        <v>10</v>
      </c>
      <c r="G25" s="27" t="n">
        <v>3</v>
      </c>
      <c r="H25" s="27" t="n">
        <v>5</v>
      </c>
      <c r="I25" s="35" t="n">
        <f aca="false">IF(OR(B25="",G25=""),"",MAX(0,N(F25)-G25-N(H25)))</f>
        <v>2</v>
      </c>
      <c r="J25" s="35" t="n">
        <f aca="false">IF(I25="","",ROUNDUP(I25/IF(N('Item Master'!I21)=0,1,'Item Master'!I21),0))</f>
        <v>1</v>
      </c>
      <c r="K25" s="36"/>
      <c r="L25" s="33" t="str">
        <f aca="false">IF(B25="","",IF('Item Master'!H21="",E25,'Item Master'!H21))</f>
        <v>Tin</v>
      </c>
      <c r="M25" s="25"/>
    </row>
    <row r="26" customFormat="false" ht="18.75" hidden="false" customHeight="true" outlineLevel="0" collapsed="false">
      <c r="B26" s="32" t="str">
        <f aca="false">IF('Item Master'!B22="","",'Item Master'!B22)</f>
        <v>Soy Sauce</v>
      </c>
      <c r="C26" s="32" t="str">
        <f aca="false">IF(B26="","",IF('Item Master'!C22="","",'Item Master'!C22))</f>
        <v>Dry Goods</v>
      </c>
      <c r="D26" s="33" t="str">
        <f aca="false">IF(B26="","",IF('Item Master'!D22="","",'Item Master'!D22))</f>
        <v>Dry</v>
      </c>
      <c r="E26" s="33" t="str">
        <f aca="false">IF(B26="","",IF('Item Master'!F22="","",'Item Master'!F22))</f>
        <v>L</v>
      </c>
      <c r="F26" s="34" t="n">
        <f aca="false">IF(B26="","",IF('Item Master'!G22="","",'Item Master'!G22))</f>
        <v>4</v>
      </c>
      <c r="G26" s="27" t="n">
        <v>4</v>
      </c>
      <c r="H26" s="27"/>
      <c r="I26" s="35" t="n">
        <f aca="false">IF(OR(B26="",G26=""),"",MAX(0,N(F26)-G26-N(H26)))</f>
        <v>0</v>
      </c>
      <c r="J26" s="35" t="n">
        <f aca="false">IF(I26="","",ROUNDUP(I26/IF(N('Item Master'!I22)=0,1,'Item Master'!I22),0))</f>
        <v>0</v>
      </c>
      <c r="K26" s="36"/>
      <c r="L26" s="33" t="str">
        <f aca="false">IF(B26="","",IF('Item Master'!H22="",E26,'Item Master'!H22))</f>
        <v>Bottle</v>
      </c>
      <c r="M26" s="25"/>
    </row>
    <row r="27" customFormat="false" ht="18.75" hidden="false" customHeight="true" outlineLevel="0" collapsed="false">
      <c r="B27" s="32" t="str">
        <f aca="false">IF('Item Master'!B23="","",'Item Master'!B23)</f>
        <v>Onion</v>
      </c>
      <c r="C27" s="32" t="str">
        <f aca="false">IF(B27="","",IF('Item Master'!C23="","",'Item Master'!C23))</f>
        <v>Vegetables &amp; Fruits</v>
      </c>
      <c r="D27" s="33" t="str">
        <f aca="false">IF(B27="","",IF('Item Master'!D23="","",'Item Master'!D23))</f>
        <v>Ambient</v>
      </c>
      <c r="E27" s="33" t="str">
        <f aca="false">IF(B27="","",IF('Item Master'!F23="","",'Item Master'!F23))</f>
        <v>kg</v>
      </c>
      <c r="F27" s="34" t="n">
        <f aca="false">IF(B27="","",IF('Item Master'!G23="","",'Item Master'!G23))</f>
        <v>10</v>
      </c>
      <c r="G27" s="27" t="n">
        <v>4</v>
      </c>
      <c r="H27" s="27"/>
      <c r="I27" s="35" t="n">
        <f aca="false">IF(OR(B27="",G27=""),"",MAX(0,N(F27)-G27-N(H27)))</f>
        <v>6</v>
      </c>
      <c r="J27" s="35" t="n">
        <f aca="false">IF(I27="","",ROUNDUP(I27/IF(N('Item Master'!I23)=0,1,'Item Master'!I23),0))</f>
        <v>1</v>
      </c>
      <c r="K27" s="36"/>
      <c r="L27" s="33" t="str">
        <f aca="false">IF(B27="","",IF('Item Master'!H23="",E27,'Item Master'!H23))</f>
        <v>Bag</v>
      </c>
      <c r="M27" s="25"/>
    </row>
    <row r="28" customFormat="false" ht="18.75" hidden="false" customHeight="true" outlineLevel="0" collapsed="false">
      <c r="B28" s="32" t="str">
        <f aca="false">IF('Item Master'!B24="","",'Item Master'!B24)</f>
        <v>Sourdough Bread</v>
      </c>
      <c r="C28" s="32" t="str">
        <f aca="false">IF(B28="","",IF('Item Master'!C24="","",'Item Master'!C24))</f>
        <v>Bakery &amp; Others</v>
      </c>
      <c r="D28" s="33" t="str">
        <f aca="false">IF(B28="","",IF('Item Master'!D24="","",'Item Master'!D24))</f>
        <v>Ambient</v>
      </c>
      <c r="E28" s="33" t="str">
        <f aca="false">IF(B28="","",IF('Item Master'!F24="","",'Item Master'!F24))</f>
        <v>pc</v>
      </c>
      <c r="F28" s="34" t="n">
        <f aca="false">IF(B28="","",IF('Item Master'!G24="","",'Item Master'!G24))</f>
        <v>20</v>
      </c>
      <c r="G28" s="27" t="n">
        <v>6</v>
      </c>
      <c r="H28" s="27"/>
      <c r="I28" s="35" t="n">
        <f aca="false">IF(OR(B28="",G28=""),"",MAX(0,N(F28)-G28-N(H28)))</f>
        <v>14</v>
      </c>
      <c r="J28" s="35" t="n">
        <f aca="false">IF(I28="","",ROUNDUP(I28/IF(N('Item Master'!I24)=0,1,'Item Master'!I24),0))</f>
        <v>14</v>
      </c>
      <c r="K28" s="36"/>
      <c r="L28" s="33" t="str">
        <f aca="false">IF(B28="","",IF('Item Master'!H24="",E28,'Item Master'!H24))</f>
        <v>pc</v>
      </c>
      <c r="M28" s="25"/>
    </row>
    <row r="29" customFormat="false" ht="18.75" hidden="false" customHeight="true" outlineLevel="0" collapsed="false">
      <c r="B29" s="32" t="str">
        <f aca="false">IF('Item Master'!B25="","",'Item Master'!B25)</f>
        <v/>
      </c>
      <c r="C29" s="32" t="str">
        <f aca="false">IF(B29="","",IF('Item Master'!C25="","",'Item Master'!C25))</f>
        <v/>
      </c>
      <c r="D29" s="33" t="str">
        <f aca="false">IF(B29="","",IF('Item Master'!D25="","",'Item Master'!D25))</f>
        <v/>
      </c>
      <c r="E29" s="33" t="str">
        <f aca="false">IF(B29="","",IF('Item Master'!F25="","",'Item Master'!F25))</f>
        <v/>
      </c>
      <c r="F29" s="34" t="str">
        <f aca="false">IF(B29="","",IF('Item Master'!G25="","",'Item Master'!G25))</f>
        <v/>
      </c>
      <c r="G29" s="27"/>
      <c r="H29" s="27"/>
      <c r="I29" s="35" t="str">
        <f aca="false">IF(OR(B29="",G29=""),"",MAX(0,N(F29)-G29-N(H29)))</f>
        <v/>
      </c>
      <c r="J29" s="35" t="str">
        <f aca="false">IF(I29="","",ROUNDUP(I29/IF(N('Item Master'!I25)=0,1,'Item Master'!I25),0))</f>
        <v/>
      </c>
      <c r="K29" s="36"/>
      <c r="L29" s="33" t="str">
        <f aca="false">IF(B29="","",IF('Item Master'!H25="",E29,'Item Master'!H25))</f>
        <v/>
      </c>
      <c r="M29" s="25"/>
    </row>
    <row r="30" customFormat="false" ht="18.75" hidden="false" customHeight="true" outlineLevel="0" collapsed="false">
      <c r="B30" s="32" t="str">
        <f aca="false">IF('Item Master'!B26="","",'Item Master'!B26)</f>
        <v/>
      </c>
      <c r="C30" s="32" t="str">
        <f aca="false">IF(B30="","",IF('Item Master'!C26="","",'Item Master'!C26))</f>
        <v/>
      </c>
      <c r="D30" s="33" t="str">
        <f aca="false">IF(B30="","",IF('Item Master'!D26="","",'Item Master'!D26))</f>
        <v/>
      </c>
      <c r="E30" s="33" t="str">
        <f aca="false">IF(B30="","",IF('Item Master'!F26="","",'Item Master'!F26))</f>
        <v/>
      </c>
      <c r="F30" s="34" t="str">
        <f aca="false">IF(B30="","",IF('Item Master'!G26="","",'Item Master'!G26))</f>
        <v/>
      </c>
      <c r="G30" s="27"/>
      <c r="H30" s="27"/>
      <c r="I30" s="35" t="str">
        <f aca="false">IF(OR(B30="",G30=""),"",MAX(0,N(F30)-G30-N(H30)))</f>
        <v/>
      </c>
      <c r="J30" s="35" t="str">
        <f aca="false">IF(I30="","",ROUNDUP(I30/IF(N('Item Master'!I26)=0,1,'Item Master'!I26),0))</f>
        <v/>
      </c>
      <c r="K30" s="36"/>
      <c r="L30" s="33" t="str">
        <f aca="false">IF(B30="","",IF('Item Master'!H26="",E30,'Item Master'!H26))</f>
        <v/>
      </c>
      <c r="M30" s="25"/>
    </row>
    <row r="31" customFormat="false" ht="18.75" hidden="false" customHeight="true" outlineLevel="0" collapsed="false">
      <c r="B31" s="32" t="str">
        <f aca="false">IF('Item Master'!B27="","",'Item Master'!B27)</f>
        <v/>
      </c>
      <c r="C31" s="32" t="str">
        <f aca="false">IF(B31="","",IF('Item Master'!C27="","",'Item Master'!C27))</f>
        <v/>
      </c>
      <c r="D31" s="33" t="str">
        <f aca="false">IF(B31="","",IF('Item Master'!D27="","",'Item Master'!D27))</f>
        <v/>
      </c>
      <c r="E31" s="33" t="str">
        <f aca="false">IF(B31="","",IF('Item Master'!F27="","",'Item Master'!F27))</f>
        <v/>
      </c>
      <c r="F31" s="34" t="str">
        <f aca="false">IF(B31="","",IF('Item Master'!G27="","",'Item Master'!G27))</f>
        <v/>
      </c>
      <c r="G31" s="27"/>
      <c r="H31" s="27"/>
      <c r="I31" s="35" t="str">
        <f aca="false">IF(OR(B31="",G31=""),"",MAX(0,N(F31)-G31-N(H31)))</f>
        <v/>
      </c>
      <c r="J31" s="35" t="str">
        <f aca="false">IF(I31="","",ROUNDUP(I31/IF(N('Item Master'!I27)=0,1,'Item Master'!I27),0))</f>
        <v/>
      </c>
      <c r="K31" s="36"/>
      <c r="L31" s="33" t="str">
        <f aca="false">IF(B31="","",IF('Item Master'!H27="",E31,'Item Master'!H27))</f>
        <v/>
      </c>
      <c r="M31" s="25"/>
    </row>
    <row r="32" customFormat="false" ht="18.75" hidden="false" customHeight="true" outlineLevel="0" collapsed="false">
      <c r="B32" s="32" t="str">
        <f aca="false">IF('Item Master'!B28="","",'Item Master'!B28)</f>
        <v/>
      </c>
      <c r="C32" s="32" t="str">
        <f aca="false">IF(B32="","",IF('Item Master'!C28="","",'Item Master'!C28))</f>
        <v/>
      </c>
      <c r="D32" s="33" t="str">
        <f aca="false">IF(B32="","",IF('Item Master'!D28="","",'Item Master'!D28))</f>
        <v/>
      </c>
      <c r="E32" s="33" t="str">
        <f aca="false">IF(B32="","",IF('Item Master'!F28="","",'Item Master'!F28))</f>
        <v/>
      </c>
      <c r="F32" s="34" t="str">
        <f aca="false">IF(B32="","",IF('Item Master'!G28="","",'Item Master'!G28))</f>
        <v/>
      </c>
      <c r="G32" s="27"/>
      <c r="H32" s="27"/>
      <c r="I32" s="35" t="str">
        <f aca="false">IF(OR(B32="",G32=""),"",MAX(0,N(F32)-G32-N(H32)))</f>
        <v/>
      </c>
      <c r="J32" s="35" t="str">
        <f aca="false">IF(I32="","",ROUNDUP(I32/IF(N('Item Master'!I28)=0,1,'Item Master'!I28),0))</f>
        <v/>
      </c>
      <c r="K32" s="36"/>
      <c r="L32" s="33" t="str">
        <f aca="false">IF(B32="","",IF('Item Master'!H28="",E32,'Item Master'!H28))</f>
        <v/>
      </c>
      <c r="M32" s="25"/>
    </row>
    <row r="33" customFormat="false" ht="18.75" hidden="false" customHeight="true" outlineLevel="0" collapsed="false">
      <c r="B33" s="32" t="str">
        <f aca="false">IF('Item Master'!B29="","",'Item Master'!B29)</f>
        <v/>
      </c>
      <c r="C33" s="32" t="str">
        <f aca="false">IF(B33="","",IF('Item Master'!C29="","",'Item Master'!C29))</f>
        <v/>
      </c>
      <c r="D33" s="33" t="str">
        <f aca="false">IF(B33="","",IF('Item Master'!D29="","",'Item Master'!D29))</f>
        <v/>
      </c>
      <c r="E33" s="33" t="str">
        <f aca="false">IF(B33="","",IF('Item Master'!F29="","",'Item Master'!F29))</f>
        <v/>
      </c>
      <c r="F33" s="34" t="str">
        <f aca="false">IF(B33="","",IF('Item Master'!G29="","",'Item Master'!G29))</f>
        <v/>
      </c>
      <c r="G33" s="27"/>
      <c r="H33" s="27"/>
      <c r="I33" s="35" t="str">
        <f aca="false">IF(OR(B33="",G33=""),"",MAX(0,N(F33)-G33-N(H33)))</f>
        <v/>
      </c>
      <c r="J33" s="35" t="str">
        <f aca="false">IF(I33="","",ROUNDUP(I33/IF(N('Item Master'!I29)=0,1,'Item Master'!I29),0))</f>
        <v/>
      </c>
      <c r="K33" s="36"/>
      <c r="L33" s="33" t="str">
        <f aca="false">IF(B33="","",IF('Item Master'!H29="",E33,'Item Master'!H29))</f>
        <v/>
      </c>
      <c r="M33" s="25"/>
    </row>
    <row r="34" customFormat="false" ht="18.75" hidden="false" customHeight="true" outlineLevel="0" collapsed="false">
      <c r="B34" s="32" t="str">
        <f aca="false">IF('Item Master'!B30="","",'Item Master'!B30)</f>
        <v/>
      </c>
      <c r="C34" s="32" t="str">
        <f aca="false">IF(B34="","",IF('Item Master'!C30="","",'Item Master'!C30))</f>
        <v/>
      </c>
      <c r="D34" s="33" t="str">
        <f aca="false">IF(B34="","",IF('Item Master'!D30="","",'Item Master'!D30))</f>
        <v/>
      </c>
      <c r="E34" s="33" t="str">
        <f aca="false">IF(B34="","",IF('Item Master'!F30="","",'Item Master'!F30))</f>
        <v/>
      </c>
      <c r="F34" s="34" t="str">
        <f aca="false">IF(B34="","",IF('Item Master'!G30="","",'Item Master'!G30))</f>
        <v/>
      </c>
      <c r="G34" s="27"/>
      <c r="H34" s="27"/>
      <c r="I34" s="35" t="str">
        <f aca="false">IF(OR(B34="",G34=""),"",MAX(0,N(F34)-G34-N(H34)))</f>
        <v/>
      </c>
      <c r="J34" s="35" t="str">
        <f aca="false">IF(I34="","",ROUNDUP(I34/IF(N('Item Master'!I30)=0,1,'Item Master'!I30),0))</f>
        <v/>
      </c>
      <c r="K34" s="36"/>
      <c r="L34" s="33" t="str">
        <f aca="false">IF(B34="","",IF('Item Master'!H30="",E34,'Item Master'!H30))</f>
        <v/>
      </c>
      <c r="M34" s="25"/>
    </row>
    <row r="35" customFormat="false" ht="18.75" hidden="false" customHeight="true" outlineLevel="0" collapsed="false">
      <c r="B35" s="32" t="str">
        <f aca="false">IF('Item Master'!B31="","",'Item Master'!B31)</f>
        <v/>
      </c>
      <c r="C35" s="32" t="str">
        <f aca="false">IF(B35="","",IF('Item Master'!C31="","",'Item Master'!C31))</f>
        <v/>
      </c>
      <c r="D35" s="33" t="str">
        <f aca="false">IF(B35="","",IF('Item Master'!D31="","",'Item Master'!D31))</f>
        <v/>
      </c>
      <c r="E35" s="33" t="str">
        <f aca="false">IF(B35="","",IF('Item Master'!F31="","",'Item Master'!F31))</f>
        <v/>
      </c>
      <c r="F35" s="34" t="str">
        <f aca="false">IF(B35="","",IF('Item Master'!G31="","",'Item Master'!G31))</f>
        <v/>
      </c>
      <c r="G35" s="27"/>
      <c r="H35" s="27"/>
      <c r="I35" s="35" t="str">
        <f aca="false">IF(OR(B35="",G35=""),"",MAX(0,N(F35)-G35-N(H35)))</f>
        <v/>
      </c>
      <c r="J35" s="35" t="str">
        <f aca="false">IF(I35="","",ROUNDUP(I35/IF(N('Item Master'!I31)=0,1,'Item Master'!I31),0))</f>
        <v/>
      </c>
      <c r="K35" s="36"/>
      <c r="L35" s="33" t="str">
        <f aca="false">IF(B35="","",IF('Item Master'!H31="",E35,'Item Master'!H31))</f>
        <v/>
      </c>
      <c r="M35" s="25"/>
    </row>
    <row r="36" customFormat="false" ht="18.75" hidden="false" customHeight="true" outlineLevel="0" collapsed="false">
      <c r="B36" s="32" t="str">
        <f aca="false">IF('Item Master'!B32="","",'Item Master'!B32)</f>
        <v/>
      </c>
      <c r="C36" s="32" t="str">
        <f aca="false">IF(B36="","",IF('Item Master'!C32="","",'Item Master'!C32))</f>
        <v/>
      </c>
      <c r="D36" s="33" t="str">
        <f aca="false">IF(B36="","",IF('Item Master'!D32="","",'Item Master'!D32))</f>
        <v/>
      </c>
      <c r="E36" s="33" t="str">
        <f aca="false">IF(B36="","",IF('Item Master'!F32="","",'Item Master'!F32))</f>
        <v/>
      </c>
      <c r="F36" s="34" t="str">
        <f aca="false">IF(B36="","",IF('Item Master'!G32="","",'Item Master'!G32))</f>
        <v/>
      </c>
      <c r="G36" s="27"/>
      <c r="H36" s="27"/>
      <c r="I36" s="35" t="str">
        <f aca="false">IF(OR(B36="",G36=""),"",MAX(0,N(F36)-G36-N(H36)))</f>
        <v/>
      </c>
      <c r="J36" s="35" t="str">
        <f aca="false">IF(I36="","",ROUNDUP(I36/IF(N('Item Master'!I32)=0,1,'Item Master'!I32),0))</f>
        <v/>
      </c>
      <c r="K36" s="36"/>
      <c r="L36" s="33" t="str">
        <f aca="false">IF(B36="","",IF('Item Master'!H32="",E36,'Item Master'!H32))</f>
        <v/>
      </c>
      <c r="M36" s="25"/>
    </row>
    <row r="37" customFormat="false" ht="18.75" hidden="false" customHeight="true" outlineLevel="0" collapsed="false">
      <c r="B37" s="32" t="str">
        <f aca="false">IF('Item Master'!B33="","",'Item Master'!B33)</f>
        <v/>
      </c>
      <c r="C37" s="32" t="str">
        <f aca="false">IF(B37="","",IF('Item Master'!C33="","",'Item Master'!C33))</f>
        <v/>
      </c>
      <c r="D37" s="33" t="str">
        <f aca="false">IF(B37="","",IF('Item Master'!D33="","",'Item Master'!D33))</f>
        <v/>
      </c>
      <c r="E37" s="33" t="str">
        <f aca="false">IF(B37="","",IF('Item Master'!F33="","",'Item Master'!F33))</f>
        <v/>
      </c>
      <c r="F37" s="34" t="str">
        <f aca="false">IF(B37="","",IF('Item Master'!G33="","",'Item Master'!G33))</f>
        <v/>
      </c>
      <c r="G37" s="27"/>
      <c r="H37" s="27"/>
      <c r="I37" s="35" t="str">
        <f aca="false">IF(OR(B37="",G37=""),"",MAX(0,N(F37)-G37-N(H37)))</f>
        <v/>
      </c>
      <c r="J37" s="35" t="str">
        <f aca="false">IF(I37="","",ROUNDUP(I37/IF(N('Item Master'!I33)=0,1,'Item Master'!I33),0))</f>
        <v/>
      </c>
      <c r="K37" s="36"/>
      <c r="L37" s="33" t="str">
        <f aca="false">IF(B37="","",IF('Item Master'!H33="",E37,'Item Master'!H33))</f>
        <v/>
      </c>
      <c r="M37" s="25"/>
    </row>
    <row r="38" customFormat="false" ht="18.75" hidden="false" customHeight="true" outlineLevel="0" collapsed="false">
      <c r="B38" s="32" t="str">
        <f aca="false">IF('Item Master'!B34="","",'Item Master'!B34)</f>
        <v/>
      </c>
      <c r="C38" s="32" t="str">
        <f aca="false">IF(B38="","",IF('Item Master'!C34="","",'Item Master'!C34))</f>
        <v/>
      </c>
      <c r="D38" s="33" t="str">
        <f aca="false">IF(B38="","",IF('Item Master'!D34="","",'Item Master'!D34))</f>
        <v/>
      </c>
      <c r="E38" s="33" t="str">
        <f aca="false">IF(B38="","",IF('Item Master'!F34="","",'Item Master'!F34))</f>
        <v/>
      </c>
      <c r="F38" s="34" t="str">
        <f aca="false">IF(B38="","",IF('Item Master'!G34="","",'Item Master'!G34))</f>
        <v/>
      </c>
      <c r="G38" s="27"/>
      <c r="H38" s="27"/>
      <c r="I38" s="35" t="str">
        <f aca="false">IF(OR(B38="",G38=""),"",MAX(0,N(F38)-G38-N(H38)))</f>
        <v/>
      </c>
      <c r="J38" s="35" t="str">
        <f aca="false">IF(I38="","",ROUNDUP(I38/IF(N('Item Master'!I34)=0,1,'Item Master'!I34),0))</f>
        <v/>
      </c>
      <c r="K38" s="36"/>
      <c r="L38" s="33" t="str">
        <f aca="false">IF(B38="","",IF('Item Master'!H34="",E38,'Item Master'!H34))</f>
        <v/>
      </c>
      <c r="M38" s="25"/>
    </row>
    <row r="39" customFormat="false" ht="18.75" hidden="false" customHeight="true" outlineLevel="0" collapsed="false">
      <c r="B39" s="32" t="str">
        <f aca="false">IF('Item Master'!B35="","",'Item Master'!B35)</f>
        <v/>
      </c>
      <c r="C39" s="32" t="str">
        <f aca="false">IF(B39="","",IF('Item Master'!C35="","",'Item Master'!C35))</f>
        <v/>
      </c>
      <c r="D39" s="33" t="str">
        <f aca="false">IF(B39="","",IF('Item Master'!D35="","",'Item Master'!D35))</f>
        <v/>
      </c>
      <c r="E39" s="33" t="str">
        <f aca="false">IF(B39="","",IF('Item Master'!F35="","",'Item Master'!F35))</f>
        <v/>
      </c>
      <c r="F39" s="34" t="str">
        <f aca="false">IF(B39="","",IF('Item Master'!G35="","",'Item Master'!G35))</f>
        <v/>
      </c>
      <c r="G39" s="27"/>
      <c r="H39" s="27"/>
      <c r="I39" s="35" t="str">
        <f aca="false">IF(OR(B39="",G39=""),"",MAX(0,N(F39)-G39-N(H39)))</f>
        <v/>
      </c>
      <c r="J39" s="35" t="str">
        <f aca="false">IF(I39="","",ROUNDUP(I39/IF(N('Item Master'!I35)=0,1,'Item Master'!I35),0))</f>
        <v/>
      </c>
      <c r="K39" s="36"/>
      <c r="L39" s="33" t="str">
        <f aca="false">IF(B39="","",IF('Item Master'!H35="",E39,'Item Master'!H35))</f>
        <v/>
      </c>
      <c r="M39" s="25"/>
    </row>
    <row r="40" customFormat="false" ht="18.75" hidden="false" customHeight="true" outlineLevel="0" collapsed="false">
      <c r="B40" s="32" t="str">
        <f aca="false">IF('Item Master'!B36="","",'Item Master'!B36)</f>
        <v/>
      </c>
      <c r="C40" s="32" t="str">
        <f aca="false">IF(B40="","",IF('Item Master'!C36="","",'Item Master'!C36))</f>
        <v/>
      </c>
      <c r="D40" s="33" t="str">
        <f aca="false">IF(B40="","",IF('Item Master'!D36="","",'Item Master'!D36))</f>
        <v/>
      </c>
      <c r="E40" s="33" t="str">
        <f aca="false">IF(B40="","",IF('Item Master'!F36="","",'Item Master'!F36))</f>
        <v/>
      </c>
      <c r="F40" s="34" t="str">
        <f aca="false">IF(B40="","",IF('Item Master'!G36="","",'Item Master'!G36))</f>
        <v/>
      </c>
      <c r="G40" s="27"/>
      <c r="H40" s="27"/>
      <c r="I40" s="35" t="str">
        <f aca="false">IF(OR(B40="",G40=""),"",MAX(0,N(F40)-G40-N(H40)))</f>
        <v/>
      </c>
      <c r="J40" s="35" t="str">
        <f aca="false">IF(I40="","",ROUNDUP(I40/IF(N('Item Master'!I36)=0,1,'Item Master'!I36),0))</f>
        <v/>
      </c>
      <c r="K40" s="36"/>
      <c r="L40" s="33" t="str">
        <f aca="false">IF(B40="","",IF('Item Master'!H36="",E40,'Item Master'!H36))</f>
        <v/>
      </c>
      <c r="M40" s="25"/>
    </row>
    <row r="41" customFormat="false" ht="18.75" hidden="false" customHeight="true" outlineLevel="0" collapsed="false">
      <c r="B41" s="32" t="str">
        <f aca="false">IF('Item Master'!B37="","",'Item Master'!B37)</f>
        <v/>
      </c>
      <c r="C41" s="32" t="str">
        <f aca="false">IF(B41="","",IF('Item Master'!C37="","",'Item Master'!C37))</f>
        <v/>
      </c>
      <c r="D41" s="33" t="str">
        <f aca="false">IF(B41="","",IF('Item Master'!D37="","",'Item Master'!D37))</f>
        <v/>
      </c>
      <c r="E41" s="33" t="str">
        <f aca="false">IF(B41="","",IF('Item Master'!F37="","",'Item Master'!F37))</f>
        <v/>
      </c>
      <c r="F41" s="34" t="str">
        <f aca="false">IF(B41="","",IF('Item Master'!G37="","",'Item Master'!G37))</f>
        <v/>
      </c>
      <c r="G41" s="27"/>
      <c r="H41" s="27"/>
      <c r="I41" s="35" t="str">
        <f aca="false">IF(OR(B41="",G41=""),"",MAX(0,N(F41)-G41-N(H41)))</f>
        <v/>
      </c>
      <c r="J41" s="35" t="str">
        <f aca="false">IF(I41="","",ROUNDUP(I41/IF(N('Item Master'!I37)=0,1,'Item Master'!I37),0))</f>
        <v/>
      </c>
      <c r="K41" s="36"/>
      <c r="L41" s="33" t="str">
        <f aca="false">IF(B41="","",IF('Item Master'!H37="",E41,'Item Master'!H37))</f>
        <v/>
      </c>
      <c r="M41" s="25"/>
    </row>
    <row r="42" customFormat="false" ht="18.75" hidden="false" customHeight="true" outlineLevel="0" collapsed="false">
      <c r="B42" s="32" t="str">
        <f aca="false">IF('Item Master'!B38="","",'Item Master'!B38)</f>
        <v/>
      </c>
      <c r="C42" s="32" t="str">
        <f aca="false">IF(B42="","",IF('Item Master'!C38="","",'Item Master'!C38))</f>
        <v/>
      </c>
      <c r="D42" s="33" t="str">
        <f aca="false">IF(B42="","",IF('Item Master'!D38="","",'Item Master'!D38))</f>
        <v/>
      </c>
      <c r="E42" s="33" t="str">
        <f aca="false">IF(B42="","",IF('Item Master'!F38="","",'Item Master'!F38))</f>
        <v/>
      </c>
      <c r="F42" s="34" t="str">
        <f aca="false">IF(B42="","",IF('Item Master'!G38="","",'Item Master'!G38))</f>
        <v/>
      </c>
      <c r="G42" s="27"/>
      <c r="H42" s="27"/>
      <c r="I42" s="35" t="str">
        <f aca="false">IF(OR(B42="",G42=""),"",MAX(0,N(F42)-G42-N(H42)))</f>
        <v/>
      </c>
      <c r="J42" s="35" t="str">
        <f aca="false">IF(I42="","",ROUNDUP(I42/IF(N('Item Master'!I38)=0,1,'Item Master'!I38),0))</f>
        <v/>
      </c>
      <c r="K42" s="36"/>
      <c r="L42" s="33" t="str">
        <f aca="false">IF(B42="","",IF('Item Master'!H38="",E42,'Item Master'!H38))</f>
        <v/>
      </c>
      <c r="M42" s="25"/>
    </row>
    <row r="43" customFormat="false" ht="18.75" hidden="false" customHeight="true" outlineLevel="0" collapsed="false">
      <c r="B43" s="32" t="str">
        <f aca="false">IF('Item Master'!B39="","",'Item Master'!B39)</f>
        <v/>
      </c>
      <c r="C43" s="32" t="str">
        <f aca="false">IF(B43="","",IF('Item Master'!C39="","",'Item Master'!C39))</f>
        <v/>
      </c>
      <c r="D43" s="33" t="str">
        <f aca="false">IF(B43="","",IF('Item Master'!D39="","",'Item Master'!D39))</f>
        <v/>
      </c>
      <c r="E43" s="33" t="str">
        <f aca="false">IF(B43="","",IF('Item Master'!F39="","",'Item Master'!F39))</f>
        <v/>
      </c>
      <c r="F43" s="34" t="str">
        <f aca="false">IF(B43="","",IF('Item Master'!G39="","",'Item Master'!G39))</f>
        <v/>
      </c>
      <c r="G43" s="27"/>
      <c r="H43" s="27"/>
      <c r="I43" s="35" t="str">
        <f aca="false">IF(OR(B43="",G43=""),"",MAX(0,N(F43)-G43-N(H43)))</f>
        <v/>
      </c>
      <c r="J43" s="35" t="str">
        <f aca="false">IF(I43="","",ROUNDUP(I43/IF(N('Item Master'!I39)=0,1,'Item Master'!I39),0))</f>
        <v/>
      </c>
      <c r="K43" s="36"/>
      <c r="L43" s="33" t="str">
        <f aca="false">IF(B43="","",IF('Item Master'!H39="",E43,'Item Master'!H39))</f>
        <v/>
      </c>
      <c r="M43" s="25"/>
    </row>
    <row r="44" customFormat="false" ht="18.75" hidden="false" customHeight="true" outlineLevel="0" collapsed="false">
      <c r="B44" s="32" t="str">
        <f aca="false">IF('Item Master'!B40="","",'Item Master'!B40)</f>
        <v/>
      </c>
      <c r="C44" s="32" t="str">
        <f aca="false">IF(B44="","",IF('Item Master'!C40="","",'Item Master'!C40))</f>
        <v/>
      </c>
      <c r="D44" s="33" t="str">
        <f aca="false">IF(B44="","",IF('Item Master'!D40="","",'Item Master'!D40))</f>
        <v/>
      </c>
      <c r="E44" s="33" t="str">
        <f aca="false">IF(B44="","",IF('Item Master'!F40="","",'Item Master'!F40))</f>
        <v/>
      </c>
      <c r="F44" s="34" t="str">
        <f aca="false">IF(B44="","",IF('Item Master'!G40="","",'Item Master'!G40))</f>
        <v/>
      </c>
      <c r="G44" s="27"/>
      <c r="H44" s="27"/>
      <c r="I44" s="35" t="str">
        <f aca="false">IF(OR(B44="",G44=""),"",MAX(0,N(F44)-G44-N(H44)))</f>
        <v/>
      </c>
      <c r="J44" s="35" t="str">
        <f aca="false">IF(I44="","",ROUNDUP(I44/IF(N('Item Master'!I40)=0,1,'Item Master'!I40),0))</f>
        <v/>
      </c>
      <c r="K44" s="36"/>
      <c r="L44" s="33" t="str">
        <f aca="false">IF(B44="","",IF('Item Master'!H40="",E44,'Item Master'!H40))</f>
        <v/>
      </c>
      <c r="M44" s="25"/>
    </row>
    <row r="45" customFormat="false" ht="18.75" hidden="false" customHeight="true" outlineLevel="0" collapsed="false">
      <c r="B45" s="32" t="str">
        <f aca="false">IF('Item Master'!B41="","",'Item Master'!B41)</f>
        <v/>
      </c>
      <c r="C45" s="32" t="str">
        <f aca="false">IF(B45="","",IF('Item Master'!C41="","",'Item Master'!C41))</f>
        <v/>
      </c>
      <c r="D45" s="33" t="str">
        <f aca="false">IF(B45="","",IF('Item Master'!D41="","",'Item Master'!D41))</f>
        <v/>
      </c>
      <c r="E45" s="33" t="str">
        <f aca="false">IF(B45="","",IF('Item Master'!F41="","",'Item Master'!F41))</f>
        <v/>
      </c>
      <c r="F45" s="34" t="str">
        <f aca="false">IF(B45="","",IF('Item Master'!G41="","",'Item Master'!G41))</f>
        <v/>
      </c>
      <c r="G45" s="27"/>
      <c r="H45" s="27"/>
      <c r="I45" s="35" t="str">
        <f aca="false">IF(OR(B45="",G45=""),"",MAX(0,N(F45)-G45-N(H45)))</f>
        <v/>
      </c>
      <c r="J45" s="35" t="str">
        <f aca="false">IF(I45="","",ROUNDUP(I45/IF(N('Item Master'!I41)=0,1,'Item Master'!I41),0))</f>
        <v/>
      </c>
      <c r="K45" s="36"/>
      <c r="L45" s="33" t="str">
        <f aca="false">IF(B45="","",IF('Item Master'!H41="",E45,'Item Master'!H41))</f>
        <v/>
      </c>
      <c r="M45" s="25"/>
    </row>
    <row r="46" customFormat="false" ht="18.75" hidden="false" customHeight="true" outlineLevel="0" collapsed="false">
      <c r="B46" s="32" t="str">
        <f aca="false">IF('Item Master'!B42="","",'Item Master'!B42)</f>
        <v/>
      </c>
      <c r="C46" s="32" t="str">
        <f aca="false">IF(B46="","",IF('Item Master'!C42="","",'Item Master'!C42))</f>
        <v/>
      </c>
      <c r="D46" s="33" t="str">
        <f aca="false">IF(B46="","",IF('Item Master'!D42="","",'Item Master'!D42))</f>
        <v/>
      </c>
      <c r="E46" s="33" t="str">
        <f aca="false">IF(B46="","",IF('Item Master'!F42="","",'Item Master'!F42))</f>
        <v/>
      </c>
      <c r="F46" s="34" t="str">
        <f aca="false">IF(B46="","",IF('Item Master'!G42="","",'Item Master'!G42))</f>
        <v/>
      </c>
      <c r="G46" s="27"/>
      <c r="H46" s="27"/>
      <c r="I46" s="35" t="str">
        <f aca="false">IF(OR(B46="",G46=""),"",MAX(0,N(F46)-G46-N(H46)))</f>
        <v/>
      </c>
      <c r="J46" s="35" t="str">
        <f aca="false">IF(I46="","",ROUNDUP(I46/IF(N('Item Master'!I42)=0,1,'Item Master'!I42),0))</f>
        <v/>
      </c>
      <c r="K46" s="36"/>
      <c r="L46" s="33" t="str">
        <f aca="false">IF(B46="","",IF('Item Master'!H42="",E46,'Item Master'!H42))</f>
        <v/>
      </c>
      <c r="M46" s="25"/>
    </row>
    <row r="47" customFormat="false" ht="18.75" hidden="false" customHeight="true" outlineLevel="0" collapsed="false">
      <c r="B47" s="32" t="str">
        <f aca="false">IF('Item Master'!B43="","",'Item Master'!B43)</f>
        <v/>
      </c>
      <c r="C47" s="32" t="str">
        <f aca="false">IF(B47="","",IF('Item Master'!C43="","",'Item Master'!C43))</f>
        <v/>
      </c>
      <c r="D47" s="33" t="str">
        <f aca="false">IF(B47="","",IF('Item Master'!D43="","",'Item Master'!D43))</f>
        <v/>
      </c>
      <c r="E47" s="33" t="str">
        <f aca="false">IF(B47="","",IF('Item Master'!F43="","",'Item Master'!F43))</f>
        <v/>
      </c>
      <c r="F47" s="34" t="str">
        <f aca="false">IF(B47="","",IF('Item Master'!G43="","",'Item Master'!G43))</f>
        <v/>
      </c>
      <c r="G47" s="27"/>
      <c r="H47" s="27"/>
      <c r="I47" s="35" t="str">
        <f aca="false">IF(OR(B47="",G47=""),"",MAX(0,N(F47)-G47-N(H47)))</f>
        <v/>
      </c>
      <c r="J47" s="35" t="str">
        <f aca="false">IF(I47="","",ROUNDUP(I47/IF(N('Item Master'!I43)=0,1,'Item Master'!I43),0))</f>
        <v/>
      </c>
      <c r="K47" s="36"/>
      <c r="L47" s="33" t="str">
        <f aca="false">IF(B47="","",IF('Item Master'!H43="",E47,'Item Master'!H43))</f>
        <v/>
      </c>
      <c r="M47" s="25"/>
    </row>
    <row r="48" customFormat="false" ht="18.75" hidden="false" customHeight="true" outlineLevel="0" collapsed="false">
      <c r="B48" s="32" t="str">
        <f aca="false">IF('Item Master'!B44="","",'Item Master'!B44)</f>
        <v/>
      </c>
      <c r="C48" s="32" t="str">
        <f aca="false">IF(B48="","",IF('Item Master'!C44="","",'Item Master'!C44))</f>
        <v/>
      </c>
      <c r="D48" s="33" t="str">
        <f aca="false">IF(B48="","",IF('Item Master'!D44="","",'Item Master'!D44))</f>
        <v/>
      </c>
      <c r="E48" s="33" t="str">
        <f aca="false">IF(B48="","",IF('Item Master'!F44="","",'Item Master'!F44))</f>
        <v/>
      </c>
      <c r="F48" s="34" t="str">
        <f aca="false">IF(B48="","",IF('Item Master'!G44="","",'Item Master'!G44))</f>
        <v/>
      </c>
      <c r="G48" s="27"/>
      <c r="H48" s="27"/>
      <c r="I48" s="35" t="str">
        <f aca="false">IF(OR(B48="",G48=""),"",MAX(0,N(F48)-G48-N(H48)))</f>
        <v/>
      </c>
      <c r="J48" s="35" t="str">
        <f aca="false">IF(I48="","",ROUNDUP(I48/IF(N('Item Master'!I44)=0,1,'Item Master'!I44),0))</f>
        <v/>
      </c>
      <c r="K48" s="36"/>
      <c r="L48" s="33" t="str">
        <f aca="false">IF(B48="","",IF('Item Master'!H44="",E48,'Item Master'!H44))</f>
        <v/>
      </c>
      <c r="M48" s="25"/>
    </row>
    <row r="49" customFormat="false" ht="18.75" hidden="false" customHeight="true" outlineLevel="0" collapsed="false">
      <c r="B49" s="32" t="str">
        <f aca="false">IF('Item Master'!B45="","",'Item Master'!B45)</f>
        <v/>
      </c>
      <c r="C49" s="32" t="str">
        <f aca="false">IF(B49="","",IF('Item Master'!C45="","",'Item Master'!C45))</f>
        <v/>
      </c>
      <c r="D49" s="33" t="str">
        <f aca="false">IF(B49="","",IF('Item Master'!D45="","",'Item Master'!D45))</f>
        <v/>
      </c>
      <c r="E49" s="33" t="str">
        <f aca="false">IF(B49="","",IF('Item Master'!F45="","",'Item Master'!F45))</f>
        <v/>
      </c>
      <c r="F49" s="34" t="str">
        <f aca="false">IF(B49="","",IF('Item Master'!G45="","",'Item Master'!G45))</f>
        <v/>
      </c>
      <c r="G49" s="27"/>
      <c r="H49" s="27"/>
      <c r="I49" s="35" t="str">
        <f aca="false">IF(OR(B49="",G49=""),"",MAX(0,N(F49)-G49-N(H49)))</f>
        <v/>
      </c>
      <c r="J49" s="35" t="str">
        <f aca="false">IF(I49="","",ROUNDUP(I49/IF(N('Item Master'!I45)=0,1,'Item Master'!I45),0))</f>
        <v/>
      </c>
      <c r="K49" s="36"/>
      <c r="L49" s="33" t="str">
        <f aca="false">IF(B49="","",IF('Item Master'!H45="",E49,'Item Master'!H45))</f>
        <v/>
      </c>
      <c r="M49" s="25"/>
    </row>
    <row r="50" customFormat="false" ht="18.75" hidden="false" customHeight="true" outlineLevel="0" collapsed="false">
      <c r="B50" s="32" t="str">
        <f aca="false">IF('Item Master'!B46="","",'Item Master'!B46)</f>
        <v/>
      </c>
      <c r="C50" s="32" t="str">
        <f aca="false">IF(B50="","",IF('Item Master'!C46="","",'Item Master'!C46))</f>
        <v/>
      </c>
      <c r="D50" s="33" t="str">
        <f aca="false">IF(B50="","",IF('Item Master'!D46="","",'Item Master'!D46))</f>
        <v/>
      </c>
      <c r="E50" s="33" t="str">
        <f aca="false">IF(B50="","",IF('Item Master'!F46="","",'Item Master'!F46))</f>
        <v/>
      </c>
      <c r="F50" s="34" t="str">
        <f aca="false">IF(B50="","",IF('Item Master'!G46="","",'Item Master'!G46))</f>
        <v/>
      </c>
      <c r="G50" s="27"/>
      <c r="H50" s="27"/>
      <c r="I50" s="35" t="str">
        <f aca="false">IF(OR(B50="",G50=""),"",MAX(0,N(F50)-G50-N(H50)))</f>
        <v/>
      </c>
      <c r="J50" s="35" t="str">
        <f aca="false">IF(I50="","",ROUNDUP(I50/IF(N('Item Master'!I46)=0,1,'Item Master'!I46),0))</f>
        <v/>
      </c>
      <c r="K50" s="36"/>
      <c r="L50" s="33" t="str">
        <f aca="false">IF(B50="","",IF('Item Master'!H46="",E50,'Item Master'!H46))</f>
        <v/>
      </c>
      <c r="M50" s="25"/>
    </row>
    <row r="51" customFormat="false" ht="18.75" hidden="false" customHeight="true" outlineLevel="0" collapsed="false">
      <c r="B51" s="32" t="str">
        <f aca="false">IF('Item Master'!B47="","",'Item Master'!B47)</f>
        <v/>
      </c>
      <c r="C51" s="32" t="str">
        <f aca="false">IF(B51="","",IF('Item Master'!C47="","",'Item Master'!C47))</f>
        <v/>
      </c>
      <c r="D51" s="33" t="str">
        <f aca="false">IF(B51="","",IF('Item Master'!D47="","",'Item Master'!D47))</f>
        <v/>
      </c>
      <c r="E51" s="33" t="str">
        <f aca="false">IF(B51="","",IF('Item Master'!F47="","",'Item Master'!F47))</f>
        <v/>
      </c>
      <c r="F51" s="34" t="str">
        <f aca="false">IF(B51="","",IF('Item Master'!G47="","",'Item Master'!G47))</f>
        <v/>
      </c>
      <c r="G51" s="27"/>
      <c r="H51" s="27"/>
      <c r="I51" s="35" t="str">
        <f aca="false">IF(OR(B51="",G51=""),"",MAX(0,N(F51)-G51-N(H51)))</f>
        <v/>
      </c>
      <c r="J51" s="35" t="str">
        <f aca="false">IF(I51="","",ROUNDUP(I51/IF(N('Item Master'!I47)=0,1,'Item Master'!I47),0))</f>
        <v/>
      </c>
      <c r="K51" s="36"/>
      <c r="L51" s="33" t="str">
        <f aca="false">IF(B51="","",IF('Item Master'!H47="",E51,'Item Master'!H47))</f>
        <v/>
      </c>
      <c r="M51" s="25"/>
    </row>
    <row r="52" customFormat="false" ht="18.75" hidden="false" customHeight="true" outlineLevel="0" collapsed="false">
      <c r="B52" s="32" t="str">
        <f aca="false">IF('Item Master'!B48="","",'Item Master'!B48)</f>
        <v/>
      </c>
      <c r="C52" s="32" t="str">
        <f aca="false">IF(B52="","",IF('Item Master'!C48="","",'Item Master'!C48))</f>
        <v/>
      </c>
      <c r="D52" s="33" t="str">
        <f aca="false">IF(B52="","",IF('Item Master'!D48="","",'Item Master'!D48))</f>
        <v/>
      </c>
      <c r="E52" s="33" t="str">
        <f aca="false">IF(B52="","",IF('Item Master'!F48="","",'Item Master'!F48))</f>
        <v/>
      </c>
      <c r="F52" s="34" t="str">
        <f aca="false">IF(B52="","",IF('Item Master'!G48="","",'Item Master'!G48))</f>
        <v/>
      </c>
      <c r="G52" s="27"/>
      <c r="H52" s="27"/>
      <c r="I52" s="35" t="str">
        <f aca="false">IF(OR(B52="",G52=""),"",MAX(0,N(F52)-G52-N(H52)))</f>
        <v/>
      </c>
      <c r="J52" s="35" t="str">
        <f aca="false">IF(I52="","",ROUNDUP(I52/IF(N('Item Master'!I48)=0,1,'Item Master'!I48),0))</f>
        <v/>
      </c>
      <c r="K52" s="36"/>
      <c r="L52" s="33" t="str">
        <f aca="false">IF(B52="","",IF('Item Master'!H48="",E52,'Item Master'!H48))</f>
        <v/>
      </c>
      <c r="M52" s="25"/>
    </row>
    <row r="53" customFormat="false" ht="18.75" hidden="false" customHeight="true" outlineLevel="0" collapsed="false">
      <c r="B53" s="32" t="str">
        <f aca="false">IF('Item Master'!B49="","",'Item Master'!B49)</f>
        <v/>
      </c>
      <c r="C53" s="32" t="str">
        <f aca="false">IF(B53="","",IF('Item Master'!C49="","",'Item Master'!C49))</f>
        <v/>
      </c>
      <c r="D53" s="33" t="str">
        <f aca="false">IF(B53="","",IF('Item Master'!D49="","",'Item Master'!D49))</f>
        <v/>
      </c>
      <c r="E53" s="33" t="str">
        <f aca="false">IF(B53="","",IF('Item Master'!F49="","",'Item Master'!F49))</f>
        <v/>
      </c>
      <c r="F53" s="34" t="str">
        <f aca="false">IF(B53="","",IF('Item Master'!G49="","",'Item Master'!G49))</f>
        <v/>
      </c>
      <c r="G53" s="27"/>
      <c r="H53" s="27"/>
      <c r="I53" s="35" t="str">
        <f aca="false">IF(OR(B53="",G53=""),"",MAX(0,N(F53)-G53-N(H53)))</f>
        <v/>
      </c>
      <c r="J53" s="35" t="str">
        <f aca="false">IF(I53="","",ROUNDUP(I53/IF(N('Item Master'!I49)=0,1,'Item Master'!I49),0))</f>
        <v/>
      </c>
      <c r="K53" s="36"/>
      <c r="L53" s="33" t="str">
        <f aca="false">IF(B53="","",IF('Item Master'!H49="",E53,'Item Master'!H49))</f>
        <v/>
      </c>
      <c r="M53" s="25"/>
    </row>
    <row r="54" customFormat="false" ht="18.75" hidden="false" customHeight="true" outlineLevel="0" collapsed="false">
      <c r="B54" s="32" t="str">
        <f aca="false">IF('Item Master'!B50="","",'Item Master'!B50)</f>
        <v/>
      </c>
      <c r="C54" s="32" t="str">
        <f aca="false">IF(B54="","",IF('Item Master'!C50="","",'Item Master'!C50))</f>
        <v/>
      </c>
      <c r="D54" s="33" t="str">
        <f aca="false">IF(B54="","",IF('Item Master'!D50="","",'Item Master'!D50))</f>
        <v/>
      </c>
      <c r="E54" s="33" t="str">
        <f aca="false">IF(B54="","",IF('Item Master'!F50="","",'Item Master'!F50))</f>
        <v/>
      </c>
      <c r="F54" s="34" t="str">
        <f aca="false">IF(B54="","",IF('Item Master'!G50="","",'Item Master'!G50))</f>
        <v/>
      </c>
      <c r="G54" s="27"/>
      <c r="H54" s="27"/>
      <c r="I54" s="35" t="str">
        <f aca="false">IF(OR(B54="",G54=""),"",MAX(0,N(F54)-G54-N(H54)))</f>
        <v/>
      </c>
      <c r="J54" s="35" t="str">
        <f aca="false">IF(I54="","",ROUNDUP(I54/IF(N('Item Master'!I50)=0,1,'Item Master'!I50),0))</f>
        <v/>
      </c>
      <c r="K54" s="36"/>
      <c r="L54" s="33" t="str">
        <f aca="false">IF(B54="","",IF('Item Master'!H50="",E54,'Item Master'!H50))</f>
        <v/>
      </c>
      <c r="M54" s="25"/>
    </row>
    <row r="55" customFormat="false" ht="18.75" hidden="false" customHeight="true" outlineLevel="0" collapsed="false">
      <c r="B55" s="32" t="str">
        <f aca="false">IF('Item Master'!B51="","",'Item Master'!B51)</f>
        <v/>
      </c>
      <c r="C55" s="32" t="str">
        <f aca="false">IF(B55="","",IF('Item Master'!C51="","",'Item Master'!C51))</f>
        <v/>
      </c>
      <c r="D55" s="33" t="str">
        <f aca="false">IF(B55="","",IF('Item Master'!D51="","",'Item Master'!D51))</f>
        <v/>
      </c>
      <c r="E55" s="33" t="str">
        <f aca="false">IF(B55="","",IF('Item Master'!F51="","",'Item Master'!F51))</f>
        <v/>
      </c>
      <c r="F55" s="34" t="str">
        <f aca="false">IF(B55="","",IF('Item Master'!G51="","",'Item Master'!G51))</f>
        <v/>
      </c>
      <c r="G55" s="27"/>
      <c r="H55" s="27"/>
      <c r="I55" s="35" t="str">
        <f aca="false">IF(OR(B55="",G55=""),"",MAX(0,N(F55)-G55-N(H55)))</f>
        <v/>
      </c>
      <c r="J55" s="35" t="str">
        <f aca="false">IF(I55="","",ROUNDUP(I55/IF(N('Item Master'!I51)=0,1,'Item Master'!I51),0))</f>
        <v/>
      </c>
      <c r="K55" s="36"/>
      <c r="L55" s="33" t="str">
        <f aca="false">IF(B55="","",IF('Item Master'!H51="",E55,'Item Master'!H51))</f>
        <v/>
      </c>
      <c r="M55" s="25"/>
    </row>
    <row r="56" customFormat="false" ht="18.75" hidden="false" customHeight="true" outlineLevel="0" collapsed="false">
      <c r="B56" s="32" t="str">
        <f aca="false">IF('Item Master'!B52="","",'Item Master'!B52)</f>
        <v/>
      </c>
      <c r="C56" s="32" t="str">
        <f aca="false">IF(B56="","",IF('Item Master'!C52="","",'Item Master'!C52))</f>
        <v/>
      </c>
      <c r="D56" s="33" t="str">
        <f aca="false">IF(B56="","",IF('Item Master'!D52="","",'Item Master'!D52))</f>
        <v/>
      </c>
      <c r="E56" s="33" t="str">
        <f aca="false">IF(B56="","",IF('Item Master'!F52="","",'Item Master'!F52))</f>
        <v/>
      </c>
      <c r="F56" s="34" t="str">
        <f aca="false">IF(B56="","",IF('Item Master'!G52="","",'Item Master'!G52))</f>
        <v/>
      </c>
      <c r="G56" s="27"/>
      <c r="H56" s="27"/>
      <c r="I56" s="35" t="str">
        <f aca="false">IF(OR(B56="",G56=""),"",MAX(0,N(F56)-G56-N(H56)))</f>
        <v/>
      </c>
      <c r="J56" s="35" t="str">
        <f aca="false">IF(I56="","",ROUNDUP(I56/IF(N('Item Master'!I52)=0,1,'Item Master'!I52),0))</f>
        <v/>
      </c>
      <c r="K56" s="36"/>
      <c r="L56" s="33" t="str">
        <f aca="false">IF(B56="","",IF('Item Master'!H52="",E56,'Item Master'!H52))</f>
        <v/>
      </c>
      <c r="M56" s="25"/>
    </row>
    <row r="57" customFormat="false" ht="18.75" hidden="false" customHeight="true" outlineLevel="0" collapsed="false">
      <c r="B57" s="32" t="str">
        <f aca="false">IF('Item Master'!B53="","",'Item Master'!B53)</f>
        <v/>
      </c>
      <c r="C57" s="32" t="str">
        <f aca="false">IF(B57="","",IF('Item Master'!C53="","",'Item Master'!C53))</f>
        <v/>
      </c>
      <c r="D57" s="33" t="str">
        <f aca="false">IF(B57="","",IF('Item Master'!D53="","",'Item Master'!D53))</f>
        <v/>
      </c>
      <c r="E57" s="33" t="str">
        <f aca="false">IF(B57="","",IF('Item Master'!F53="","",'Item Master'!F53))</f>
        <v/>
      </c>
      <c r="F57" s="34" t="str">
        <f aca="false">IF(B57="","",IF('Item Master'!G53="","",'Item Master'!G53))</f>
        <v/>
      </c>
      <c r="G57" s="27"/>
      <c r="H57" s="27"/>
      <c r="I57" s="35" t="str">
        <f aca="false">IF(OR(B57="",G57=""),"",MAX(0,N(F57)-G57-N(H57)))</f>
        <v/>
      </c>
      <c r="J57" s="35" t="str">
        <f aca="false">IF(I57="","",ROUNDUP(I57/IF(N('Item Master'!I53)=0,1,'Item Master'!I53),0))</f>
        <v/>
      </c>
      <c r="K57" s="36"/>
      <c r="L57" s="33" t="str">
        <f aca="false">IF(B57="","",IF('Item Master'!H53="",E57,'Item Master'!H53))</f>
        <v/>
      </c>
      <c r="M57" s="25"/>
    </row>
    <row r="58" customFormat="false" ht="18.75" hidden="false" customHeight="true" outlineLevel="0" collapsed="false">
      <c r="B58" s="32" t="str">
        <f aca="false">IF('Item Master'!B54="","",'Item Master'!B54)</f>
        <v/>
      </c>
      <c r="C58" s="32" t="str">
        <f aca="false">IF(B58="","",IF('Item Master'!C54="","",'Item Master'!C54))</f>
        <v/>
      </c>
      <c r="D58" s="33" t="str">
        <f aca="false">IF(B58="","",IF('Item Master'!D54="","",'Item Master'!D54))</f>
        <v/>
      </c>
      <c r="E58" s="33" t="str">
        <f aca="false">IF(B58="","",IF('Item Master'!F54="","",'Item Master'!F54))</f>
        <v/>
      </c>
      <c r="F58" s="34" t="str">
        <f aca="false">IF(B58="","",IF('Item Master'!G54="","",'Item Master'!G54))</f>
        <v/>
      </c>
      <c r="G58" s="27"/>
      <c r="H58" s="27"/>
      <c r="I58" s="35" t="str">
        <f aca="false">IF(OR(B58="",G58=""),"",MAX(0,N(F58)-G58-N(H58)))</f>
        <v/>
      </c>
      <c r="J58" s="35" t="str">
        <f aca="false">IF(I58="","",ROUNDUP(I58/IF(N('Item Master'!I54)=0,1,'Item Master'!I54),0))</f>
        <v/>
      </c>
      <c r="K58" s="36"/>
      <c r="L58" s="33" t="str">
        <f aca="false">IF(B58="","",IF('Item Master'!H54="",E58,'Item Master'!H54))</f>
        <v/>
      </c>
      <c r="M58" s="25"/>
    </row>
    <row r="59" customFormat="false" ht="18.75" hidden="false" customHeight="true" outlineLevel="0" collapsed="false">
      <c r="B59" s="32" t="str">
        <f aca="false">IF('Item Master'!B55="","",'Item Master'!B55)</f>
        <v/>
      </c>
      <c r="C59" s="32" t="str">
        <f aca="false">IF(B59="","",IF('Item Master'!C55="","",'Item Master'!C55))</f>
        <v/>
      </c>
      <c r="D59" s="33" t="str">
        <f aca="false">IF(B59="","",IF('Item Master'!D55="","",'Item Master'!D55))</f>
        <v/>
      </c>
      <c r="E59" s="33" t="str">
        <f aca="false">IF(B59="","",IF('Item Master'!F55="","",'Item Master'!F55))</f>
        <v/>
      </c>
      <c r="F59" s="34" t="str">
        <f aca="false">IF(B59="","",IF('Item Master'!G55="","",'Item Master'!G55))</f>
        <v/>
      </c>
      <c r="G59" s="27"/>
      <c r="H59" s="27"/>
      <c r="I59" s="35" t="str">
        <f aca="false">IF(OR(B59="",G59=""),"",MAX(0,N(F59)-G59-N(H59)))</f>
        <v/>
      </c>
      <c r="J59" s="35" t="str">
        <f aca="false">IF(I59="","",ROUNDUP(I59/IF(N('Item Master'!I55)=0,1,'Item Master'!I55),0))</f>
        <v/>
      </c>
      <c r="K59" s="36"/>
      <c r="L59" s="33" t="str">
        <f aca="false">IF(B59="","",IF('Item Master'!H55="",E59,'Item Master'!H55))</f>
        <v/>
      </c>
      <c r="M59" s="25"/>
    </row>
    <row r="60" customFormat="false" ht="18.75" hidden="false" customHeight="true" outlineLevel="0" collapsed="false">
      <c r="B60" s="32" t="str">
        <f aca="false">IF('Item Master'!B56="","",'Item Master'!B56)</f>
        <v/>
      </c>
      <c r="C60" s="32" t="str">
        <f aca="false">IF(B60="","",IF('Item Master'!C56="","",'Item Master'!C56))</f>
        <v/>
      </c>
      <c r="D60" s="33" t="str">
        <f aca="false">IF(B60="","",IF('Item Master'!D56="","",'Item Master'!D56))</f>
        <v/>
      </c>
      <c r="E60" s="33" t="str">
        <f aca="false">IF(B60="","",IF('Item Master'!F56="","",'Item Master'!F56))</f>
        <v/>
      </c>
      <c r="F60" s="34" t="str">
        <f aca="false">IF(B60="","",IF('Item Master'!G56="","",'Item Master'!G56))</f>
        <v/>
      </c>
      <c r="G60" s="27"/>
      <c r="H60" s="27"/>
      <c r="I60" s="35" t="str">
        <f aca="false">IF(OR(B60="",G60=""),"",MAX(0,N(F60)-G60-N(H60)))</f>
        <v/>
      </c>
      <c r="J60" s="35" t="str">
        <f aca="false">IF(I60="","",ROUNDUP(I60/IF(N('Item Master'!I56)=0,1,'Item Master'!I56),0))</f>
        <v/>
      </c>
      <c r="K60" s="36"/>
      <c r="L60" s="33" t="str">
        <f aca="false">IF(B60="","",IF('Item Master'!H56="",E60,'Item Master'!H56))</f>
        <v/>
      </c>
      <c r="M60" s="25"/>
    </row>
    <row r="61" customFormat="false" ht="18.75" hidden="false" customHeight="true" outlineLevel="0" collapsed="false">
      <c r="B61" s="32" t="str">
        <f aca="false">IF('Item Master'!B57="","",'Item Master'!B57)</f>
        <v/>
      </c>
      <c r="C61" s="32" t="str">
        <f aca="false">IF(B61="","",IF('Item Master'!C57="","",'Item Master'!C57))</f>
        <v/>
      </c>
      <c r="D61" s="33" t="str">
        <f aca="false">IF(B61="","",IF('Item Master'!D57="","",'Item Master'!D57))</f>
        <v/>
      </c>
      <c r="E61" s="33" t="str">
        <f aca="false">IF(B61="","",IF('Item Master'!F57="","",'Item Master'!F57))</f>
        <v/>
      </c>
      <c r="F61" s="34" t="str">
        <f aca="false">IF(B61="","",IF('Item Master'!G57="","",'Item Master'!G57))</f>
        <v/>
      </c>
      <c r="G61" s="27"/>
      <c r="H61" s="27"/>
      <c r="I61" s="35" t="str">
        <f aca="false">IF(OR(B61="",G61=""),"",MAX(0,N(F61)-G61-N(H61)))</f>
        <v/>
      </c>
      <c r="J61" s="35" t="str">
        <f aca="false">IF(I61="","",ROUNDUP(I61/IF(N('Item Master'!I57)=0,1,'Item Master'!I57),0))</f>
        <v/>
      </c>
      <c r="K61" s="36"/>
      <c r="L61" s="33" t="str">
        <f aca="false">IF(B61="","",IF('Item Master'!H57="",E61,'Item Master'!H57))</f>
        <v/>
      </c>
      <c r="M61" s="25"/>
    </row>
    <row r="62" customFormat="false" ht="18.75" hidden="false" customHeight="true" outlineLevel="0" collapsed="false">
      <c r="B62" s="32" t="str">
        <f aca="false">IF('Item Master'!B58="","",'Item Master'!B58)</f>
        <v/>
      </c>
      <c r="C62" s="32" t="str">
        <f aca="false">IF(B62="","",IF('Item Master'!C58="","",'Item Master'!C58))</f>
        <v/>
      </c>
      <c r="D62" s="33" t="str">
        <f aca="false">IF(B62="","",IF('Item Master'!D58="","",'Item Master'!D58))</f>
        <v/>
      </c>
      <c r="E62" s="33" t="str">
        <f aca="false">IF(B62="","",IF('Item Master'!F58="","",'Item Master'!F58))</f>
        <v/>
      </c>
      <c r="F62" s="34" t="str">
        <f aca="false">IF(B62="","",IF('Item Master'!G58="","",'Item Master'!G58))</f>
        <v/>
      </c>
      <c r="G62" s="27"/>
      <c r="H62" s="27"/>
      <c r="I62" s="35" t="str">
        <f aca="false">IF(OR(B62="",G62=""),"",MAX(0,N(F62)-G62-N(H62)))</f>
        <v/>
      </c>
      <c r="J62" s="35" t="str">
        <f aca="false">IF(I62="","",ROUNDUP(I62/IF(N('Item Master'!I58)=0,1,'Item Master'!I58),0))</f>
        <v/>
      </c>
      <c r="K62" s="36"/>
      <c r="L62" s="33" t="str">
        <f aca="false">IF(B62="","",IF('Item Master'!H58="",E62,'Item Master'!H58))</f>
        <v/>
      </c>
      <c r="M62" s="25"/>
    </row>
    <row r="63" customFormat="false" ht="18.75" hidden="false" customHeight="true" outlineLevel="0" collapsed="false">
      <c r="B63" s="32" t="str">
        <f aca="false">IF('Item Master'!B59="","",'Item Master'!B59)</f>
        <v/>
      </c>
      <c r="C63" s="32" t="str">
        <f aca="false">IF(B63="","",IF('Item Master'!C59="","",'Item Master'!C59))</f>
        <v/>
      </c>
      <c r="D63" s="33" t="str">
        <f aca="false">IF(B63="","",IF('Item Master'!D59="","",'Item Master'!D59))</f>
        <v/>
      </c>
      <c r="E63" s="33" t="str">
        <f aca="false">IF(B63="","",IF('Item Master'!F59="","",'Item Master'!F59))</f>
        <v/>
      </c>
      <c r="F63" s="34" t="str">
        <f aca="false">IF(B63="","",IF('Item Master'!G59="","",'Item Master'!G59))</f>
        <v/>
      </c>
      <c r="G63" s="27"/>
      <c r="H63" s="27"/>
      <c r="I63" s="35" t="str">
        <f aca="false">IF(OR(B63="",G63=""),"",MAX(0,N(F63)-G63-N(H63)))</f>
        <v/>
      </c>
      <c r="J63" s="35" t="str">
        <f aca="false">IF(I63="","",ROUNDUP(I63/IF(N('Item Master'!I59)=0,1,'Item Master'!I59),0))</f>
        <v/>
      </c>
      <c r="K63" s="36"/>
      <c r="L63" s="33" t="str">
        <f aca="false">IF(B63="","",IF('Item Master'!H59="",E63,'Item Master'!H59))</f>
        <v/>
      </c>
      <c r="M63" s="25"/>
    </row>
    <row r="64" customFormat="false" ht="18.75" hidden="false" customHeight="true" outlineLevel="0" collapsed="false">
      <c r="B64" s="32" t="str">
        <f aca="false">IF('Item Master'!B60="","",'Item Master'!B60)</f>
        <v/>
      </c>
      <c r="C64" s="32" t="str">
        <f aca="false">IF(B64="","",IF('Item Master'!C60="","",'Item Master'!C60))</f>
        <v/>
      </c>
      <c r="D64" s="33" t="str">
        <f aca="false">IF(B64="","",IF('Item Master'!D60="","",'Item Master'!D60))</f>
        <v/>
      </c>
      <c r="E64" s="33" t="str">
        <f aca="false">IF(B64="","",IF('Item Master'!F60="","",'Item Master'!F60))</f>
        <v/>
      </c>
      <c r="F64" s="34" t="str">
        <f aca="false">IF(B64="","",IF('Item Master'!G60="","",'Item Master'!G60))</f>
        <v/>
      </c>
      <c r="G64" s="27"/>
      <c r="H64" s="27"/>
      <c r="I64" s="35" t="str">
        <f aca="false">IF(OR(B64="",G64=""),"",MAX(0,N(F64)-G64-N(H64)))</f>
        <v/>
      </c>
      <c r="J64" s="35" t="str">
        <f aca="false">IF(I64="","",ROUNDUP(I64/IF(N('Item Master'!I60)=0,1,'Item Master'!I60),0))</f>
        <v/>
      </c>
      <c r="K64" s="36"/>
      <c r="L64" s="33" t="str">
        <f aca="false">IF(B64="","",IF('Item Master'!H60="",E64,'Item Master'!H60))</f>
        <v/>
      </c>
      <c r="M64" s="25"/>
    </row>
    <row r="65" customFormat="false" ht="18.75" hidden="false" customHeight="true" outlineLevel="0" collapsed="false">
      <c r="B65" s="32" t="str">
        <f aca="false">IF('Item Master'!B61="","",'Item Master'!B61)</f>
        <v/>
      </c>
      <c r="C65" s="32" t="str">
        <f aca="false">IF(B65="","",IF('Item Master'!C61="","",'Item Master'!C61))</f>
        <v/>
      </c>
      <c r="D65" s="33" t="str">
        <f aca="false">IF(B65="","",IF('Item Master'!D61="","",'Item Master'!D61))</f>
        <v/>
      </c>
      <c r="E65" s="33" t="str">
        <f aca="false">IF(B65="","",IF('Item Master'!F61="","",'Item Master'!F61))</f>
        <v/>
      </c>
      <c r="F65" s="34" t="str">
        <f aca="false">IF(B65="","",IF('Item Master'!G61="","",'Item Master'!G61))</f>
        <v/>
      </c>
      <c r="G65" s="27"/>
      <c r="H65" s="27"/>
      <c r="I65" s="35" t="str">
        <f aca="false">IF(OR(B65="",G65=""),"",MAX(0,N(F65)-G65-N(H65)))</f>
        <v/>
      </c>
      <c r="J65" s="35" t="str">
        <f aca="false">IF(I65="","",ROUNDUP(I65/IF(N('Item Master'!I61)=0,1,'Item Master'!I61),0))</f>
        <v/>
      </c>
      <c r="K65" s="36"/>
      <c r="L65" s="33" t="str">
        <f aca="false">IF(B65="","",IF('Item Master'!H61="",E65,'Item Master'!H61))</f>
        <v/>
      </c>
      <c r="M65" s="25"/>
    </row>
    <row r="66" customFormat="false" ht="18.75" hidden="false" customHeight="true" outlineLevel="0" collapsed="false">
      <c r="B66" s="32" t="str">
        <f aca="false">IF('Item Master'!B62="","",'Item Master'!B62)</f>
        <v/>
      </c>
      <c r="C66" s="32" t="str">
        <f aca="false">IF(B66="","",IF('Item Master'!C62="","",'Item Master'!C62))</f>
        <v/>
      </c>
      <c r="D66" s="33" t="str">
        <f aca="false">IF(B66="","",IF('Item Master'!D62="","",'Item Master'!D62))</f>
        <v/>
      </c>
      <c r="E66" s="33" t="str">
        <f aca="false">IF(B66="","",IF('Item Master'!F62="","",'Item Master'!F62))</f>
        <v/>
      </c>
      <c r="F66" s="34" t="str">
        <f aca="false">IF(B66="","",IF('Item Master'!G62="","",'Item Master'!G62))</f>
        <v/>
      </c>
      <c r="G66" s="27"/>
      <c r="H66" s="27"/>
      <c r="I66" s="35" t="str">
        <f aca="false">IF(OR(B66="",G66=""),"",MAX(0,N(F66)-G66-N(H66)))</f>
        <v/>
      </c>
      <c r="J66" s="35" t="str">
        <f aca="false">IF(I66="","",ROUNDUP(I66/IF(N('Item Master'!I62)=0,1,'Item Master'!I62),0))</f>
        <v/>
      </c>
      <c r="K66" s="36"/>
      <c r="L66" s="33" t="str">
        <f aca="false">IF(B66="","",IF('Item Master'!H62="",E66,'Item Master'!H62))</f>
        <v/>
      </c>
      <c r="M66" s="25"/>
    </row>
    <row r="67" customFormat="false" ht="18.75" hidden="false" customHeight="true" outlineLevel="0" collapsed="false">
      <c r="B67" s="32" t="str">
        <f aca="false">IF('Item Master'!B63="","",'Item Master'!B63)</f>
        <v/>
      </c>
      <c r="C67" s="32" t="str">
        <f aca="false">IF(B67="","",IF('Item Master'!C63="","",'Item Master'!C63))</f>
        <v/>
      </c>
      <c r="D67" s="33" t="str">
        <f aca="false">IF(B67="","",IF('Item Master'!D63="","",'Item Master'!D63))</f>
        <v/>
      </c>
      <c r="E67" s="33" t="str">
        <f aca="false">IF(B67="","",IF('Item Master'!F63="","",'Item Master'!F63))</f>
        <v/>
      </c>
      <c r="F67" s="34" t="str">
        <f aca="false">IF(B67="","",IF('Item Master'!G63="","",'Item Master'!G63))</f>
        <v/>
      </c>
      <c r="G67" s="27"/>
      <c r="H67" s="27"/>
      <c r="I67" s="35" t="str">
        <f aca="false">IF(OR(B67="",G67=""),"",MAX(0,N(F67)-G67-N(H67)))</f>
        <v/>
      </c>
      <c r="J67" s="35" t="str">
        <f aca="false">IF(I67="","",ROUNDUP(I67/IF(N('Item Master'!I63)=0,1,'Item Master'!I63),0))</f>
        <v/>
      </c>
      <c r="K67" s="36"/>
      <c r="L67" s="33" t="str">
        <f aca="false">IF(B67="","",IF('Item Master'!H63="",E67,'Item Master'!H63))</f>
        <v/>
      </c>
      <c r="M67" s="25"/>
    </row>
    <row r="68" customFormat="false" ht="18.75" hidden="false" customHeight="true" outlineLevel="0" collapsed="false">
      <c r="B68" s="32" t="str">
        <f aca="false">IF('Item Master'!B64="","",'Item Master'!B64)</f>
        <v/>
      </c>
      <c r="C68" s="32" t="str">
        <f aca="false">IF(B68="","",IF('Item Master'!C64="","",'Item Master'!C64))</f>
        <v/>
      </c>
      <c r="D68" s="33" t="str">
        <f aca="false">IF(B68="","",IF('Item Master'!D64="","",'Item Master'!D64))</f>
        <v/>
      </c>
      <c r="E68" s="33" t="str">
        <f aca="false">IF(B68="","",IF('Item Master'!F64="","",'Item Master'!F64))</f>
        <v/>
      </c>
      <c r="F68" s="34" t="str">
        <f aca="false">IF(B68="","",IF('Item Master'!G64="","",'Item Master'!G64))</f>
        <v/>
      </c>
      <c r="G68" s="27"/>
      <c r="H68" s="27"/>
      <c r="I68" s="35" t="str">
        <f aca="false">IF(OR(B68="",G68=""),"",MAX(0,N(F68)-G68-N(H68)))</f>
        <v/>
      </c>
      <c r="J68" s="35" t="str">
        <f aca="false">IF(I68="","",ROUNDUP(I68/IF(N('Item Master'!I64)=0,1,'Item Master'!I64),0))</f>
        <v/>
      </c>
      <c r="K68" s="36"/>
      <c r="L68" s="33" t="str">
        <f aca="false">IF(B68="","",IF('Item Master'!H64="",E68,'Item Master'!H64))</f>
        <v/>
      </c>
      <c r="M68" s="25"/>
    </row>
    <row r="69" customFormat="false" ht="18.75" hidden="false" customHeight="true" outlineLevel="0" collapsed="false">
      <c r="B69" s="32" t="str">
        <f aca="false">IF('Item Master'!B65="","",'Item Master'!B65)</f>
        <v/>
      </c>
      <c r="C69" s="32" t="str">
        <f aca="false">IF(B69="","",IF('Item Master'!C65="","",'Item Master'!C65))</f>
        <v/>
      </c>
      <c r="D69" s="33" t="str">
        <f aca="false">IF(B69="","",IF('Item Master'!D65="","",'Item Master'!D65))</f>
        <v/>
      </c>
      <c r="E69" s="33" t="str">
        <f aca="false">IF(B69="","",IF('Item Master'!F65="","",'Item Master'!F65))</f>
        <v/>
      </c>
      <c r="F69" s="34" t="str">
        <f aca="false">IF(B69="","",IF('Item Master'!G65="","",'Item Master'!G65))</f>
        <v/>
      </c>
      <c r="G69" s="27"/>
      <c r="H69" s="27"/>
      <c r="I69" s="35" t="str">
        <f aca="false">IF(OR(B69="",G69=""),"",MAX(0,N(F69)-G69-N(H69)))</f>
        <v/>
      </c>
      <c r="J69" s="35" t="str">
        <f aca="false">IF(I69="","",ROUNDUP(I69/IF(N('Item Master'!I65)=0,1,'Item Master'!I65),0))</f>
        <v/>
      </c>
      <c r="K69" s="36"/>
      <c r="L69" s="33" t="str">
        <f aca="false">IF(B69="","",IF('Item Master'!H65="",E69,'Item Master'!H65))</f>
        <v/>
      </c>
      <c r="M69" s="25"/>
    </row>
    <row r="70" customFormat="false" ht="18.75" hidden="false" customHeight="true" outlineLevel="0" collapsed="false">
      <c r="B70" s="32" t="str">
        <f aca="false">IF('Item Master'!B66="","",'Item Master'!B66)</f>
        <v/>
      </c>
      <c r="C70" s="32" t="str">
        <f aca="false">IF(B70="","",IF('Item Master'!C66="","",'Item Master'!C66))</f>
        <v/>
      </c>
      <c r="D70" s="33" t="str">
        <f aca="false">IF(B70="","",IF('Item Master'!D66="","",'Item Master'!D66))</f>
        <v/>
      </c>
      <c r="E70" s="33" t="str">
        <f aca="false">IF(B70="","",IF('Item Master'!F66="","",'Item Master'!F66))</f>
        <v/>
      </c>
      <c r="F70" s="34" t="str">
        <f aca="false">IF(B70="","",IF('Item Master'!G66="","",'Item Master'!G66))</f>
        <v/>
      </c>
      <c r="G70" s="27"/>
      <c r="H70" s="27"/>
      <c r="I70" s="35" t="str">
        <f aca="false">IF(OR(B70="",G70=""),"",MAX(0,N(F70)-G70-N(H70)))</f>
        <v/>
      </c>
      <c r="J70" s="35" t="str">
        <f aca="false">IF(I70="","",ROUNDUP(I70/IF(N('Item Master'!I66)=0,1,'Item Master'!I66),0))</f>
        <v/>
      </c>
      <c r="K70" s="36"/>
      <c r="L70" s="33" t="str">
        <f aca="false">IF(B70="","",IF('Item Master'!H66="",E70,'Item Master'!H66))</f>
        <v/>
      </c>
      <c r="M70" s="25"/>
    </row>
    <row r="71" customFormat="false" ht="18.75" hidden="false" customHeight="true" outlineLevel="0" collapsed="false">
      <c r="B71" s="32" t="str">
        <f aca="false">IF('Item Master'!B67="","",'Item Master'!B67)</f>
        <v/>
      </c>
      <c r="C71" s="32" t="str">
        <f aca="false">IF(B71="","",IF('Item Master'!C67="","",'Item Master'!C67))</f>
        <v/>
      </c>
      <c r="D71" s="33" t="str">
        <f aca="false">IF(B71="","",IF('Item Master'!D67="","",'Item Master'!D67))</f>
        <v/>
      </c>
      <c r="E71" s="33" t="str">
        <f aca="false">IF(B71="","",IF('Item Master'!F67="","",'Item Master'!F67))</f>
        <v/>
      </c>
      <c r="F71" s="34" t="str">
        <f aca="false">IF(B71="","",IF('Item Master'!G67="","",'Item Master'!G67))</f>
        <v/>
      </c>
      <c r="G71" s="27"/>
      <c r="H71" s="27"/>
      <c r="I71" s="35" t="str">
        <f aca="false">IF(OR(B71="",G71=""),"",MAX(0,N(F71)-G71-N(H71)))</f>
        <v/>
      </c>
      <c r="J71" s="35" t="str">
        <f aca="false">IF(I71="","",ROUNDUP(I71/IF(N('Item Master'!I67)=0,1,'Item Master'!I67),0))</f>
        <v/>
      </c>
      <c r="K71" s="36"/>
      <c r="L71" s="33" t="str">
        <f aca="false">IF(B71="","",IF('Item Master'!H67="",E71,'Item Master'!H67))</f>
        <v/>
      </c>
      <c r="M71" s="25"/>
    </row>
    <row r="72" customFormat="false" ht="18.75" hidden="false" customHeight="true" outlineLevel="0" collapsed="false">
      <c r="B72" s="32" t="str">
        <f aca="false">IF('Item Master'!B68="","",'Item Master'!B68)</f>
        <v/>
      </c>
      <c r="C72" s="32" t="str">
        <f aca="false">IF(B72="","",IF('Item Master'!C68="","",'Item Master'!C68))</f>
        <v/>
      </c>
      <c r="D72" s="33" t="str">
        <f aca="false">IF(B72="","",IF('Item Master'!D68="","",'Item Master'!D68))</f>
        <v/>
      </c>
      <c r="E72" s="33" t="str">
        <f aca="false">IF(B72="","",IF('Item Master'!F68="","",'Item Master'!F68))</f>
        <v/>
      </c>
      <c r="F72" s="34" t="str">
        <f aca="false">IF(B72="","",IF('Item Master'!G68="","",'Item Master'!G68))</f>
        <v/>
      </c>
      <c r="G72" s="27"/>
      <c r="H72" s="27"/>
      <c r="I72" s="35" t="str">
        <f aca="false">IF(OR(B72="",G72=""),"",MAX(0,N(F72)-G72-N(H72)))</f>
        <v/>
      </c>
      <c r="J72" s="35" t="str">
        <f aca="false">IF(I72="","",ROUNDUP(I72/IF(N('Item Master'!I68)=0,1,'Item Master'!I68),0))</f>
        <v/>
      </c>
      <c r="K72" s="36"/>
      <c r="L72" s="33" t="str">
        <f aca="false">IF(B72="","",IF('Item Master'!H68="",E72,'Item Master'!H68))</f>
        <v/>
      </c>
      <c r="M72" s="25"/>
    </row>
    <row r="73" customFormat="false" ht="18.75" hidden="false" customHeight="true" outlineLevel="0" collapsed="false">
      <c r="B73" s="32" t="str">
        <f aca="false">IF('Item Master'!B69="","",'Item Master'!B69)</f>
        <v/>
      </c>
      <c r="C73" s="32" t="str">
        <f aca="false">IF(B73="","",IF('Item Master'!C69="","",'Item Master'!C69))</f>
        <v/>
      </c>
      <c r="D73" s="33" t="str">
        <f aca="false">IF(B73="","",IF('Item Master'!D69="","",'Item Master'!D69))</f>
        <v/>
      </c>
      <c r="E73" s="33" t="str">
        <f aca="false">IF(B73="","",IF('Item Master'!F69="","",'Item Master'!F69))</f>
        <v/>
      </c>
      <c r="F73" s="34" t="str">
        <f aca="false">IF(B73="","",IF('Item Master'!G69="","",'Item Master'!G69))</f>
        <v/>
      </c>
      <c r="G73" s="27"/>
      <c r="H73" s="27"/>
      <c r="I73" s="35" t="str">
        <f aca="false">IF(OR(B73="",G73=""),"",MAX(0,N(F73)-G73-N(H73)))</f>
        <v/>
      </c>
      <c r="J73" s="35" t="str">
        <f aca="false">IF(I73="","",ROUNDUP(I73/IF(N('Item Master'!I69)=0,1,'Item Master'!I69),0))</f>
        <v/>
      </c>
      <c r="K73" s="36"/>
      <c r="L73" s="33" t="str">
        <f aca="false">IF(B73="","",IF('Item Master'!H69="",E73,'Item Master'!H69))</f>
        <v/>
      </c>
      <c r="M73" s="25"/>
    </row>
    <row r="74" customFormat="false" ht="18.75" hidden="false" customHeight="true" outlineLevel="0" collapsed="false">
      <c r="B74" s="32" t="str">
        <f aca="false">IF('Item Master'!B70="","",'Item Master'!B70)</f>
        <v/>
      </c>
      <c r="C74" s="32" t="str">
        <f aca="false">IF(B74="","",IF('Item Master'!C70="","",'Item Master'!C70))</f>
        <v/>
      </c>
      <c r="D74" s="33" t="str">
        <f aca="false">IF(B74="","",IF('Item Master'!D70="","",'Item Master'!D70))</f>
        <v/>
      </c>
      <c r="E74" s="33" t="str">
        <f aca="false">IF(B74="","",IF('Item Master'!F70="","",'Item Master'!F70))</f>
        <v/>
      </c>
      <c r="F74" s="34" t="str">
        <f aca="false">IF(B74="","",IF('Item Master'!G70="","",'Item Master'!G70))</f>
        <v/>
      </c>
      <c r="G74" s="27"/>
      <c r="H74" s="27"/>
      <c r="I74" s="35" t="str">
        <f aca="false">IF(OR(B74="",G74=""),"",MAX(0,N(F74)-G74-N(H74)))</f>
        <v/>
      </c>
      <c r="J74" s="35" t="str">
        <f aca="false">IF(I74="","",ROUNDUP(I74/IF(N('Item Master'!I70)=0,1,'Item Master'!I70),0))</f>
        <v/>
      </c>
      <c r="K74" s="36"/>
      <c r="L74" s="33" t="str">
        <f aca="false">IF(B74="","",IF('Item Master'!H70="",E74,'Item Master'!H70))</f>
        <v/>
      </c>
      <c r="M74" s="25"/>
    </row>
    <row r="75" customFormat="false" ht="18.75" hidden="false" customHeight="true" outlineLevel="0" collapsed="false">
      <c r="B75" s="32" t="str">
        <f aca="false">IF('Item Master'!B71="","",'Item Master'!B71)</f>
        <v/>
      </c>
      <c r="C75" s="32" t="str">
        <f aca="false">IF(B75="","",IF('Item Master'!C71="","",'Item Master'!C71))</f>
        <v/>
      </c>
      <c r="D75" s="33" t="str">
        <f aca="false">IF(B75="","",IF('Item Master'!D71="","",'Item Master'!D71))</f>
        <v/>
      </c>
      <c r="E75" s="33" t="str">
        <f aca="false">IF(B75="","",IF('Item Master'!F71="","",'Item Master'!F71))</f>
        <v/>
      </c>
      <c r="F75" s="34" t="str">
        <f aca="false">IF(B75="","",IF('Item Master'!G71="","",'Item Master'!G71))</f>
        <v/>
      </c>
      <c r="G75" s="27"/>
      <c r="H75" s="27"/>
      <c r="I75" s="35" t="str">
        <f aca="false">IF(OR(B75="",G75=""),"",MAX(0,N(F75)-G75-N(H75)))</f>
        <v/>
      </c>
      <c r="J75" s="35" t="str">
        <f aca="false">IF(I75="","",ROUNDUP(I75/IF(N('Item Master'!I71)=0,1,'Item Master'!I71),0))</f>
        <v/>
      </c>
      <c r="K75" s="36"/>
      <c r="L75" s="33" t="str">
        <f aca="false">IF(B75="","",IF('Item Master'!H71="",E75,'Item Master'!H71))</f>
        <v/>
      </c>
      <c r="M75" s="25"/>
    </row>
    <row r="76" customFormat="false" ht="18.75" hidden="false" customHeight="true" outlineLevel="0" collapsed="false">
      <c r="B76" s="32" t="str">
        <f aca="false">IF('Item Master'!B72="","",'Item Master'!B72)</f>
        <v/>
      </c>
      <c r="C76" s="32" t="str">
        <f aca="false">IF(B76="","",IF('Item Master'!C72="","",'Item Master'!C72))</f>
        <v/>
      </c>
      <c r="D76" s="33" t="str">
        <f aca="false">IF(B76="","",IF('Item Master'!D72="","",'Item Master'!D72))</f>
        <v/>
      </c>
      <c r="E76" s="33" t="str">
        <f aca="false">IF(B76="","",IF('Item Master'!F72="","",'Item Master'!F72))</f>
        <v/>
      </c>
      <c r="F76" s="34" t="str">
        <f aca="false">IF(B76="","",IF('Item Master'!G72="","",'Item Master'!G72))</f>
        <v/>
      </c>
      <c r="G76" s="27"/>
      <c r="H76" s="27"/>
      <c r="I76" s="35" t="str">
        <f aca="false">IF(OR(B76="",G76=""),"",MAX(0,N(F76)-G76-N(H76)))</f>
        <v/>
      </c>
      <c r="J76" s="35" t="str">
        <f aca="false">IF(I76="","",ROUNDUP(I76/IF(N('Item Master'!I72)=0,1,'Item Master'!I72),0))</f>
        <v/>
      </c>
      <c r="K76" s="36"/>
      <c r="L76" s="33" t="str">
        <f aca="false">IF(B76="","",IF('Item Master'!H72="",E76,'Item Master'!H72))</f>
        <v/>
      </c>
      <c r="M76" s="25"/>
    </row>
    <row r="77" customFormat="false" ht="18.75" hidden="false" customHeight="true" outlineLevel="0" collapsed="false">
      <c r="B77" s="32" t="str">
        <f aca="false">IF('Item Master'!B73="","",'Item Master'!B73)</f>
        <v/>
      </c>
      <c r="C77" s="32" t="str">
        <f aca="false">IF(B77="","",IF('Item Master'!C73="","",'Item Master'!C73))</f>
        <v/>
      </c>
      <c r="D77" s="33" t="str">
        <f aca="false">IF(B77="","",IF('Item Master'!D73="","",'Item Master'!D73))</f>
        <v/>
      </c>
      <c r="E77" s="33" t="str">
        <f aca="false">IF(B77="","",IF('Item Master'!F73="","",'Item Master'!F73))</f>
        <v/>
      </c>
      <c r="F77" s="34" t="str">
        <f aca="false">IF(B77="","",IF('Item Master'!G73="","",'Item Master'!G73))</f>
        <v/>
      </c>
      <c r="G77" s="27"/>
      <c r="H77" s="27"/>
      <c r="I77" s="35" t="str">
        <f aca="false">IF(OR(B77="",G77=""),"",MAX(0,N(F77)-G77-N(H77)))</f>
        <v/>
      </c>
      <c r="J77" s="35" t="str">
        <f aca="false">IF(I77="","",ROUNDUP(I77/IF(N('Item Master'!I73)=0,1,'Item Master'!I73),0))</f>
        <v/>
      </c>
      <c r="K77" s="36"/>
      <c r="L77" s="33" t="str">
        <f aca="false">IF(B77="","",IF('Item Master'!H73="",E77,'Item Master'!H73))</f>
        <v/>
      </c>
      <c r="M77" s="25"/>
    </row>
    <row r="78" customFormat="false" ht="18.75" hidden="false" customHeight="true" outlineLevel="0" collapsed="false">
      <c r="B78" s="32" t="str">
        <f aca="false">IF('Item Master'!B74="","",'Item Master'!B74)</f>
        <v/>
      </c>
      <c r="C78" s="32" t="str">
        <f aca="false">IF(B78="","",IF('Item Master'!C74="","",'Item Master'!C74))</f>
        <v/>
      </c>
      <c r="D78" s="33" t="str">
        <f aca="false">IF(B78="","",IF('Item Master'!D74="","",'Item Master'!D74))</f>
        <v/>
      </c>
      <c r="E78" s="33" t="str">
        <f aca="false">IF(B78="","",IF('Item Master'!F74="","",'Item Master'!F74))</f>
        <v/>
      </c>
      <c r="F78" s="34" t="str">
        <f aca="false">IF(B78="","",IF('Item Master'!G74="","",'Item Master'!G74))</f>
        <v/>
      </c>
      <c r="G78" s="27"/>
      <c r="H78" s="27"/>
      <c r="I78" s="35" t="str">
        <f aca="false">IF(OR(B78="",G78=""),"",MAX(0,N(F78)-G78-N(H78)))</f>
        <v/>
      </c>
      <c r="J78" s="35" t="str">
        <f aca="false">IF(I78="","",ROUNDUP(I78/IF(N('Item Master'!I74)=0,1,'Item Master'!I74),0))</f>
        <v/>
      </c>
      <c r="K78" s="36"/>
      <c r="L78" s="33" t="str">
        <f aca="false">IF(B78="","",IF('Item Master'!H74="",E78,'Item Master'!H74))</f>
        <v/>
      </c>
      <c r="M78" s="25"/>
    </row>
    <row r="79" customFormat="false" ht="18.75" hidden="false" customHeight="true" outlineLevel="0" collapsed="false">
      <c r="B79" s="32" t="str">
        <f aca="false">IF('Item Master'!B75="","",'Item Master'!B75)</f>
        <v/>
      </c>
      <c r="C79" s="32" t="str">
        <f aca="false">IF(B79="","",IF('Item Master'!C75="","",'Item Master'!C75))</f>
        <v/>
      </c>
      <c r="D79" s="33" t="str">
        <f aca="false">IF(B79="","",IF('Item Master'!D75="","",'Item Master'!D75))</f>
        <v/>
      </c>
      <c r="E79" s="33" t="str">
        <f aca="false">IF(B79="","",IF('Item Master'!F75="","",'Item Master'!F75))</f>
        <v/>
      </c>
      <c r="F79" s="34" t="str">
        <f aca="false">IF(B79="","",IF('Item Master'!G75="","",'Item Master'!G75))</f>
        <v/>
      </c>
      <c r="G79" s="27"/>
      <c r="H79" s="27"/>
      <c r="I79" s="35" t="str">
        <f aca="false">IF(OR(B79="",G79=""),"",MAX(0,N(F79)-G79-N(H79)))</f>
        <v/>
      </c>
      <c r="J79" s="35" t="str">
        <f aca="false">IF(I79="","",ROUNDUP(I79/IF(N('Item Master'!I75)=0,1,'Item Master'!I75),0))</f>
        <v/>
      </c>
      <c r="K79" s="36"/>
      <c r="L79" s="33" t="str">
        <f aca="false">IF(B79="","",IF('Item Master'!H75="",E79,'Item Master'!H75))</f>
        <v/>
      </c>
      <c r="M79" s="25"/>
    </row>
    <row r="80" customFormat="false" ht="18.75" hidden="false" customHeight="true" outlineLevel="0" collapsed="false">
      <c r="B80" s="32" t="str">
        <f aca="false">IF('Item Master'!B76="","",'Item Master'!B76)</f>
        <v/>
      </c>
      <c r="C80" s="32" t="str">
        <f aca="false">IF(B80="","",IF('Item Master'!C76="","",'Item Master'!C76))</f>
        <v/>
      </c>
      <c r="D80" s="33" t="str">
        <f aca="false">IF(B80="","",IF('Item Master'!D76="","",'Item Master'!D76))</f>
        <v/>
      </c>
      <c r="E80" s="33" t="str">
        <f aca="false">IF(B80="","",IF('Item Master'!F76="","",'Item Master'!F76))</f>
        <v/>
      </c>
      <c r="F80" s="34" t="str">
        <f aca="false">IF(B80="","",IF('Item Master'!G76="","",'Item Master'!G76))</f>
        <v/>
      </c>
      <c r="G80" s="27"/>
      <c r="H80" s="27"/>
      <c r="I80" s="35" t="str">
        <f aca="false">IF(OR(B80="",G80=""),"",MAX(0,N(F80)-G80-N(H80)))</f>
        <v/>
      </c>
      <c r="J80" s="35" t="str">
        <f aca="false">IF(I80="","",ROUNDUP(I80/IF(N('Item Master'!I76)=0,1,'Item Master'!I76),0))</f>
        <v/>
      </c>
      <c r="K80" s="36"/>
      <c r="L80" s="33" t="str">
        <f aca="false">IF(B80="","",IF('Item Master'!H76="",E80,'Item Master'!H76))</f>
        <v/>
      </c>
      <c r="M80" s="25"/>
    </row>
    <row r="81" customFormat="false" ht="18.75" hidden="false" customHeight="true" outlineLevel="0" collapsed="false">
      <c r="B81" s="32" t="str">
        <f aca="false">IF('Item Master'!B77="","",'Item Master'!B77)</f>
        <v/>
      </c>
      <c r="C81" s="32" t="str">
        <f aca="false">IF(B81="","",IF('Item Master'!C77="","",'Item Master'!C77))</f>
        <v/>
      </c>
      <c r="D81" s="33" t="str">
        <f aca="false">IF(B81="","",IF('Item Master'!D77="","",'Item Master'!D77))</f>
        <v/>
      </c>
      <c r="E81" s="33" t="str">
        <f aca="false">IF(B81="","",IF('Item Master'!F77="","",'Item Master'!F77))</f>
        <v/>
      </c>
      <c r="F81" s="34" t="str">
        <f aca="false">IF(B81="","",IF('Item Master'!G77="","",'Item Master'!G77))</f>
        <v/>
      </c>
      <c r="G81" s="27"/>
      <c r="H81" s="27"/>
      <c r="I81" s="35" t="str">
        <f aca="false">IF(OR(B81="",G81=""),"",MAX(0,N(F81)-G81-N(H81)))</f>
        <v/>
      </c>
      <c r="J81" s="35" t="str">
        <f aca="false">IF(I81="","",ROUNDUP(I81/IF(N('Item Master'!I77)=0,1,'Item Master'!I77),0))</f>
        <v/>
      </c>
      <c r="K81" s="36"/>
      <c r="L81" s="33" t="str">
        <f aca="false">IF(B81="","",IF('Item Master'!H77="",E81,'Item Master'!H77))</f>
        <v/>
      </c>
      <c r="M81" s="25"/>
    </row>
    <row r="82" customFormat="false" ht="18.75" hidden="false" customHeight="true" outlineLevel="0" collapsed="false">
      <c r="B82" s="32" t="str">
        <f aca="false">IF('Item Master'!B78="","",'Item Master'!B78)</f>
        <v/>
      </c>
      <c r="C82" s="32" t="str">
        <f aca="false">IF(B82="","",IF('Item Master'!C78="","",'Item Master'!C78))</f>
        <v/>
      </c>
      <c r="D82" s="33" t="str">
        <f aca="false">IF(B82="","",IF('Item Master'!D78="","",'Item Master'!D78))</f>
        <v/>
      </c>
      <c r="E82" s="33" t="str">
        <f aca="false">IF(B82="","",IF('Item Master'!F78="","",'Item Master'!F78))</f>
        <v/>
      </c>
      <c r="F82" s="34" t="str">
        <f aca="false">IF(B82="","",IF('Item Master'!G78="","",'Item Master'!G78))</f>
        <v/>
      </c>
      <c r="G82" s="27"/>
      <c r="H82" s="27"/>
      <c r="I82" s="35" t="str">
        <f aca="false">IF(OR(B82="",G82=""),"",MAX(0,N(F82)-G82-N(H82)))</f>
        <v/>
      </c>
      <c r="J82" s="35" t="str">
        <f aca="false">IF(I82="","",ROUNDUP(I82/IF(N('Item Master'!I78)=0,1,'Item Master'!I78),0))</f>
        <v/>
      </c>
      <c r="K82" s="36"/>
      <c r="L82" s="33" t="str">
        <f aca="false">IF(B82="","",IF('Item Master'!H78="",E82,'Item Master'!H78))</f>
        <v/>
      </c>
      <c r="M82" s="25"/>
    </row>
    <row r="83" customFormat="false" ht="18.75" hidden="false" customHeight="true" outlineLevel="0" collapsed="false">
      <c r="B83" s="32" t="str">
        <f aca="false">IF('Item Master'!B79="","",'Item Master'!B79)</f>
        <v/>
      </c>
      <c r="C83" s="32" t="str">
        <f aca="false">IF(B83="","",IF('Item Master'!C79="","",'Item Master'!C79))</f>
        <v/>
      </c>
      <c r="D83" s="33" t="str">
        <f aca="false">IF(B83="","",IF('Item Master'!D79="","",'Item Master'!D79))</f>
        <v/>
      </c>
      <c r="E83" s="33" t="str">
        <f aca="false">IF(B83="","",IF('Item Master'!F79="","",'Item Master'!F79))</f>
        <v/>
      </c>
      <c r="F83" s="34" t="str">
        <f aca="false">IF(B83="","",IF('Item Master'!G79="","",'Item Master'!G79))</f>
        <v/>
      </c>
      <c r="G83" s="27"/>
      <c r="H83" s="27"/>
      <c r="I83" s="35" t="str">
        <f aca="false">IF(OR(B83="",G83=""),"",MAX(0,N(F83)-G83-N(H83)))</f>
        <v/>
      </c>
      <c r="J83" s="35" t="str">
        <f aca="false">IF(I83="","",ROUNDUP(I83/IF(N('Item Master'!I79)=0,1,'Item Master'!I79),0))</f>
        <v/>
      </c>
      <c r="K83" s="36"/>
      <c r="L83" s="33" t="str">
        <f aca="false">IF(B83="","",IF('Item Master'!H79="",E83,'Item Master'!H79))</f>
        <v/>
      </c>
      <c r="M83" s="25"/>
    </row>
    <row r="84" customFormat="false" ht="18.75" hidden="false" customHeight="true" outlineLevel="0" collapsed="false">
      <c r="B84" s="32" t="str">
        <f aca="false">IF('Item Master'!B80="","",'Item Master'!B80)</f>
        <v/>
      </c>
      <c r="C84" s="32" t="str">
        <f aca="false">IF(B84="","",IF('Item Master'!C80="","",'Item Master'!C80))</f>
        <v/>
      </c>
      <c r="D84" s="33" t="str">
        <f aca="false">IF(B84="","",IF('Item Master'!D80="","",'Item Master'!D80))</f>
        <v/>
      </c>
      <c r="E84" s="33" t="str">
        <f aca="false">IF(B84="","",IF('Item Master'!F80="","",'Item Master'!F80))</f>
        <v/>
      </c>
      <c r="F84" s="34" t="str">
        <f aca="false">IF(B84="","",IF('Item Master'!G80="","",'Item Master'!G80))</f>
        <v/>
      </c>
      <c r="G84" s="27"/>
      <c r="H84" s="27"/>
      <c r="I84" s="35" t="str">
        <f aca="false">IF(OR(B84="",G84=""),"",MAX(0,N(F84)-G84-N(H84)))</f>
        <v/>
      </c>
      <c r="J84" s="35" t="str">
        <f aca="false">IF(I84="","",ROUNDUP(I84/IF(N('Item Master'!I80)=0,1,'Item Master'!I80),0))</f>
        <v/>
      </c>
      <c r="K84" s="36"/>
      <c r="L84" s="33" t="str">
        <f aca="false">IF(B84="","",IF('Item Master'!H80="",E84,'Item Master'!H80))</f>
        <v/>
      </c>
      <c r="M84" s="25"/>
    </row>
    <row r="85" customFormat="false" ht="18.75" hidden="false" customHeight="true" outlineLevel="0" collapsed="false">
      <c r="B85" s="32" t="str">
        <f aca="false">IF('Item Master'!B81="","",'Item Master'!B81)</f>
        <v/>
      </c>
      <c r="C85" s="32" t="str">
        <f aca="false">IF(B85="","",IF('Item Master'!C81="","",'Item Master'!C81))</f>
        <v/>
      </c>
      <c r="D85" s="33" t="str">
        <f aca="false">IF(B85="","",IF('Item Master'!D81="","",'Item Master'!D81))</f>
        <v/>
      </c>
      <c r="E85" s="33" t="str">
        <f aca="false">IF(B85="","",IF('Item Master'!F81="","",'Item Master'!F81))</f>
        <v/>
      </c>
      <c r="F85" s="34" t="str">
        <f aca="false">IF(B85="","",IF('Item Master'!G81="","",'Item Master'!G81))</f>
        <v/>
      </c>
      <c r="G85" s="27"/>
      <c r="H85" s="27"/>
      <c r="I85" s="35" t="str">
        <f aca="false">IF(OR(B85="",G85=""),"",MAX(0,N(F85)-G85-N(H85)))</f>
        <v/>
      </c>
      <c r="J85" s="35" t="str">
        <f aca="false">IF(I85="","",ROUNDUP(I85/IF(N('Item Master'!I81)=0,1,'Item Master'!I81),0))</f>
        <v/>
      </c>
      <c r="K85" s="36"/>
      <c r="L85" s="33" t="str">
        <f aca="false">IF(B85="","",IF('Item Master'!H81="",E85,'Item Master'!H81))</f>
        <v/>
      </c>
      <c r="M85" s="25"/>
    </row>
    <row r="86" customFormat="false" ht="18.75" hidden="false" customHeight="true" outlineLevel="0" collapsed="false">
      <c r="B86" s="32" t="str">
        <f aca="false">IF('Item Master'!B82="","",'Item Master'!B82)</f>
        <v/>
      </c>
      <c r="C86" s="32" t="str">
        <f aca="false">IF(B86="","",IF('Item Master'!C82="","",'Item Master'!C82))</f>
        <v/>
      </c>
      <c r="D86" s="33" t="str">
        <f aca="false">IF(B86="","",IF('Item Master'!D82="","",'Item Master'!D82))</f>
        <v/>
      </c>
      <c r="E86" s="33" t="str">
        <f aca="false">IF(B86="","",IF('Item Master'!F82="","",'Item Master'!F82))</f>
        <v/>
      </c>
      <c r="F86" s="34" t="str">
        <f aca="false">IF(B86="","",IF('Item Master'!G82="","",'Item Master'!G82))</f>
        <v/>
      </c>
      <c r="G86" s="27"/>
      <c r="H86" s="27"/>
      <c r="I86" s="35" t="str">
        <f aca="false">IF(OR(B86="",G86=""),"",MAX(0,N(F86)-G86-N(H86)))</f>
        <v/>
      </c>
      <c r="J86" s="35" t="str">
        <f aca="false">IF(I86="","",ROUNDUP(I86/IF(N('Item Master'!I82)=0,1,'Item Master'!I82),0))</f>
        <v/>
      </c>
      <c r="K86" s="36"/>
      <c r="L86" s="33" t="str">
        <f aca="false">IF(B86="","",IF('Item Master'!H82="",E86,'Item Master'!H82))</f>
        <v/>
      </c>
      <c r="M86" s="25"/>
    </row>
    <row r="87" customFormat="false" ht="18.75" hidden="false" customHeight="true" outlineLevel="0" collapsed="false">
      <c r="B87" s="32" t="str">
        <f aca="false">IF('Item Master'!B83="","",'Item Master'!B83)</f>
        <v/>
      </c>
      <c r="C87" s="32" t="str">
        <f aca="false">IF(B87="","",IF('Item Master'!C83="","",'Item Master'!C83))</f>
        <v/>
      </c>
      <c r="D87" s="33" t="str">
        <f aca="false">IF(B87="","",IF('Item Master'!D83="","",'Item Master'!D83))</f>
        <v/>
      </c>
      <c r="E87" s="33" t="str">
        <f aca="false">IF(B87="","",IF('Item Master'!F83="","",'Item Master'!F83))</f>
        <v/>
      </c>
      <c r="F87" s="34" t="str">
        <f aca="false">IF(B87="","",IF('Item Master'!G83="","",'Item Master'!G83))</f>
        <v/>
      </c>
      <c r="G87" s="27"/>
      <c r="H87" s="27"/>
      <c r="I87" s="35" t="str">
        <f aca="false">IF(OR(B87="",G87=""),"",MAX(0,N(F87)-G87-N(H87)))</f>
        <v/>
      </c>
      <c r="J87" s="35" t="str">
        <f aca="false">IF(I87="","",ROUNDUP(I87/IF(N('Item Master'!I83)=0,1,'Item Master'!I83),0))</f>
        <v/>
      </c>
      <c r="K87" s="36"/>
      <c r="L87" s="33" t="str">
        <f aca="false">IF(B87="","",IF('Item Master'!H83="",E87,'Item Master'!H83))</f>
        <v/>
      </c>
      <c r="M87" s="25"/>
    </row>
    <row r="88" customFormat="false" ht="18.75" hidden="false" customHeight="true" outlineLevel="0" collapsed="false">
      <c r="B88" s="32" t="str">
        <f aca="false">IF('Item Master'!B84="","",'Item Master'!B84)</f>
        <v/>
      </c>
      <c r="C88" s="32" t="str">
        <f aca="false">IF(B88="","",IF('Item Master'!C84="","",'Item Master'!C84))</f>
        <v/>
      </c>
      <c r="D88" s="33" t="str">
        <f aca="false">IF(B88="","",IF('Item Master'!D84="","",'Item Master'!D84))</f>
        <v/>
      </c>
      <c r="E88" s="33" t="str">
        <f aca="false">IF(B88="","",IF('Item Master'!F84="","",'Item Master'!F84))</f>
        <v/>
      </c>
      <c r="F88" s="34" t="str">
        <f aca="false">IF(B88="","",IF('Item Master'!G84="","",'Item Master'!G84))</f>
        <v/>
      </c>
      <c r="G88" s="27"/>
      <c r="H88" s="27"/>
      <c r="I88" s="35" t="str">
        <f aca="false">IF(OR(B88="",G88=""),"",MAX(0,N(F88)-G88-N(H88)))</f>
        <v/>
      </c>
      <c r="J88" s="35" t="str">
        <f aca="false">IF(I88="","",ROUNDUP(I88/IF(N('Item Master'!I84)=0,1,'Item Master'!I84),0))</f>
        <v/>
      </c>
      <c r="K88" s="36"/>
      <c r="L88" s="33" t="str">
        <f aca="false">IF(B88="","",IF('Item Master'!H84="",E88,'Item Master'!H84))</f>
        <v/>
      </c>
      <c r="M88" s="25"/>
    </row>
    <row r="89" customFormat="false" ht="18.75" hidden="false" customHeight="true" outlineLevel="0" collapsed="false">
      <c r="B89" s="32" t="str">
        <f aca="false">IF('Item Master'!B85="","",'Item Master'!B85)</f>
        <v/>
      </c>
      <c r="C89" s="32" t="str">
        <f aca="false">IF(B89="","",IF('Item Master'!C85="","",'Item Master'!C85))</f>
        <v/>
      </c>
      <c r="D89" s="33" t="str">
        <f aca="false">IF(B89="","",IF('Item Master'!D85="","",'Item Master'!D85))</f>
        <v/>
      </c>
      <c r="E89" s="33" t="str">
        <f aca="false">IF(B89="","",IF('Item Master'!F85="","",'Item Master'!F85))</f>
        <v/>
      </c>
      <c r="F89" s="34" t="str">
        <f aca="false">IF(B89="","",IF('Item Master'!G85="","",'Item Master'!G85))</f>
        <v/>
      </c>
      <c r="G89" s="27"/>
      <c r="H89" s="27"/>
      <c r="I89" s="35" t="str">
        <f aca="false">IF(OR(B89="",G89=""),"",MAX(0,N(F89)-G89-N(H89)))</f>
        <v/>
      </c>
      <c r="J89" s="35" t="str">
        <f aca="false">IF(I89="","",ROUNDUP(I89/IF(N('Item Master'!I85)=0,1,'Item Master'!I85),0))</f>
        <v/>
      </c>
      <c r="K89" s="36"/>
      <c r="L89" s="33" t="str">
        <f aca="false">IF(B89="","",IF('Item Master'!H85="",E89,'Item Master'!H85))</f>
        <v/>
      </c>
      <c r="M89" s="25"/>
    </row>
    <row r="90" customFormat="false" ht="18.75" hidden="false" customHeight="true" outlineLevel="0" collapsed="false">
      <c r="B90" s="32" t="str">
        <f aca="false">IF('Item Master'!B86="","",'Item Master'!B86)</f>
        <v/>
      </c>
      <c r="C90" s="32" t="str">
        <f aca="false">IF(B90="","",IF('Item Master'!C86="","",'Item Master'!C86))</f>
        <v/>
      </c>
      <c r="D90" s="33" t="str">
        <f aca="false">IF(B90="","",IF('Item Master'!D86="","",'Item Master'!D86))</f>
        <v/>
      </c>
      <c r="E90" s="33" t="str">
        <f aca="false">IF(B90="","",IF('Item Master'!F86="","",'Item Master'!F86))</f>
        <v/>
      </c>
      <c r="F90" s="34" t="str">
        <f aca="false">IF(B90="","",IF('Item Master'!G86="","",'Item Master'!G86))</f>
        <v/>
      </c>
      <c r="G90" s="27"/>
      <c r="H90" s="27"/>
      <c r="I90" s="35" t="str">
        <f aca="false">IF(OR(B90="",G90=""),"",MAX(0,N(F90)-G90-N(H90)))</f>
        <v/>
      </c>
      <c r="J90" s="35" t="str">
        <f aca="false">IF(I90="","",ROUNDUP(I90/IF(N('Item Master'!I86)=0,1,'Item Master'!I86),0))</f>
        <v/>
      </c>
      <c r="K90" s="36"/>
      <c r="L90" s="33" t="str">
        <f aca="false">IF(B90="","",IF('Item Master'!H86="",E90,'Item Master'!H86))</f>
        <v/>
      </c>
      <c r="M90" s="25"/>
    </row>
    <row r="91" customFormat="false" ht="18.75" hidden="false" customHeight="true" outlineLevel="0" collapsed="false">
      <c r="B91" s="32" t="str">
        <f aca="false">IF('Item Master'!B87="","",'Item Master'!B87)</f>
        <v/>
      </c>
      <c r="C91" s="32" t="str">
        <f aca="false">IF(B91="","",IF('Item Master'!C87="","",'Item Master'!C87))</f>
        <v/>
      </c>
      <c r="D91" s="33" t="str">
        <f aca="false">IF(B91="","",IF('Item Master'!D87="","",'Item Master'!D87))</f>
        <v/>
      </c>
      <c r="E91" s="33" t="str">
        <f aca="false">IF(B91="","",IF('Item Master'!F87="","",'Item Master'!F87))</f>
        <v/>
      </c>
      <c r="F91" s="34" t="str">
        <f aca="false">IF(B91="","",IF('Item Master'!G87="","",'Item Master'!G87))</f>
        <v/>
      </c>
      <c r="G91" s="27"/>
      <c r="H91" s="27"/>
      <c r="I91" s="35" t="str">
        <f aca="false">IF(OR(B91="",G91=""),"",MAX(0,N(F91)-G91-N(H91)))</f>
        <v/>
      </c>
      <c r="J91" s="35" t="str">
        <f aca="false">IF(I91="","",ROUNDUP(I91/IF(N('Item Master'!I87)=0,1,'Item Master'!I87),0))</f>
        <v/>
      </c>
      <c r="K91" s="36"/>
      <c r="L91" s="33" t="str">
        <f aca="false">IF(B91="","",IF('Item Master'!H87="",E91,'Item Master'!H87))</f>
        <v/>
      </c>
      <c r="M91" s="25"/>
    </row>
    <row r="92" customFormat="false" ht="18.75" hidden="false" customHeight="true" outlineLevel="0" collapsed="false">
      <c r="B92" s="32" t="str">
        <f aca="false">IF('Item Master'!B88="","",'Item Master'!B88)</f>
        <v/>
      </c>
      <c r="C92" s="32" t="str">
        <f aca="false">IF(B92="","",IF('Item Master'!C88="","",'Item Master'!C88))</f>
        <v/>
      </c>
      <c r="D92" s="33" t="str">
        <f aca="false">IF(B92="","",IF('Item Master'!D88="","",'Item Master'!D88))</f>
        <v/>
      </c>
      <c r="E92" s="33" t="str">
        <f aca="false">IF(B92="","",IF('Item Master'!F88="","",'Item Master'!F88))</f>
        <v/>
      </c>
      <c r="F92" s="34" t="str">
        <f aca="false">IF(B92="","",IF('Item Master'!G88="","",'Item Master'!G88))</f>
        <v/>
      </c>
      <c r="G92" s="27"/>
      <c r="H92" s="27"/>
      <c r="I92" s="35" t="str">
        <f aca="false">IF(OR(B92="",G92=""),"",MAX(0,N(F92)-G92-N(H92)))</f>
        <v/>
      </c>
      <c r="J92" s="35" t="str">
        <f aca="false">IF(I92="","",ROUNDUP(I92/IF(N('Item Master'!I88)=0,1,'Item Master'!I88),0))</f>
        <v/>
      </c>
      <c r="K92" s="36"/>
      <c r="L92" s="33" t="str">
        <f aca="false">IF(B92="","",IF('Item Master'!H88="",E92,'Item Master'!H88))</f>
        <v/>
      </c>
      <c r="M92" s="25"/>
    </row>
    <row r="93" customFormat="false" ht="18.75" hidden="false" customHeight="true" outlineLevel="0" collapsed="false">
      <c r="B93" s="32" t="str">
        <f aca="false">IF('Item Master'!B89="","",'Item Master'!B89)</f>
        <v/>
      </c>
      <c r="C93" s="32" t="str">
        <f aca="false">IF(B93="","",IF('Item Master'!C89="","",'Item Master'!C89))</f>
        <v/>
      </c>
      <c r="D93" s="33" t="str">
        <f aca="false">IF(B93="","",IF('Item Master'!D89="","",'Item Master'!D89))</f>
        <v/>
      </c>
      <c r="E93" s="33" t="str">
        <f aca="false">IF(B93="","",IF('Item Master'!F89="","",'Item Master'!F89))</f>
        <v/>
      </c>
      <c r="F93" s="34" t="str">
        <f aca="false">IF(B93="","",IF('Item Master'!G89="","",'Item Master'!G89))</f>
        <v/>
      </c>
      <c r="G93" s="27"/>
      <c r="H93" s="27"/>
      <c r="I93" s="35" t="str">
        <f aca="false">IF(OR(B93="",G93=""),"",MAX(0,N(F93)-G93-N(H93)))</f>
        <v/>
      </c>
      <c r="J93" s="35" t="str">
        <f aca="false">IF(I93="","",ROUNDUP(I93/IF(N('Item Master'!I89)=0,1,'Item Master'!I89),0))</f>
        <v/>
      </c>
      <c r="K93" s="36"/>
      <c r="L93" s="33" t="str">
        <f aca="false">IF(B93="","",IF('Item Master'!H89="",E93,'Item Master'!H89))</f>
        <v/>
      </c>
      <c r="M93" s="25"/>
    </row>
    <row r="94" customFormat="false" ht="18.75" hidden="false" customHeight="true" outlineLevel="0" collapsed="false">
      <c r="B94" s="32" t="str">
        <f aca="false">IF('Item Master'!B90="","",'Item Master'!B90)</f>
        <v/>
      </c>
      <c r="C94" s="32" t="str">
        <f aca="false">IF(B94="","",IF('Item Master'!C90="","",'Item Master'!C90))</f>
        <v/>
      </c>
      <c r="D94" s="33" t="str">
        <f aca="false">IF(B94="","",IF('Item Master'!D90="","",'Item Master'!D90))</f>
        <v/>
      </c>
      <c r="E94" s="33" t="str">
        <f aca="false">IF(B94="","",IF('Item Master'!F90="","",'Item Master'!F90))</f>
        <v/>
      </c>
      <c r="F94" s="34" t="str">
        <f aca="false">IF(B94="","",IF('Item Master'!G90="","",'Item Master'!G90))</f>
        <v/>
      </c>
      <c r="G94" s="27"/>
      <c r="H94" s="27"/>
      <c r="I94" s="35" t="str">
        <f aca="false">IF(OR(B94="",G94=""),"",MAX(0,N(F94)-G94-N(H94)))</f>
        <v/>
      </c>
      <c r="J94" s="35" t="str">
        <f aca="false">IF(I94="","",ROUNDUP(I94/IF(N('Item Master'!I90)=0,1,'Item Master'!I90),0))</f>
        <v/>
      </c>
      <c r="K94" s="36"/>
      <c r="L94" s="33" t="str">
        <f aca="false">IF(B94="","",IF('Item Master'!H90="",E94,'Item Master'!H90))</f>
        <v/>
      </c>
      <c r="M94" s="25"/>
    </row>
    <row r="95" customFormat="false" ht="18.75" hidden="false" customHeight="true" outlineLevel="0" collapsed="false">
      <c r="B95" s="32" t="str">
        <f aca="false">IF('Item Master'!B91="","",'Item Master'!B91)</f>
        <v/>
      </c>
      <c r="C95" s="32" t="str">
        <f aca="false">IF(B95="","",IF('Item Master'!C91="","",'Item Master'!C91))</f>
        <v/>
      </c>
      <c r="D95" s="33" t="str">
        <f aca="false">IF(B95="","",IF('Item Master'!D91="","",'Item Master'!D91))</f>
        <v/>
      </c>
      <c r="E95" s="33" t="str">
        <f aca="false">IF(B95="","",IF('Item Master'!F91="","",'Item Master'!F91))</f>
        <v/>
      </c>
      <c r="F95" s="34" t="str">
        <f aca="false">IF(B95="","",IF('Item Master'!G91="","",'Item Master'!G91))</f>
        <v/>
      </c>
      <c r="G95" s="27"/>
      <c r="H95" s="27"/>
      <c r="I95" s="35" t="str">
        <f aca="false">IF(OR(B95="",G95=""),"",MAX(0,N(F95)-G95-N(H95)))</f>
        <v/>
      </c>
      <c r="J95" s="35" t="str">
        <f aca="false">IF(I95="","",ROUNDUP(I95/IF(N('Item Master'!I91)=0,1,'Item Master'!I91),0))</f>
        <v/>
      </c>
      <c r="K95" s="36"/>
      <c r="L95" s="33" t="str">
        <f aca="false">IF(B95="","",IF('Item Master'!H91="",E95,'Item Master'!H91))</f>
        <v/>
      </c>
      <c r="M95" s="25"/>
    </row>
    <row r="96" customFormat="false" ht="18.75" hidden="false" customHeight="true" outlineLevel="0" collapsed="false">
      <c r="B96" s="32" t="str">
        <f aca="false">IF('Item Master'!B92="","",'Item Master'!B92)</f>
        <v/>
      </c>
      <c r="C96" s="32" t="str">
        <f aca="false">IF(B96="","",IF('Item Master'!C92="","",'Item Master'!C92))</f>
        <v/>
      </c>
      <c r="D96" s="33" t="str">
        <f aca="false">IF(B96="","",IF('Item Master'!D92="","",'Item Master'!D92))</f>
        <v/>
      </c>
      <c r="E96" s="33" t="str">
        <f aca="false">IF(B96="","",IF('Item Master'!F92="","",'Item Master'!F92))</f>
        <v/>
      </c>
      <c r="F96" s="34" t="str">
        <f aca="false">IF(B96="","",IF('Item Master'!G92="","",'Item Master'!G92))</f>
        <v/>
      </c>
      <c r="G96" s="27"/>
      <c r="H96" s="27"/>
      <c r="I96" s="35" t="str">
        <f aca="false">IF(OR(B96="",G96=""),"",MAX(0,N(F96)-G96-N(H96)))</f>
        <v/>
      </c>
      <c r="J96" s="35" t="str">
        <f aca="false">IF(I96="","",ROUNDUP(I96/IF(N('Item Master'!I92)=0,1,'Item Master'!I92),0))</f>
        <v/>
      </c>
      <c r="K96" s="36"/>
      <c r="L96" s="33" t="str">
        <f aca="false">IF(B96="","",IF('Item Master'!H92="",E96,'Item Master'!H92))</f>
        <v/>
      </c>
      <c r="M96" s="25"/>
    </row>
    <row r="97" customFormat="false" ht="18.75" hidden="false" customHeight="true" outlineLevel="0" collapsed="false">
      <c r="B97" s="32" t="str">
        <f aca="false">IF('Item Master'!B93="","",'Item Master'!B93)</f>
        <v/>
      </c>
      <c r="C97" s="32" t="str">
        <f aca="false">IF(B97="","",IF('Item Master'!C93="","",'Item Master'!C93))</f>
        <v/>
      </c>
      <c r="D97" s="33" t="str">
        <f aca="false">IF(B97="","",IF('Item Master'!D93="","",'Item Master'!D93))</f>
        <v/>
      </c>
      <c r="E97" s="33" t="str">
        <f aca="false">IF(B97="","",IF('Item Master'!F93="","",'Item Master'!F93))</f>
        <v/>
      </c>
      <c r="F97" s="34" t="str">
        <f aca="false">IF(B97="","",IF('Item Master'!G93="","",'Item Master'!G93))</f>
        <v/>
      </c>
      <c r="G97" s="27"/>
      <c r="H97" s="27"/>
      <c r="I97" s="35" t="str">
        <f aca="false">IF(OR(B97="",G97=""),"",MAX(0,N(F97)-G97-N(H97)))</f>
        <v/>
      </c>
      <c r="J97" s="35" t="str">
        <f aca="false">IF(I97="","",ROUNDUP(I97/IF(N('Item Master'!I93)=0,1,'Item Master'!I93),0))</f>
        <v/>
      </c>
      <c r="K97" s="36"/>
      <c r="L97" s="33" t="str">
        <f aca="false">IF(B97="","",IF('Item Master'!H93="",E97,'Item Master'!H93))</f>
        <v/>
      </c>
      <c r="M97" s="25"/>
    </row>
    <row r="98" customFormat="false" ht="18.75" hidden="false" customHeight="true" outlineLevel="0" collapsed="false">
      <c r="B98" s="32" t="str">
        <f aca="false">IF('Item Master'!B94="","",'Item Master'!B94)</f>
        <v/>
      </c>
      <c r="C98" s="32" t="str">
        <f aca="false">IF(B98="","",IF('Item Master'!C94="","",'Item Master'!C94))</f>
        <v/>
      </c>
      <c r="D98" s="33" t="str">
        <f aca="false">IF(B98="","",IF('Item Master'!D94="","",'Item Master'!D94))</f>
        <v/>
      </c>
      <c r="E98" s="33" t="str">
        <f aca="false">IF(B98="","",IF('Item Master'!F94="","",'Item Master'!F94))</f>
        <v/>
      </c>
      <c r="F98" s="34" t="str">
        <f aca="false">IF(B98="","",IF('Item Master'!G94="","",'Item Master'!G94))</f>
        <v/>
      </c>
      <c r="G98" s="27"/>
      <c r="H98" s="27"/>
      <c r="I98" s="35" t="str">
        <f aca="false">IF(OR(B98="",G98=""),"",MAX(0,N(F98)-G98-N(H98)))</f>
        <v/>
      </c>
      <c r="J98" s="35" t="str">
        <f aca="false">IF(I98="","",ROUNDUP(I98/IF(N('Item Master'!I94)=0,1,'Item Master'!I94),0))</f>
        <v/>
      </c>
      <c r="K98" s="36"/>
      <c r="L98" s="33" t="str">
        <f aca="false">IF(B98="","",IF('Item Master'!H94="",E98,'Item Master'!H94))</f>
        <v/>
      </c>
      <c r="M98" s="25"/>
    </row>
    <row r="99" customFormat="false" ht="18.75" hidden="false" customHeight="true" outlineLevel="0" collapsed="false">
      <c r="B99" s="32" t="str">
        <f aca="false">IF('Item Master'!B95="","",'Item Master'!B95)</f>
        <v/>
      </c>
      <c r="C99" s="32" t="str">
        <f aca="false">IF(B99="","",IF('Item Master'!C95="","",'Item Master'!C95))</f>
        <v/>
      </c>
      <c r="D99" s="33" t="str">
        <f aca="false">IF(B99="","",IF('Item Master'!D95="","",'Item Master'!D95))</f>
        <v/>
      </c>
      <c r="E99" s="33" t="str">
        <f aca="false">IF(B99="","",IF('Item Master'!F95="","",'Item Master'!F95))</f>
        <v/>
      </c>
      <c r="F99" s="34" t="str">
        <f aca="false">IF(B99="","",IF('Item Master'!G95="","",'Item Master'!G95))</f>
        <v/>
      </c>
      <c r="G99" s="27"/>
      <c r="H99" s="27"/>
      <c r="I99" s="35" t="str">
        <f aca="false">IF(OR(B99="",G99=""),"",MAX(0,N(F99)-G99-N(H99)))</f>
        <v/>
      </c>
      <c r="J99" s="35" t="str">
        <f aca="false">IF(I99="","",ROUNDUP(I99/IF(N('Item Master'!I95)=0,1,'Item Master'!I95),0))</f>
        <v/>
      </c>
      <c r="K99" s="36"/>
      <c r="L99" s="33" t="str">
        <f aca="false">IF(B99="","",IF('Item Master'!H95="",E99,'Item Master'!H95))</f>
        <v/>
      </c>
      <c r="M99" s="25"/>
    </row>
    <row r="100" customFormat="false" ht="18.75" hidden="false" customHeight="true" outlineLevel="0" collapsed="false">
      <c r="B100" s="32" t="str">
        <f aca="false">IF('Item Master'!B96="","",'Item Master'!B96)</f>
        <v/>
      </c>
      <c r="C100" s="32" t="str">
        <f aca="false">IF(B100="","",IF('Item Master'!C96="","",'Item Master'!C96))</f>
        <v/>
      </c>
      <c r="D100" s="33" t="str">
        <f aca="false">IF(B100="","",IF('Item Master'!D96="","",'Item Master'!D96))</f>
        <v/>
      </c>
      <c r="E100" s="33" t="str">
        <f aca="false">IF(B100="","",IF('Item Master'!F96="","",'Item Master'!F96))</f>
        <v/>
      </c>
      <c r="F100" s="34" t="str">
        <f aca="false">IF(B100="","",IF('Item Master'!G96="","",'Item Master'!G96))</f>
        <v/>
      </c>
      <c r="G100" s="27"/>
      <c r="H100" s="27"/>
      <c r="I100" s="35" t="str">
        <f aca="false">IF(OR(B100="",G100=""),"",MAX(0,N(F100)-G100-N(H100)))</f>
        <v/>
      </c>
      <c r="J100" s="35" t="str">
        <f aca="false">IF(I100="","",ROUNDUP(I100/IF(N('Item Master'!I96)=0,1,'Item Master'!I96),0))</f>
        <v/>
      </c>
      <c r="K100" s="36"/>
      <c r="L100" s="33" t="str">
        <f aca="false">IF(B100="","",IF('Item Master'!H96="",E100,'Item Master'!H96))</f>
        <v/>
      </c>
      <c r="M100" s="25"/>
    </row>
    <row r="101" customFormat="false" ht="18.75" hidden="false" customHeight="true" outlineLevel="0" collapsed="false">
      <c r="B101" s="32" t="str">
        <f aca="false">IF('Item Master'!B97="","",'Item Master'!B97)</f>
        <v/>
      </c>
      <c r="C101" s="32" t="str">
        <f aca="false">IF(B101="","",IF('Item Master'!C97="","",'Item Master'!C97))</f>
        <v/>
      </c>
      <c r="D101" s="33" t="str">
        <f aca="false">IF(B101="","",IF('Item Master'!D97="","",'Item Master'!D97))</f>
        <v/>
      </c>
      <c r="E101" s="33" t="str">
        <f aca="false">IF(B101="","",IF('Item Master'!F97="","",'Item Master'!F97))</f>
        <v/>
      </c>
      <c r="F101" s="34" t="str">
        <f aca="false">IF(B101="","",IF('Item Master'!G97="","",'Item Master'!G97))</f>
        <v/>
      </c>
      <c r="G101" s="27"/>
      <c r="H101" s="27"/>
      <c r="I101" s="35" t="str">
        <f aca="false">IF(OR(B101="",G101=""),"",MAX(0,N(F101)-G101-N(H101)))</f>
        <v/>
      </c>
      <c r="J101" s="35" t="str">
        <f aca="false">IF(I101="","",ROUNDUP(I101/IF(N('Item Master'!I97)=0,1,'Item Master'!I97),0))</f>
        <v/>
      </c>
      <c r="K101" s="36"/>
      <c r="L101" s="33" t="str">
        <f aca="false">IF(B101="","",IF('Item Master'!H97="",E101,'Item Master'!H97))</f>
        <v/>
      </c>
      <c r="M101" s="25"/>
    </row>
    <row r="102" customFormat="false" ht="18.75" hidden="false" customHeight="true" outlineLevel="0" collapsed="false">
      <c r="B102" s="32" t="str">
        <f aca="false">IF('Item Master'!B98="","",'Item Master'!B98)</f>
        <v/>
      </c>
      <c r="C102" s="32" t="str">
        <f aca="false">IF(B102="","",IF('Item Master'!C98="","",'Item Master'!C98))</f>
        <v/>
      </c>
      <c r="D102" s="33" t="str">
        <f aca="false">IF(B102="","",IF('Item Master'!D98="","",'Item Master'!D98))</f>
        <v/>
      </c>
      <c r="E102" s="33" t="str">
        <f aca="false">IF(B102="","",IF('Item Master'!F98="","",'Item Master'!F98))</f>
        <v/>
      </c>
      <c r="F102" s="34" t="str">
        <f aca="false">IF(B102="","",IF('Item Master'!G98="","",'Item Master'!G98))</f>
        <v/>
      </c>
      <c r="G102" s="27"/>
      <c r="H102" s="27"/>
      <c r="I102" s="35" t="str">
        <f aca="false">IF(OR(B102="",G102=""),"",MAX(0,N(F102)-G102-N(H102)))</f>
        <v/>
      </c>
      <c r="J102" s="35" t="str">
        <f aca="false">IF(I102="","",ROUNDUP(I102/IF(N('Item Master'!I98)=0,1,'Item Master'!I98),0))</f>
        <v/>
      </c>
      <c r="K102" s="36"/>
      <c r="L102" s="33" t="str">
        <f aca="false">IF(B102="","",IF('Item Master'!H98="",E102,'Item Master'!H98))</f>
        <v/>
      </c>
      <c r="M102" s="25"/>
    </row>
    <row r="103" customFormat="false" ht="18.75" hidden="false" customHeight="true" outlineLevel="0" collapsed="false">
      <c r="B103" s="32" t="str">
        <f aca="false">IF('Item Master'!B99="","",'Item Master'!B99)</f>
        <v/>
      </c>
      <c r="C103" s="32" t="str">
        <f aca="false">IF(B103="","",IF('Item Master'!C99="","",'Item Master'!C99))</f>
        <v/>
      </c>
      <c r="D103" s="33" t="str">
        <f aca="false">IF(B103="","",IF('Item Master'!D99="","",'Item Master'!D99))</f>
        <v/>
      </c>
      <c r="E103" s="33" t="str">
        <f aca="false">IF(B103="","",IF('Item Master'!F99="","",'Item Master'!F99))</f>
        <v/>
      </c>
      <c r="F103" s="34" t="str">
        <f aca="false">IF(B103="","",IF('Item Master'!G99="","",'Item Master'!G99))</f>
        <v/>
      </c>
      <c r="G103" s="27"/>
      <c r="H103" s="27"/>
      <c r="I103" s="35" t="str">
        <f aca="false">IF(OR(B103="",G103=""),"",MAX(0,N(F103)-G103-N(H103)))</f>
        <v/>
      </c>
      <c r="J103" s="35" t="str">
        <f aca="false">IF(I103="","",ROUNDUP(I103/IF(N('Item Master'!I99)=0,1,'Item Master'!I99),0))</f>
        <v/>
      </c>
      <c r="K103" s="36"/>
      <c r="L103" s="33" t="str">
        <f aca="false">IF(B103="","",IF('Item Master'!H99="",E103,'Item Master'!H99))</f>
        <v/>
      </c>
      <c r="M103" s="25"/>
    </row>
    <row r="104" customFormat="false" ht="18.75" hidden="false" customHeight="true" outlineLevel="0" collapsed="false">
      <c r="B104" s="32" t="str">
        <f aca="false">IF('Item Master'!B100="","",'Item Master'!B100)</f>
        <v/>
      </c>
      <c r="C104" s="32" t="str">
        <f aca="false">IF(B104="","",IF('Item Master'!C100="","",'Item Master'!C100))</f>
        <v/>
      </c>
      <c r="D104" s="33" t="str">
        <f aca="false">IF(B104="","",IF('Item Master'!D100="","",'Item Master'!D100))</f>
        <v/>
      </c>
      <c r="E104" s="33" t="str">
        <f aca="false">IF(B104="","",IF('Item Master'!F100="","",'Item Master'!F100))</f>
        <v/>
      </c>
      <c r="F104" s="34" t="str">
        <f aca="false">IF(B104="","",IF('Item Master'!G100="","",'Item Master'!G100))</f>
        <v/>
      </c>
      <c r="G104" s="27"/>
      <c r="H104" s="27"/>
      <c r="I104" s="35" t="str">
        <f aca="false">IF(OR(B104="",G104=""),"",MAX(0,N(F104)-G104-N(H104)))</f>
        <v/>
      </c>
      <c r="J104" s="35" t="str">
        <f aca="false">IF(I104="","",ROUNDUP(I104/IF(N('Item Master'!I100)=0,1,'Item Master'!I100),0))</f>
        <v/>
      </c>
      <c r="K104" s="36"/>
      <c r="L104" s="33" t="str">
        <f aca="false">IF(B104="","",IF('Item Master'!H100="",E104,'Item Master'!H100))</f>
        <v/>
      </c>
      <c r="M104" s="25"/>
    </row>
    <row r="105" customFormat="false" ht="18.75" hidden="false" customHeight="true" outlineLevel="0" collapsed="false">
      <c r="B105" s="32" t="str">
        <f aca="false">IF('Item Master'!B101="","",'Item Master'!B101)</f>
        <v/>
      </c>
      <c r="C105" s="32" t="str">
        <f aca="false">IF(B105="","",IF('Item Master'!C101="","",'Item Master'!C101))</f>
        <v/>
      </c>
      <c r="D105" s="33" t="str">
        <f aca="false">IF(B105="","",IF('Item Master'!D101="","",'Item Master'!D101))</f>
        <v/>
      </c>
      <c r="E105" s="33" t="str">
        <f aca="false">IF(B105="","",IF('Item Master'!F101="","",'Item Master'!F101))</f>
        <v/>
      </c>
      <c r="F105" s="34" t="str">
        <f aca="false">IF(B105="","",IF('Item Master'!G101="","",'Item Master'!G101))</f>
        <v/>
      </c>
      <c r="G105" s="27"/>
      <c r="H105" s="27"/>
      <c r="I105" s="35" t="str">
        <f aca="false">IF(OR(B105="",G105=""),"",MAX(0,N(F105)-G105-N(H105)))</f>
        <v/>
      </c>
      <c r="J105" s="35" t="str">
        <f aca="false">IF(I105="","",ROUNDUP(I105/IF(N('Item Master'!I101)=0,1,'Item Master'!I101),0))</f>
        <v/>
      </c>
      <c r="K105" s="36"/>
      <c r="L105" s="33" t="str">
        <f aca="false">IF(B105="","",IF('Item Master'!H101="",E105,'Item Master'!H101))</f>
        <v/>
      </c>
      <c r="M105" s="25"/>
    </row>
    <row r="106" customFormat="false" ht="18.75" hidden="false" customHeight="true" outlineLevel="0" collapsed="false">
      <c r="B106" s="32" t="str">
        <f aca="false">IF('Item Master'!B102="","",'Item Master'!B102)</f>
        <v/>
      </c>
      <c r="C106" s="32" t="str">
        <f aca="false">IF(B106="","",IF('Item Master'!C102="","",'Item Master'!C102))</f>
        <v/>
      </c>
      <c r="D106" s="33" t="str">
        <f aca="false">IF(B106="","",IF('Item Master'!D102="","",'Item Master'!D102))</f>
        <v/>
      </c>
      <c r="E106" s="33" t="str">
        <f aca="false">IF(B106="","",IF('Item Master'!F102="","",'Item Master'!F102))</f>
        <v/>
      </c>
      <c r="F106" s="34" t="str">
        <f aca="false">IF(B106="","",IF('Item Master'!G102="","",'Item Master'!G102))</f>
        <v/>
      </c>
      <c r="G106" s="27"/>
      <c r="H106" s="27"/>
      <c r="I106" s="35" t="str">
        <f aca="false">IF(OR(B106="",G106=""),"",MAX(0,N(F106)-G106-N(H106)))</f>
        <v/>
      </c>
      <c r="J106" s="35" t="str">
        <f aca="false">IF(I106="","",ROUNDUP(I106/IF(N('Item Master'!I102)=0,1,'Item Master'!I102),0))</f>
        <v/>
      </c>
      <c r="K106" s="36"/>
      <c r="L106" s="33" t="str">
        <f aca="false">IF(B106="","",IF('Item Master'!H102="",E106,'Item Master'!H102))</f>
        <v/>
      </c>
      <c r="M106" s="25"/>
    </row>
    <row r="107" customFormat="false" ht="18.75" hidden="false" customHeight="true" outlineLevel="0" collapsed="false">
      <c r="B107" s="32" t="str">
        <f aca="false">IF('Item Master'!B103="","",'Item Master'!B103)</f>
        <v/>
      </c>
      <c r="C107" s="32" t="str">
        <f aca="false">IF(B107="","",IF('Item Master'!C103="","",'Item Master'!C103))</f>
        <v/>
      </c>
      <c r="D107" s="33" t="str">
        <f aca="false">IF(B107="","",IF('Item Master'!D103="","",'Item Master'!D103))</f>
        <v/>
      </c>
      <c r="E107" s="33" t="str">
        <f aca="false">IF(B107="","",IF('Item Master'!F103="","",'Item Master'!F103))</f>
        <v/>
      </c>
      <c r="F107" s="34" t="str">
        <f aca="false">IF(B107="","",IF('Item Master'!G103="","",'Item Master'!G103))</f>
        <v/>
      </c>
      <c r="G107" s="27"/>
      <c r="H107" s="27"/>
      <c r="I107" s="35" t="str">
        <f aca="false">IF(OR(B107="",G107=""),"",MAX(0,N(F107)-G107-N(H107)))</f>
        <v/>
      </c>
      <c r="J107" s="35" t="str">
        <f aca="false">IF(I107="","",ROUNDUP(I107/IF(N('Item Master'!I103)=0,1,'Item Master'!I103),0))</f>
        <v/>
      </c>
      <c r="K107" s="36"/>
      <c r="L107" s="33" t="str">
        <f aca="false">IF(B107="","",IF('Item Master'!H103="",E107,'Item Master'!H103))</f>
        <v/>
      </c>
      <c r="M107" s="25"/>
    </row>
    <row r="108" customFormat="false" ht="18.75" hidden="false" customHeight="true" outlineLevel="0" collapsed="false">
      <c r="B108" s="32" t="str">
        <f aca="false">IF('Item Master'!B104="","",'Item Master'!B104)</f>
        <v/>
      </c>
      <c r="C108" s="32" t="str">
        <f aca="false">IF(B108="","",IF('Item Master'!C104="","",'Item Master'!C104))</f>
        <v/>
      </c>
      <c r="D108" s="33" t="str">
        <f aca="false">IF(B108="","",IF('Item Master'!D104="","",'Item Master'!D104))</f>
        <v/>
      </c>
      <c r="E108" s="33" t="str">
        <f aca="false">IF(B108="","",IF('Item Master'!F104="","",'Item Master'!F104))</f>
        <v/>
      </c>
      <c r="F108" s="34" t="str">
        <f aca="false">IF(B108="","",IF('Item Master'!G104="","",'Item Master'!G104))</f>
        <v/>
      </c>
      <c r="G108" s="27"/>
      <c r="H108" s="27"/>
      <c r="I108" s="35" t="str">
        <f aca="false">IF(OR(B108="",G108=""),"",MAX(0,N(F108)-G108-N(H108)))</f>
        <v/>
      </c>
      <c r="J108" s="35" t="str">
        <f aca="false">IF(I108="","",ROUNDUP(I108/IF(N('Item Master'!I104)=0,1,'Item Master'!I104),0))</f>
        <v/>
      </c>
      <c r="K108" s="36"/>
      <c r="L108" s="33" t="str">
        <f aca="false">IF(B108="","",IF('Item Master'!H104="",E108,'Item Master'!H104))</f>
        <v/>
      </c>
      <c r="M108" s="25"/>
    </row>
    <row r="109" customFormat="false" ht="18.75" hidden="false" customHeight="true" outlineLevel="0" collapsed="false">
      <c r="B109" s="32" t="str">
        <f aca="false">IF('Item Master'!B105="","",'Item Master'!B105)</f>
        <v/>
      </c>
      <c r="C109" s="32" t="str">
        <f aca="false">IF(B109="","",IF('Item Master'!C105="","",'Item Master'!C105))</f>
        <v/>
      </c>
      <c r="D109" s="33" t="str">
        <f aca="false">IF(B109="","",IF('Item Master'!D105="","",'Item Master'!D105))</f>
        <v/>
      </c>
      <c r="E109" s="33" t="str">
        <f aca="false">IF(B109="","",IF('Item Master'!F105="","",'Item Master'!F105))</f>
        <v/>
      </c>
      <c r="F109" s="34" t="str">
        <f aca="false">IF(B109="","",IF('Item Master'!G105="","",'Item Master'!G105))</f>
        <v/>
      </c>
      <c r="G109" s="27"/>
      <c r="H109" s="27"/>
      <c r="I109" s="35" t="str">
        <f aca="false">IF(OR(B109="",G109=""),"",MAX(0,N(F109)-G109-N(H109)))</f>
        <v/>
      </c>
      <c r="J109" s="35" t="str">
        <f aca="false">IF(I109="","",ROUNDUP(I109/IF(N('Item Master'!I105)=0,1,'Item Master'!I105),0))</f>
        <v/>
      </c>
      <c r="K109" s="36"/>
      <c r="L109" s="33" t="str">
        <f aca="false">IF(B109="","",IF('Item Master'!H105="",E109,'Item Master'!H105))</f>
        <v/>
      </c>
      <c r="M109" s="25"/>
    </row>
    <row r="110" customFormat="false" ht="18.75" hidden="false" customHeight="true" outlineLevel="0" collapsed="false">
      <c r="B110" s="32" t="str">
        <f aca="false">IF('Item Master'!B106="","",'Item Master'!B106)</f>
        <v/>
      </c>
      <c r="C110" s="32" t="str">
        <f aca="false">IF(B110="","",IF('Item Master'!C106="","",'Item Master'!C106))</f>
        <v/>
      </c>
      <c r="D110" s="33" t="str">
        <f aca="false">IF(B110="","",IF('Item Master'!D106="","",'Item Master'!D106))</f>
        <v/>
      </c>
      <c r="E110" s="33" t="str">
        <f aca="false">IF(B110="","",IF('Item Master'!F106="","",'Item Master'!F106))</f>
        <v/>
      </c>
      <c r="F110" s="34" t="str">
        <f aca="false">IF(B110="","",IF('Item Master'!G106="","",'Item Master'!G106))</f>
        <v/>
      </c>
      <c r="G110" s="27"/>
      <c r="H110" s="27"/>
      <c r="I110" s="35" t="str">
        <f aca="false">IF(OR(B110="",G110=""),"",MAX(0,N(F110)-G110-N(H110)))</f>
        <v/>
      </c>
      <c r="J110" s="35" t="str">
        <f aca="false">IF(I110="","",ROUNDUP(I110/IF(N('Item Master'!I106)=0,1,'Item Master'!I106),0))</f>
        <v/>
      </c>
      <c r="K110" s="36"/>
      <c r="L110" s="33" t="str">
        <f aca="false">IF(B110="","",IF('Item Master'!H106="",E110,'Item Master'!H106))</f>
        <v/>
      </c>
      <c r="M110" s="25"/>
    </row>
    <row r="111" customFormat="false" ht="18.75" hidden="false" customHeight="true" outlineLevel="0" collapsed="false">
      <c r="B111" s="32" t="str">
        <f aca="false">IF('Item Master'!B107="","",'Item Master'!B107)</f>
        <v/>
      </c>
      <c r="C111" s="32" t="str">
        <f aca="false">IF(B111="","",IF('Item Master'!C107="","",'Item Master'!C107))</f>
        <v/>
      </c>
      <c r="D111" s="33" t="str">
        <f aca="false">IF(B111="","",IF('Item Master'!D107="","",'Item Master'!D107))</f>
        <v/>
      </c>
      <c r="E111" s="33" t="str">
        <f aca="false">IF(B111="","",IF('Item Master'!F107="","",'Item Master'!F107))</f>
        <v/>
      </c>
      <c r="F111" s="34" t="str">
        <f aca="false">IF(B111="","",IF('Item Master'!G107="","",'Item Master'!G107))</f>
        <v/>
      </c>
      <c r="G111" s="27"/>
      <c r="H111" s="27"/>
      <c r="I111" s="35" t="str">
        <f aca="false">IF(OR(B111="",G111=""),"",MAX(0,N(F111)-G111-N(H111)))</f>
        <v/>
      </c>
      <c r="J111" s="35" t="str">
        <f aca="false">IF(I111="","",ROUNDUP(I111/IF(N('Item Master'!I107)=0,1,'Item Master'!I107),0))</f>
        <v/>
      </c>
      <c r="K111" s="36"/>
      <c r="L111" s="33" t="str">
        <f aca="false">IF(B111="","",IF('Item Master'!H107="",E111,'Item Master'!H107))</f>
        <v/>
      </c>
      <c r="M111" s="25"/>
    </row>
    <row r="112" customFormat="false" ht="18.75" hidden="false" customHeight="true" outlineLevel="0" collapsed="false">
      <c r="B112" s="32" t="str">
        <f aca="false">IF('Item Master'!B108="","",'Item Master'!B108)</f>
        <v/>
      </c>
      <c r="C112" s="32" t="str">
        <f aca="false">IF(B112="","",IF('Item Master'!C108="","",'Item Master'!C108))</f>
        <v/>
      </c>
      <c r="D112" s="33" t="str">
        <f aca="false">IF(B112="","",IF('Item Master'!D108="","",'Item Master'!D108))</f>
        <v/>
      </c>
      <c r="E112" s="33" t="str">
        <f aca="false">IF(B112="","",IF('Item Master'!F108="","",'Item Master'!F108))</f>
        <v/>
      </c>
      <c r="F112" s="34" t="str">
        <f aca="false">IF(B112="","",IF('Item Master'!G108="","",'Item Master'!G108))</f>
        <v/>
      </c>
      <c r="G112" s="27"/>
      <c r="H112" s="27"/>
      <c r="I112" s="35" t="str">
        <f aca="false">IF(OR(B112="",G112=""),"",MAX(0,N(F112)-G112-N(H112)))</f>
        <v/>
      </c>
      <c r="J112" s="35" t="str">
        <f aca="false">IF(I112="","",ROUNDUP(I112/IF(N('Item Master'!I108)=0,1,'Item Master'!I108),0))</f>
        <v/>
      </c>
      <c r="K112" s="36"/>
      <c r="L112" s="33" t="str">
        <f aca="false">IF(B112="","",IF('Item Master'!H108="",E112,'Item Master'!H108))</f>
        <v/>
      </c>
      <c r="M112" s="25"/>
    </row>
    <row r="113" customFormat="false" ht="18.75" hidden="false" customHeight="true" outlineLevel="0" collapsed="false">
      <c r="B113" s="32" t="str">
        <f aca="false">IF('Item Master'!B109="","",'Item Master'!B109)</f>
        <v/>
      </c>
      <c r="C113" s="32" t="str">
        <f aca="false">IF(B113="","",IF('Item Master'!C109="","",'Item Master'!C109))</f>
        <v/>
      </c>
      <c r="D113" s="33" t="str">
        <f aca="false">IF(B113="","",IF('Item Master'!D109="","",'Item Master'!D109))</f>
        <v/>
      </c>
      <c r="E113" s="33" t="str">
        <f aca="false">IF(B113="","",IF('Item Master'!F109="","",'Item Master'!F109))</f>
        <v/>
      </c>
      <c r="F113" s="34" t="str">
        <f aca="false">IF(B113="","",IF('Item Master'!G109="","",'Item Master'!G109))</f>
        <v/>
      </c>
      <c r="G113" s="27"/>
      <c r="H113" s="27"/>
      <c r="I113" s="35" t="str">
        <f aca="false">IF(OR(B113="",G113=""),"",MAX(0,N(F113)-G113-N(H113)))</f>
        <v/>
      </c>
      <c r="J113" s="35" t="str">
        <f aca="false">IF(I113="","",ROUNDUP(I113/IF(N('Item Master'!I109)=0,1,'Item Master'!I109),0))</f>
        <v/>
      </c>
      <c r="K113" s="36"/>
      <c r="L113" s="33" t="str">
        <f aca="false">IF(B113="","",IF('Item Master'!H109="",E113,'Item Master'!H109))</f>
        <v/>
      </c>
      <c r="M113" s="25"/>
    </row>
    <row r="114" customFormat="false" ht="18.75" hidden="false" customHeight="true" outlineLevel="0" collapsed="false">
      <c r="B114" s="32" t="str">
        <f aca="false">IF('Item Master'!B110="","",'Item Master'!B110)</f>
        <v/>
      </c>
      <c r="C114" s="32" t="str">
        <f aca="false">IF(B114="","",IF('Item Master'!C110="","",'Item Master'!C110))</f>
        <v/>
      </c>
      <c r="D114" s="33" t="str">
        <f aca="false">IF(B114="","",IF('Item Master'!D110="","",'Item Master'!D110))</f>
        <v/>
      </c>
      <c r="E114" s="33" t="str">
        <f aca="false">IF(B114="","",IF('Item Master'!F110="","",'Item Master'!F110))</f>
        <v/>
      </c>
      <c r="F114" s="34" t="str">
        <f aca="false">IF(B114="","",IF('Item Master'!G110="","",'Item Master'!G110))</f>
        <v/>
      </c>
      <c r="G114" s="27"/>
      <c r="H114" s="27"/>
      <c r="I114" s="35" t="str">
        <f aca="false">IF(OR(B114="",G114=""),"",MAX(0,N(F114)-G114-N(H114)))</f>
        <v/>
      </c>
      <c r="J114" s="35" t="str">
        <f aca="false">IF(I114="","",ROUNDUP(I114/IF(N('Item Master'!I110)=0,1,'Item Master'!I110),0))</f>
        <v/>
      </c>
      <c r="K114" s="36"/>
      <c r="L114" s="33" t="str">
        <f aca="false">IF(B114="","",IF('Item Master'!H110="",E114,'Item Master'!H110))</f>
        <v/>
      </c>
      <c r="M114" s="25"/>
    </row>
    <row r="115" customFormat="false" ht="18.75" hidden="false" customHeight="true" outlineLevel="0" collapsed="false">
      <c r="B115" s="32" t="str">
        <f aca="false">IF('Item Master'!B111="","",'Item Master'!B111)</f>
        <v/>
      </c>
      <c r="C115" s="32" t="str">
        <f aca="false">IF(B115="","",IF('Item Master'!C111="","",'Item Master'!C111))</f>
        <v/>
      </c>
      <c r="D115" s="33" t="str">
        <f aca="false">IF(B115="","",IF('Item Master'!D111="","",'Item Master'!D111))</f>
        <v/>
      </c>
      <c r="E115" s="33" t="str">
        <f aca="false">IF(B115="","",IF('Item Master'!F111="","",'Item Master'!F111))</f>
        <v/>
      </c>
      <c r="F115" s="34" t="str">
        <f aca="false">IF(B115="","",IF('Item Master'!G111="","",'Item Master'!G111))</f>
        <v/>
      </c>
      <c r="G115" s="27"/>
      <c r="H115" s="27"/>
      <c r="I115" s="35" t="str">
        <f aca="false">IF(OR(B115="",G115=""),"",MAX(0,N(F115)-G115-N(H115)))</f>
        <v/>
      </c>
      <c r="J115" s="35" t="str">
        <f aca="false">IF(I115="","",ROUNDUP(I115/IF(N('Item Master'!I111)=0,1,'Item Master'!I111),0))</f>
        <v/>
      </c>
      <c r="K115" s="36"/>
      <c r="L115" s="33" t="str">
        <f aca="false">IF(B115="","",IF('Item Master'!H111="",E115,'Item Master'!H111))</f>
        <v/>
      </c>
      <c r="M115" s="25"/>
    </row>
    <row r="116" customFormat="false" ht="18.75" hidden="false" customHeight="true" outlineLevel="0" collapsed="false">
      <c r="B116" s="32" t="str">
        <f aca="false">IF('Item Master'!B112="","",'Item Master'!B112)</f>
        <v/>
      </c>
      <c r="C116" s="32" t="str">
        <f aca="false">IF(B116="","",IF('Item Master'!C112="","",'Item Master'!C112))</f>
        <v/>
      </c>
      <c r="D116" s="33" t="str">
        <f aca="false">IF(B116="","",IF('Item Master'!D112="","",'Item Master'!D112))</f>
        <v/>
      </c>
      <c r="E116" s="33" t="str">
        <f aca="false">IF(B116="","",IF('Item Master'!F112="","",'Item Master'!F112))</f>
        <v/>
      </c>
      <c r="F116" s="34" t="str">
        <f aca="false">IF(B116="","",IF('Item Master'!G112="","",'Item Master'!G112))</f>
        <v/>
      </c>
      <c r="G116" s="27"/>
      <c r="H116" s="27"/>
      <c r="I116" s="35" t="str">
        <f aca="false">IF(OR(B116="",G116=""),"",MAX(0,N(F116)-G116-N(H116)))</f>
        <v/>
      </c>
      <c r="J116" s="35" t="str">
        <f aca="false">IF(I116="","",ROUNDUP(I116/IF(N('Item Master'!I112)=0,1,'Item Master'!I112),0))</f>
        <v/>
      </c>
      <c r="K116" s="36"/>
      <c r="L116" s="33" t="str">
        <f aca="false">IF(B116="","",IF('Item Master'!H112="",E116,'Item Master'!H112))</f>
        <v/>
      </c>
      <c r="M116" s="25"/>
    </row>
    <row r="117" customFormat="false" ht="18.75" hidden="false" customHeight="true" outlineLevel="0" collapsed="false">
      <c r="B117" s="32" t="str">
        <f aca="false">IF('Item Master'!B113="","",'Item Master'!B113)</f>
        <v/>
      </c>
      <c r="C117" s="32" t="str">
        <f aca="false">IF(B117="","",IF('Item Master'!C113="","",'Item Master'!C113))</f>
        <v/>
      </c>
      <c r="D117" s="33" t="str">
        <f aca="false">IF(B117="","",IF('Item Master'!D113="","",'Item Master'!D113))</f>
        <v/>
      </c>
      <c r="E117" s="33" t="str">
        <f aca="false">IF(B117="","",IF('Item Master'!F113="","",'Item Master'!F113))</f>
        <v/>
      </c>
      <c r="F117" s="34" t="str">
        <f aca="false">IF(B117="","",IF('Item Master'!G113="","",'Item Master'!G113))</f>
        <v/>
      </c>
      <c r="G117" s="27"/>
      <c r="H117" s="27"/>
      <c r="I117" s="35" t="str">
        <f aca="false">IF(OR(B117="",G117=""),"",MAX(0,N(F117)-G117-N(H117)))</f>
        <v/>
      </c>
      <c r="J117" s="35" t="str">
        <f aca="false">IF(I117="","",ROUNDUP(I117/IF(N('Item Master'!I113)=0,1,'Item Master'!I113),0))</f>
        <v/>
      </c>
      <c r="K117" s="36"/>
      <c r="L117" s="33" t="str">
        <f aca="false">IF(B117="","",IF('Item Master'!H113="",E117,'Item Master'!H113))</f>
        <v/>
      </c>
      <c r="M117" s="25"/>
    </row>
    <row r="118" customFormat="false" ht="18.75" hidden="false" customHeight="true" outlineLevel="0" collapsed="false">
      <c r="B118" s="32" t="str">
        <f aca="false">IF('Item Master'!B114="","",'Item Master'!B114)</f>
        <v/>
      </c>
      <c r="C118" s="32" t="str">
        <f aca="false">IF(B118="","",IF('Item Master'!C114="","",'Item Master'!C114))</f>
        <v/>
      </c>
      <c r="D118" s="33" t="str">
        <f aca="false">IF(B118="","",IF('Item Master'!D114="","",'Item Master'!D114))</f>
        <v/>
      </c>
      <c r="E118" s="33" t="str">
        <f aca="false">IF(B118="","",IF('Item Master'!F114="","",'Item Master'!F114))</f>
        <v/>
      </c>
      <c r="F118" s="34" t="str">
        <f aca="false">IF(B118="","",IF('Item Master'!G114="","",'Item Master'!G114))</f>
        <v/>
      </c>
      <c r="G118" s="27"/>
      <c r="H118" s="27"/>
      <c r="I118" s="35" t="str">
        <f aca="false">IF(OR(B118="",G118=""),"",MAX(0,N(F118)-G118-N(H118)))</f>
        <v/>
      </c>
      <c r="J118" s="35" t="str">
        <f aca="false">IF(I118="","",ROUNDUP(I118/IF(N('Item Master'!I114)=0,1,'Item Master'!I114),0))</f>
        <v/>
      </c>
      <c r="K118" s="36"/>
      <c r="L118" s="33" t="str">
        <f aca="false">IF(B118="","",IF('Item Master'!H114="",E118,'Item Master'!H114))</f>
        <v/>
      </c>
      <c r="M118" s="25"/>
    </row>
    <row r="119" customFormat="false" ht="18.75" hidden="false" customHeight="true" outlineLevel="0" collapsed="false">
      <c r="B119" s="32" t="str">
        <f aca="false">IF('Item Master'!B115="","",'Item Master'!B115)</f>
        <v/>
      </c>
      <c r="C119" s="32" t="str">
        <f aca="false">IF(B119="","",IF('Item Master'!C115="","",'Item Master'!C115))</f>
        <v/>
      </c>
      <c r="D119" s="33" t="str">
        <f aca="false">IF(B119="","",IF('Item Master'!D115="","",'Item Master'!D115))</f>
        <v/>
      </c>
      <c r="E119" s="33" t="str">
        <f aca="false">IF(B119="","",IF('Item Master'!F115="","",'Item Master'!F115))</f>
        <v/>
      </c>
      <c r="F119" s="34" t="str">
        <f aca="false">IF(B119="","",IF('Item Master'!G115="","",'Item Master'!G115))</f>
        <v/>
      </c>
      <c r="G119" s="27"/>
      <c r="H119" s="27"/>
      <c r="I119" s="35" t="str">
        <f aca="false">IF(OR(B119="",G119=""),"",MAX(0,N(F119)-G119-N(H119)))</f>
        <v/>
      </c>
      <c r="J119" s="35" t="str">
        <f aca="false">IF(I119="","",ROUNDUP(I119/IF(N('Item Master'!I115)=0,1,'Item Master'!I115),0))</f>
        <v/>
      </c>
      <c r="K119" s="36"/>
      <c r="L119" s="33" t="str">
        <f aca="false">IF(B119="","",IF('Item Master'!H115="",E119,'Item Master'!H115))</f>
        <v/>
      </c>
      <c r="M119" s="25"/>
    </row>
    <row r="120" customFormat="false" ht="18.75" hidden="false" customHeight="true" outlineLevel="0" collapsed="false">
      <c r="B120" s="32" t="str">
        <f aca="false">IF('Item Master'!B116="","",'Item Master'!B116)</f>
        <v/>
      </c>
      <c r="C120" s="32" t="str">
        <f aca="false">IF(B120="","",IF('Item Master'!C116="","",'Item Master'!C116))</f>
        <v/>
      </c>
      <c r="D120" s="33" t="str">
        <f aca="false">IF(B120="","",IF('Item Master'!D116="","",'Item Master'!D116))</f>
        <v/>
      </c>
      <c r="E120" s="33" t="str">
        <f aca="false">IF(B120="","",IF('Item Master'!F116="","",'Item Master'!F116))</f>
        <v/>
      </c>
      <c r="F120" s="34" t="str">
        <f aca="false">IF(B120="","",IF('Item Master'!G116="","",'Item Master'!G116))</f>
        <v/>
      </c>
      <c r="G120" s="27"/>
      <c r="H120" s="27"/>
      <c r="I120" s="35" t="str">
        <f aca="false">IF(OR(B120="",G120=""),"",MAX(0,N(F120)-G120-N(H120)))</f>
        <v/>
      </c>
      <c r="J120" s="35" t="str">
        <f aca="false">IF(I120="","",ROUNDUP(I120/IF(N('Item Master'!I116)=0,1,'Item Master'!I116),0))</f>
        <v/>
      </c>
      <c r="K120" s="36"/>
      <c r="L120" s="33" t="str">
        <f aca="false">IF(B120="","",IF('Item Master'!H116="",E120,'Item Master'!H116))</f>
        <v/>
      </c>
      <c r="M120" s="25"/>
    </row>
    <row r="121" customFormat="false" ht="18.75" hidden="false" customHeight="true" outlineLevel="0" collapsed="false">
      <c r="B121" s="32" t="str">
        <f aca="false">IF('Item Master'!B117="","",'Item Master'!B117)</f>
        <v/>
      </c>
      <c r="C121" s="32" t="str">
        <f aca="false">IF(B121="","",IF('Item Master'!C117="","",'Item Master'!C117))</f>
        <v/>
      </c>
      <c r="D121" s="33" t="str">
        <f aca="false">IF(B121="","",IF('Item Master'!D117="","",'Item Master'!D117))</f>
        <v/>
      </c>
      <c r="E121" s="33" t="str">
        <f aca="false">IF(B121="","",IF('Item Master'!F117="","",'Item Master'!F117))</f>
        <v/>
      </c>
      <c r="F121" s="34" t="str">
        <f aca="false">IF(B121="","",IF('Item Master'!G117="","",'Item Master'!G117))</f>
        <v/>
      </c>
      <c r="G121" s="27"/>
      <c r="H121" s="27"/>
      <c r="I121" s="35" t="str">
        <f aca="false">IF(OR(B121="",G121=""),"",MAX(0,N(F121)-G121-N(H121)))</f>
        <v/>
      </c>
      <c r="J121" s="35" t="str">
        <f aca="false">IF(I121="","",ROUNDUP(I121/IF(N('Item Master'!I117)=0,1,'Item Master'!I117),0))</f>
        <v/>
      </c>
      <c r="K121" s="36"/>
      <c r="L121" s="33" t="str">
        <f aca="false">IF(B121="","",IF('Item Master'!H117="",E121,'Item Master'!H117))</f>
        <v/>
      </c>
      <c r="M121" s="25"/>
    </row>
    <row r="122" customFormat="false" ht="18.75" hidden="false" customHeight="true" outlineLevel="0" collapsed="false">
      <c r="B122" s="32" t="str">
        <f aca="false">IF('Item Master'!B118="","",'Item Master'!B118)</f>
        <v/>
      </c>
      <c r="C122" s="32" t="str">
        <f aca="false">IF(B122="","",IF('Item Master'!C118="","",'Item Master'!C118))</f>
        <v/>
      </c>
      <c r="D122" s="33" t="str">
        <f aca="false">IF(B122="","",IF('Item Master'!D118="","",'Item Master'!D118))</f>
        <v/>
      </c>
      <c r="E122" s="33" t="str">
        <f aca="false">IF(B122="","",IF('Item Master'!F118="","",'Item Master'!F118))</f>
        <v/>
      </c>
      <c r="F122" s="34" t="str">
        <f aca="false">IF(B122="","",IF('Item Master'!G118="","",'Item Master'!G118))</f>
        <v/>
      </c>
      <c r="G122" s="27"/>
      <c r="H122" s="27"/>
      <c r="I122" s="35" t="str">
        <f aca="false">IF(OR(B122="",G122=""),"",MAX(0,N(F122)-G122-N(H122)))</f>
        <v/>
      </c>
      <c r="J122" s="35" t="str">
        <f aca="false">IF(I122="","",ROUNDUP(I122/IF(N('Item Master'!I118)=0,1,'Item Master'!I118),0))</f>
        <v/>
      </c>
      <c r="K122" s="36"/>
      <c r="L122" s="33" t="str">
        <f aca="false">IF(B122="","",IF('Item Master'!H118="",E122,'Item Master'!H118))</f>
        <v/>
      </c>
      <c r="M122" s="25"/>
    </row>
    <row r="123" customFormat="false" ht="18.75" hidden="false" customHeight="true" outlineLevel="0" collapsed="false">
      <c r="B123" s="32" t="str">
        <f aca="false">IF('Item Master'!B119="","",'Item Master'!B119)</f>
        <v/>
      </c>
      <c r="C123" s="32" t="str">
        <f aca="false">IF(B123="","",IF('Item Master'!C119="","",'Item Master'!C119))</f>
        <v/>
      </c>
      <c r="D123" s="33" t="str">
        <f aca="false">IF(B123="","",IF('Item Master'!D119="","",'Item Master'!D119))</f>
        <v/>
      </c>
      <c r="E123" s="33" t="str">
        <f aca="false">IF(B123="","",IF('Item Master'!F119="","",'Item Master'!F119))</f>
        <v/>
      </c>
      <c r="F123" s="34" t="str">
        <f aca="false">IF(B123="","",IF('Item Master'!G119="","",'Item Master'!G119))</f>
        <v/>
      </c>
      <c r="G123" s="27"/>
      <c r="H123" s="27"/>
      <c r="I123" s="35" t="str">
        <f aca="false">IF(OR(B123="",G123=""),"",MAX(0,N(F123)-G123-N(H123)))</f>
        <v/>
      </c>
      <c r="J123" s="35" t="str">
        <f aca="false">IF(I123="","",ROUNDUP(I123/IF(N('Item Master'!I119)=0,1,'Item Master'!I119),0))</f>
        <v/>
      </c>
      <c r="K123" s="36"/>
      <c r="L123" s="33" t="str">
        <f aca="false">IF(B123="","",IF('Item Master'!H119="",E123,'Item Master'!H119))</f>
        <v/>
      </c>
      <c r="M123" s="25"/>
    </row>
    <row r="124" customFormat="false" ht="18.75" hidden="false" customHeight="true" outlineLevel="0" collapsed="false">
      <c r="B124" s="32" t="str">
        <f aca="false">IF('Item Master'!B120="","",'Item Master'!B120)</f>
        <v/>
      </c>
      <c r="C124" s="32" t="str">
        <f aca="false">IF(B124="","",IF('Item Master'!C120="","",'Item Master'!C120))</f>
        <v/>
      </c>
      <c r="D124" s="33" t="str">
        <f aca="false">IF(B124="","",IF('Item Master'!D120="","",'Item Master'!D120))</f>
        <v/>
      </c>
      <c r="E124" s="33" t="str">
        <f aca="false">IF(B124="","",IF('Item Master'!F120="","",'Item Master'!F120))</f>
        <v/>
      </c>
      <c r="F124" s="34" t="str">
        <f aca="false">IF(B124="","",IF('Item Master'!G120="","",'Item Master'!G120))</f>
        <v/>
      </c>
      <c r="G124" s="27"/>
      <c r="H124" s="27"/>
      <c r="I124" s="35" t="str">
        <f aca="false">IF(OR(B124="",G124=""),"",MAX(0,N(F124)-G124-N(H124)))</f>
        <v/>
      </c>
      <c r="J124" s="35" t="str">
        <f aca="false">IF(I124="","",ROUNDUP(I124/IF(N('Item Master'!I120)=0,1,'Item Master'!I120),0))</f>
        <v/>
      </c>
      <c r="K124" s="36"/>
      <c r="L124" s="33" t="str">
        <f aca="false">IF(B124="","",IF('Item Master'!H120="",E124,'Item Master'!H120))</f>
        <v/>
      </c>
      <c r="M124" s="25"/>
    </row>
    <row r="125" customFormat="false" ht="18.75" hidden="false" customHeight="true" outlineLevel="0" collapsed="false">
      <c r="B125" s="32" t="str">
        <f aca="false">IF('Item Master'!B121="","",'Item Master'!B121)</f>
        <v/>
      </c>
      <c r="C125" s="32" t="str">
        <f aca="false">IF(B125="","",IF('Item Master'!C121="","",'Item Master'!C121))</f>
        <v/>
      </c>
      <c r="D125" s="33" t="str">
        <f aca="false">IF(B125="","",IF('Item Master'!D121="","",'Item Master'!D121))</f>
        <v/>
      </c>
      <c r="E125" s="33" t="str">
        <f aca="false">IF(B125="","",IF('Item Master'!F121="","",'Item Master'!F121))</f>
        <v/>
      </c>
      <c r="F125" s="34" t="str">
        <f aca="false">IF(B125="","",IF('Item Master'!G121="","",'Item Master'!G121))</f>
        <v/>
      </c>
      <c r="G125" s="27"/>
      <c r="H125" s="27"/>
      <c r="I125" s="35" t="str">
        <f aca="false">IF(OR(B125="",G125=""),"",MAX(0,N(F125)-G125-N(H125)))</f>
        <v/>
      </c>
      <c r="J125" s="35" t="str">
        <f aca="false">IF(I125="","",ROUNDUP(I125/IF(N('Item Master'!I121)=0,1,'Item Master'!I121),0))</f>
        <v/>
      </c>
      <c r="K125" s="36"/>
      <c r="L125" s="33" t="str">
        <f aca="false">IF(B125="","",IF('Item Master'!H121="",E125,'Item Master'!H121))</f>
        <v/>
      </c>
      <c r="M125" s="25"/>
    </row>
    <row r="126" customFormat="false" ht="18.75" hidden="false" customHeight="true" outlineLevel="0" collapsed="false">
      <c r="B126" s="32" t="str">
        <f aca="false">IF('Item Master'!B122="","",'Item Master'!B122)</f>
        <v/>
      </c>
      <c r="C126" s="32" t="str">
        <f aca="false">IF(B126="","",IF('Item Master'!C122="","",'Item Master'!C122))</f>
        <v/>
      </c>
      <c r="D126" s="33" t="str">
        <f aca="false">IF(B126="","",IF('Item Master'!D122="","",'Item Master'!D122))</f>
        <v/>
      </c>
      <c r="E126" s="33" t="str">
        <f aca="false">IF(B126="","",IF('Item Master'!F122="","",'Item Master'!F122))</f>
        <v/>
      </c>
      <c r="F126" s="34" t="str">
        <f aca="false">IF(B126="","",IF('Item Master'!G122="","",'Item Master'!G122))</f>
        <v/>
      </c>
      <c r="G126" s="27"/>
      <c r="H126" s="27"/>
      <c r="I126" s="35" t="str">
        <f aca="false">IF(OR(B126="",G126=""),"",MAX(0,N(F126)-G126-N(H126)))</f>
        <v/>
      </c>
      <c r="J126" s="35" t="str">
        <f aca="false">IF(I126="","",ROUNDUP(I126/IF(N('Item Master'!I122)=0,1,'Item Master'!I122),0))</f>
        <v/>
      </c>
      <c r="K126" s="36"/>
      <c r="L126" s="33" t="str">
        <f aca="false">IF(B126="","",IF('Item Master'!H122="",E126,'Item Master'!H122))</f>
        <v/>
      </c>
      <c r="M126" s="25"/>
    </row>
    <row r="127" customFormat="false" ht="18.75" hidden="false" customHeight="true" outlineLevel="0" collapsed="false">
      <c r="B127" s="32" t="str">
        <f aca="false">IF('Item Master'!B123="","",'Item Master'!B123)</f>
        <v/>
      </c>
      <c r="C127" s="32" t="str">
        <f aca="false">IF(B127="","",IF('Item Master'!C123="","",'Item Master'!C123))</f>
        <v/>
      </c>
      <c r="D127" s="33" t="str">
        <f aca="false">IF(B127="","",IF('Item Master'!D123="","",'Item Master'!D123))</f>
        <v/>
      </c>
      <c r="E127" s="33" t="str">
        <f aca="false">IF(B127="","",IF('Item Master'!F123="","",'Item Master'!F123))</f>
        <v/>
      </c>
      <c r="F127" s="34" t="str">
        <f aca="false">IF(B127="","",IF('Item Master'!G123="","",'Item Master'!G123))</f>
        <v/>
      </c>
      <c r="G127" s="27"/>
      <c r="H127" s="27"/>
      <c r="I127" s="35" t="str">
        <f aca="false">IF(OR(B127="",G127=""),"",MAX(0,N(F127)-G127-N(H127)))</f>
        <v/>
      </c>
      <c r="J127" s="35" t="str">
        <f aca="false">IF(I127="","",ROUNDUP(I127/IF(N('Item Master'!I123)=0,1,'Item Master'!I123),0))</f>
        <v/>
      </c>
      <c r="K127" s="36"/>
      <c r="L127" s="33" t="str">
        <f aca="false">IF(B127="","",IF('Item Master'!H123="",E127,'Item Master'!H123))</f>
        <v/>
      </c>
      <c r="M127" s="25"/>
    </row>
    <row r="128" customFormat="false" ht="18.75" hidden="false" customHeight="true" outlineLevel="0" collapsed="false">
      <c r="B128" s="32" t="str">
        <f aca="false">IF('Item Master'!B124="","",'Item Master'!B124)</f>
        <v/>
      </c>
      <c r="C128" s="32" t="str">
        <f aca="false">IF(B128="","",IF('Item Master'!C124="","",'Item Master'!C124))</f>
        <v/>
      </c>
      <c r="D128" s="33" t="str">
        <f aca="false">IF(B128="","",IF('Item Master'!D124="","",'Item Master'!D124))</f>
        <v/>
      </c>
      <c r="E128" s="33" t="str">
        <f aca="false">IF(B128="","",IF('Item Master'!F124="","",'Item Master'!F124))</f>
        <v/>
      </c>
      <c r="F128" s="34" t="str">
        <f aca="false">IF(B128="","",IF('Item Master'!G124="","",'Item Master'!G124))</f>
        <v/>
      </c>
      <c r="G128" s="27"/>
      <c r="H128" s="27"/>
      <c r="I128" s="35" t="str">
        <f aca="false">IF(OR(B128="",G128=""),"",MAX(0,N(F128)-G128-N(H128)))</f>
        <v/>
      </c>
      <c r="J128" s="35" t="str">
        <f aca="false">IF(I128="","",ROUNDUP(I128/IF(N('Item Master'!I124)=0,1,'Item Master'!I124),0))</f>
        <v/>
      </c>
      <c r="K128" s="36"/>
      <c r="L128" s="33" t="str">
        <f aca="false">IF(B128="","",IF('Item Master'!H124="",E128,'Item Master'!H124))</f>
        <v/>
      </c>
      <c r="M128" s="25"/>
    </row>
    <row r="129" customFormat="false" ht="18.75" hidden="false" customHeight="true" outlineLevel="0" collapsed="false">
      <c r="B129" s="32" t="str">
        <f aca="false">IF('Item Master'!B125="","",'Item Master'!B125)</f>
        <v/>
      </c>
      <c r="C129" s="32" t="str">
        <f aca="false">IF(B129="","",IF('Item Master'!C125="","",'Item Master'!C125))</f>
        <v/>
      </c>
      <c r="D129" s="33" t="str">
        <f aca="false">IF(B129="","",IF('Item Master'!D125="","",'Item Master'!D125))</f>
        <v/>
      </c>
      <c r="E129" s="33" t="str">
        <f aca="false">IF(B129="","",IF('Item Master'!F125="","",'Item Master'!F125))</f>
        <v/>
      </c>
      <c r="F129" s="34" t="str">
        <f aca="false">IF(B129="","",IF('Item Master'!G125="","",'Item Master'!G125))</f>
        <v/>
      </c>
      <c r="G129" s="27"/>
      <c r="H129" s="27"/>
      <c r="I129" s="35" t="str">
        <f aca="false">IF(OR(B129="",G129=""),"",MAX(0,N(F129)-G129-N(H129)))</f>
        <v/>
      </c>
      <c r="J129" s="35" t="str">
        <f aca="false">IF(I129="","",ROUNDUP(I129/IF(N('Item Master'!I125)=0,1,'Item Master'!I125),0))</f>
        <v/>
      </c>
      <c r="K129" s="36"/>
      <c r="L129" s="33" t="str">
        <f aca="false">IF(B129="","",IF('Item Master'!H125="",E129,'Item Master'!H125))</f>
        <v/>
      </c>
      <c r="M129" s="25"/>
    </row>
    <row r="130" customFormat="false" ht="18.75" hidden="false" customHeight="true" outlineLevel="0" collapsed="false">
      <c r="B130" s="32" t="str">
        <f aca="false">IF('Item Master'!B126="","",'Item Master'!B126)</f>
        <v/>
      </c>
      <c r="C130" s="32" t="str">
        <f aca="false">IF(B130="","",IF('Item Master'!C126="","",'Item Master'!C126))</f>
        <v/>
      </c>
      <c r="D130" s="33" t="str">
        <f aca="false">IF(B130="","",IF('Item Master'!D126="","",'Item Master'!D126))</f>
        <v/>
      </c>
      <c r="E130" s="33" t="str">
        <f aca="false">IF(B130="","",IF('Item Master'!F126="","",'Item Master'!F126))</f>
        <v/>
      </c>
      <c r="F130" s="34" t="str">
        <f aca="false">IF(B130="","",IF('Item Master'!G126="","",'Item Master'!G126))</f>
        <v/>
      </c>
      <c r="G130" s="27"/>
      <c r="H130" s="27"/>
      <c r="I130" s="35" t="str">
        <f aca="false">IF(OR(B130="",G130=""),"",MAX(0,N(F130)-G130-N(H130)))</f>
        <v/>
      </c>
      <c r="J130" s="35" t="str">
        <f aca="false">IF(I130="","",ROUNDUP(I130/IF(N('Item Master'!I126)=0,1,'Item Master'!I126),0))</f>
        <v/>
      </c>
      <c r="K130" s="36"/>
      <c r="L130" s="33" t="str">
        <f aca="false">IF(B130="","",IF('Item Master'!H126="",E130,'Item Master'!H126))</f>
        <v/>
      </c>
      <c r="M130" s="25"/>
    </row>
    <row r="131" customFormat="false" ht="18.75" hidden="false" customHeight="true" outlineLevel="0" collapsed="false">
      <c r="B131" s="32" t="str">
        <f aca="false">IF('Item Master'!B127="","",'Item Master'!B127)</f>
        <v/>
      </c>
      <c r="C131" s="32" t="str">
        <f aca="false">IF(B131="","",IF('Item Master'!C127="","",'Item Master'!C127))</f>
        <v/>
      </c>
      <c r="D131" s="33" t="str">
        <f aca="false">IF(B131="","",IF('Item Master'!D127="","",'Item Master'!D127))</f>
        <v/>
      </c>
      <c r="E131" s="33" t="str">
        <f aca="false">IF(B131="","",IF('Item Master'!F127="","",'Item Master'!F127))</f>
        <v/>
      </c>
      <c r="F131" s="34" t="str">
        <f aca="false">IF(B131="","",IF('Item Master'!G127="","",'Item Master'!G127))</f>
        <v/>
      </c>
      <c r="G131" s="27"/>
      <c r="H131" s="27"/>
      <c r="I131" s="35" t="str">
        <f aca="false">IF(OR(B131="",G131=""),"",MAX(0,N(F131)-G131-N(H131)))</f>
        <v/>
      </c>
      <c r="J131" s="35" t="str">
        <f aca="false">IF(I131="","",ROUNDUP(I131/IF(N('Item Master'!I127)=0,1,'Item Master'!I127),0))</f>
        <v/>
      </c>
      <c r="K131" s="36"/>
      <c r="L131" s="33" t="str">
        <f aca="false">IF(B131="","",IF('Item Master'!H127="",E131,'Item Master'!H127))</f>
        <v/>
      </c>
      <c r="M131" s="25"/>
    </row>
    <row r="132" customFormat="false" ht="18.75" hidden="false" customHeight="true" outlineLevel="0" collapsed="false">
      <c r="B132" s="32" t="str">
        <f aca="false">IF('Item Master'!B128="","",'Item Master'!B128)</f>
        <v/>
      </c>
      <c r="C132" s="32" t="str">
        <f aca="false">IF(B132="","",IF('Item Master'!C128="","",'Item Master'!C128))</f>
        <v/>
      </c>
      <c r="D132" s="33" t="str">
        <f aca="false">IF(B132="","",IF('Item Master'!D128="","",'Item Master'!D128))</f>
        <v/>
      </c>
      <c r="E132" s="33" t="str">
        <f aca="false">IF(B132="","",IF('Item Master'!F128="","",'Item Master'!F128))</f>
        <v/>
      </c>
      <c r="F132" s="34" t="str">
        <f aca="false">IF(B132="","",IF('Item Master'!G128="","",'Item Master'!G128))</f>
        <v/>
      </c>
      <c r="G132" s="27"/>
      <c r="H132" s="27"/>
      <c r="I132" s="35" t="str">
        <f aca="false">IF(OR(B132="",G132=""),"",MAX(0,N(F132)-G132-N(H132)))</f>
        <v/>
      </c>
      <c r="J132" s="35" t="str">
        <f aca="false">IF(I132="","",ROUNDUP(I132/IF(N('Item Master'!I128)=0,1,'Item Master'!I128),0))</f>
        <v/>
      </c>
      <c r="K132" s="36"/>
      <c r="L132" s="33" t="str">
        <f aca="false">IF(B132="","",IF('Item Master'!H128="",E132,'Item Master'!H128))</f>
        <v/>
      </c>
      <c r="M132" s="25"/>
    </row>
    <row r="133" customFormat="false" ht="18.75" hidden="false" customHeight="true" outlineLevel="0" collapsed="false">
      <c r="B133" s="32" t="str">
        <f aca="false">IF('Item Master'!B129="","",'Item Master'!B129)</f>
        <v/>
      </c>
      <c r="C133" s="32" t="str">
        <f aca="false">IF(B133="","",IF('Item Master'!C129="","",'Item Master'!C129))</f>
        <v/>
      </c>
      <c r="D133" s="33" t="str">
        <f aca="false">IF(B133="","",IF('Item Master'!D129="","",'Item Master'!D129))</f>
        <v/>
      </c>
      <c r="E133" s="33" t="str">
        <f aca="false">IF(B133="","",IF('Item Master'!F129="","",'Item Master'!F129))</f>
        <v/>
      </c>
      <c r="F133" s="34" t="str">
        <f aca="false">IF(B133="","",IF('Item Master'!G129="","",'Item Master'!G129))</f>
        <v/>
      </c>
      <c r="G133" s="27"/>
      <c r="H133" s="27"/>
      <c r="I133" s="35" t="str">
        <f aca="false">IF(OR(B133="",G133=""),"",MAX(0,N(F133)-G133-N(H133)))</f>
        <v/>
      </c>
      <c r="J133" s="35" t="str">
        <f aca="false">IF(I133="","",ROUNDUP(I133/IF(N('Item Master'!I129)=0,1,'Item Master'!I129),0))</f>
        <v/>
      </c>
      <c r="K133" s="36"/>
      <c r="L133" s="33" t="str">
        <f aca="false">IF(B133="","",IF('Item Master'!H129="",E133,'Item Master'!H129))</f>
        <v/>
      </c>
      <c r="M133" s="25"/>
    </row>
    <row r="134" customFormat="false" ht="18.75" hidden="false" customHeight="true" outlineLevel="0" collapsed="false">
      <c r="B134" s="32" t="str">
        <f aca="false">IF('Item Master'!B130="","",'Item Master'!B130)</f>
        <v/>
      </c>
      <c r="C134" s="32" t="str">
        <f aca="false">IF(B134="","",IF('Item Master'!C130="","",'Item Master'!C130))</f>
        <v/>
      </c>
      <c r="D134" s="33" t="str">
        <f aca="false">IF(B134="","",IF('Item Master'!D130="","",'Item Master'!D130))</f>
        <v/>
      </c>
      <c r="E134" s="33" t="str">
        <f aca="false">IF(B134="","",IF('Item Master'!F130="","",'Item Master'!F130))</f>
        <v/>
      </c>
      <c r="F134" s="34" t="str">
        <f aca="false">IF(B134="","",IF('Item Master'!G130="","",'Item Master'!G130))</f>
        <v/>
      </c>
      <c r="G134" s="27"/>
      <c r="H134" s="27"/>
      <c r="I134" s="35" t="str">
        <f aca="false">IF(OR(B134="",G134=""),"",MAX(0,N(F134)-G134-N(H134)))</f>
        <v/>
      </c>
      <c r="J134" s="35" t="str">
        <f aca="false">IF(I134="","",ROUNDUP(I134/IF(N('Item Master'!I130)=0,1,'Item Master'!I130),0))</f>
        <v/>
      </c>
      <c r="K134" s="36"/>
      <c r="L134" s="33" t="str">
        <f aca="false">IF(B134="","",IF('Item Master'!H130="",E134,'Item Master'!H130))</f>
        <v/>
      </c>
      <c r="M134" s="25"/>
    </row>
    <row r="135" customFormat="false" ht="18.75" hidden="false" customHeight="true" outlineLevel="0" collapsed="false">
      <c r="B135" s="32" t="str">
        <f aca="false">IF('Item Master'!B131="","",'Item Master'!B131)</f>
        <v/>
      </c>
      <c r="C135" s="32" t="str">
        <f aca="false">IF(B135="","",IF('Item Master'!C131="","",'Item Master'!C131))</f>
        <v/>
      </c>
      <c r="D135" s="33" t="str">
        <f aca="false">IF(B135="","",IF('Item Master'!D131="","",'Item Master'!D131))</f>
        <v/>
      </c>
      <c r="E135" s="33" t="str">
        <f aca="false">IF(B135="","",IF('Item Master'!F131="","",'Item Master'!F131))</f>
        <v/>
      </c>
      <c r="F135" s="34" t="str">
        <f aca="false">IF(B135="","",IF('Item Master'!G131="","",'Item Master'!G131))</f>
        <v/>
      </c>
      <c r="G135" s="27"/>
      <c r="H135" s="27"/>
      <c r="I135" s="35" t="str">
        <f aca="false">IF(OR(B135="",G135=""),"",MAX(0,N(F135)-G135-N(H135)))</f>
        <v/>
      </c>
      <c r="J135" s="35" t="str">
        <f aca="false">IF(I135="","",ROUNDUP(I135/IF(N('Item Master'!I131)=0,1,'Item Master'!I131),0))</f>
        <v/>
      </c>
      <c r="K135" s="36"/>
      <c r="L135" s="33" t="str">
        <f aca="false">IF(B135="","",IF('Item Master'!H131="",E135,'Item Master'!H131))</f>
        <v/>
      </c>
      <c r="M135" s="25"/>
    </row>
    <row r="136" customFormat="false" ht="18.75" hidden="false" customHeight="true" outlineLevel="0" collapsed="false">
      <c r="B136" s="32" t="str">
        <f aca="false">IF('Item Master'!B132="","",'Item Master'!B132)</f>
        <v/>
      </c>
      <c r="C136" s="32" t="str">
        <f aca="false">IF(B136="","",IF('Item Master'!C132="","",'Item Master'!C132))</f>
        <v/>
      </c>
      <c r="D136" s="33" t="str">
        <f aca="false">IF(B136="","",IF('Item Master'!D132="","",'Item Master'!D132))</f>
        <v/>
      </c>
      <c r="E136" s="33" t="str">
        <f aca="false">IF(B136="","",IF('Item Master'!F132="","",'Item Master'!F132))</f>
        <v/>
      </c>
      <c r="F136" s="34" t="str">
        <f aca="false">IF(B136="","",IF('Item Master'!G132="","",'Item Master'!G132))</f>
        <v/>
      </c>
      <c r="G136" s="27"/>
      <c r="H136" s="27"/>
      <c r="I136" s="35" t="str">
        <f aca="false">IF(OR(B136="",G136=""),"",MAX(0,N(F136)-G136-N(H136)))</f>
        <v/>
      </c>
      <c r="J136" s="35" t="str">
        <f aca="false">IF(I136="","",ROUNDUP(I136/IF(N('Item Master'!I132)=0,1,'Item Master'!I132),0))</f>
        <v/>
      </c>
      <c r="K136" s="36"/>
      <c r="L136" s="33" t="str">
        <f aca="false">IF(B136="","",IF('Item Master'!H132="",E136,'Item Master'!H132))</f>
        <v/>
      </c>
      <c r="M136" s="25"/>
    </row>
    <row r="137" customFormat="false" ht="18.75" hidden="false" customHeight="true" outlineLevel="0" collapsed="false">
      <c r="B137" s="32" t="str">
        <f aca="false">IF('Item Master'!B133="","",'Item Master'!B133)</f>
        <v/>
      </c>
      <c r="C137" s="32" t="str">
        <f aca="false">IF(B137="","",IF('Item Master'!C133="","",'Item Master'!C133))</f>
        <v/>
      </c>
      <c r="D137" s="33" t="str">
        <f aca="false">IF(B137="","",IF('Item Master'!D133="","",'Item Master'!D133))</f>
        <v/>
      </c>
      <c r="E137" s="33" t="str">
        <f aca="false">IF(B137="","",IF('Item Master'!F133="","",'Item Master'!F133))</f>
        <v/>
      </c>
      <c r="F137" s="34" t="str">
        <f aca="false">IF(B137="","",IF('Item Master'!G133="","",'Item Master'!G133))</f>
        <v/>
      </c>
      <c r="G137" s="27"/>
      <c r="H137" s="27"/>
      <c r="I137" s="35" t="str">
        <f aca="false">IF(OR(B137="",G137=""),"",MAX(0,N(F137)-G137-N(H137)))</f>
        <v/>
      </c>
      <c r="J137" s="35" t="str">
        <f aca="false">IF(I137="","",ROUNDUP(I137/IF(N('Item Master'!I133)=0,1,'Item Master'!I133),0))</f>
        <v/>
      </c>
      <c r="K137" s="36"/>
      <c r="L137" s="33" t="str">
        <f aca="false">IF(B137="","",IF('Item Master'!H133="",E137,'Item Master'!H133))</f>
        <v/>
      </c>
      <c r="M137" s="25"/>
    </row>
    <row r="138" customFormat="false" ht="18.75" hidden="false" customHeight="true" outlineLevel="0" collapsed="false">
      <c r="B138" s="32" t="str">
        <f aca="false">IF('Item Master'!B134="","",'Item Master'!B134)</f>
        <v/>
      </c>
      <c r="C138" s="32" t="str">
        <f aca="false">IF(B138="","",IF('Item Master'!C134="","",'Item Master'!C134))</f>
        <v/>
      </c>
      <c r="D138" s="33" t="str">
        <f aca="false">IF(B138="","",IF('Item Master'!D134="","",'Item Master'!D134))</f>
        <v/>
      </c>
      <c r="E138" s="33" t="str">
        <f aca="false">IF(B138="","",IF('Item Master'!F134="","",'Item Master'!F134))</f>
        <v/>
      </c>
      <c r="F138" s="34" t="str">
        <f aca="false">IF(B138="","",IF('Item Master'!G134="","",'Item Master'!G134))</f>
        <v/>
      </c>
      <c r="G138" s="27"/>
      <c r="H138" s="27"/>
      <c r="I138" s="35" t="str">
        <f aca="false">IF(OR(B138="",G138=""),"",MAX(0,N(F138)-G138-N(H138)))</f>
        <v/>
      </c>
      <c r="J138" s="35" t="str">
        <f aca="false">IF(I138="","",ROUNDUP(I138/IF(N('Item Master'!I134)=0,1,'Item Master'!I134),0))</f>
        <v/>
      </c>
      <c r="K138" s="36"/>
      <c r="L138" s="33" t="str">
        <f aca="false">IF(B138="","",IF('Item Master'!H134="",E138,'Item Master'!H134))</f>
        <v/>
      </c>
      <c r="M138" s="25"/>
    </row>
    <row r="139" customFormat="false" ht="18.75" hidden="false" customHeight="true" outlineLevel="0" collapsed="false">
      <c r="B139" s="32" t="str">
        <f aca="false">IF('Item Master'!B135="","",'Item Master'!B135)</f>
        <v/>
      </c>
      <c r="C139" s="32" t="str">
        <f aca="false">IF(B139="","",IF('Item Master'!C135="","",'Item Master'!C135))</f>
        <v/>
      </c>
      <c r="D139" s="33" t="str">
        <f aca="false">IF(B139="","",IF('Item Master'!D135="","",'Item Master'!D135))</f>
        <v/>
      </c>
      <c r="E139" s="33" t="str">
        <f aca="false">IF(B139="","",IF('Item Master'!F135="","",'Item Master'!F135))</f>
        <v/>
      </c>
      <c r="F139" s="34" t="str">
        <f aca="false">IF(B139="","",IF('Item Master'!G135="","",'Item Master'!G135))</f>
        <v/>
      </c>
      <c r="G139" s="27"/>
      <c r="H139" s="27"/>
      <c r="I139" s="35" t="str">
        <f aca="false">IF(OR(B139="",G139=""),"",MAX(0,N(F139)-G139-N(H139)))</f>
        <v/>
      </c>
      <c r="J139" s="35" t="str">
        <f aca="false">IF(I139="","",ROUNDUP(I139/IF(N('Item Master'!I135)=0,1,'Item Master'!I135),0))</f>
        <v/>
      </c>
      <c r="K139" s="36"/>
      <c r="L139" s="33" t="str">
        <f aca="false">IF(B139="","",IF('Item Master'!H135="",E139,'Item Master'!H135))</f>
        <v/>
      </c>
      <c r="M139" s="25"/>
    </row>
    <row r="140" customFormat="false" ht="18.75" hidden="false" customHeight="true" outlineLevel="0" collapsed="false">
      <c r="B140" s="32" t="str">
        <f aca="false">IF('Item Master'!B136="","",'Item Master'!B136)</f>
        <v/>
      </c>
      <c r="C140" s="32" t="str">
        <f aca="false">IF(B140="","",IF('Item Master'!C136="","",'Item Master'!C136))</f>
        <v/>
      </c>
      <c r="D140" s="33" t="str">
        <f aca="false">IF(B140="","",IF('Item Master'!D136="","",'Item Master'!D136))</f>
        <v/>
      </c>
      <c r="E140" s="33" t="str">
        <f aca="false">IF(B140="","",IF('Item Master'!F136="","",'Item Master'!F136))</f>
        <v/>
      </c>
      <c r="F140" s="34" t="str">
        <f aca="false">IF(B140="","",IF('Item Master'!G136="","",'Item Master'!G136))</f>
        <v/>
      </c>
      <c r="G140" s="27"/>
      <c r="H140" s="27"/>
      <c r="I140" s="35" t="str">
        <f aca="false">IF(OR(B140="",G140=""),"",MAX(0,N(F140)-G140-N(H140)))</f>
        <v/>
      </c>
      <c r="J140" s="35" t="str">
        <f aca="false">IF(I140="","",ROUNDUP(I140/IF(N('Item Master'!I136)=0,1,'Item Master'!I136),0))</f>
        <v/>
      </c>
      <c r="K140" s="36"/>
      <c r="L140" s="33" t="str">
        <f aca="false">IF(B140="","",IF('Item Master'!H136="",E140,'Item Master'!H136))</f>
        <v/>
      </c>
      <c r="M140" s="25"/>
    </row>
    <row r="141" customFormat="false" ht="18.75" hidden="false" customHeight="true" outlineLevel="0" collapsed="false">
      <c r="B141" s="32" t="str">
        <f aca="false">IF('Item Master'!B137="","",'Item Master'!B137)</f>
        <v/>
      </c>
      <c r="C141" s="32" t="str">
        <f aca="false">IF(B141="","",IF('Item Master'!C137="","",'Item Master'!C137))</f>
        <v/>
      </c>
      <c r="D141" s="33" t="str">
        <f aca="false">IF(B141="","",IF('Item Master'!D137="","",'Item Master'!D137))</f>
        <v/>
      </c>
      <c r="E141" s="33" t="str">
        <f aca="false">IF(B141="","",IF('Item Master'!F137="","",'Item Master'!F137))</f>
        <v/>
      </c>
      <c r="F141" s="34" t="str">
        <f aca="false">IF(B141="","",IF('Item Master'!G137="","",'Item Master'!G137))</f>
        <v/>
      </c>
      <c r="G141" s="27"/>
      <c r="H141" s="27"/>
      <c r="I141" s="35" t="str">
        <f aca="false">IF(OR(B141="",G141=""),"",MAX(0,N(F141)-G141-N(H141)))</f>
        <v/>
      </c>
      <c r="J141" s="35" t="str">
        <f aca="false">IF(I141="","",ROUNDUP(I141/IF(N('Item Master'!I137)=0,1,'Item Master'!I137),0))</f>
        <v/>
      </c>
      <c r="K141" s="36"/>
      <c r="L141" s="33" t="str">
        <f aca="false">IF(B141="","",IF('Item Master'!H137="",E141,'Item Master'!H137))</f>
        <v/>
      </c>
      <c r="M141" s="25"/>
    </row>
    <row r="142" customFormat="false" ht="18.75" hidden="false" customHeight="true" outlineLevel="0" collapsed="false">
      <c r="B142" s="32" t="str">
        <f aca="false">IF('Item Master'!B138="","",'Item Master'!B138)</f>
        <v/>
      </c>
      <c r="C142" s="32" t="str">
        <f aca="false">IF(B142="","",IF('Item Master'!C138="","",'Item Master'!C138))</f>
        <v/>
      </c>
      <c r="D142" s="33" t="str">
        <f aca="false">IF(B142="","",IF('Item Master'!D138="","",'Item Master'!D138))</f>
        <v/>
      </c>
      <c r="E142" s="33" t="str">
        <f aca="false">IF(B142="","",IF('Item Master'!F138="","",'Item Master'!F138))</f>
        <v/>
      </c>
      <c r="F142" s="34" t="str">
        <f aca="false">IF(B142="","",IF('Item Master'!G138="","",'Item Master'!G138))</f>
        <v/>
      </c>
      <c r="G142" s="27"/>
      <c r="H142" s="27"/>
      <c r="I142" s="35" t="str">
        <f aca="false">IF(OR(B142="",G142=""),"",MAX(0,N(F142)-G142-N(H142)))</f>
        <v/>
      </c>
      <c r="J142" s="35" t="str">
        <f aca="false">IF(I142="","",ROUNDUP(I142/IF(N('Item Master'!I138)=0,1,'Item Master'!I138),0))</f>
        <v/>
      </c>
      <c r="K142" s="36"/>
      <c r="L142" s="33" t="str">
        <f aca="false">IF(B142="","",IF('Item Master'!H138="",E142,'Item Master'!H138))</f>
        <v/>
      </c>
      <c r="M142" s="25"/>
    </row>
    <row r="143" customFormat="false" ht="18.75" hidden="false" customHeight="true" outlineLevel="0" collapsed="false">
      <c r="B143" s="32" t="str">
        <f aca="false">IF('Item Master'!B139="","",'Item Master'!B139)</f>
        <v/>
      </c>
      <c r="C143" s="32" t="str">
        <f aca="false">IF(B143="","",IF('Item Master'!C139="","",'Item Master'!C139))</f>
        <v/>
      </c>
      <c r="D143" s="33" t="str">
        <f aca="false">IF(B143="","",IF('Item Master'!D139="","",'Item Master'!D139))</f>
        <v/>
      </c>
      <c r="E143" s="33" t="str">
        <f aca="false">IF(B143="","",IF('Item Master'!F139="","",'Item Master'!F139))</f>
        <v/>
      </c>
      <c r="F143" s="34" t="str">
        <f aca="false">IF(B143="","",IF('Item Master'!G139="","",'Item Master'!G139))</f>
        <v/>
      </c>
      <c r="G143" s="27"/>
      <c r="H143" s="27"/>
      <c r="I143" s="35" t="str">
        <f aca="false">IF(OR(B143="",G143=""),"",MAX(0,N(F143)-G143-N(H143)))</f>
        <v/>
      </c>
      <c r="J143" s="35" t="str">
        <f aca="false">IF(I143="","",ROUNDUP(I143/IF(N('Item Master'!I139)=0,1,'Item Master'!I139),0))</f>
        <v/>
      </c>
      <c r="K143" s="36"/>
      <c r="L143" s="33" t="str">
        <f aca="false">IF(B143="","",IF('Item Master'!H139="",E143,'Item Master'!H139))</f>
        <v/>
      </c>
      <c r="M143" s="25"/>
    </row>
    <row r="144" customFormat="false" ht="18.75" hidden="false" customHeight="true" outlineLevel="0" collapsed="false">
      <c r="B144" s="32" t="str">
        <f aca="false">IF('Item Master'!B140="","",'Item Master'!B140)</f>
        <v/>
      </c>
      <c r="C144" s="32" t="str">
        <f aca="false">IF(B144="","",IF('Item Master'!C140="","",'Item Master'!C140))</f>
        <v/>
      </c>
      <c r="D144" s="33" t="str">
        <f aca="false">IF(B144="","",IF('Item Master'!D140="","",'Item Master'!D140))</f>
        <v/>
      </c>
      <c r="E144" s="33" t="str">
        <f aca="false">IF(B144="","",IF('Item Master'!F140="","",'Item Master'!F140))</f>
        <v/>
      </c>
      <c r="F144" s="34" t="str">
        <f aca="false">IF(B144="","",IF('Item Master'!G140="","",'Item Master'!G140))</f>
        <v/>
      </c>
      <c r="G144" s="27"/>
      <c r="H144" s="27"/>
      <c r="I144" s="35" t="str">
        <f aca="false">IF(OR(B144="",G144=""),"",MAX(0,N(F144)-G144-N(H144)))</f>
        <v/>
      </c>
      <c r="J144" s="35" t="str">
        <f aca="false">IF(I144="","",ROUNDUP(I144/IF(N('Item Master'!I140)=0,1,'Item Master'!I140),0))</f>
        <v/>
      </c>
      <c r="K144" s="36"/>
      <c r="L144" s="33" t="str">
        <f aca="false">IF(B144="","",IF('Item Master'!H140="",E144,'Item Master'!H140))</f>
        <v/>
      </c>
      <c r="M144" s="25"/>
    </row>
    <row r="145" customFormat="false" ht="18.75" hidden="false" customHeight="true" outlineLevel="0" collapsed="false">
      <c r="B145" s="32" t="str">
        <f aca="false">IF('Item Master'!B141="","",'Item Master'!B141)</f>
        <v/>
      </c>
      <c r="C145" s="32" t="str">
        <f aca="false">IF(B145="","",IF('Item Master'!C141="","",'Item Master'!C141))</f>
        <v/>
      </c>
      <c r="D145" s="33" t="str">
        <f aca="false">IF(B145="","",IF('Item Master'!D141="","",'Item Master'!D141))</f>
        <v/>
      </c>
      <c r="E145" s="33" t="str">
        <f aca="false">IF(B145="","",IF('Item Master'!F141="","",'Item Master'!F141))</f>
        <v/>
      </c>
      <c r="F145" s="34" t="str">
        <f aca="false">IF(B145="","",IF('Item Master'!G141="","",'Item Master'!G141))</f>
        <v/>
      </c>
      <c r="G145" s="27"/>
      <c r="H145" s="27"/>
      <c r="I145" s="35" t="str">
        <f aca="false">IF(OR(B145="",G145=""),"",MAX(0,N(F145)-G145-N(H145)))</f>
        <v/>
      </c>
      <c r="J145" s="35" t="str">
        <f aca="false">IF(I145="","",ROUNDUP(I145/IF(N('Item Master'!I141)=0,1,'Item Master'!I141),0))</f>
        <v/>
      </c>
      <c r="K145" s="36"/>
      <c r="L145" s="33" t="str">
        <f aca="false">IF(B145="","",IF('Item Master'!H141="",E145,'Item Master'!H141))</f>
        <v/>
      </c>
      <c r="M145" s="25"/>
    </row>
    <row r="146" customFormat="false" ht="18.75" hidden="false" customHeight="true" outlineLevel="0" collapsed="false">
      <c r="B146" s="32" t="str">
        <f aca="false">IF('Item Master'!B142="","",'Item Master'!B142)</f>
        <v/>
      </c>
      <c r="C146" s="32" t="str">
        <f aca="false">IF(B146="","",IF('Item Master'!C142="","",'Item Master'!C142))</f>
        <v/>
      </c>
      <c r="D146" s="33" t="str">
        <f aca="false">IF(B146="","",IF('Item Master'!D142="","",'Item Master'!D142))</f>
        <v/>
      </c>
      <c r="E146" s="33" t="str">
        <f aca="false">IF(B146="","",IF('Item Master'!F142="","",'Item Master'!F142))</f>
        <v/>
      </c>
      <c r="F146" s="34" t="str">
        <f aca="false">IF(B146="","",IF('Item Master'!G142="","",'Item Master'!G142))</f>
        <v/>
      </c>
      <c r="G146" s="27"/>
      <c r="H146" s="27"/>
      <c r="I146" s="35" t="str">
        <f aca="false">IF(OR(B146="",G146=""),"",MAX(0,N(F146)-G146-N(H146)))</f>
        <v/>
      </c>
      <c r="J146" s="35" t="str">
        <f aca="false">IF(I146="","",ROUNDUP(I146/IF(N('Item Master'!I142)=0,1,'Item Master'!I142),0))</f>
        <v/>
      </c>
      <c r="K146" s="36"/>
      <c r="L146" s="33" t="str">
        <f aca="false">IF(B146="","",IF('Item Master'!H142="",E146,'Item Master'!H142))</f>
        <v/>
      </c>
      <c r="M146" s="25"/>
    </row>
    <row r="147" customFormat="false" ht="18.75" hidden="false" customHeight="true" outlineLevel="0" collapsed="false">
      <c r="B147" s="32" t="str">
        <f aca="false">IF('Item Master'!B143="","",'Item Master'!B143)</f>
        <v/>
      </c>
      <c r="C147" s="32" t="str">
        <f aca="false">IF(B147="","",IF('Item Master'!C143="","",'Item Master'!C143))</f>
        <v/>
      </c>
      <c r="D147" s="33" t="str">
        <f aca="false">IF(B147="","",IF('Item Master'!D143="","",'Item Master'!D143))</f>
        <v/>
      </c>
      <c r="E147" s="33" t="str">
        <f aca="false">IF(B147="","",IF('Item Master'!F143="","",'Item Master'!F143))</f>
        <v/>
      </c>
      <c r="F147" s="34" t="str">
        <f aca="false">IF(B147="","",IF('Item Master'!G143="","",'Item Master'!G143))</f>
        <v/>
      </c>
      <c r="G147" s="27"/>
      <c r="H147" s="27"/>
      <c r="I147" s="35" t="str">
        <f aca="false">IF(OR(B147="",G147=""),"",MAX(0,N(F147)-G147-N(H147)))</f>
        <v/>
      </c>
      <c r="J147" s="35" t="str">
        <f aca="false">IF(I147="","",ROUNDUP(I147/IF(N('Item Master'!I143)=0,1,'Item Master'!I143),0))</f>
        <v/>
      </c>
      <c r="K147" s="36"/>
      <c r="L147" s="33" t="str">
        <f aca="false">IF(B147="","",IF('Item Master'!H143="",E147,'Item Master'!H143))</f>
        <v/>
      </c>
      <c r="M147" s="25"/>
    </row>
    <row r="148" customFormat="false" ht="18.75" hidden="false" customHeight="true" outlineLevel="0" collapsed="false">
      <c r="B148" s="32" t="str">
        <f aca="false">IF('Item Master'!B144="","",'Item Master'!B144)</f>
        <v/>
      </c>
      <c r="C148" s="32" t="str">
        <f aca="false">IF(B148="","",IF('Item Master'!C144="","",'Item Master'!C144))</f>
        <v/>
      </c>
      <c r="D148" s="33" t="str">
        <f aca="false">IF(B148="","",IF('Item Master'!D144="","",'Item Master'!D144))</f>
        <v/>
      </c>
      <c r="E148" s="33" t="str">
        <f aca="false">IF(B148="","",IF('Item Master'!F144="","",'Item Master'!F144))</f>
        <v/>
      </c>
      <c r="F148" s="34" t="str">
        <f aca="false">IF(B148="","",IF('Item Master'!G144="","",'Item Master'!G144))</f>
        <v/>
      </c>
      <c r="G148" s="27"/>
      <c r="H148" s="27"/>
      <c r="I148" s="35" t="str">
        <f aca="false">IF(OR(B148="",G148=""),"",MAX(0,N(F148)-G148-N(H148)))</f>
        <v/>
      </c>
      <c r="J148" s="35" t="str">
        <f aca="false">IF(I148="","",ROUNDUP(I148/IF(N('Item Master'!I144)=0,1,'Item Master'!I144),0))</f>
        <v/>
      </c>
      <c r="K148" s="36"/>
      <c r="L148" s="33" t="str">
        <f aca="false">IF(B148="","",IF('Item Master'!H144="",E148,'Item Master'!H144))</f>
        <v/>
      </c>
      <c r="M148" s="25"/>
    </row>
    <row r="149" customFormat="false" ht="18.75" hidden="false" customHeight="true" outlineLevel="0" collapsed="false">
      <c r="B149" s="32" t="str">
        <f aca="false">IF('Item Master'!B145="","",'Item Master'!B145)</f>
        <v/>
      </c>
      <c r="C149" s="32" t="str">
        <f aca="false">IF(B149="","",IF('Item Master'!C145="","",'Item Master'!C145))</f>
        <v/>
      </c>
      <c r="D149" s="33" t="str">
        <f aca="false">IF(B149="","",IF('Item Master'!D145="","",'Item Master'!D145))</f>
        <v/>
      </c>
      <c r="E149" s="33" t="str">
        <f aca="false">IF(B149="","",IF('Item Master'!F145="","",'Item Master'!F145))</f>
        <v/>
      </c>
      <c r="F149" s="34" t="str">
        <f aca="false">IF(B149="","",IF('Item Master'!G145="","",'Item Master'!G145))</f>
        <v/>
      </c>
      <c r="G149" s="27"/>
      <c r="H149" s="27"/>
      <c r="I149" s="35" t="str">
        <f aca="false">IF(OR(B149="",G149=""),"",MAX(0,N(F149)-G149-N(H149)))</f>
        <v/>
      </c>
      <c r="J149" s="35" t="str">
        <f aca="false">IF(I149="","",ROUNDUP(I149/IF(N('Item Master'!I145)=0,1,'Item Master'!I145),0))</f>
        <v/>
      </c>
      <c r="K149" s="36"/>
      <c r="L149" s="33" t="str">
        <f aca="false">IF(B149="","",IF('Item Master'!H145="",E149,'Item Master'!H145))</f>
        <v/>
      </c>
      <c r="M149" s="25"/>
    </row>
    <row r="150" customFormat="false" ht="18.75" hidden="false" customHeight="true" outlineLevel="0" collapsed="false">
      <c r="B150" s="32" t="str">
        <f aca="false">IF('Item Master'!B146="","",'Item Master'!B146)</f>
        <v/>
      </c>
      <c r="C150" s="32" t="str">
        <f aca="false">IF(B150="","",IF('Item Master'!C146="","",'Item Master'!C146))</f>
        <v/>
      </c>
      <c r="D150" s="33" t="str">
        <f aca="false">IF(B150="","",IF('Item Master'!D146="","",'Item Master'!D146))</f>
        <v/>
      </c>
      <c r="E150" s="33" t="str">
        <f aca="false">IF(B150="","",IF('Item Master'!F146="","",'Item Master'!F146))</f>
        <v/>
      </c>
      <c r="F150" s="34" t="str">
        <f aca="false">IF(B150="","",IF('Item Master'!G146="","",'Item Master'!G146))</f>
        <v/>
      </c>
      <c r="G150" s="27"/>
      <c r="H150" s="27"/>
      <c r="I150" s="35" t="str">
        <f aca="false">IF(OR(B150="",G150=""),"",MAX(0,N(F150)-G150-N(H150)))</f>
        <v/>
      </c>
      <c r="J150" s="35" t="str">
        <f aca="false">IF(I150="","",ROUNDUP(I150/IF(N('Item Master'!I146)=0,1,'Item Master'!I146),0))</f>
        <v/>
      </c>
      <c r="K150" s="36"/>
      <c r="L150" s="33" t="str">
        <f aca="false">IF(B150="","",IF('Item Master'!H146="",E150,'Item Master'!H146))</f>
        <v/>
      </c>
      <c r="M150" s="25"/>
    </row>
    <row r="151" customFormat="false" ht="18.75" hidden="false" customHeight="true" outlineLevel="0" collapsed="false">
      <c r="B151" s="32" t="str">
        <f aca="false">IF('Item Master'!B147="","",'Item Master'!B147)</f>
        <v/>
      </c>
      <c r="C151" s="32" t="str">
        <f aca="false">IF(B151="","",IF('Item Master'!C147="","",'Item Master'!C147))</f>
        <v/>
      </c>
      <c r="D151" s="33" t="str">
        <f aca="false">IF(B151="","",IF('Item Master'!D147="","",'Item Master'!D147))</f>
        <v/>
      </c>
      <c r="E151" s="33" t="str">
        <f aca="false">IF(B151="","",IF('Item Master'!F147="","",'Item Master'!F147))</f>
        <v/>
      </c>
      <c r="F151" s="34" t="str">
        <f aca="false">IF(B151="","",IF('Item Master'!G147="","",'Item Master'!G147))</f>
        <v/>
      </c>
      <c r="G151" s="27"/>
      <c r="H151" s="27"/>
      <c r="I151" s="35" t="str">
        <f aca="false">IF(OR(B151="",G151=""),"",MAX(0,N(F151)-G151-N(H151)))</f>
        <v/>
      </c>
      <c r="J151" s="35" t="str">
        <f aca="false">IF(I151="","",ROUNDUP(I151/IF(N('Item Master'!I147)=0,1,'Item Master'!I147),0))</f>
        <v/>
      </c>
      <c r="K151" s="36"/>
      <c r="L151" s="33" t="str">
        <f aca="false">IF(B151="","",IF('Item Master'!H147="",E151,'Item Master'!H147))</f>
        <v/>
      </c>
      <c r="M151" s="25"/>
    </row>
    <row r="152" customFormat="false" ht="18.75" hidden="false" customHeight="true" outlineLevel="0" collapsed="false">
      <c r="B152" s="32" t="str">
        <f aca="false">IF('Item Master'!B148="","",'Item Master'!B148)</f>
        <v/>
      </c>
      <c r="C152" s="32" t="str">
        <f aca="false">IF(B152="","",IF('Item Master'!C148="","",'Item Master'!C148))</f>
        <v/>
      </c>
      <c r="D152" s="33" t="str">
        <f aca="false">IF(B152="","",IF('Item Master'!D148="","",'Item Master'!D148))</f>
        <v/>
      </c>
      <c r="E152" s="33" t="str">
        <f aca="false">IF(B152="","",IF('Item Master'!F148="","",'Item Master'!F148))</f>
        <v/>
      </c>
      <c r="F152" s="34" t="str">
        <f aca="false">IF(B152="","",IF('Item Master'!G148="","",'Item Master'!G148))</f>
        <v/>
      </c>
      <c r="G152" s="27"/>
      <c r="H152" s="27"/>
      <c r="I152" s="35" t="str">
        <f aca="false">IF(OR(B152="",G152=""),"",MAX(0,N(F152)-G152-N(H152)))</f>
        <v/>
      </c>
      <c r="J152" s="35" t="str">
        <f aca="false">IF(I152="","",ROUNDUP(I152/IF(N('Item Master'!I148)=0,1,'Item Master'!I148),0))</f>
        <v/>
      </c>
      <c r="K152" s="36"/>
      <c r="L152" s="33" t="str">
        <f aca="false">IF(B152="","",IF('Item Master'!H148="",E152,'Item Master'!H148))</f>
        <v/>
      </c>
      <c r="M152" s="25"/>
    </row>
    <row r="153" customFormat="false" ht="18.75" hidden="false" customHeight="true" outlineLevel="0" collapsed="false">
      <c r="B153" s="32" t="str">
        <f aca="false">IF('Item Master'!B149="","",'Item Master'!B149)</f>
        <v/>
      </c>
      <c r="C153" s="32" t="str">
        <f aca="false">IF(B153="","",IF('Item Master'!C149="","",'Item Master'!C149))</f>
        <v/>
      </c>
      <c r="D153" s="33" t="str">
        <f aca="false">IF(B153="","",IF('Item Master'!D149="","",'Item Master'!D149))</f>
        <v/>
      </c>
      <c r="E153" s="33" t="str">
        <f aca="false">IF(B153="","",IF('Item Master'!F149="","",'Item Master'!F149))</f>
        <v/>
      </c>
      <c r="F153" s="34" t="str">
        <f aca="false">IF(B153="","",IF('Item Master'!G149="","",'Item Master'!G149))</f>
        <v/>
      </c>
      <c r="G153" s="27"/>
      <c r="H153" s="27"/>
      <c r="I153" s="35" t="str">
        <f aca="false">IF(OR(B153="",G153=""),"",MAX(0,N(F153)-G153-N(H153)))</f>
        <v/>
      </c>
      <c r="J153" s="35" t="str">
        <f aca="false">IF(I153="","",ROUNDUP(I153/IF(N('Item Master'!I149)=0,1,'Item Master'!I149),0))</f>
        <v/>
      </c>
      <c r="K153" s="36"/>
      <c r="L153" s="33" t="str">
        <f aca="false">IF(B153="","",IF('Item Master'!H149="",E153,'Item Master'!H149))</f>
        <v/>
      </c>
      <c r="M153" s="25"/>
    </row>
    <row r="154" customFormat="false" ht="18.75" hidden="false" customHeight="true" outlineLevel="0" collapsed="false">
      <c r="B154" s="32" t="str">
        <f aca="false">IF('Item Master'!B150="","",'Item Master'!B150)</f>
        <v/>
      </c>
      <c r="C154" s="32" t="str">
        <f aca="false">IF(B154="","",IF('Item Master'!C150="","",'Item Master'!C150))</f>
        <v/>
      </c>
      <c r="D154" s="33" t="str">
        <f aca="false">IF(B154="","",IF('Item Master'!D150="","",'Item Master'!D150))</f>
        <v/>
      </c>
      <c r="E154" s="33" t="str">
        <f aca="false">IF(B154="","",IF('Item Master'!F150="","",'Item Master'!F150))</f>
        <v/>
      </c>
      <c r="F154" s="34" t="str">
        <f aca="false">IF(B154="","",IF('Item Master'!G150="","",'Item Master'!G150))</f>
        <v/>
      </c>
      <c r="G154" s="27"/>
      <c r="H154" s="27"/>
      <c r="I154" s="35" t="str">
        <f aca="false">IF(OR(B154="",G154=""),"",MAX(0,N(F154)-G154-N(H154)))</f>
        <v/>
      </c>
      <c r="J154" s="35" t="str">
        <f aca="false">IF(I154="","",ROUNDUP(I154/IF(N('Item Master'!I150)=0,1,'Item Master'!I150),0))</f>
        <v/>
      </c>
      <c r="K154" s="36"/>
      <c r="L154" s="33" t="str">
        <f aca="false">IF(B154="","",IF('Item Master'!H150="",E154,'Item Master'!H150))</f>
        <v/>
      </c>
      <c r="M154" s="25"/>
    </row>
    <row r="155" customFormat="false" ht="18.75" hidden="false" customHeight="true" outlineLevel="0" collapsed="false">
      <c r="B155" s="32" t="str">
        <f aca="false">IF('Item Master'!B151="","",'Item Master'!B151)</f>
        <v/>
      </c>
      <c r="C155" s="32" t="str">
        <f aca="false">IF(B155="","",IF('Item Master'!C151="","",'Item Master'!C151))</f>
        <v/>
      </c>
      <c r="D155" s="33" t="str">
        <f aca="false">IF(B155="","",IF('Item Master'!D151="","",'Item Master'!D151))</f>
        <v/>
      </c>
      <c r="E155" s="33" t="str">
        <f aca="false">IF(B155="","",IF('Item Master'!F151="","",'Item Master'!F151))</f>
        <v/>
      </c>
      <c r="F155" s="34" t="str">
        <f aca="false">IF(B155="","",IF('Item Master'!G151="","",'Item Master'!G151))</f>
        <v/>
      </c>
      <c r="G155" s="27"/>
      <c r="H155" s="27"/>
      <c r="I155" s="35" t="str">
        <f aca="false">IF(OR(B155="",G155=""),"",MAX(0,N(F155)-G155-N(H155)))</f>
        <v/>
      </c>
      <c r="J155" s="35" t="str">
        <f aca="false">IF(I155="","",ROUNDUP(I155/IF(N('Item Master'!I151)=0,1,'Item Master'!I151),0))</f>
        <v/>
      </c>
      <c r="K155" s="36"/>
      <c r="L155" s="33" t="str">
        <f aca="false">IF(B155="","",IF('Item Master'!H151="",E155,'Item Master'!H151))</f>
        <v/>
      </c>
      <c r="M155" s="25"/>
    </row>
    <row r="156" customFormat="false" ht="18.75" hidden="false" customHeight="true" outlineLevel="0" collapsed="false">
      <c r="B156" s="32" t="str">
        <f aca="false">IF('Item Master'!B152="","",'Item Master'!B152)</f>
        <v/>
      </c>
      <c r="C156" s="32" t="str">
        <f aca="false">IF(B156="","",IF('Item Master'!C152="","",'Item Master'!C152))</f>
        <v/>
      </c>
      <c r="D156" s="33" t="str">
        <f aca="false">IF(B156="","",IF('Item Master'!D152="","",'Item Master'!D152))</f>
        <v/>
      </c>
      <c r="E156" s="33" t="str">
        <f aca="false">IF(B156="","",IF('Item Master'!F152="","",'Item Master'!F152))</f>
        <v/>
      </c>
      <c r="F156" s="34" t="str">
        <f aca="false">IF(B156="","",IF('Item Master'!G152="","",'Item Master'!G152))</f>
        <v/>
      </c>
      <c r="G156" s="27"/>
      <c r="H156" s="27"/>
      <c r="I156" s="35" t="str">
        <f aca="false">IF(OR(B156="",G156=""),"",MAX(0,N(F156)-G156-N(H156)))</f>
        <v/>
      </c>
      <c r="J156" s="35" t="str">
        <f aca="false">IF(I156="","",ROUNDUP(I156/IF(N('Item Master'!I152)=0,1,'Item Master'!I152),0))</f>
        <v/>
      </c>
      <c r="K156" s="36"/>
      <c r="L156" s="33" t="str">
        <f aca="false">IF(B156="","",IF('Item Master'!H152="",E156,'Item Master'!H152))</f>
        <v/>
      </c>
      <c r="M156" s="25"/>
    </row>
    <row r="157" customFormat="false" ht="18.75" hidden="false" customHeight="true" outlineLevel="0" collapsed="false">
      <c r="B157" s="32" t="str">
        <f aca="false">IF('Item Master'!B153="","",'Item Master'!B153)</f>
        <v/>
      </c>
      <c r="C157" s="32" t="str">
        <f aca="false">IF(B157="","",IF('Item Master'!C153="","",'Item Master'!C153))</f>
        <v/>
      </c>
      <c r="D157" s="33" t="str">
        <f aca="false">IF(B157="","",IF('Item Master'!D153="","",'Item Master'!D153))</f>
        <v/>
      </c>
      <c r="E157" s="33" t="str">
        <f aca="false">IF(B157="","",IF('Item Master'!F153="","",'Item Master'!F153))</f>
        <v/>
      </c>
      <c r="F157" s="34" t="str">
        <f aca="false">IF(B157="","",IF('Item Master'!G153="","",'Item Master'!G153))</f>
        <v/>
      </c>
      <c r="G157" s="27"/>
      <c r="H157" s="27"/>
      <c r="I157" s="35" t="str">
        <f aca="false">IF(OR(B157="",G157=""),"",MAX(0,N(F157)-G157-N(H157)))</f>
        <v/>
      </c>
      <c r="J157" s="35" t="str">
        <f aca="false">IF(I157="","",ROUNDUP(I157/IF(N('Item Master'!I153)=0,1,'Item Master'!I153),0))</f>
        <v/>
      </c>
      <c r="K157" s="36"/>
      <c r="L157" s="33" t="str">
        <f aca="false">IF(B157="","",IF('Item Master'!H153="",E157,'Item Master'!H153))</f>
        <v/>
      </c>
      <c r="M157" s="25"/>
    </row>
    <row r="158" customFormat="false" ht="18.75" hidden="false" customHeight="true" outlineLevel="0" collapsed="false">
      <c r="B158" s="32" t="str">
        <f aca="false">IF('Item Master'!B154="","",'Item Master'!B154)</f>
        <v/>
      </c>
      <c r="C158" s="32" t="str">
        <f aca="false">IF(B158="","",IF('Item Master'!C154="","",'Item Master'!C154))</f>
        <v/>
      </c>
      <c r="D158" s="33" t="str">
        <f aca="false">IF(B158="","",IF('Item Master'!D154="","",'Item Master'!D154))</f>
        <v/>
      </c>
      <c r="E158" s="33" t="str">
        <f aca="false">IF(B158="","",IF('Item Master'!F154="","",'Item Master'!F154))</f>
        <v/>
      </c>
      <c r="F158" s="34" t="str">
        <f aca="false">IF(B158="","",IF('Item Master'!G154="","",'Item Master'!G154))</f>
        <v/>
      </c>
      <c r="G158" s="27"/>
      <c r="H158" s="27"/>
      <c r="I158" s="35" t="str">
        <f aca="false">IF(OR(B158="",G158=""),"",MAX(0,N(F158)-G158-N(H158)))</f>
        <v/>
      </c>
      <c r="J158" s="35" t="str">
        <f aca="false">IF(I158="","",ROUNDUP(I158/IF(N('Item Master'!I154)=0,1,'Item Master'!I154),0))</f>
        <v/>
      </c>
      <c r="K158" s="36"/>
      <c r="L158" s="33" t="str">
        <f aca="false">IF(B158="","",IF('Item Master'!H154="",E158,'Item Master'!H154))</f>
        <v/>
      </c>
      <c r="M158" s="25"/>
    </row>
    <row r="159" customFormat="false" ht="18.75" hidden="false" customHeight="true" outlineLevel="0" collapsed="false">
      <c r="B159" s="32" t="str">
        <f aca="false">IF('Item Master'!B155="","",'Item Master'!B155)</f>
        <v/>
      </c>
      <c r="C159" s="32" t="str">
        <f aca="false">IF(B159="","",IF('Item Master'!C155="","",'Item Master'!C155))</f>
        <v/>
      </c>
      <c r="D159" s="33" t="str">
        <f aca="false">IF(B159="","",IF('Item Master'!D155="","",'Item Master'!D155))</f>
        <v/>
      </c>
      <c r="E159" s="33" t="str">
        <f aca="false">IF(B159="","",IF('Item Master'!F155="","",'Item Master'!F155))</f>
        <v/>
      </c>
      <c r="F159" s="34" t="str">
        <f aca="false">IF(B159="","",IF('Item Master'!G155="","",'Item Master'!G155))</f>
        <v/>
      </c>
      <c r="G159" s="27"/>
      <c r="H159" s="27"/>
      <c r="I159" s="35" t="str">
        <f aca="false">IF(OR(B159="",G159=""),"",MAX(0,N(F159)-G159-N(H159)))</f>
        <v/>
      </c>
      <c r="J159" s="35" t="str">
        <f aca="false">IF(I159="","",ROUNDUP(I159/IF(N('Item Master'!I155)=0,1,'Item Master'!I155),0))</f>
        <v/>
      </c>
      <c r="K159" s="36"/>
      <c r="L159" s="33" t="str">
        <f aca="false">IF(B159="","",IF('Item Master'!H155="",E159,'Item Master'!H155))</f>
        <v/>
      </c>
      <c r="M159" s="25"/>
    </row>
  </sheetData>
  <sheetProtection sheet="true" autoFilter="false"/>
  <autoFilter ref="B9:M159"/>
  <mergeCells count="4">
    <mergeCell ref="C6:D6"/>
    <mergeCell ref="I6:M6"/>
    <mergeCell ref="C7:D7"/>
    <mergeCell ref="I7:M7"/>
  </mergeCells>
  <conditionalFormatting sqref="J10:J159">
    <cfRule type="expression" priority="2" aboveAverage="0" equalAverage="0" bottom="0" percent="0" rank="0" text="" dxfId="5">
      <formula>AND(ISNUMBER(J10),J10&gt;0)</formula>
    </cfRule>
  </conditionalFormatting>
  <dataValidations count="1">
    <dataValidation allowBlank="true" error="Type a number, 0 or more." errorStyle="stop" operator="greaterThanOrEqual" showDropDown="false" showErrorMessage="false" showInputMessage="false" sqref="G10:H159 K10:K159" type="decimal">
      <formula1>0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1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0" topLeftCell="B11" activePane="bottomRight" state="frozen"/>
      <selection pane="topLeft" activeCell="A1" activeCellId="0" sqref="A1"/>
      <selection pane="topRight" activeCell="B1" activeCellId="0" sqref="B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28"/>
    <col collapsed="false" customWidth="true" hidden="false" outlineLevel="0" max="4" min="4" style="0" width="9"/>
    <col collapsed="false" customWidth="true" hidden="false" outlineLevel="0" max="5" min="5" style="0" width="10"/>
    <col collapsed="false" customWidth="true" hidden="false" outlineLevel="0" max="6" min="6" style="0" width="16"/>
    <col collapsed="false" customWidth="true" hidden="false" outlineLevel="0" max="7" min="7" style="0" width="22"/>
    <col collapsed="false" customWidth="true" hidden="false" outlineLevel="0" max="8" min="8" style="0" width="13"/>
  </cols>
  <sheetData>
    <row r="2" customFormat="false" ht="21.75" hidden="false" customHeight="true" outlineLevel="0" collapsed="false">
      <c r="B2" s="1" t="s">
        <v>132</v>
      </c>
      <c r="C2" s="2"/>
      <c r="D2" s="2"/>
      <c r="E2" s="2"/>
      <c r="F2" s="2"/>
      <c r="G2" s="2"/>
      <c r="H2" s="2"/>
    </row>
    <row r="3" customFormat="false" ht="25.5" hidden="false" customHeight="true" outlineLevel="0" collapsed="false">
      <c r="B3" s="21" t="str">
        <f aca="false">IF(SEL="All","Order List - All Suppliers",SEL)</f>
        <v>Order List - All Suppliers</v>
      </c>
    </row>
    <row r="5" customFormat="false" ht="19.5" hidden="false" customHeight="true" outlineLevel="0" collapsed="false">
      <c r="C5" s="37" t="s">
        <v>71</v>
      </c>
      <c r="D5" s="12" t="s">
        <v>133</v>
      </c>
      <c r="E5" s="12"/>
      <c r="F5" s="12"/>
      <c r="G5" s="38" t="s">
        <v>134</v>
      </c>
      <c r="H5" s="39" t="n">
        <f aca="false">COUNTIF(C11:C90,"?*")</f>
        <v>15</v>
      </c>
    </row>
    <row r="6" customFormat="false" ht="19.5" hidden="false" customHeight="true" outlineLevel="0" collapsed="false">
      <c r="C6" s="37" t="s">
        <v>135</v>
      </c>
      <c r="D6" s="40" t="n">
        <f aca="false">'Daily Ordering'!C6</f>
        <v>46312</v>
      </c>
      <c r="E6" s="40"/>
      <c r="F6" s="40"/>
      <c r="G6" s="38" t="str">
        <f aca="false">"Est. Total ("&amp;CURRENCY&amp;")"</f>
        <v>Est. Total ($)</v>
      </c>
      <c r="H6" s="41" t="n">
        <f aca="false">SUM(H11:H90)</f>
        <v>1163</v>
      </c>
    </row>
    <row r="7" customFormat="false" ht="19.5" hidden="false" customHeight="true" outlineLevel="0" collapsed="false">
      <c r="C7" s="37" t="s">
        <v>136</v>
      </c>
      <c r="D7" s="42"/>
      <c r="E7" s="42"/>
      <c r="F7" s="42"/>
      <c r="G7" s="43" t="s">
        <v>137</v>
      </c>
      <c r="H7" s="43"/>
    </row>
    <row r="8" customFormat="false" ht="19.5" hidden="false" customHeight="true" outlineLevel="0" collapsed="false">
      <c r="C8" s="37" t="s">
        <v>138</v>
      </c>
      <c r="D8" s="26"/>
      <c r="E8" s="26"/>
      <c r="F8" s="26"/>
    </row>
    <row r="10" customFormat="false" ht="21.75" hidden="false" customHeight="true" outlineLevel="0" collapsed="false">
      <c r="B10" s="44" t="s">
        <v>139</v>
      </c>
      <c r="C10" s="45" t="s">
        <v>122</v>
      </c>
      <c r="D10" s="44" t="s">
        <v>140</v>
      </c>
      <c r="E10" s="44" t="s">
        <v>123</v>
      </c>
      <c r="F10" s="44" t="s">
        <v>141</v>
      </c>
      <c r="G10" s="45" t="s">
        <v>71</v>
      </c>
      <c r="H10" s="46" t="str">
        <f aca="false">"Est. ("&amp;CURRENCY&amp;")"</f>
        <v>Est. ($)</v>
      </c>
    </row>
    <row r="11" customFormat="false" ht="18.75" hidden="false" customHeight="true" outlineLevel="0" collapsed="false">
      <c r="B11" s="47" t="n">
        <f aca="false">IF(Lists!$H$2="","",1)</f>
        <v>1</v>
      </c>
      <c r="C11" s="48" t="str">
        <f aca="false">IF(Lists!$H$2="","",INDEX('Item Master'!$B$6:$B$155,Lists!$H$2))</f>
        <v>Salmon Fillet</v>
      </c>
      <c r="D11" s="49" t="n">
        <f aca="false">IF(Lists!$H$2="","",INDEX(Lists!$E$2:$E$151,Lists!$H$2))</f>
        <v>5</v>
      </c>
      <c r="E11" s="50" t="str">
        <f aca="false">IF(Lists!$H$2="","",INDEX('Daily Ordering'!$L$10:$L$159,Lists!$H$2))</f>
        <v>kg</v>
      </c>
      <c r="F11" s="50" t="str">
        <f aca="false">IF(Lists!$H$2="","","= "&amp;TEXT(D11*IF(N(INDEX('Item Master'!$I$6:$I$155,Lists!$H$2))=0,1,INDEX('Item Master'!$I$6:$I$155,Lists!$H$2)),"#,##0.##")&amp;" "&amp;INDEX('Daily Ordering'!$E$10:$E$159,Lists!$H$2))</f>
        <v>= 5 kg</v>
      </c>
      <c r="G11" s="48" t="str">
        <f aca="false">IF(Lists!$H$2="","",IF(INDEX('Item Master'!$E$6:$E$155,Lists!$H$2)="","(No supplier)",INDEX('Item Master'!$E$6:$E$155,Lists!$H$2)))</f>
        <v>Ocean Fresh Seafood</v>
      </c>
      <c r="H11" s="51" t="n">
        <f aca="false">IF(Lists!$H$2="","",IF(ISNUMBER(INDEX('Item Master'!$J$6:$J$155,Lists!$H$2)),D11*INDEX('Item Master'!$J$6:$J$155,Lists!$H$2),""))</f>
        <v>200</v>
      </c>
    </row>
    <row r="12" customFormat="false" ht="18.75" hidden="false" customHeight="true" outlineLevel="0" collapsed="false">
      <c r="B12" s="47" t="n">
        <f aca="false">IF(Lists!$H$3="","",2)</f>
        <v>2</v>
      </c>
      <c r="C12" s="48" t="str">
        <f aca="false">IF(Lists!$H$3="","",INDEX('Item Master'!$B$6:$B$155,Lists!$H$3))</f>
        <v>Ribeye</v>
      </c>
      <c r="D12" s="49" t="n">
        <f aca="false">IF(Lists!$H$3="","",INDEX(Lists!$E$2:$E$151,Lists!$H$3))</f>
        <v>3</v>
      </c>
      <c r="E12" s="50" t="str">
        <f aca="false">IF(Lists!$H$3="","",INDEX('Daily Ordering'!$L$10:$L$159,Lists!$H$3))</f>
        <v>kg</v>
      </c>
      <c r="F12" s="50" t="str">
        <f aca="false">IF(Lists!$H$3="","","= "&amp;TEXT(D12*IF(N(INDEX('Item Master'!$I$6:$I$155,Lists!$H$3))=0,1,INDEX('Item Master'!$I$6:$I$155,Lists!$H$3)),"#,##0.##")&amp;" "&amp;INDEX('Daily Ordering'!$E$10:$E$159,Lists!$H$3))</f>
        <v>= 3 kg</v>
      </c>
      <c r="G12" s="48" t="str">
        <f aca="false">IF(Lists!$H$3="","",IF(INDEX('Item Master'!$E$6:$E$155,Lists!$H$3)="","(No supplier)",INDEX('Item Master'!$E$6:$E$155,Lists!$H$3)))</f>
        <v>Prime Meats</v>
      </c>
      <c r="H12" s="51" t="n">
        <f aca="false">IF(Lists!$H$3="","",IF(ISNUMBER(INDEX('Item Master'!$J$6:$J$155,Lists!$H$3)),D12*INDEX('Item Master'!$J$6:$J$155,Lists!$H$3),""))</f>
        <v>210</v>
      </c>
    </row>
    <row r="13" customFormat="false" ht="18.75" hidden="false" customHeight="true" outlineLevel="0" collapsed="false">
      <c r="B13" s="47" t="n">
        <f aca="false">IF(Lists!$H$4="","",3)</f>
        <v>3</v>
      </c>
      <c r="C13" s="48" t="str">
        <f aca="false">IF(Lists!$H$4="","",INDEX('Item Master'!$B$6:$B$155,Lists!$H$4))</f>
        <v>Chicken Breast</v>
      </c>
      <c r="D13" s="49" t="n">
        <f aca="false">IF(Lists!$H$4="","",INDEX(Lists!$E$2:$E$151,Lists!$H$4))</f>
        <v>3</v>
      </c>
      <c r="E13" s="50" t="str">
        <f aca="false">IF(Lists!$H$4="","",INDEX('Daily Ordering'!$L$10:$L$159,Lists!$H$4))</f>
        <v>Box</v>
      </c>
      <c r="F13" s="50" t="str">
        <f aca="false">IF(Lists!$H$4="","","= "&amp;TEXT(D13*IF(N(INDEX('Item Master'!$I$6:$I$155,Lists!$H$4))=0,1,INDEX('Item Master'!$I$6:$I$155,Lists!$H$4)),"#,##0.##")&amp;" "&amp;INDEX('Daily Ordering'!$E$10:$E$159,Lists!$H$4))</f>
        <v>= 15 kg</v>
      </c>
      <c r="G13" s="48" t="str">
        <f aca="false">IF(Lists!$H$4="","",IF(INDEX('Item Master'!$E$6:$E$155,Lists!$H$4)="","(No supplier)",INDEX('Item Master'!$E$6:$E$155,Lists!$H$4)))</f>
        <v>Prime Meats</v>
      </c>
      <c r="H13" s="51" t="n">
        <f aca="false">IF(Lists!$H$4="","",IF(ISNUMBER(INDEX('Item Master'!$J$6:$J$155,Lists!$H$4)),D13*INDEX('Item Master'!$J$6:$J$155,Lists!$H$4),""))</f>
        <v>135</v>
      </c>
    </row>
    <row r="14" customFormat="false" ht="18.75" hidden="false" customHeight="true" outlineLevel="0" collapsed="false">
      <c r="B14" s="47" t="n">
        <f aca="false">IF(Lists!$H$5="","",4)</f>
        <v>4</v>
      </c>
      <c r="C14" s="48" t="str">
        <f aca="false">IF(Lists!$H$5="","",INDEX('Item Master'!$B$6:$B$155,Lists!$H$5))</f>
        <v>Tomato</v>
      </c>
      <c r="D14" s="49" t="n">
        <f aca="false">IF(Lists!$H$5="","",INDEX(Lists!$E$2:$E$151,Lists!$H$5))</f>
        <v>4</v>
      </c>
      <c r="E14" s="50" t="str">
        <f aca="false">IF(Lists!$H$5="","",INDEX('Daily Ordering'!$L$10:$L$159,Lists!$H$5))</f>
        <v>kg</v>
      </c>
      <c r="F14" s="50" t="str">
        <f aca="false">IF(Lists!$H$5="","","= "&amp;TEXT(D14*IF(N(INDEX('Item Master'!$I$6:$I$155,Lists!$H$5))=0,1,INDEX('Item Master'!$I$6:$I$155,Lists!$H$5)),"#,##0.##")&amp;" "&amp;INDEX('Daily Ordering'!$E$10:$E$159,Lists!$H$5))</f>
        <v>= 4 kg</v>
      </c>
      <c r="G14" s="48" t="str">
        <f aca="false">IF(Lists!$H$5="","",IF(INDEX('Item Master'!$E$6:$E$155,Lists!$H$5)="","(No supplier)",INDEX('Item Master'!$E$6:$E$155,Lists!$H$5)))</f>
        <v>Green Farm Produce</v>
      </c>
      <c r="H14" s="51" t="n">
        <f aca="false">IF(Lists!$H$5="","",IF(ISNUMBER(INDEX('Item Master'!$J$6:$J$155,Lists!$H$5)),D14*INDEX('Item Master'!$J$6:$J$155,Lists!$H$5),""))</f>
        <v>16</v>
      </c>
    </row>
    <row r="15" customFormat="false" ht="18.75" hidden="false" customHeight="true" outlineLevel="0" collapsed="false">
      <c r="B15" s="47" t="n">
        <f aca="false">IF(Lists!$H$6="","",5)</f>
        <v>5</v>
      </c>
      <c r="C15" s="48" t="str">
        <f aca="false">IF(Lists!$H$6="","",INDEX('Item Master'!$B$6:$B$155,Lists!$H$6))</f>
        <v>Romaine Lettuce</v>
      </c>
      <c r="D15" s="49" t="n">
        <f aca="false">IF(Lists!$H$6="","",INDEX(Lists!$E$2:$E$151,Lists!$H$6))</f>
        <v>2</v>
      </c>
      <c r="E15" s="50" t="str">
        <f aca="false">IF(Lists!$H$6="","",INDEX('Daily Ordering'!$L$10:$L$159,Lists!$H$6))</f>
        <v>Case</v>
      </c>
      <c r="F15" s="50" t="str">
        <f aca="false">IF(Lists!$H$6="","","= "&amp;TEXT(D15*IF(N(INDEX('Item Master'!$I$6:$I$155,Lists!$H$6))=0,1,INDEX('Item Master'!$I$6:$I$155,Lists!$H$6)),"#,##0.##")&amp;" "&amp;INDEX('Daily Ordering'!$E$10:$E$159,Lists!$H$6))</f>
        <v>= 24 pc</v>
      </c>
      <c r="G15" s="48" t="str">
        <f aca="false">IF(Lists!$H$6="","",IF(INDEX('Item Master'!$E$6:$E$155,Lists!$H$6)="","(No supplier)",INDEX('Item Master'!$E$6:$E$155,Lists!$H$6)))</f>
        <v>Green Farm Produce</v>
      </c>
      <c r="H15" s="51" t="n">
        <f aca="false">IF(Lists!$H$6="","",IF(ISNUMBER(INDEX('Item Master'!$J$6:$J$155,Lists!$H$6)),D15*INDEX('Item Master'!$J$6:$J$155,Lists!$H$6),""))</f>
        <v>36</v>
      </c>
    </row>
    <row r="16" customFormat="false" ht="18.75" hidden="false" customHeight="true" outlineLevel="0" collapsed="false">
      <c r="B16" s="47" t="n">
        <f aca="false">IF(Lists!$H$7="","",6)</f>
        <v>6</v>
      </c>
      <c r="C16" s="48" t="str">
        <f aca="false">IF(Lists!$H$7="","",INDEX('Item Master'!$B$6:$B$155,Lists!$H$7))</f>
        <v>Onion</v>
      </c>
      <c r="D16" s="49" t="n">
        <f aca="false">IF(Lists!$H$7="","",INDEX(Lists!$E$2:$E$151,Lists!$H$7))</f>
        <v>1</v>
      </c>
      <c r="E16" s="50" t="str">
        <f aca="false">IF(Lists!$H$7="","",INDEX('Daily Ordering'!$L$10:$L$159,Lists!$H$7))</f>
        <v>Bag</v>
      </c>
      <c r="F16" s="50" t="str">
        <f aca="false">IF(Lists!$H$7="","","= "&amp;TEXT(D16*IF(N(INDEX('Item Master'!$I$6:$I$155,Lists!$H$7))=0,1,INDEX('Item Master'!$I$6:$I$155,Lists!$H$7)),"#,##0.##")&amp;" "&amp;INDEX('Daily Ordering'!$E$10:$E$159,Lists!$H$7))</f>
        <v>= 10 kg</v>
      </c>
      <c r="G16" s="48" t="str">
        <f aca="false">IF(Lists!$H$7="","",IF(INDEX('Item Master'!$E$6:$E$155,Lists!$H$7)="","(No supplier)",INDEX('Item Master'!$E$6:$E$155,Lists!$H$7)))</f>
        <v>Green Farm Produce</v>
      </c>
      <c r="H16" s="51" t="n">
        <f aca="false">IF(Lists!$H$7="","",IF(ISNUMBER(INDEX('Item Master'!$J$6:$J$155,Lists!$H$7)),D16*INDEX('Item Master'!$J$6:$J$155,Lists!$H$7),""))</f>
        <v>12</v>
      </c>
    </row>
    <row r="17" customFormat="false" ht="18.75" hidden="false" customHeight="true" outlineLevel="0" collapsed="false">
      <c r="B17" s="47" t="n">
        <f aca="false">IF(Lists!$H$8="","",7)</f>
        <v>7</v>
      </c>
      <c r="C17" s="48" t="str">
        <f aca="false">IF(Lists!$H$8="","",INDEX('Item Master'!$B$6:$B$155,Lists!$H$8))</f>
        <v>Cream 35%</v>
      </c>
      <c r="D17" s="49" t="n">
        <f aca="false">IF(Lists!$H$8="","",INDEX(Lists!$E$2:$E$151,Lists!$H$8))</f>
        <v>1</v>
      </c>
      <c r="E17" s="50" t="str">
        <f aca="false">IF(Lists!$H$8="","",INDEX('Daily Ordering'!$L$10:$L$159,Lists!$H$8))</f>
        <v>Case</v>
      </c>
      <c r="F17" s="50" t="str">
        <f aca="false">IF(Lists!$H$8="","","= "&amp;TEXT(D17*IF(N(INDEX('Item Master'!$I$6:$I$155,Lists!$H$8))=0,1,INDEX('Item Master'!$I$6:$I$155,Lists!$H$8)),"#,##0.##")&amp;" "&amp;INDEX('Daily Ordering'!$E$10:$E$159,Lists!$H$8))</f>
        <v>= 12 L</v>
      </c>
      <c r="G17" s="48" t="str">
        <f aca="false">IF(Lists!$H$8="","",IF(INDEX('Item Master'!$E$6:$E$155,Lists!$H$8)="","(No supplier)",INDEX('Item Master'!$E$6:$E$155,Lists!$H$8)))</f>
        <v>Daily Dairy</v>
      </c>
      <c r="H17" s="51" t="n">
        <f aca="false">IF(Lists!$H$8="","",IF(ISNUMBER(INDEX('Item Master'!$J$6:$J$155,Lists!$H$8)),D17*INDEX('Item Master'!$J$6:$J$155,Lists!$H$8),""))</f>
        <v>60</v>
      </c>
    </row>
    <row r="18" customFormat="false" ht="18.75" hidden="false" customHeight="true" outlineLevel="0" collapsed="false">
      <c r="B18" s="47" t="n">
        <f aca="false">IF(Lists!$H$9="","",8)</f>
        <v>8</v>
      </c>
      <c r="C18" s="48" t="str">
        <f aca="false">IF(Lists!$H$9="","",INDEX('Item Master'!$B$6:$B$155,Lists!$H$9))</f>
        <v>Milk</v>
      </c>
      <c r="D18" s="49" t="n">
        <f aca="false">IF(Lists!$H$9="","",INDEX(Lists!$E$2:$E$151,Lists!$H$9))</f>
        <v>1</v>
      </c>
      <c r="E18" s="50" t="str">
        <f aca="false">IF(Lists!$H$9="","",INDEX('Daily Ordering'!$L$10:$L$159,Lists!$H$9))</f>
        <v>Case</v>
      </c>
      <c r="F18" s="50" t="str">
        <f aca="false">IF(Lists!$H$9="","","= "&amp;TEXT(D18*IF(N(INDEX('Item Master'!$I$6:$I$155,Lists!$H$9))=0,1,INDEX('Item Master'!$I$6:$I$155,Lists!$H$9)),"#,##0.##")&amp;" "&amp;INDEX('Daily Ordering'!$E$10:$E$159,Lists!$H$9))</f>
        <v>= 12 L</v>
      </c>
      <c r="G18" s="48" t="str">
        <f aca="false">IF(Lists!$H$9="","",IF(INDEX('Item Master'!$E$6:$E$155,Lists!$H$9)="","(No supplier)",INDEX('Item Master'!$E$6:$E$155,Lists!$H$9)))</f>
        <v>Daily Dairy</v>
      </c>
      <c r="H18" s="51" t="n">
        <f aca="false">IF(Lists!$H$9="","",IF(ISNUMBER(INDEX('Item Master'!$J$6:$J$155,Lists!$H$9)),D18*INDEX('Item Master'!$J$6:$J$155,Lists!$H$9),""))</f>
        <v>30</v>
      </c>
    </row>
    <row r="19" customFormat="false" ht="18.75" hidden="false" customHeight="true" outlineLevel="0" collapsed="false">
      <c r="B19" s="47" t="n">
        <f aca="false">IF(Lists!$H$10="","",9)</f>
        <v>9</v>
      </c>
      <c r="C19" s="48" t="str">
        <f aca="false">IF(Lists!$H$10="","",INDEX('Item Master'!$B$6:$B$155,Lists!$H$10))</f>
        <v>Mozzarella</v>
      </c>
      <c r="D19" s="49" t="n">
        <f aca="false">IF(Lists!$H$10="","",INDEX(Lists!$E$2:$E$151,Lists!$H$10))</f>
        <v>1</v>
      </c>
      <c r="E19" s="50" t="str">
        <f aca="false">IF(Lists!$H$10="","",INDEX('Daily Ordering'!$L$10:$L$159,Lists!$H$10))</f>
        <v>Bag</v>
      </c>
      <c r="F19" s="50" t="str">
        <f aca="false">IF(Lists!$H$10="","","= "&amp;TEXT(D19*IF(N(INDEX('Item Master'!$I$6:$I$155,Lists!$H$10))=0,1,INDEX('Item Master'!$I$6:$I$155,Lists!$H$10)),"#,##0.##")&amp;" "&amp;INDEX('Daily Ordering'!$E$10:$E$159,Lists!$H$10))</f>
        <v>= 2 kg</v>
      </c>
      <c r="G19" s="48" t="str">
        <f aca="false">IF(Lists!$H$10="","",IF(INDEX('Item Master'!$E$6:$E$155,Lists!$H$10)="","(No supplier)",INDEX('Item Master'!$E$6:$E$155,Lists!$H$10)))</f>
        <v>Daily Dairy</v>
      </c>
      <c r="H19" s="51" t="n">
        <f aca="false">IF(Lists!$H$10="","",IF(ISNUMBER(INDEX('Item Master'!$J$6:$J$155,Lists!$H$10)),D19*INDEX('Item Master'!$J$6:$J$155,Lists!$H$10),""))</f>
        <v>30</v>
      </c>
    </row>
    <row r="20" customFormat="false" ht="18.75" hidden="false" customHeight="true" outlineLevel="0" collapsed="false">
      <c r="B20" s="47" t="n">
        <f aca="false">IF(Lists!$H$11="","",10)</f>
        <v>10</v>
      </c>
      <c r="C20" s="48" t="str">
        <f aca="false">IF(Lists!$H$11="","",INDEX('Item Master'!$B$6:$B$155,Lists!$H$11))</f>
        <v>Frozen Fries</v>
      </c>
      <c r="D20" s="49" t="n">
        <f aca="false">IF(Lists!$H$11="","",INDEX(Lists!$E$2:$E$151,Lists!$H$11))</f>
        <v>2</v>
      </c>
      <c r="E20" s="50" t="str">
        <f aca="false">IF(Lists!$H$11="","",INDEX('Daily Ordering'!$L$10:$L$159,Lists!$H$11))</f>
        <v>Case</v>
      </c>
      <c r="F20" s="50" t="str">
        <f aca="false">IF(Lists!$H$11="","","= "&amp;TEXT(D20*IF(N(INDEX('Item Master'!$I$6:$I$155,Lists!$H$11))=0,1,INDEX('Item Master'!$I$6:$I$155,Lists!$H$11)),"#,##0.##")&amp;" "&amp;INDEX('Daily Ordering'!$E$10:$E$159,Lists!$H$11))</f>
        <v>= 20 kg</v>
      </c>
      <c r="G20" s="48" t="str">
        <f aca="false">IF(Lists!$H$11="","",IF(INDEX('Item Master'!$E$6:$E$155,Lists!$H$11)="","(No supplier)",INDEX('Item Master'!$E$6:$E$155,Lists!$H$11)))</f>
        <v>Frozen Foods Co</v>
      </c>
      <c r="H20" s="51" t="n">
        <f aca="false">IF(Lists!$H$11="","",IF(ISNUMBER(INDEX('Item Master'!$J$6:$J$155,Lists!$H$11)),D20*INDEX('Item Master'!$J$6:$J$155,Lists!$H$11),""))</f>
        <v>110</v>
      </c>
    </row>
    <row r="21" customFormat="false" ht="18.75" hidden="false" customHeight="true" outlineLevel="0" collapsed="false">
      <c r="B21" s="47" t="n">
        <f aca="false">IF(Lists!$H$12="","",11)</f>
        <v>11</v>
      </c>
      <c r="C21" s="48" t="str">
        <f aca="false">IF(Lists!$H$12="","",INDEX('Item Master'!$B$6:$B$155,Lists!$H$12))</f>
        <v>Frozen Dumplings</v>
      </c>
      <c r="D21" s="49" t="n">
        <f aca="false">IF(Lists!$H$12="","",INDEX(Lists!$E$2:$E$151,Lists!$H$12))</f>
        <v>3</v>
      </c>
      <c r="E21" s="50" t="str">
        <f aca="false">IF(Lists!$H$12="","",INDEX('Daily Ordering'!$L$10:$L$159,Lists!$H$12))</f>
        <v>Bag</v>
      </c>
      <c r="F21" s="50" t="str">
        <f aca="false">IF(Lists!$H$12="","","= "&amp;TEXT(D21*IF(N(INDEX('Item Master'!$I$6:$I$155,Lists!$H$12))=0,1,INDEX('Item Master'!$I$6:$I$155,Lists!$H$12)),"#,##0.##")&amp;" "&amp;INDEX('Daily Ordering'!$E$10:$E$159,Lists!$H$12))</f>
        <v>= 150 pc</v>
      </c>
      <c r="G21" s="48" t="str">
        <f aca="false">IF(Lists!$H$12="","",IF(INDEX('Item Master'!$E$6:$E$155,Lists!$H$12)="","(No supplier)",INDEX('Item Master'!$E$6:$E$155,Lists!$H$12)))</f>
        <v>Frozen Foods Co</v>
      </c>
      <c r="H21" s="51" t="n">
        <f aca="false">IF(Lists!$H$12="","",IF(ISNUMBER(INDEX('Item Master'!$J$6:$J$155,Lists!$H$12)),D21*INDEX('Item Master'!$J$6:$J$155,Lists!$H$12),""))</f>
        <v>75</v>
      </c>
    </row>
    <row r="22" customFormat="false" ht="18.75" hidden="false" customHeight="true" outlineLevel="0" collapsed="false">
      <c r="B22" s="47" t="n">
        <f aca="false">IF(Lists!$H$13="","",12)</f>
        <v>12</v>
      </c>
      <c r="C22" s="48" t="str">
        <f aca="false">IF(Lists!$H$13="","",INDEX('Item Master'!$B$6:$B$155,Lists!$H$13))</f>
        <v>Jasmine Rice</v>
      </c>
      <c r="D22" s="49" t="n">
        <f aca="false">IF(Lists!$H$13="","",INDEX(Lists!$E$2:$E$151,Lists!$H$13))</f>
        <v>2</v>
      </c>
      <c r="E22" s="50" t="str">
        <f aca="false">IF(Lists!$H$13="","",INDEX('Daily Ordering'!$L$10:$L$159,Lists!$H$13))</f>
        <v>Bag</v>
      </c>
      <c r="F22" s="50" t="str">
        <f aca="false">IF(Lists!$H$13="","","= "&amp;TEXT(D22*IF(N(INDEX('Item Master'!$I$6:$I$155,Lists!$H$13))=0,1,INDEX('Item Master'!$I$6:$I$155,Lists!$H$13)),"#,##0.##")&amp;" "&amp;INDEX('Daily Ordering'!$E$10:$E$159,Lists!$H$13))</f>
        <v>= 50 kg</v>
      </c>
      <c r="G22" s="48" t="str">
        <f aca="false">IF(Lists!$H$13="","",IF(INDEX('Item Master'!$E$6:$E$155,Lists!$H$13)="","(No supplier)",INDEX('Item Master'!$E$6:$E$155,Lists!$H$13)))</f>
        <v>Dry Goods Trading</v>
      </c>
      <c r="H22" s="51" t="n">
        <f aca="false">IF(Lists!$H$13="","",IF(ISNUMBER(INDEX('Item Master'!$J$6:$J$155,Lists!$H$13)),D22*INDEX('Item Master'!$J$6:$J$155,Lists!$H$13),""))</f>
        <v>120</v>
      </c>
    </row>
    <row r="23" customFormat="false" ht="18.75" hidden="false" customHeight="true" outlineLevel="0" collapsed="false">
      <c r="B23" s="47" t="n">
        <f aca="false">IF(Lists!$H$14="","",13)</f>
        <v>13</v>
      </c>
      <c r="C23" s="48" t="str">
        <f aca="false">IF(Lists!$H$14="","",INDEX('Item Master'!$B$6:$B$155,Lists!$H$14))</f>
        <v>Flour Tipo 00</v>
      </c>
      <c r="D23" s="49" t="n">
        <f aca="false">IF(Lists!$H$14="","",INDEX(Lists!$E$2:$E$151,Lists!$H$14))</f>
        <v>1</v>
      </c>
      <c r="E23" s="50" t="str">
        <f aca="false">IF(Lists!$H$14="","",INDEX('Daily Ordering'!$L$10:$L$159,Lists!$H$14))</f>
        <v>Bag</v>
      </c>
      <c r="F23" s="50" t="str">
        <f aca="false">IF(Lists!$H$14="","","= "&amp;TEXT(D23*IF(N(INDEX('Item Master'!$I$6:$I$155,Lists!$H$14))=0,1,INDEX('Item Master'!$I$6:$I$155,Lists!$H$14)),"#,##0.##")&amp;" "&amp;INDEX('Daily Ordering'!$E$10:$E$159,Lists!$H$14))</f>
        <v>= 25 kg</v>
      </c>
      <c r="G23" s="48" t="str">
        <f aca="false">IF(Lists!$H$14="","",IF(INDEX('Item Master'!$E$6:$E$155,Lists!$H$14)="","(No supplier)",INDEX('Item Master'!$E$6:$E$155,Lists!$H$14)))</f>
        <v>Dry Goods Trading</v>
      </c>
      <c r="H23" s="51" t="n">
        <f aca="false">IF(Lists!$H$14="","",IF(ISNUMBER(INDEX('Item Master'!$J$6:$J$155,Lists!$H$14)),D23*INDEX('Item Master'!$J$6:$J$155,Lists!$H$14),""))</f>
        <v>30</v>
      </c>
    </row>
    <row r="24" customFormat="false" ht="18.75" hidden="false" customHeight="true" outlineLevel="0" collapsed="false">
      <c r="B24" s="47" t="n">
        <f aca="false">IF(Lists!$H$15="","",14)</f>
        <v>14</v>
      </c>
      <c r="C24" s="48" t="str">
        <f aca="false">IF(Lists!$H$15="","",INDEX('Item Master'!$B$6:$B$155,Lists!$H$15))</f>
        <v>Olive Oil</v>
      </c>
      <c r="D24" s="49" t="n">
        <f aca="false">IF(Lists!$H$15="","",INDEX(Lists!$E$2:$E$151,Lists!$H$15))</f>
        <v>1</v>
      </c>
      <c r="E24" s="50" t="str">
        <f aca="false">IF(Lists!$H$15="","",INDEX('Daily Ordering'!$L$10:$L$159,Lists!$H$15))</f>
        <v>Tin</v>
      </c>
      <c r="F24" s="50" t="str">
        <f aca="false">IF(Lists!$H$15="","","= "&amp;TEXT(D24*IF(N(INDEX('Item Master'!$I$6:$I$155,Lists!$H$15))=0,1,INDEX('Item Master'!$I$6:$I$155,Lists!$H$15)),"#,##0.##")&amp;" "&amp;INDEX('Daily Ordering'!$E$10:$E$159,Lists!$H$15))</f>
        <v>= 5 L</v>
      </c>
      <c r="G24" s="48" t="str">
        <f aca="false">IF(Lists!$H$15="","",IF(INDEX('Item Master'!$E$6:$E$155,Lists!$H$15)="","(No supplier)",INDEX('Item Master'!$E$6:$E$155,Lists!$H$15)))</f>
        <v>Dry Goods Trading</v>
      </c>
      <c r="H24" s="51" t="n">
        <f aca="false">IF(Lists!$H$15="","",IF(ISNUMBER(INDEX('Item Master'!$J$6:$J$155,Lists!$H$15)),D24*INDEX('Item Master'!$J$6:$J$155,Lists!$H$15),""))</f>
        <v>50</v>
      </c>
    </row>
    <row r="25" customFormat="false" ht="18.75" hidden="false" customHeight="true" outlineLevel="0" collapsed="false">
      <c r="B25" s="47" t="n">
        <f aca="false">IF(Lists!$H$16="","",15)</f>
        <v>15</v>
      </c>
      <c r="C25" s="48" t="str">
        <f aca="false">IF(Lists!$H$16="","",INDEX('Item Master'!$B$6:$B$155,Lists!$H$16))</f>
        <v>Sourdough Bread</v>
      </c>
      <c r="D25" s="49" t="n">
        <f aca="false">IF(Lists!$H$16="","",INDEX(Lists!$E$2:$E$151,Lists!$H$16))</f>
        <v>14</v>
      </c>
      <c r="E25" s="50" t="str">
        <f aca="false">IF(Lists!$H$16="","",INDEX('Daily Ordering'!$L$10:$L$159,Lists!$H$16))</f>
        <v>pc</v>
      </c>
      <c r="F25" s="50" t="str">
        <f aca="false">IF(Lists!$H$16="","","= "&amp;TEXT(D25*IF(N(INDEX('Item Master'!$I$6:$I$155,Lists!$H$16))=0,1,INDEX('Item Master'!$I$6:$I$155,Lists!$H$16)),"#,##0.##")&amp;" "&amp;INDEX('Daily Ordering'!$E$10:$E$159,Lists!$H$16))</f>
        <v>= 14 pc</v>
      </c>
      <c r="G25" s="48" t="str">
        <f aca="false">IF(Lists!$H$16="","",IF(INDEX('Item Master'!$E$6:$E$155,Lists!$H$16)="","(No supplier)",INDEX('Item Master'!$E$6:$E$155,Lists!$H$16)))</f>
        <v>City Bakery</v>
      </c>
      <c r="H25" s="51" t="n">
        <f aca="false">IF(Lists!$H$16="","",IF(ISNUMBER(INDEX('Item Master'!$J$6:$J$155,Lists!$H$16)),D25*INDEX('Item Master'!$J$6:$J$155,Lists!$H$16),""))</f>
        <v>49</v>
      </c>
    </row>
    <row r="26" customFormat="false" ht="18.75" hidden="false" customHeight="true" outlineLevel="0" collapsed="false">
      <c r="B26" s="47" t="str">
        <f aca="false">IF(Lists!$H$17="","",16)</f>
        <v/>
      </c>
      <c r="C26" s="48" t="str">
        <f aca="false">IF(Lists!$H$17="","",INDEX('Item Master'!$B$6:$B$155,Lists!$H$17))</f>
        <v/>
      </c>
      <c r="D26" s="49" t="str">
        <f aca="false">IF(Lists!$H$17="","",INDEX(Lists!$E$2:$E$151,Lists!$H$17))</f>
        <v/>
      </c>
      <c r="E26" s="50" t="str">
        <f aca="false">IF(Lists!$H$17="","",INDEX('Daily Ordering'!$L$10:$L$159,Lists!$H$17))</f>
        <v/>
      </c>
      <c r="F26" s="50" t="str">
        <f aca="false">IF(Lists!$H$17="","","= "&amp;TEXT(D26*IF(N(INDEX('Item Master'!$I$6:$I$155,Lists!$H$17))=0,1,INDEX('Item Master'!$I$6:$I$155,Lists!$H$17)),"#,##0.##")&amp;" "&amp;INDEX('Daily Ordering'!$E$10:$E$159,Lists!$H$17))</f>
        <v/>
      </c>
      <c r="G26" s="48" t="str">
        <f aca="false">IF(Lists!$H$17="","",IF(INDEX('Item Master'!$E$6:$E$155,Lists!$H$17)="","(No supplier)",INDEX('Item Master'!$E$6:$E$155,Lists!$H$17)))</f>
        <v/>
      </c>
      <c r="H26" s="51" t="str">
        <f aca="false">IF(Lists!$H$17="","",IF(ISNUMBER(INDEX('Item Master'!$J$6:$J$155,Lists!$H$17)),D26*INDEX('Item Master'!$J$6:$J$155,Lists!$H$17),""))</f>
        <v/>
      </c>
    </row>
    <row r="27" customFormat="false" ht="18.75" hidden="false" customHeight="true" outlineLevel="0" collapsed="false">
      <c r="B27" s="47" t="str">
        <f aca="false">IF(Lists!$H$18="","",17)</f>
        <v/>
      </c>
      <c r="C27" s="48" t="str">
        <f aca="false">IF(Lists!$H$18="","",INDEX('Item Master'!$B$6:$B$155,Lists!$H$18))</f>
        <v/>
      </c>
      <c r="D27" s="49" t="str">
        <f aca="false">IF(Lists!$H$18="","",INDEX(Lists!$E$2:$E$151,Lists!$H$18))</f>
        <v/>
      </c>
      <c r="E27" s="50" t="str">
        <f aca="false">IF(Lists!$H$18="","",INDEX('Daily Ordering'!$L$10:$L$159,Lists!$H$18))</f>
        <v/>
      </c>
      <c r="F27" s="50" t="str">
        <f aca="false">IF(Lists!$H$18="","","= "&amp;TEXT(D27*IF(N(INDEX('Item Master'!$I$6:$I$155,Lists!$H$18))=0,1,INDEX('Item Master'!$I$6:$I$155,Lists!$H$18)),"#,##0.##")&amp;" "&amp;INDEX('Daily Ordering'!$E$10:$E$159,Lists!$H$18))</f>
        <v/>
      </c>
      <c r="G27" s="48" t="str">
        <f aca="false">IF(Lists!$H$18="","",IF(INDEX('Item Master'!$E$6:$E$155,Lists!$H$18)="","(No supplier)",INDEX('Item Master'!$E$6:$E$155,Lists!$H$18)))</f>
        <v/>
      </c>
      <c r="H27" s="51" t="str">
        <f aca="false">IF(Lists!$H$18="","",IF(ISNUMBER(INDEX('Item Master'!$J$6:$J$155,Lists!$H$18)),D27*INDEX('Item Master'!$J$6:$J$155,Lists!$H$18),""))</f>
        <v/>
      </c>
    </row>
    <row r="28" customFormat="false" ht="18.75" hidden="false" customHeight="true" outlineLevel="0" collapsed="false">
      <c r="B28" s="47" t="str">
        <f aca="false">IF(Lists!$H$19="","",18)</f>
        <v/>
      </c>
      <c r="C28" s="48" t="str">
        <f aca="false">IF(Lists!$H$19="","",INDEX('Item Master'!$B$6:$B$155,Lists!$H$19))</f>
        <v/>
      </c>
      <c r="D28" s="49" t="str">
        <f aca="false">IF(Lists!$H$19="","",INDEX(Lists!$E$2:$E$151,Lists!$H$19))</f>
        <v/>
      </c>
      <c r="E28" s="50" t="str">
        <f aca="false">IF(Lists!$H$19="","",INDEX('Daily Ordering'!$L$10:$L$159,Lists!$H$19))</f>
        <v/>
      </c>
      <c r="F28" s="50" t="str">
        <f aca="false">IF(Lists!$H$19="","","= "&amp;TEXT(D28*IF(N(INDEX('Item Master'!$I$6:$I$155,Lists!$H$19))=0,1,INDEX('Item Master'!$I$6:$I$155,Lists!$H$19)),"#,##0.##")&amp;" "&amp;INDEX('Daily Ordering'!$E$10:$E$159,Lists!$H$19))</f>
        <v/>
      </c>
      <c r="G28" s="48" t="str">
        <f aca="false">IF(Lists!$H$19="","",IF(INDEX('Item Master'!$E$6:$E$155,Lists!$H$19)="","(No supplier)",INDEX('Item Master'!$E$6:$E$155,Lists!$H$19)))</f>
        <v/>
      </c>
      <c r="H28" s="51" t="str">
        <f aca="false">IF(Lists!$H$19="","",IF(ISNUMBER(INDEX('Item Master'!$J$6:$J$155,Lists!$H$19)),D28*INDEX('Item Master'!$J$6:$J$155,Lists!$H$19),""))</f>
        <v/>
      </c>
    </row>
    <row r="29" customFormat="false" ht="18.75" hidden="false" customHeight="true" outlineLevel="0" collapsed="false">
      <c r="B29" s="47" t="str">
        <f aca="false">IF(Lists!$H$20="","",19)</f>
        <v/>
      </c>
      <c r="C29" s="48" t="str">
        <f aca="false">IF(Lists!$H$20="","",INDEX('Item Master'!$B$6:$B$155,Lists!$H$20))</f>
        <v/>
      </c>
      <c r="D29" s="49" t="str">
        <f aca="false">IF(Lists!$H$20="","",INDEX(Lists!$E$2:$E$151,Lists!$H$20))</f>
        <v/>
      </c>
      <c r="E29" s="50" t="str">
        <f aca="false">IF(Lists!$H$20="","",INDEX('Daily Ordering'!$L$10:$L$159,Lists!$H$20))</f>
        <v/>
      </c>
      <c r="F29" s="50" t="str">
        <f aca="false">IF(Lists!$H$20="","","= "&amp;TEXT(D29*IF(N(INDEX('Item Master'!$I$6:$I$155,Lists!$H$20))=0,1,INDEX('Item Master'!$I$6:$I$155,Lists!$H$20)),"#,##0.##")&amp;" "&amp;INDEX('Daily Ordering'!$E$10:$E$159,Lists!$H$20))</f>
        <v/>
      </c>
      <c r="G29" s="48" t="str">
        <f aca="false">IF(Lists!$H$20="","",IF(INDEX('Item Master'!$E$6:$E$155,Lists!$H$20)="","(No supplier)",INDEX('Item Master'!$E$6:$E$155,Lists!$H$20)))</f>
        <v/>
      </c>
      <c r="H29" s="51" t="str">
        <f aca="false">IF(Lists!$H$20="","",IF(ISNUMBER(INDEX('Item Master'!$J$6:$J$155,Lists!$H$20)),D29*INDEX('Item Master'!$J$6:$J$155,Lists!$H$20),""))</f>
        <v/>
      </c>
    </row>
    <row r="30" customFormat="false" ht="18.75" hidden="false" customHeight="true" outlineLevel="0" collapsed="false">
      <c r="B30" s="47" t="str">
        <f aca="false">IF(Lists!$H$21="","",20)</f>
        <v/>
      </c>
      <c r="C30" s="48" t="str">
        <f aca="false">IF(Lists!$H$21="","",INDEX('Item Master'!$B$6:$B$155,Lists!$H$21))</f>
        <v/>
      </c>
      <c r="D30" s="49" t="str">
        <f aca="false">IF(Lists!$H$21="","",INDEX(Lists!$E$2:$E$151,Lists!$H$21))</f>
        <v/>
      </c>
      <c r="E30" s="50" t="str">
        <f aca="false">IF(Lists!$H$21="","",INDEX('Daily Ordering'!$L$10:$L$159,Lists!$H$21))</f>
        <v/>
      </c>
      <c r="F30" s="50" t="str">
        <f aca="false">IF(Lists!$H$21="","","= "&amp;TEXT(D30*IF(N(INDEX('Item Master'!$I$6:$I$155,Lists!$H$21))=0,1,INDEX('Item Master'!$I$6:$I$155,Lists!$H$21)),"#,##0.##")&amp;" "&amp;INDEX('Daily Ordering'!$E$10:$E$159,Lists!$H$21))</f>
        <v/>
      </c>
      <c r="G30" s="48" t="str">
        <f aca="false">IF(Lists!$H$21="","",IF(INDEX('Item Master'!$E$6:$E$155,Lists!$H$21)="","(No supplier)",INDEX('Item Master'!$E$6:$E$155,Lists!$H$21)))</f>
        <v/>
      </c>
      <c r="H30" s="51" t="str">
        <f aca="false">IF(Lists!$H$21="","",IF(ISNUMBER(INDEX('Item Master'!$J$6:$J$155,Lists!$H$21)),D30*INDEX('Item Master'!$J$6:$J$155,Lists!$H$21),""))</f>
        <v/>
      </c>
    </row>
    <row r="31" customFormat="false" ht="18.75" hidden="false" customHeight="true" outlineLevel="0" collapsed="false">
      <c r="B31" s="47" t="str">
        <f aca="false">IF(Lists!$H$22="","",21)</f>
        <v/>
      </c>
      <c r="C31" s="48" t="str">
        <f aca="false">IF(Lists!$H$22="","",INDEX('Item Master'!$B$6:$B$155,Lists!$H$22))</f>
        <v/>
      </c>
      <c r="D31" s="49" t="str">
        <f aca="false">IF(Lists!$H$22="","",INDEX(Lists!$E$2:$E$151,Lists!$H$22))</f>
        <v/>
      </c>
      <c r="E31" s="50" t="str">
        <f aca="false">IF(Lists!$H$22="","",INDEX('Daily Ordering'!$L$10:$L$159,Lists!$H$22))</f>
        <v/>
      </c>
      <c r="F31" s="50" t="str">
        <f aca="false">IF(Lists!$H$22="","","= "&amp;TEXT(D31*IF(N(INDEX('Item Master'!$I$6:$I$155,Lists!$H$22))=0,1,INDEX('Item Master'!$I$6:$I$155,Lists!$H$22)),"#,##0.##")&amp;" "&amp;INDEX('Daily Ordering'!$E$10:$E$159,Lists!$H$22))</f>
        <v/>
      </c>
      <c r="G31" s="48" t="str">
        <f aca="false">IF(Lists!$H$22="","",IF(INDEX('Item Master'!$E$6:$E$155,Lists!$H$22)="","(No supplier)",INDEX('Item Master'!$E$6:$E$155,Lists!$H$22)))</f>
        <v/>
      </c>
      <c r="H31" s="51" t="str">
        <f aca="false">IF(Lists!$H$22="","",IF(ISNUMBER(INDEX('Item Master'!$J$6:$J$155,Lists!$H$22)),D31*INDEX('Item Master'!$J$6:$J$155,Lists!$H$22),""))</f>
        <v/>
      </c>
    </row>
    <row r="32" customFormat="false" ht="18.75" hidden="false" customHeight="true" outlineLevel="0" collapsed="false">
      <c r="B32" s="47" t="str">
        <f aca="false">IF(Lists!$H$23="","",22)</f>
        <v/>
      </c>
      <c r="C32" s="48" t="str">
        <f aca="false">IF(Lists!$H$23="","",INDEX('Item Master'!$B$6:$B$155,Lists!$H$23))</f>
        <v/>
      </c>
      <c r="D32" s="49" t="str">
        <f aca="false">IF(Lists!$H$23="","",INDEX(Lists!$E$2:$E$151,Lists!$H$23))</f>
        <v/>
      </c>
      <c r="E32" s="50" t="str">
        <f aca="false">IF(Lists!$H$23="","",INDEX('Daily Ordering'!$L$10:$L$159,Lists!$H$23))</f>
        <v/>
      </c>
      <c r="F32" s="50" t="str">
        <f aca="false">IF(Lists!$H$23="","","= "&amp;TEXT(D32*IF(N(INDEX('Item Master'!$I$6:$I$155,Lists!$H$23))=0,1,INDEX('Item Master'!$I$6:$I$155,Lists!$H$23)),"#,##0.##")&amp;" "&amp;INDEX('Daily Ordering'!$E$10:$E$159,Lists!$H$23))</f>
        <v/>
      </c>
      <c r="G32" s="48" t="str">
        <f aca="false">IF(Lists!$H$23="","",IF(INDEX('Item Master'!$E$6:$E$155,Lists!$H$23)="","(No supplier)",INDEX('Item Master'!$E$6:$E$155,Lists!$H$23)))</f>
        <v/>
      </c>
      <c r="H32" s="51" t="str">
        <f aca="false">IF(Lists!$H$23="","",IF(ISNUMBER(INDEX('Item Master'!$J$6:$J$155,Lists!$H$23)),D32*INDEX('Item Master'!$J$6:$J$155,Lists!$H$23),""))</f>
        <v/>
      </c>
    </row>
    <row r="33" customFormat="false" ht="18.75" hidden="false" customHeight="true" outlineLevel="0" collapsed="false">
      <c r="B33" s="47" t="str">
        <f aca="false">IF(Lists!$H$24="","",23)</f>
        <v/>
      </c>
      <c r="C33" s="48" t="str">
        <f aca="false">IF(Lists!$H$24="","",INDEX('Item Master'!$B$6:$B$155,Lists!$H$24))</f>
        <v/>
      </c>
      <c r="D33" s="49" t="str">
        <f aca="false">IF(Lists!$H$24="","",INDEX(Lists!$E$2:$E$151,Lists!$H$24))</f>
        <v/>
      </c>
      <c r="E33" s="50" t="str">
        <f aca="false">IF(Lists!$H$24="","",INDEX('Daily Ordering'!$L$10:$L$159,Lists!$H$24))</f>
        <v/>
      </c>
      <c r="F33" s="50" t="str">
        <f aca="false">IF(Lists!$H$24="","","= "&amp;TEXT(D33*IF(N(INDEX('Item Master'!$I$6:$I$155,Lists!$H$24))=0,1,INDEX('Item Master'!$I$6:$I$155,Lists!$H$24)),"#,##0.##")&amp;" "&amp;INDEX('Daily Ordering'!$E$10:$E$159,Lists!$H$24))</f>
        <v/>
      </c>
      <c r="G33" s="48" t="str">
        <f aca="false">IF(Lists!$H$24="","",IF(INDEX('Item Master'!$E$6:$E$155,Lists!$H$24)="","(No supplier)",INDEX('Item Master'!$E$6:$E$155,Lists!$H$24)))</f>
        <v/>
      </c>
      <c r="H33" s="51" t="str">
        <f aca="false">IF(Lists!$H$24="","",IF(ISNUMBER(INDEX('Item Master'!$J$6:$J$155,Lists!$H$24)),D33*INDEX('Item Master'!$J$6:$J$155,Lists!$H$24),""))</f>
        <v/>
      </c>
    </row>
    <row r="34" customFormat="false" ht="18.75" hidden="false" customHeight="true" outlineLevel="0" collapsed="false">
      <c r="B34" s="47" t="str">
        <f aca="false">IF(Lists!$H$25="","",24)</f>
        <v/>
      </c>
      <c r="C34" s="48" t="str">
        <f aca="false">IF(Lists!$H$25="","",INDEX('Item Master'!$B$6:$B$155,Lists!$H$25))</f>
        <v/>
      </c>
      <c r="D34" s="49" t="str">
        <f aca="false">IF(Lists!$H$25="","",INDEX(Lists!$E$2:$E$151,Lists!$H$25))</f>
        <v/>
      </c>
      <c r="E34" s="50" t="str">
        <f aca="false">IF(Lists!$H$25="","",INDEX('Daily Ordering'!$L$10:$L$159,Lists!$H$25))</f>
        <v/>
      </c>
      <c r="F34" s="50" t="str">
        <f aca="false">IF(Lists!$H$25="","","= "&amp;TEXT(D34*IF(N(INDEX('Item Master'!$I$6:$I$155,Lists!$H$25))=0,1,INDEX('Item Master'!$I$6:$I$155,Lists!$H$25)),"#,##0.##")&amp;" "&amp;INDEX('Daily Ordering'!$E$10:$E$159,Lists!$H$25))</f>
        <v/>
      </c>
      <c r="G34" s="48" t="str">
        <f aca="false">IF(Lists!$H$25="","",IF(INDEX('Item Master'!$E$6:$E$155,Lists!$H$25)="","(No supplier)",INDEX('Item Master'!$E$6:$E$155,Lists!$H$25)))</f>
        <v/>
      </c>
      <c r="H34" s="51" t="str">
        <f aca="false">IF(Lists!$H$25="","",IF(ISNUMBER(INDEX('Item Master'!$J$6:$J$155,Lists!$H$25)),D34*INDEX('Item Master'!$J$6:$J$155,Lists!$H$25),""))</f>
        <v/>
      </c>
    </row>
    <row r="35" customFormat="false" ht="18.75" hidden="false" customHeight="true" outlineLevel="0" collapsed="false">
      <c r="B35" s="47" t="str">
        <f aca="false">IF(Lists!$H$26="","",25)</f>
        <v/>
      </c>
      <c r="C35" s="48" t="str">
        <f aca="false">IF(Lists!$H$26="","",INDEX('Item Master'!$B$6:$B$155,Lists!$H$26))</f>
        <v/>
      </c>
      <c r="D35" s="49" t="str">
        <f aca="false">IF(Lists!$H$26="","",INDEX(Lists!$E$2:$E$151,Lists!$H$26))</f>
        <v/>
      </c>
      <c r="E35" s="50" t="str">
        <f aca="false">IF(Lists!$H$26="","",INDEX('Daily Ordering'!$L$10:$L$159,Lists!$H$26))</f>
        <v/>
      </c>
      <c r="F35" s="50" t="str">
        <f aca="false">IF(Lists!$H$26="","","= "&amp;TEXT(D35*IF(N(INDEX('Item Master'!$I$6:$I$155,Lists!$H$26))=0,1,INDEX('Item Master'!$I$6:$I$155,Lists!$H$26)),"#,##0.##")&amp;" "&amp;INDEX('Daily Ordering'!$E$10:$E$159,Lists!$H$26))</f>
        <v/>
      </c>
      <c r="G35" s="48" t="str">
        <f aca="false">IF(Lists!$H$26="","",IF(INDEX('Item Master'!$E$6:$E$155,Lists!$H$26)="","(No supplier)",INDEX('Item Master'!$E$6:$E$155,Lists!$H$26)))</f>
        <v/>
      </c>
      <c r="H35" s="51" t="str">
        <f aca="false">IF(Lists!$H$26="","",IF(ISNUMBER(INDEX('Item Master'!$J$6:$J$155,Lists!$H$26)),D35*INDEX('Item Master'!$J$6:$J$155,Lists!$H$26),""))</f>
        <v/>
      </c>
    </row>
    <row r="36" customFormat="false" ht="18.75" hidden="false" customHeight="true" outlineLevel="0" collapsed="false">
      <c r="B36" s="47" t="str">
        <f aca="false">IF(Lists!$H$27="","",26)</f>
        <v/>
      </c>
      <c r="C36" s="48" t="str">
        <f aca="false">IF(Lists!$H$27="","",INDEX('Item Master'!$B$6:$B$155,Lists!$H$27))</f>
        <v/>
      </c>
      <c r="D36" s="49" t="str">
        <f aca="false">IF(Lists!$H$27="","",INDEX(Lists!$E$2:$E$151,Lists!$H$27))</f>
        <v/>
      </c>
      <c r="E36" s="50" t="str">
        <f aca="false">IF(Lists!$H$27="","",INDEX('Daily Ordering'!$L$10:$L$159,Lists!$H$27))</f>
        <v/>
      </c>
      <c r="F36" s="50" t="str">
        <f aca="false">IF(Lists!$H$27="","","= "&amp;TEXT(D36*IF(N(INDEX('Item Master'!$I$6:$I$155,Lists!$H$27))=0,1,INDEX('Item Master'!$I$6:$I$155,Lists!$H$27)),"#,##0.##")&amp;" "&amp;INDEX('Daily Ordering'!$E$10:$E$159,Lists!$H$27))</f>
        <v/>
      </c>
      <c r="G36" s="48" t="str">
        <f aca="false">IF(Lists!$H$27="","",IF(INDEX('Item Master'!$E$6:$E$155,Lists!$H$27)="","(No supplier)",INDEX('Item Master'!$E$6:$E$155,Lists!$H$27)))</f>
        <v/>
      </c>
      <c r="H36" s="51" t="str">
        <f aca="false">IF(Lists!$H$27="","",IF(ISNUMBER(INDEX('Item Master'!$J$6:$J$155,Lists!$H$27)),D36*INDEX('Item Master'!$J$6:$J$155,Lists!$H$27),""))</f>
        <v/>
      </c>
    </row>
    <row r="37" customFormat="false" ht="18.75" hidden="false" customHeight="true" outlineLevel="0" collapsed="false">
      <c r="B37" s="47" t="str">
        <f aca="false">IF(Lists!$H$28="","",27)</f>
        <v/>
      </c>
      <c r="C37" s="48" t="str">
        <f aca="false">IF(Lists!$H$28="","",INDEX('Item Master'!$B$6:$B$155,Lists!$H$28))</f>
        <v/>
      </c>
      <c r="D37" s="49" t="str">
        <f aca="false">IF(Lists!$H$28="","",INDEX(Lists!$E$2:$E$151,Lists!$H$28))</f>
        <v/>
      </c>
      <c r="E37" s="50" t="str">
        <f aca="false">IF(Lists!$H$28="","",INDEX('Daily Ordering'!$L$10:$L$159,Lists!$H$28))</f>
        <v/>
      </c>
      <c r="F37" s="50" t="str">
        <f aca="false">IF(Lists!$H$28="","","= "&amp;TEXT(D37*IF(N(INDEX('Item Master'!$I$6:$I$155,Lists!$H$28))=0,1,INDEX('Item Master'!$I$6:$I$155,Lists!$H$28)),"#,##0.##")&amp;" "&amp;INDEX('Daily Ordering'!$E$10:$E$159,Lists!$H$28))</f>
        <v/>
      </c>
      <c r="G37" s="48" t="str">
        <f aca="false">IF(Lists!$H$28="","",IF(INDEX('Item Master'!$E$6:$E$155,Lists!$H$28)="","(No supplier)",INDEX('Item Master'!$E$6:$E$155,Lists!$H$28)))</f>
        <v/>
      </c>
      <c r="H37" s="51" t="str">
        <f aca="false">IF(Lists!$H$28="","",IF(ISNUMBER(INDEX('Item Master'!$J$6:$J$155,Lists!$H$28)),D37*INDEX('Item Master'!$J$6:$J$155,Lists!$H$28),""))</f>
        <v/>
      </c>
    </row>
    <row r="38" customFormat="false" ht="18.75" hidden="false" customHeight="true" outlineLevel="0" collapsed="false">
      <c r="B38" s="47" t="str">
        <f aca="false">IF(Lists!$H$29="","",28)</f>
        <v/>
      </c>
      <c r="C38" s="48" t="str">
        <f aca="false">IF(Lists!$H$29="","",INDEX('Item Master'!$B$6:$B$155,Lists!$H$29))</f>
        <v/>
      </c>
      <c r="D38" s="49" t="str">
        <f aca="false">IF(Lists!$H$29="","",INDEX(Lists!$E$2:$E$151,Lists!$H$29))</f>
        <v/>
      </c>
      <c r="E38" s="50" t="str">
        <f aca="false">IF(Lists!$H$29="","",INDEX('Daily Ordering'!$L$10:$L$159,Lists!$H$29))</f>
        <v/>
      </c>
      <c r="F38" s="50" t="str">
        <f aca="false">IF(Lists!$H$29="","","= "&amp;TEXT(D38*IF(N(INDEX('Item Master'!$I$6:$I$155,Lists!$H$29))=0,1,INDEX('Item Master'!$I$6:$I$155,Lists!$H$29)),"#,##0.##")&amp;" "&amp;INDEX('Daily Ordering'!$E$10:$E$159,Lists!$H$29))</f>
        <v/>
      </c>
      <c r="G38" s="48" t="str">
        <f aca="false">IF(Lists!$H$29="","",IF(INDEX('Item Master'!$E$6:$E$155,Lists!$H$29)="","(No supplier)",INDEX('Item Master'!$E$6:$E$155,Lists!$H$29)))</f>
        <v/>
      </c>
      <c r="H38" s="51" t="str">
        <f aca="false">IF(Lists!$H$29="","",IF(ISNUMBER(INDEX('Item Master'!$J$6:$J$155,Lists!$H$29)),D38*INDEX('Item Master'!$J$6:$J$155,Lists!$H$29),""))</f>
        <v/>
      </c>
    </row>
    <row r="39" customFormat="false" ht="18.75" hidden="false" customHeight="true" outlineLevel="0" collapsed="false">
      <c r="B39" s="47" t="str">
        <f aca="false">IF(Lists!$H$30="","",29)</f>
        <v/>
      </c>
      <c r="C39" s="48" t="str">
        <f aca="false">IF(Lists!$H$30="","",INDEX('Item Master'!$B$6:$B$155,Lists!$H$30))</f>
        <v/>
      </c>
      <c r="D39" s="49" t="str">
        <f aca="false">IF(Lists!$H$30="","",INDEX(Lists!$E$2:$E$151,Lists!$H$30))</f>
        <v/>
      </c>
      <c r="E39" s="50" t="str">
        <f aca="false">IF(Lists!$H$30="","",INDEX('Daily Ordering'!$L$10:$L$159,Lists!$H$30))</f>
        <v/>
      </c>
      <c r="F39" s="50" t="str">
        <f aca="false">IF(Lists!$H$30="","","= "&amp;TEXT(D39*IF(N(INDEX('Item Master'!$I$6:$I$155,Lists!$H$30))=0,1,INDEX('Item Master'!$I$6:$I$155,Lists!$H$30)),"#,##0.##")&amp;" "&amp;INDEX('Daily Ordering'!$E$10:$E$159,Lists!$H$30))</f>
        <v/>
      </c>
      <c r="G39" s="48" t="str">
        <f aca="false">IF(Lists!$H$30="","",IF(INDEX('Item Master'!$E$6:$E$155,Lists!$H$30)="","(No supplier)",INDEX('Item Master'!$E$6:$E$155,Lists!$H$30)))</f>
        <v/>
      </c>
      <c r="H39" s="51" t="str">
        <f aca="false">IF(Lists!$H$30="","",IF(ISNUMBER(INDEX('Item Master'!$J$6:$J$155,Lists!$H$30)),D39*INDEX('Item Master'!$J$6:$J$155,Lists!$H$30),""))</f>
        <v/>
      </c>
    </row>
    <row r="40" customFormat="false" ht="18.75" hidden="false" customHeight="true" outlineLevel="0" collapsed="false">
      <c r="B40" s="47" t="str">
        <f aca="false">IF(Lists!$H$31="","",30)</f>
        <v/>
      </c>
      <c r="C40" s="48" t="str">
        <f aca="false">IF(Lists!$H$31="","",INDEX('Item Master'!$B$6:$B$155,Lists!$H$31))</f>
        <v/>
      </c>
      <c r="D40" s="49" t="str">
        <f aca="false">IF(Lists!$H$31="","",INDEX(Lists!$E$2:$E$151,Lists!$H$31))</f>
        <v/>
      </c>
      <c r="E40" s="50" t="str">
        <f aca="false">IF(Lists!$H$31="","",INDEX('Daily Ordering'!$L$10:$L$159,Lists!$H$31))</f>
        <v/>
      </c>
      <c r="F40" s="50" t="str">
        <f aca="false">IF(Lists!$H$31="","","= "&amp;TEXT(D40*IF(N(INDEX('Item Master'!$I$6:$I$155,Lists!$H$31))=0,1,INDEX('Item Master'!$I$6:$I$155,Lists!$H$31)),"#,##0.##")&amp;" "&amp;INDEX('Daily Ordering'!$E$10:$E$159,Lists!$H$31))</f>
        <v/>
      </c>
      <c r="G40" s="48" t="str">
        <f aca="false">IF(Lists!$H$31="","",IF(INDEX('Item Master'!$E$6:$E$155,Lists!$H$31)="","(No supplier)",INDEX('Item Master'!$E$6:$E$155,Lists!$H$31)))</f>
        <v/>
      </c>
      <c r="H40" s="51" t="str">
        <f aca="false">IF(Lists!$H$31="","",IF(ISNUMBER(INDEX('Item Master'!$J$6:$J$155,Lists!$H$31)),D40*INDEX('Item Master'!$J$6:$J$155,Lists!$H$31),""))</f>
        <v/>
      </c>
    </row>
    <row r="41" customFormat="false" ht="18.75" hidden="false" customHeight="true" outlineLevel="0" collapsed="false">
      <c r="B41" s="47" t="str">
        <f aca="false">IF(Lists!$H$32="","",31)</f>
        <v/>
      </c>
      <c r="C41" s="48" t="str">
        <f aca="false">IF(Lists!$H$32="","",INDEX('Item Master'!$B$6:$B$155,Lists!$H$32))</f>
        <v/>
      </c>
      <c r="D41" s="49" t="str">
        <f aca="false">IF(Lists!$H$32="","",INDEX(Lists!$E$2:$E$151,Lists!$H$32))</f>
        <v/>
      </c>
      <c r="E41" s="50" t="str">
        <f aca="false">IF(Lists!$H$32="","",INDEX('Daily Ordering'!$L$10:$L$159,Lists!$H$32))</f>
        <v/>
      </c>
      <c r="F41" s="50" t="str">
        <f aca="false">IF(Lists!$H$32="","","= "&amp;TEXT(D41*IF(N(INDEX('Item Master'!$I$6:$I$155,Lists!$H$32))=0,1,INDEX('Item Master'!$I$6:$I$155,Lists!$H$32)),"#,##0.##")&amp;" "&amp;INDEX('Daily Ordering'!$E$10:$E$159,Lists!$H$32))</f>
        <v/>
      </c>
      <c r="G41" s="48" t="str">
        <f aca="false">IF(Lists!$H$32="","",IF(INDEX('Item Master'!$E$6:$E$155,Lists!$H$32)="","(No supplier)",INDEX('Item Master'!$E$6:$E$155,Lists!$H$32)))</f>
        <v/>
      </c>
      <c r="H41" s="51" t="str">
        <f aca="false">IF(Lists!$H$32="","",IF(ISNUMBER(INDEX('Item Master'!$J$6:$J$155,Lists!$H$32)),D41*INDEX('Item Master'!$J$6:$J$155,Lists!$H$32),""))</f>
        <v/>
      </c>
    </row>
    <row r="42" customFormat="false" ht="18.75" hidden="false" customHeight="true" outlineLevel="0" collapsed="false">
      <c r="B42" s="47" t="str">
        <f aca="false">IF(Lists!$H$33="","",32)</f>
        <v/>
      </c>
      <c r="C42" s="48" t="str">
        <f aca="false">IF(Lists!$H$33="","",INDEX('Item Master'!$B$6:$B$155,Lists!$H$33))</f>
        <v/>
      </c>
      <c r="D42" s="49" t="str">
        <f aca="false">IF(Lists!$H$33="","",INDEX(Lists!$E$2:$E$151,Lists!$H$33))</f>
        <v/>
      </c>
      <c r="E42" s="50" t="str">
        <f aca="false">IF(Lists!$H$33="","",INDEX('Daily Ordering'!$L$10:$L$159,Lists!$H$33))</f>
        <v/>
      </c>
      <c r="F42" s="50" t="str">
        <f aca="false">IF(Lists!$H$33="","","= "&amp;TEXT(D42*IF(N(INDEX('Item Master'!$I$6:$I$155,Lists!$H$33))=0,1,INDEX('Item Master'!$I$6:$I$155,Lists!$H$33)),"#,##0.##")&amp;" "&amp;INDEX('Daily Ordering'!$E$10:$E$159,Lists!$H$33))</f>
        <v/>
      </c>
      <c r="G42" s="48" t="str">
        <f aca="false">IF(Lists!$H$33="","",IF(INDEX('Item Master'!$E$6:$E$155,Lists!$H$33)="","(No supplier)",INDEX('Item Master'!$E$6:$E$155,Lists!$H$33)))</f>
        <v/>
      </c>
      <c r="H42" s="51" t="str">
        <f aca="false">IF(Lists!$H$33="","",IF(ISNUMBER(INDEX('Item Master'!$J$6:$J$155,Lists!$H$33)),D42*INDEX('Item Master'!$J$6:$J$155,Lists!$H$33),""))</f>
        <v/>
      </c>
    </row>
    <row r="43" customFormat="false" ht="18.75" hidden="false" customHeight="true" outlineLevel="0" collapsed="false">
      <c r="B43" s="47" t="str">
        <f aca="false">IF(Lists!$H$34="","",33)</f>
        <v/>
      </c>
      <c r="C43" s="48" t="str">
        <f aca="false">IF(Lists!$H$34="","",INDEX('Item Master'!$B$6:$B$155,Lists!$H$34))</f>
        <v/>
      </c>
      <c r="D43" s="49" t="str">
        <f aca="false">IF(Lists!$H$34="","",INDEX(Lists!$E$2:$E$151,Lists!$H$34))</f>
        <v/>
      </c>
      <c r="E43" s="50" t="str">
        <f aca="false">IF(Lists!$H$34="","",INDEX('Daily Ordering'!$L$10:$L$159,Lists!$H$34))</f>
        <v/>
      </c>
      <c r="F43" s="50" t="str">
        <f aca="false">IF(Lists!$H$34="","","= "&amp;TEXT(D43*IF(N(INDEX('Item Master'!$I$6:$I$155,Lists!$H$34))=0,1,INDEX('Item Master'!$I$6:$I$155,Lists!$H$34)),"#,##0.##")&amp;" "&amp;INDEX('Daily Ordering'!$E$10:$E$159,Lists!$H$34))</f>
        <v/>
      </c>
      <c r="G43" s="48" t="str">
        <f aca="false">IF(Lists!$H$34="","",IF(INDEX('Item Master'!$E$6:$E$155,Lists!$H$34)="","(No supplier)",INDEX('Item Master'!$E$6:$E$155,Lists!$H$34)))</f>
        <v/>
      </c>
      <c r="H43" s="51" t="str">
        <f aca="false">IF(Lists!$H$34="","",IF(ISNUMBER(INDEX('Item Master'!$J$6:$J$155,Lists!$H$34)),D43*INDEX('Item Master'!$J$6:$J$155,Lists!$H$34),""))</f>
        <v/>
      </c>
    </row>
    <row r="44" customFormat="false" ht="18.75" hidden="false" customHeight="true" outlineLevel="0" collapsed="false">
      <c r="B44" s="47" t="str">
        <f aca="false">IF(Lists!$H$35="","",34)</f>
        <v/>
      </c>
      <c r="C44" s="48" t="str">
        <f aca="false">IF(Lists!$H$35="","",INDEX('Item Master'!$B$6:$B$155,Lists!$H$35))</f>
        <v/>
      </c>
      <c r="D44" s="49" t="str">
        <f aca="false">IF(Lists!$H$35="","",INDEX(Lists!$E$2:$E$151,Lists!$H$35))</f>
        <v/>
      </c>
      <c r="E44" s="50" t="str">
        <f aca="false">IF(Lists!$H$35="","",INDEX('Daily Ordering'!$L$10:$L$159,Lists!$H$35))</f>
        <v/>
      </c>
      <c r="F44" s="50" t="str">
        <f aca="false">IF(Lists!$H$35="","","= "&amp;TEXT(D44*IF(N(INDEX('Item Master'!$I$6:$I$155,Lists!$H$35))=0,1,INDEX('Item Master'!$I$6:$I$155,Lists!$H$35)),"#,##0.##")&amp;" "&amp;INDEX('Daily Ordering'!$E$10:$E$159,Lists!$H$35))</f>
        <v/>
      </c>
      <c r="G44" s="48" t="str">
        <f aca="false">IF(Lists!$H$35="","",IF(INDEX('Item Master'!$E$6:$E$155,Lists!$H$35)="","(No supplier)",INDEX('Item Master'!$E$6:$E$155,Lists!$H$35)))</f>
        <v/>
      </c>
      <c r="H44" s="51" t="str">
        <f aca="false">IF(Lists!$H$35="","",IF(ISNUMBER(INDEX('Item Master'!$J$6:$J$155,Lists!$H$35)),D44*INDEX('Item Master'!$J$6:$J$155,Lists!$H$35),""))</f>
        <v/>
      </c>
    </row>
    <row r="45" customFormat="false" ht="18.75" hidden="false" customHeight="true" outlineLevel="0" collapsed="false">
      <c r="B45" s="47" t="str">
        <f aca="false">IF(Lists!$H$36="","",35)</f>
        <v/>
      </c>
      <c r="C45" s="48" t="str">
        <f aca="false">IF(Lists!$H$36="","",INDEX('Item Master'!$B$6:$B$155,Lists!$H$36))</f>
        <v/>
      </c>
      <c r="D45" s="49" t="str">
        <f aca="false">IF(Lists!$H$36="","",INDEX(Lists!$E$2:$E$151,Lists!$H$36))</f>
        <v/>
      </c>
      <c r="E45" s="50" t="str">
        <f aca="false">IF(Lists!$H$36="","",INDEX('Daily Ordering'!$L$10:$L$159,Lists!$H$36))</f>
        <v/>
      </c>
      <c r="F45" s="50" t="str">
        <f aca="false">IF(Lists!$H$36="","","= "&amp;TEXT(D45*IF(N(INDEX('Item Master'!$I$6:$I$155,Lists!$H$36))=0,1,INDEX('Item Master'!$I$6:$I$155,Lists!$H$36)),"#,##0.##")&amp;" "&amp;INDEX('Daily Ordering'!$E$10:$E$159,Lists!$H$36))</f>
        <v/>
      </c>
      <c r="G45" s="48" t="str">
        <f aca="false">IF(Lists!$H$36="","",IF(INDEX('Item Master'!$E$6:$E$155,Lists!$H$36)="","(No supplier)",INDEX('Item Master'!$E$6:$E$155,Lists!$H$36)))</f>
        <v/>
      </c>
      <c r="H45" s="51" t="str">
        <f aca="false">IF(Lists!$H$36="","",IF(ISNUMBER(INDEX('Item Master'!$J$6:$J$155,Lists!$H$36)),D45*INDEX('Item Master'!$J$6:$J$155,Lists!$H$36),""))</f>
        <v/>
      </c>
    </row>
    <row r="46" customFormat="false" ht="18.75" hidden="false" customHeight="true" outlineLevel="0" collapsed="false">
      <c r="B46" s="47" t="str">
        <f aca="false">IF(Lists!$H$37="","",36)</f>
        <v/>
      </c>
      <c r="C46" s="48" t="str">
        <f aca="false">IF(Lists!$H$37="","",INDEX('Item Master'!$B$6:$B$155,Lists!$H$37))</f>
        <v/>
      </c>
      <c r="D46" s="49" t="str">
        <f aca="false">IF(Lists!$H$37="","",INDEX(Lists!$E$2:$E$151,Lists!$H$37))</f>
        <v/>
      </c>
      <c r="E46" s="50" t="str">
        <f aca="false">IF(Lists!$H$37="","",INDEX('Daily Ordering'!$L$10:$L$159,Lists!$H$37))</f>
        <v/>
      </c>
      <c r="F46" s="50" t="str">
        <f aca="false">IF(Lists!$H$37="","","= "&amp;TEXT(D46*IF(N(INDEX('Item Master'!$I$6:$I$155,Lists!$H$37))=0,1,INDEX('Item Master'!$I$6:$I$155,Lists!$H$37)),"#,##0.##")&amp;" "&amp;INDEX('Daily Ordering'!$E$10:$E$159,Lists!$H$37))</f>
        <v/>
      </c>
      <c r="G46" s="48" t="str">
        <f aca="false">IF(Lists!$H$37="","",IF(INDEX('Item Master'!$E$6:$E$155,Lists!$H$37)="","(No supplier)",INDEX('Item Master'!$E$6:$E$155,Lists!$H$37)))</f>
        <v/>
      </c>
      <c r="H46" s="51" t="str">
        <f aca="false">IF(Lists!$H$37="","",IF(ISNUMBER(INDEX('Item Master'!$J$6:$J$155,Lists!$H$37)),D46*INDEX('Item Master'!$J$6:$J$155,Lists!$H$37),""))</f>
        <v/>
      </c>
    </row>
    <row r="47" customFormat="false" ht="18.75" hidden="false" customHeight="true" outlineLevel="0" collapsed="false">
      <c r="B47" s="47" t="str">
        <f aca="false">IF(Lists!$H$38="","",37)</f>
        <v/>
      </c>
      <c r="C47" s="48" t="str">
        <f aca="false">IF(Lists!$H$38="","",INDEX('Item Master'!$B$6:$B$155,Lists!$H$38))</f>
        <v/>
      </c>
      <c r="D47" s="49" t="str">
        <f aca="false">IF(Lists!$H$38="","",INDEX(Lists!$E$2:$E$151,Lists!$H$38))</f>
        <v/>
      </c>
      <c r="E47" s="50" t="str">
        <f aca="false">IF(Lists!$H$38="","",INDEX('Daily Ordering'!$L$10:$L$159,Lists!$H$38))</f>
        <v/>
      </c>
      <c r="F47" s="50" t="str">
        <f aca="false">IF(Lists!$H$38="","","= "&amp;TEXT(D47*IF(N(INDEX('Item Master'!$I$6:$I$155,Lists!$H$38))=0,1,INDEX('Item Master'!$I$6:$I$155,Lists!$H$38)),"#,##0.##")&amp;" "&amp;INDEX('Daily Ordering'!$E$10:$E$159,Lists!$H$38))</f>
        <v/>
      </c>
      <c r="G47" s="48" t="str">
        <f aca="false">IF(Lists!$H$38="","",IF(INDEX('Item Master'!$E$6:$E$155,Lists!$H$38)="","(No supplier)",INDEX('Item Master'!$E$6:$E$155,Lists!$H$38)))</f>
        <v/>
      </c>
      <c r="H47" s="51" t="str">
        <f aca="false">IF(Lists!$H$38="","",IF(ISNUMBER(INDEX('Item Master'!$J$6:$J$155,Lists!$H$38)),D47*INDEX('Item Master'!$J$6:$J$155,Lists!$H$38),""))</f>
        <v/>
      </c>
    </row>
    <row r="48" customFormat="false" ht="18.75" hidden="false" customHeight="true" outlineLevel="0" collapsed="false">
      <c r="B48" s="47" t="str">
        <f aca="false">IF(Lists!$H$39="","",38)</f>
        <v/>
      </c>
      <c r="C48" s="48" t="str">
        <f aca="false">IF(Lists!$H$39="","",INDEX('Item Master'!$B$6:$B$155,Lists!$H$39))</f>
        <v/>
      </c>
      <c r="D48" s="49" t="str">
        <f aca="false">IF(Lists!$H$39="","",INDEX(Lists!$E$2:$E$151,Lists!$H$39))</f>
        <v/>
      </c>
      <c r="E48" s="50" t="str">
        <f aca="false">IF(Lists!$H$39="","",INDEX('Daily Ordering'!$L$10:$L$159,Lists!$H$39))</f>
        <v/>
      </c>
      <c r="F48" s="50" t="str">
        <f aca="false">IF(Lists!$H$39="","","= "&amp;TEXT(D48*IF(N(INDEX('Item Master'!$I$6:$I$155,Lists!$H$39))=0,1,INDEX('Item Master'!$I$6:$I$155,Lists!$H$39)),"#,##0.##")&amp;" "&amp;INDEX('Daily Ordering'!$E$10:$E$159,Lists!$H$39))</f>
        <v/>
      </c>
      <c r="G48" s="48" t="str">
        <f aca="false">IF(Lists!$H$39="","",IF(INDEX('Item Master'!$E$6:$E$155,Lists!$H$39)="","(No supplier)",INDEX('Item Master'!$E$6:$E$155,Lists!$H$39)))</f>
        <v/>
      </c>
      <c r="H48" s="51" t="str">
        <f aca="false">IF(Lists!$H$39="","",IF(ISNUMBER(INDEX('Item Master'!$J$6:$J$155,Lists!$H$39)),D48*INDEX('Item Master'!$J$6:$J$155,Lists!$H$39),""))</f>
        <v/>
      </c>
    </row>
    <row r="49" customFormat="false" ht="18.75" hidden="false" customHeight="true" outlineLevel="0" collapsed="false">
      <c r="B49" s="47" t="str">
        <f aca="false">IF(Lists!$H$40="","",39)</f>
        <v/>
      </c>
      <c r="C49" s="48" t="str">
        <f aca="false">IF(Lists!$H$40="","",INDEX('Item Master'!$B$6:$B$155,Lists!$H$40))</f>
        <v/>
      </c>
      <c r="D49" s="49" t="str">
        <f aca="false">IF(Lists!$H$40="","",INDEX(Lists!$E$2:$E$151,Lists!$H$40))</f>
        <v/>
      </c>
      <c r="E49" s="50" t="str">
        <f aca="false">IF(Lists!$H$40="","",INDEX('Daily Ordering'!$L$10:$L$159,Lists!$H$40))</f>
        <v/>
      </c>
      <c r="F49" s="50" t="str">
        <f aca="false">IF(Lists!$H$40="","","= "&amp;TEXT(D49*IF(N(INDEX('Item Master'!$I$6:$I$155,Lists!$H$40))=0,1,INDEX('Item Master'!$I$6:$I$155,Lists!$H$40)),"#,##0.##")&amp;" "&amp;INDEX('Daily Ordering'!$E$10:$E$159,Lists!$H$40))</f>
        <v/>
      </c>
      <c r="G49" s="48" t="str">
        <f aca="false">IF(Lists!$H$40="","",IF(INDEX('Item Master'!$E$6:$E$155,Lists!$H$40)="","(No supplier)",INDEX('Item Master'!$E$6:$E$155,Lists!$H$40)))</f>
        <v/>
      </c>
      <c r="H49" s="51" t="str">
        <f aca="false">IF(Lists!$H$40="","",IF(ISNUMBER(INDEX('Item Master'!$J$6:$J$155,Lists!$H$40)),D49*INDEX('Item Master'!$J$6:$J$155,Lists!$H$40),""))</f>
        <v/>
      </c>
    </row>
    <row r="50" customFormat="false" ht="18.75" hidden="false" customHeight="true" outlineLevel="0" collapsed="false">
      <c r="B50" s="47" t="str">
        <f aca="false">IF(Lists!$H$41="","",40)</f>
        <v/>
      </c>
      <c r="C50" s="48" t="str">
        <f aca="false">IF(Lists!$H$41="","",INDEX('Item Master'!$B$6:$B$155,Lists!$H$41))</f>
        <v/>
      </c>
      <c r="D50" s="49" t="str">
        <f aca="false">IF(Lists!$H$41="","",INDEX(Lists!$E$2:$E$151,Lists!$H$41))</f>
        <v/>
      </c>
      <c r="E50" s="50" t="str">
        <f aca="false">IF(Lists!$H$41="","",INDEX('Daily Ordering'!$L$10:$L$159,Lists!$H$41))</f>
        <v/>
      </c>
      <c r="F50" s="50" t="str">
        <f aca="false">IF(Lists!$H$41="","","= "&amp;TEXT(D50*IF(N(INDEX('Item Master'!$I$6:$I$155,Lists!$H$41))=0,1,INDEX('Item Master'!$I$6:$I$155,Lists!$H$41)),"#,##0.##")&amp;" "&amp;INDEX('Daily Ordering'!$E$10:$E$159,Lists!$H$41))</f>
        <v/>
      </c>
      <c r="G50" s="48" t="str">
        <f aca="false">IF(Lists!$H$41="","",IF(INDEX('Item Master'!$E$6:$E$155,Lists!$H$41)="","(No supplier)",INDEX('Item Master'!$E$6:$E$155,Lists!$H$41)))</f>
        <v/>
      </c>
      <c r="H50" s="51" t="str">
        <f aca="false">IF(Lists!$H$41="","",IF(ISNUMBER(INDEX('Item Master'!$J$6:$J$155,Lists!$H$41)),D50*INDEX('Item Master'!$J$6:$J$155,Lists!$H$41),""))</f>
        <v/>
      </c>
    </row>
    <row r="51" customFormat="false" ht="18.75" hidden="false" customHeight="true" outlineLevel="0" collapsed="false">
      <c r="B51" s="47" t="str">
        <f aca="false">IF(Lists!$H$42="","",41)</f>
        <v/>
      </c>
      <c r="C51" s="48" t="str">
        <f aca="false">IF(Lists!$H$42="","",INDEX('Item Master'!$B$6:$B$155,Lists!$H$42))</f>
        <v/>
      </c>
      <c r="D51" s="49" t="str">
        <f aca="false">IF(Lists!$H$42="","",INDEX(Lists!$E$2:$E$151,Lists!$H$42))</f>
        <v/>
      </c>
      <c r="E51" s="50" t="str">
        <f aca="false">IF(Lists!$H$42="","",INDEX('Daily Ordering'!$L$10:$L$159,Lists!$H$42))</f>
        <v/>
      </c>
      <c r="F51" s="50" t="str">
        <f aca="false">IF(Lists!$H$42="","","= "&amp;TEXT(D51*IF(N(INDEX('Item Master'!$I$6:$I$155,Lists!$H$42))=0,1,INDEX('Item Master'!$I$6:$I$155,Lists!$H$42)),"#,##0.##")&amp;" "&amp;INDEX('Daily Ordering'!$E$10:$E$159,Lists!$H$42))</f>
        <v/>
      </c>
      <c r="G51" s="48" t="str">
        <f aca="false">IF(Lists!$H$42="","",IF(INDEX('Item Master'!$E$6:$E$155,Lists!$H$42)="","(No supplier)",INDEX('Item Master'!$E$6:$E$155,Lists!$H$42)))</f>
        <v/>
      </c>
      <c r="H51" s="51" t="str">
        <f aca="false">IF(Lists!$H$42="","",IF(ISNUMBER(INDEX('Item Master'!$J$6:$J$155,Lists!$H$42)),D51*INDEX('Item Master'!$J$6:$J$155,Lists!$H$42),""))</f>
        <v/>
      </c>
    </row>
    <row r="52" customFormat="false" ht="18.75" hidden="false" customHeight="true" outlineLevel="0" collapsed="false">
      <c r="B52" s="47" t="str">
        <f aca="false">IF(Lists!$H$43="","",42)</f>
        <v/>
      </c>
      <c r="C52" s="48" t="str">
        <f aca="false">IF(Lists!$H$43="","",INDEX('Item Master'!$B$6:$B$155,Lists!$H$43))</f>
        <v/>
      </c>
      <c r="D52" s="49" t="str">
        <f aca="false">IF(Lists!$H$43="","",INDEX(Lists!$E$2:$E$151,Lists!$H$43))</f>
        <v/>
      </c>
      <c r="E52" s="50" t="str">
        <f aca="false">IF(Lists!$H$43="","",INDEX('Daily Ordering'!$L$10:$L$159,Lists!$H$43))</f>
        <v/>
      </c>
      <c r="F52" s="50" t="str">
        <f aca="false">IF(Lists!$H$43="","","= "&amp;TEXT(D52*IF(N(INDEX('Item Master'!$I$6:$I$155,Lists!$H$43))=0,1,INDEX('Item Master'!$I$6:$I$155,Lists!$H$43)),"#,##0.##")&amp;" "&amp;INDEX('Daily Ordering'!$E$10:$E$159,Lists!$H$43))</f>
        <v/>
      </c>
      <c r="G52" s="48" t="str">
        <f aca="false">IF(Lists!$H$43="","",IF(INDEX('Item Master'!$E$6:$E$155,Lists!$H$43)="","(No supplier)",INDEX('Item Master'!$E$6:$E$155,Lists!$H$43)))</f>
        <v/>
      </c>
      <c r="H52" s="51" t="str">
        <f aca="false">IF(Lists!$H$43="","",IF(ISNUMBER(INDEX('Item Master'!$J$6:$J$155,Lists!$H$43)),D52*INDEX('Item Master'!$J$6:$J$155,Lists!$H$43),""))</f>
        <v/>
      </c>
    </row>
    <row r="53" customFormat="false" ht="18.75" hidden="false" customHeight="true" outlineLevel="0" collapsed="false">
      <c r="B53" s="47" t="str">
        <f aca="false">IF(Lists!$H$44="","",43)</f>
        <v/>
      </c>
      <c r="C53" s="48" t="str">
        <f aca="false">IF(Lists!$H$44="","",INDEX('Item Master'!$B$6:$B$155,Lists!$H$44))</f>
        <v/>
      </c>
      <c r="D53" s="49" t="str">
        <f aca="false">IF(Lists!$H$44="","",INDEX(Lists!$E$2:$E$151,Lists!$H$44))</f>
        <v/>
      </c>
      <c r="E53" s="50" t="str">
        <f aca="false">IF(Lists!$H$44="","",INDEX('Daily Ordering'!$L$10:$L$159,Lists!$H$44))</f>
        <v/>
      </c>
      <c r="F53" s="50" t="str">
        <f aca="false">IF(Lists!$H$44="","","= "&amp;TEXT(D53*IF(N(INDEX('Item Master'!$I$6:$I$155,Lists!$H$44))=0,1,INDEX('Item Master'!$I$6:$I$155,Lists!$H$44)),"#,##0.##")&amp;" "&amp;INDEX('Daily Ordering'!$E$10:$E$159,Lists!$H$44))</f>
        <v/>
      </c>
      <c r="G53" s="48" t="str">
        <f aca="false">IF(Lists!$H$44="","",IF(INDEX('Item Master'!$E$6:$E$155,Lists!$H$44)="","(No supplier)",INDEX('Item Master'!$E$6:$E$155,Lists!$H$44)))</f>
        <v/>
      </c>
      <c r="H53" s="51" t="str">
        <f aca="false">IF(Lists!$H$44="","",IF(ISNUMBER(INDEX('Item Master'!$J$6:$J$155,Lists!$H$44)),D53*INDEX('Item Master'!$J$6:$J$155,Lists!$H$44),""))</f>
        <v/>
      </c>
    </row>
    <row r="54" customFormat="false" ht="18.75" hidden="false" customHeight="true" outlineLevel="0" collapsed="false">
      <c r="B54" s="47" t="str">
        <f aca="false">IF(Lists!$H$45="","",44)</f>
        <v/>
      </c>
      <c r="C54" s="48" t="str">
        <f aca="false">IF(Lists!$H$45="","",INDEX('Item Master'!$B$6:$B$155,Lists!$H$45))</f>
        <v/>
      </c>
      <c r="D54" s="49" t="str">
        <f aca="false">IF(Lists!$H$45="","",INDEX(Lists!$E$2:$E$151,Lists!$H$45))</f>
        <v/>
      </c>
      <c r="E54" s="50" t="str">
        <f aca="false">IF(Lists!$H$45="","",INDEX('Daily Ordering'!$L$10:$L$159,Lists!$H$45))</f>
        <v/>
      </c>
      <c r="F54" s="50" t="str">
        <f aca="false">IF(Lists!$H$45="","","= "&amp;TEXT(D54*IF(N(INDEX('Item Master'!$I$6:$I$155,Lists!$H$45))=0,1,INDEX('Item Master'!$I$6:$I$155,Lists!$H$45)),"#,##0.##")&amp;" "&amp;INDEX('Daily Ordering'!$E$10:$E$159,Lists!$H$45))</f>
        <v/>
      </c>
      <c r="G54" s="48" t="str">
        <f aca="false">IF(Lists!$H$45="","",IF(INDEX('Item Master'!$E$6:$E$155,Lists!$H$45)="","(No supplier)",INDEX('Item Master'!$E$6:$E$155,Lists!$H$45)))</f>
        <v/>
      </c>
      <c r="H54" s="51" t="str">
        <f aca="false">IF(Lists!$H$45="","",IF(ISNUMBER(INDEX('Item Master'!$J$6:$J$155,Lists!$H$45)),D54*INDEX('Item Master'!$J$6:$J$155,Lists!$H$45),""))</f>
        <v/>
      </c>
    </row>
    <row r="55" customFormat="false" ht="18.75" hidden="false" customHeight="true" outlineLevel="0" collapsed="false">
      <c r="B55" s="47" t="str">
        <f aca="false">IF(Lists!$H$46="","",45)</f>
        <v/>
      </c>
      <c r="C55" s="48" t="str">
        <f aca="false">IF(Lists!$H$46="","",INDEX('Item Master'!$B$6:$B$155,Lists!$H$46))</f>
        <v/>
      </c>
      <c r="D55" s="49" t="str">
        <f aca="false">IF(Lists!$H$46="","",INDEX(Lists!$E$2:$E$151,Lists!$H$46))</f>
        <v/>
      </c>
      <c r="E55" s="50" t="str">
        <f aca="false">IF(Lists!$H$46="","",INDEX('Daily Ordering'!$L$10:$L$159,Lists!$H$46))</f>
        <v/>
      </c>
      <c r="F55" s="50" t="str">
        <f aca="false">IF(Lists!$H$46="","","= "&amp;TEXT(D55*IF(N(INDEX('Item Master'!$I$6:$I$155,Lists!$H$46))=0,1,INDEX('Item Master'!$I$6:$I$155,Lists!$H$46)),"#,##0.##")&amp;" "&amp;INDEX('Daily Ordering'!$E$10:$E$159,Lists!$H$46))</f>
        <v/>
      </c>
      <c r="G55" s="48" t="str">
        <f aca="false">IF(Lists!$H$46="","",IF(INDEX('Item Master'!$E$6:$E$155,Lists!$H$46)="","(No supplier)",INDEX('Item Master'!$E$6:$E$155,Lists!$H$46)))</f>
        <v/>
      </c>
      <c r="H55" s="51" t="str">
        <f aca="false">IF(Lists!$H$46="","",IF(ISNUMBER(INDEX('Item Master'!$J$6:$J$155,Lists!$H$46)),D55*INDEX('Item Master'!$J$6:$J$155,Lists!$H$46),""))</f>
        <v/>
      </c>
    </row>
    <row r="56" customFormat="false" ht="18.75" hidden="false" customHeight="true" outlineLevel="0" collapsed="false">
      <c r="B56" s="47" t="str">
        <f aca="false">IF(Lists!$H$47="","",46)</f>
        <v/>
      </c>
      <c r="C56" s="48" t="str">
        <f aca="false">IF(Lists!$H$47="","",INDEX('Item Master'!$B$6:$B$155,Lists!$H$47))</f>
        <v/>
      </c>
      <c r="D56" s="49" t="str">
        <f aca="false">IF(Lists!$H$47="","",INDEX(Lists!$E$2:$E$151,Lists!$H$47))</f>
        <v/>
      </c>
      <c r="E56" s="50" t="str">
        <f aca="false">IF(Lists!$H$47="","",INDEX('Daily Ordering'!$L$10:$L$159,Lists!$H$47))</f>
        <v/>
      </c>
      <c r="F56" s="50" t="str">
        <f aca="false">IF(Lists!$H$47="","","= "&amp;TEXT(D56*IF(N(INDEX('Item Master'!$I$6:$I$155,Lists!$H$47))=0,1,INDEX('Item Master'!$I$6:$I$155,Lists!$H$47)),"#,##0.##")&amp;" "&amp;INDEX('Daily Ordering'!$E$10:$E$159,Lists!$H$47))</f>
        <v/>
      </c>
      <c r="G56" s="48" t="str">
        <f aca="false">IF(Lists!$H$47="","",IF(INDEX('Item Master'!$E$6:$E$155,Lists!$H$47)="","(No supplier)",INDEX('Item Master'!$E$6:$E$155,Lists!$H$47)))</f>
        <v/>
      </c>
      <c r="H56" s="51" t="str">
        <f aca="false">IF(Lists!$H$47="","",IF(ISNUMBER(INDEX('Item Master'!$J$6:$J$155,Lists!$H$47)),D56*INDEX('Item Master'!$J$6:$J$155,Lists!$H$47),""))</f>
        <v/>
      </c>
    </row>
    <row r="57" customFormat="false" ht="18.75" hidden="false" customHeight="true" outlineLevel="0" collapsed="false">
      <c r="B57" s="47" t="str">
        <f aca="false">IF(Lists!$H$48="","",47)</f>
        <v/>
      </c>
      <c r="C57" s="48" t="str">
        <f aca="false">IF(Lists!$H$48="","",INDEX('Item Master'!$B$6:$B$155,Lists!$H$48))</f>
        <v/>
      </c>
      <c r="D57" s="49" t="str">
        <f aca="false">IF(Lists!$H$48="","",INDEX(Lists!$E$2:$E$151,Lists!$H$48))</f>
        <v/>
      </c>
      <c r="E57" s="50" t="str">
        <f aca="false">IF(Lists!$H$48="","",INDEX('Daily Ordering'!$L$10:$L$159,Lists!$H$48))</f>
        <v/>
      </c>
      <c r="F57" s="50" t="str">
        <f aca="false">IF(Lists!$H$48="","","= "&amp;TEXT(D57*IF(N(INDEX('Item Master'!$I$6:$I$155,Lists!$H$48))=0,1,INDEX('Item Master'!$I$6:$I$155,Lists!$H$48)),"#,##0.##")&amp;" "&amp;INDEX('Daily Ordering'!$E$10:$E$159,Lists!$H$48))</f>
        <v/>
      </c>
      <c r="G57" s="48" t="str">
        <f aca="false">IF(Lists!$H$48="","",IF(INDEX('Item Master'!$E$6:$E$155,Lists!$H$48)="","(No supplier)",INDEX('Item Master'!$E$6:$E$155,Lists!$H$48)))</f>
        <v/>
      </c>
      <c r="H57" s="51" t="str">
        <f aca="false">IF(Lists!$H$48="","",IF(ISNUMBER(INDEX('Item Master'!$J$6:$J$155,Lists!$H$48)),D57*INDEX('Item Master'!$J$6:$J$155,Lists!$H$48),""))</f>
        <v/>
      </c>
    </row>
    <row r="58" customFormat="false" ht="18.75" hidden="false" customHeight="true" outlineLevel="0" collapsed="false">
      <c r="B58" s="47" t="str">
        <f aca="false">IF(Lists!$H$49="","",48)</f>
        <v/>
      </c>
      <c r="C58" s="48" t="str">
        <f aca="false">IF(Lists!$H$49="","",INDEX('Item Master'!$B$6:$B$155,Lists!$H$49))</f>
        <v/>
      </c>
      <c r="D58" s="49" t="str">
        <f aca="false">IF(Lists!$H$49="","",INDEX(Lists!$E$2:$E$151,Lists!$H$49))</f>
        <v/>
      </c>
      <c r="E58" s="50" t="str">
        <f aca="false">IF(Lists!$H$49="","",INDEX('Daily Ordering'!$L$10:$L$159,Lists!$H$49))</f>
        <v/>
      </c>
      <c r="F58" s="50" t="str">
        <f aca="false">IF(Lists!$H$49="","","= "&amp;TEXT(D58*IF(N(INDEX('Item Master'!$I$6:$I$155,Lists!$H$49))=0,1,INDEX('Item Master'!$I$6:$I$155,Lists!$H$49)),"#,##0.##")&amp;" "&amp;INDEX('Daily Ordering'!$E$10:$E$159,Lists!$H$49))</f>
        <v/>
      </c>
      <c r="G58" s="48" t="str">
        <f aca="false">IF(Lists!$H$49="","",IF(INDEX('Item Master'!$E$6:$E$155,Lists!$H$49)="","(No supplier)",INDEX('Item Master'!$E$6:$E$155,Lists!$H$49)))</f>
        <v/>
      </c>
      <c r="H58" s="51" t="str">
        <f aca="false">IF(Lists!$H$49="","",IF(ISNUMBER(INDEX('Item Master'!$J$6:$J$155,Lists!$H$49)),D58*INDEX('Item Master'!$J$6:$J$155,Lists!$H$49),""))</f>
        <v/>
      </c>
    </row>
    <row r="59" customFormat="false" ht="18.75" hidden="false" customHeight="true" outlineLevel="0" collapsed="false">
      <c r="B59" s="47" t="str">
        <f aca="false">IF(Lists!$H$50="","",49)</f>
        <v/>
      </c>
      <c r="C59" s="48" t="str">
        <f aca="false">IF(Lists!$H$50="","",INDEX('Item Master'!$B$6:$B$155,Lists!$H$50))</f>
        <v/>
      </c>
      <c r="D59" s="49" t="str">
        <f aca="false">IF(Lists!$H$50="","",INDEX(Lists!$E$2:$E$151,Lists!$H$50))</f>
        <v/>
      </c>
      <c r="E59" s="50" t="str">
        <f aca="false">IF(Lists!$H$50="","",INDEX('Daily Ordering'!$L$10:$L$159,Lists!$H$50))</f>
        <v/>
      </c>
      <c r="F59" s="50" t="str">
        <f aca="false">IF(Lists!$H$50="","","= "&amp;TEXT(D59*IF(N(INDEX('Item Master'!$I$6:$I$155,Lists!$H$50))=0,1,INDEX('Item Master'!$I$6:$I$155,Lists!$H$50)),"#,##0.##")&amp;" "&amp;INDEX('Daily Ordering'!$E$10:$E$159,Lists!$H$50))</f>
        <v/>
      </c>
      <c r="G59" s="48" t="str">
        <f aca="false">IF(Lists!$H$50="","",IF(INDEX('Item Master'!$E$6:$E$155,Lists!$H$50)="","(No supplier)",INDEX('Item Master'!$E$6:$E$155,Lists!$H$50)))</f>
        <v/>
      </c>
      <c r="H59" s="51" t="str">
        <f aca="false">IF(Lists!$H$50="","",IF(ISNUMBER(INDEX('Item Master'!$J$6:$J$155,Lists!$H$50)),D59*INDEX('Item Master'!$J$6:$J$155,Lists!$H$50),""))</f>
        <v/>
      </c>
    </row>
    <row r="60" customFormat="false" ht="18.75" hidden="false" customHeight="true" outlineLevel="0" collapsed="false">
      <c r="B60" s="47" t="str">
        <f aca="false">IF(Lists!$H$51="","",50)</f>
        <v/>
      </c>
      <c r="C60" s="48" t="str">
        <f aca="false">IF(Lists!$H$51="","",INDEX('Item Master'!$B$6:$B$155,Lists!$H$51))</f>
        <v/>
      </c>
      <c r="D60" s="49" t="str">
        <f aca="false">IF(Lists!$H$51="","",INDEX(Lists!$E$2:$E$151,Lists!$H$51))</f>
        <v/>
      </c>
      <c r="E60" s="50" t="str">
        <f aca="false">IF(Lists!$H$51="","",INDEX('Daily Ordering'!$L$10:$L$159,Lists!$H$51))</f>
        <v/>
      </c>
      <c r="F60" s="50" t="str">
        <f aca="false">IF(Lists!$H$51="","","= "&amp;TEXT(D60*IF(N(INDEX('Item Master'!$I$6:$I$155,Lists!$H$51))=0,1,INDEX('Item Master'!$I$6:$I$155,Lists!$H$51)),"#,##0.##")&amp;" "&amp;INDEX('Daily Ordering'!$E$10:$E$159,Lists!$H$51))</f>
        <v/>
      </c>
      <c r="G60" s="48" t="str">
        <f aca="false">IF(Lists!$H$51="","",IF(INDEX('Item Master'!$E$6:$E$155,Lists!$H$51)="","(No supplier)",INDEX('Item Master'!$E$6:$E$155,Lists!$H$51)))</f>
        <v/>
      </c>
      <c r="H60" s="51" t="str">
        <f aca="false">IF(Lists!$H$51="","",IF(ISNUMBER(INDEX('Item Master'!$J$6:$J$155,Lists!$H$51)),D60*INDEX('Item Master'!$J$6:$J$155,Lists!$H$51),""))</f>
        <v/>
      </c>
    </row>
    <row r="61" customFormat="false" ht="18.75" hidden="false" customHeight="true" outlineLevel="0" collapsed="false">
      <c r="B61" s="47" t="str">
        <f aca="false">IF(Lists!$H$52="","",51)</f>
        <v/>
      </c>
      <c r="C61" s="48" t="str">
        <f aca="false">IF(Lists!$H$52="","",INDEX('Item Master'!$B$6:$B$155,Lists!$H$52))</f>
        <v/>
      </c>
      <c r="D61" s="49" t="str">
        <f aca="false">IF(Lists!$H$52="","",INDEX(Lists!$E$2:$E$151,Lists!$H$52))</f>
        <v/>
      </c>
      <c r="E61" s="50" t="str">
        <f aca="false">IF(Lists!$H$52="","",INDEX('Daily Ordering'!$L$10:$L$159,Lists!$H$52))</f>
        <v/>
      </c>
      <c r="F61" s="50" t="str">
        <f aca="false">IF(Lists!$H$52="","","= "&amp;TEXT(D61*IF(N(INDEX('Item Master'!$I$6:$I$155,Lists!$H$52))=0,1,INDEX('Item Master'!$I$6:$I$155,Lists!$H$52)),"#,##0.##")&amp;" "&amp;INDEX('Daily Ordering'!$E$10:$E$159,Lists!$H$52))</f>
        <v/>
      </c>
      <c r="G61" s="48" t="str">
        <f aca="false">IF(Lists!$H$52="","",IF(INDEX('Item Master'!$E$6:$E$155,Lists!$H$52)="","(No supplier)",INDEX('Item Master'!$E$6:$E$155,Lists!$H$52)))</f>
        <v/>
      </c>
      <c r="H61" s="51" t="str">
        <f aca="false">IF(Lists!$H$52="","",IF(ISNUMBER(INDEX('Item Master'!$J$6:$J$155,Lists!$H$52)),D61*INDEX('Item Master'!$J$6:$J$155,Lists!$H$52),""))</f>
        <v/>
      </c>
    </row>
    <row r="62" customFormat="false" ht="18.75" hidden="false" customHeight="true" outlineLevel="0" collapsed="false">
      <c r="B62" s="47" t="str">
        <f aca="false">IF(Lists!$H$53="","",52)</f>
        <v/>
      </c>
      <c r="C62" s="48" t="str">
        <f aca="false">IF(Lists!$H$53="","",INDEX('Item Master'!$B$6:$B$155,Lists!$H$53))</f>
        <v/>
      </c>
      <c r="D62" s="49" t="str">
        <f aca="false">IF(Lists!$H$53="","",INDEX(Lists!$E$2:$E$151,Lists!$H$53))</f>
        <v/>
      </c>
      <c r="E62" s="50" t="str">
        <f aca="false">IF(Lists!$H$53="","",INDEX('Daily Ordering'!$L$10:$L$159,Lists!$H$53))</f>
        <v/>
      </c>
      <c r="F62" s="50" t="str">
        <f aca="false">IF(Lists!$H$53="","","= "&amp;TEXT(D62*IF(N(INDEX('Item Master'!$I$6:$I$155,Lists!$H$53))=0,1,INDEX('Item Master'!$I$6:$I$155,Lists!$H$53)),"#,##0.##")&amp;" "&amp;INDEX('Daily Ordering'!$E$10:$E$159,Lists!$H$53))</f>
        <v/>
      </c>
      <c r="G62" s="48" t="str">
        <f aca="false">IF(Lists!$H$53="","",IF(INDEX('Item Master'!$E$6:$E$155,Lists!$H$53)="","(No supplier)",INDEX('Item Master'!$E$6:$E$155,Lists!$H$53)))</f>
        <v/>
      </c>
      <c r="H62" s="51" t="str">
        <f aca="false">IF(Lists!$H$53="","",IF(ISNUMBER(INDEX('Item Master'!$J$6:$J$155,Lists!$H$53)),D62*INDEX('Item Master'!$J$6:$J$155,Lists!$H$53),""))</f>
        <v/>
      </c>
    </row>
    <row r="63" customFormat="false" ht="18.75" hidden="false" customHeight="true" outlineLevel="0" collapsed="false">
      <c r="B63" s="47" t="str">
        <f aca="false">IF(Lists!$H$54="","",53)</f>
        <v/>
      </c>
      <c r="C63" s="48" t="str">
        <f aca="false">IF(Lists!$H$54="","",INDEX('Item Master'!$B$6:$B$155,Lists!$H$54))</f>
        <v/>
      </c>
      <c r="D63" s="49" t="str">
        <f aca="false">IF(Lists!$H$54="","",INDEX(Lists!$E$2:$E$151,Lists!$H$54))</f>
        <v/>
      </c>
      <c r="E63" s="50" t="str">
        <f aca="false">IF(Lists!$H$54="","",INDEX('Daily Ordering'!$L$10:$L$159,Lists!$H$54))</f>
        <v/>
      </c>
      <c r="F63" s="50" t="str">
        <f aca="false">IF(Lists!$H$54="","","= "&amp;TEXT(D63*IF(N(INDEX('Item Master'!$I$6:$I$155,Lists!$H$54))=0,1,INDEX('Item Master'!$I$6:$I$155,Lists!$H$54)),"#,##0.##")&amp;" "&amp;INDEX('Daily Ordering'!$E$10:$E$159,Lists!$H$54))</f>
        <v/>
      </c>
      <c r="G63" s="48" t="str">
        <f aca="false">IF(Lists!$H$54="","",IF(INDEX('Item Master'!$E$6:$E$155,Lists!$H$54)="","(No supplier)",INDEX('Item Master'!$E$6:$E$155,Lists!$H$54)))</f>
        <v/>
      </c>
      <c r="H63" s="51" t="str">
        <f aca="false">IF(Lists!$H$54="","",IF(ISNUMBER(INDEX('Item Master'!$J$6:$J$155,Lists!$H$54)),D63*INDEX('Item Master'!$J$6:$J$155,Lists!$H$54),""))</f>
        <v/>
      </c>
    </row>
    <row r="64" customFormat="false" ht="18.75" hidden="false" customHeight="true" outlineLevel="0" collapsed="false">
      <c r="B64" s="47" t="str">
        <f aca="false">IF(Lists!$H$55="","",54)</f>
        <v/>
      </c>
      <c r="C64" s="48" t="str">
        <f aca="false">IF(Lists!$H$55="","",INDEX('Item Master'!$B$6:$B$155,Lists!$H$55))</f>
        <v/>
      </c>
      <c r="D64" s="49" t="str">
        <f aca="false">IF(Lists!$H$55="","",INDEX(Lists!$E$2:$E$151,Lists!$H$55))</f>
        <v/>
      </c>
      <c r="E64" s="50" t="str">
        <f aca="false">IF(Lists!$H$55="","",INDEX('Daily Ordering'!$L$10:$L$159,Lists!$H$55))</f>
        <v/>
      </c>
      <c r="F64" s="50" t="str">
        <f aca="false">IF(Lists!$H$55="","","= "&amp;TEXT(D64*IF(N(INDEX('Item Master'!$I$6:$I$155,Lists!$H$55))=0,1,INDEX('Item Master'!$I$6:$I$155,Lists!$H$55)),"#,##0.##")&amp;" "&amp;INDEX('Daily Ordering'!$E$10:$E$159,Lists!$H$55))</f>
        <v/>
      </c>
      <c r="G64" s="48" t="str">
        <f aca="false">IF(Lists!$H$55="","",IF(INDEX('Item Master'!$E$6:$E$155,Lists!$H$55)="","(No supplier)",INDEX('Item Master'!$E$6:$E$155,Lists!$H$55)))</f>
        <v/>
      </c>
      <c r="H64" s="51" t="str">
        <f aca="false">IF(Lists!$H$55="","",IF(ISNUMBER(INDEX('Item Master'!$J$6:$J$155,Lists!$H$55)),D64*INDEX('Item Master'!$J$6:$J$155,Lists!$H$55),""))</f>
        <v/>
      </c>
    </row>
    <row r="65" customFormat="false" ht="18.75" hidden="false" customHeight="true" outlineLevel="0" collapsed="false">
      <c r="B65" s="47" t="str">
        <f aca="false">IF(Lists!$H$56="","",55)</f>
        <v/>
      </c>
      <c r="C65" s="48" t="str">
        <f aca="false">IF(Lists!$H$56="","",INDEX('Item Master'!$B$6:$B$155,Lists!$H$56))</f>
        <v/>
      </c>
      <c r="D65" s="49" t="str">
        <f aca="false">IF(Lists!$H$56="","",INDEX(Lists!$E$2:$E$151,Lists!$H$56))</f>
        <v/>
      </c>
      <c r="E65" s="50" t="str">
        <f aca="false">IF(Lists!$H$56="","",INDEX('Daily Ordering'!$L$10:$L$159,Lists!$H$56))</f>
        <v/>
      </c>
      <c r="F65" s="50" t="str">
        <f aca="false">IF(Lists!$H$56="","","= "&amp;TEXT(D65*IF(N(INDEX('Item Master'!$I$6:$I$155,Lists!$H$56))=0,1,INDEX('Item Master'!$I$6:$I$155,Lists!$H$56)),"#,##0.##")&amp;" "&amp;INDEX('Daily Ordering'!$E$10:$E$159,Lists!$H$56))</f>
        <v/>
      </c>
      <c r="G65" s="48" t="str">
        <f aca="false">IF(Lists!$H$56="","",IF(INDEX('Item Master'!$E$6:$E$155,Lists!$H$56)="","(No supplier)",INDEX('Item Master'!$E$6:$E$155,Lists!$H$56)))</f>
        <v/>
      </c>
      <c r="H65" s="51" t="str">
        <f aca="false">IF(Lists!$H$56="","",IF(ISNUMBER(INDEX('Item Master'!$J$6:$J$155,Lists!$H$56)),D65*INDEX('Item Master'!$J$6:$J$155,Lists!$H$56),""))</f>
        <v/>
      </c>
    </row>
    <row r="66" customFormat="false" ht="18.75" hidden="false" customHeight="true" outlineLevel="0" collapsed="false">
      <c r="B66" s="47" t="str">
        <f aca="false">IF(Lists!$H$57="","",56)</f>
        <v/>
      </c>
      <c r="C66" s="48" t="str">
        <f aca="false">IF(Lists!$H$57="","",INDEX('Item Master'!$B$6:$B$155,Lists!$H$57))</f>
        <v/>
      </c>
      <c r="D66" s="49" t="str">
        <f aca="false">IF(Lists!$H$57="","",INDEX(Lists!$E$2:$E$151,Lists!$H$57))</f>
        <v/>
      </c>
      <c r="E66" s="50" t="str">
        <f aca="false">IF(Lists!$H$57="","",INDEX('Daily Ordering'!$L$10:$L$159,Lists!$H$57))</f>
        <v/>
      </c>
      <c r="F66" s="50" t="str">
        <f aca="false">IF(Lists!$H$57="","","= "&amp;TEXT(D66*IF(N(INDEX('Item Master'!$I$6:$I$155,Lists!$H$57))=0,1,INDEX('Item Master'!$I$6:$I$155,Lists!$H$57)),"#,##0.##")&amp;" "&amp;INDEX('Daily Ordering'!$E$10:$E$159,Lists!$H$57))</f>
        <v/>
      </c>
      <c r="G66" s="48" t="str">
        <f aca="false">IF(Lists!$H$57="","",IF(INDEX('Item Master'!$E$6:$E$155,Lists!$H$57)="","(No supplier)",INDEX('Item Master'!$E$6:$E$155,Lists!$H$57)))</f>
        <v/>
      </c>
      <c r="H66" s="51" t="str">
        <f aca="false">IF(Lists!$H$57="","",IF(ISNUMBER(INDEX('Item Master'!$J$6:$J$155,Lists!$H$57)),D66*INDEX('Item Master'!$J$6:$J$155,Lists!$H$57),""))</f>
        <v/>
      </c>
    </row>
    <row r="67" customFormat="false" ht="18.75" hidden="false" customHeight="true" outlineLevel="0" collapsed="false">
      <c r="B67" s="47" t="str">
        <f aca="false">IF(Lists!$H$58="","",57)</f>
        <v/>
      </c>
      <c r="C67" s="48" t="str">
        <f aca="false">IF(Lists!$H$58="","",INDEX('Item Master'!$B$6:$B$155,Lists!$H$58))</f>
        <v/>
      </c>
      <c r="D67" s="49" t="str">
        <f aca="false">IF(Lists!$H$58="","",INDEX(Lists!$E$2:$E$151,Lists!$H$58))</f>
        <v/>
      </c>
      <c r="E67" s="50" t="str">
        <f aca="false">IF(Lists!$H$58="","",INDEX('Daily Ordering'!$L$10:$L$159,Lists!$H$58))</f>
        <v/>
      </c>
      <c r="F67" s="50" t="str">
        <f aca="false">IF(Lists!$H$58="","","= "&amp;TEXT(D67*IF(N(INDEX('Item Master'!$I$6:$I$155,Lists!$H$58))=0,1,INDEX('Item Master'!$I$6:$I$155,Lists!$H$58)),"#,##0.##")&amp;" "&amp;INDEX('Daily Ordering'!$E$10:$E$159,Lists!$H$58))</f>
        <v/>
      </c>
      <c r="G67" s="48" t="str">
        <f aca="false">IF(Lists!$H$58="","",IF(INDEX('Item Master'!$E$6:$E$155,Lists!$H$58)="","(No supplier)",INDEX('Item Master'!$E$6:$E$155,Lists!$H$58)))</f>
        <v/>
      </c>
      <c r="H67" s="51" t="str">
        <f aca="false">IF(Lists!$H$58="","",IF(ISNUMBER(INDEX('Item Master'!$J$6:$J$155,Lists!$H$58)),D67*INDEX('Item Master'!$J$6:$J$155,Lists!$H$58),""))</f>
        <v/>
      </c>
    </row>
    <row r="68" customFormat="false" ht="18.75" hidden="false" customHeight="true" outlineLevel="0" collapsed="false">
      <c r="B68" s="47" t="str">
        <f aca="false">IF(Lists!$H$59="","",58)</f>
        <v/>
      </c>
      <c r="C68" s="48" t="str">
        <f aca="false">IF(Lists!$H$59="","",INDEX('Item Master'!$B$6:$B$155,Lists!$H$59))</f>
        <v/>
      </c>
      <c r="D68" s="49" t="str">
        <f aca="false">IF(Lists!$H$59="","",INDEX(Lists!$E$2:$E$151,Lists!$H$59))</f>
        <v/>
      </c>
      <c r="E68" s="50" t="str">
        <f aca="false">IF(Lists!$H$59="","",INDEX('Daily Ordering'!$L$10:$L$159,Lists!$H$59))</f>
        <v/>
      </c>
      <c r="F68" s="50" t="str">
        <f aca="false">IF(Lists!$H$59="","","= "&amp;TEXT(D68*IF(N(INDEX('Item Master'!$I$6:$I$155,Lists!$H$59))=0,1,INDEX('Item Master'!$I$6:$I$155,Lists!$H$59)),"#,##0.##")&amp;" "&amp;INDEX('Daily Ordering'!$E$10:$E$159,Lists!$H$59))</f>
        <v/>
      </c>
      <c r="G68" s="48" t="str">
        <f aca="false">IF(Lists!$H$59="","",IF(INDEX('Item Master'!$E$6:$E$155,Lists!$H$59)="","(No supplier)",INDEX('Item Master'!$E$6:$E$155,Lists!$H$59)))</f>
        <v/>
      </c>
      <c r="H68" s="51" t="str">
        <f aca="false">IF(Lists!$H$59="","",IF(ISNUMBER(INDEX('Item Master'!$J$6:$J$155,Lists!$H$59)),D68*INDEX('Item Master'!$J$6:$J$155,Lists!$H$59),""))</f>
        <v/>
      </c>
    </row>
    <row r="69" customFormat="false" ht="18.75" hidden="false" customHeight="true" outlineLevel="0" collapsed="false">
      <c r="B69" s="47" t="str">
        <f aca="false">IF(Lists!$H$60="","",59)</f>
        <v/>
      </c>
      <c r="C69" s="48" t="str">
        <f aca="false">IF(Lists!$H$60="","",INDEX('Item Master'!$B$6:$B$155,Lists!$H$60))</f>
        <v/>
      </c>
      <c r="D69" s="49" t="str">
        <f aca="false">IF(Lists!$H$60="","",INDEX(Lists!$E$2:$E$151,Lists!$H$60))</f>
        <v/>
      </c>
      <c r="E69" s="50" t="str">
        <f aca="false">IF(Lists!$H$60="","",INDEX('Daily Ordering'!$L$10:$L$159,Lists!$H$60))</f>
        <v/>
      </c>
      <c r="F69" s="50" t="str">
        <f aca="false">IF(Lists!$H$60="","","= "&amp;TEXT(D69*IF(N(INDEX('Item Master'!$I$6:$I$155,Lists!$H$60))=0,1,INDEX('Item Master'!$I$6:$I$155,Lists!$H$60)),"#,##0.##")&amp;" "&amp;INDEX('Daily Ordering'!$E$10:$E$159,Lists!$H$60))</f>
        <v/>
      </c>
      <c r="G69" s="48" t="str">
        <f aca="false">IF(Lists!$H$60="","",IF(INDEX('Item Master'!$E$6:$E$155,Lists!$H$60)="","(No supplier)",INDEX('Item Master'!$E$6:$E$155,Lists!$H$60)))</f>
        <v/>
      </c>
      <c r="H69" s="51" t="str">
        <f aca="false">IF(Lists!$H$60="","",IF(ISNUMBER(INDEX('Item Master'!$J$6:$J$155,Lists!$H$60)),D69*INDEX('Item Master'!$J$6:$J$155,Lists!$H$60),""))</f>
        <v/>
      </c>
    </row>
    <row r="70" customFormat="false" ht="18.75" hidden="false" customHeight="true" outlineLevel="0" collapsed="false">
      <c r="B70" s="47" t="str">
        <f aca="false">IF(Lists!$H$61="","",60)</f>
        <v/>
      </c>
      <c r="C70" s="48" t="str">
        <f aca="false">IF(Lists!$H$61="","",INDEX('Item Master'!$B$6:$B$155,Lists!$H$61))</f>
        <v/>
      </c>
      <c r="D70" s="49" t="str">
        <f aca="false">IF(Lists!$H$61="","",INDEX(Lists!$E$2:$E$151,Lists!$H$61))</f>
        <v/>
      </c>
      <c r="E70" s="50" t="str">
        <f aca="false">IF(Lists!$H$61="","",INDEX('Daily Ordering'!$L$10:$L$159,Lists!$H$61))</f>
        <v/>
      </c>
      <c r="F70" s="50" t="str">
        <f aca="false">IF(Lists!$H$61="","","= "&amp;TEXT(D70*IF(N(INDEX('Item Master'!$I$6:$I$155,Lists!$H$61))=0,1,INDEX('Item Master'!$I$6:$I$155,Lists!$H$61)),"#,##0.##")&amp;" "&amp;INDEX('Daily Ordering'!$E$10:$E$159,Lists!$H$61))</f>
        <v/>
      </c>
      <c r="G70" s="48" t="str">
        <f aca="false">IF(Lists!$H$61="","",IF(INDEX('Item Master'!$E$6:$E$155,Lists!$H$61)="","(No supplier)",INDEX('Item Master'!$E$6:$E$155,Lists!$H$61)))</f>
        <v/>
      </c>
      <c r="H70" s="51" t="str">
        <f aca="false">IF(Lists!$H$61="","",IF(ISNUMBER(INDEX('Item Master'!$J$6:$J$155,Lists!$H$61)),D70*INDEX('Item Master'!$J$6:$J$155,Lists!$H$61),""))</f>
        <v/>
      </c>
    </row>
    <row r="71" customFormat="false" ht="18.75" hidden="false" customHeight="true" outlineLevel="0" collapsed="false">
      <c r="B71" s="47" t="str">
        <f aca="false">IF(Lists!$H$62="","",61)</f>
        <v/>
      </c>
      <c r="C71" s="48" t="str">
        <f aca="false">IF(Lists!$H$62="","",INDEX('Item Master'!$B$6:$B$155,Lists!$H$62))</f>
        <v/>
      </c>
      <c r="D71" s="49" t="str">
        <f aca="false">IF(Lists!$H$62="","",INDEX(Lists!$E$2:$E$151,Lists!$H$62))</f>
        <v/>
      </c>
      <c r="E71" s="50" t="str">
        <f aca="false">IF(Lists!$H$62="","",INDEX('Daily Ordering'!$L$10:$L$159,Lists!$H$62))</f>
        <v/>
      </c>
      <c r="F71" s="50" t="str">
        <f aca="false">IF(Lists!$H$62="","","= "&amp;TEXT(D71*IF(N(INDEX('Item Master'!$I$6:$I$155,Lists!$H$62))=0,1,INDEX('Item Master'!$I$6:$I$155,Lists!$H$62)),"#,##0.##")&amp;" "&amp;INDEX('Daily Ordering'!$E$10:$E$159,Lists!$H$62))</f>
        <v/>
      </c>
      <c r="G71" s="48" t="str">
        <f aca="false">IF(Lists!$H$62="","",IF(INDEX('Item Master'!$E$6:$E$155,Lists!$H$62)="","(No supplier)",INDEX('Item Master'!$E$6:$E$155,Lists!$H$62)))</f>
        <v/>
      </c>
      <c r="H71" s="51" t="str">
        <f aca="false">IF(Lists!$H$62="","",IF(ISNUMBER(INDEX('Item Master'!$J$6:$J$155,Lists!$H$62)),D71*INDEX('Item Master'!$J$6:$J$155,Lists!$H$62),""))</f>
        <v/>
      </c>
    </row>
    <row r="72" customFormat="false" ht="18.75" hidden="false" customHeight="true" outlineLevel="0" collapsed="false">
      <c r="B72" s="47" t="str">
        <f aca="false">IF(Lists!$H$63="","",62)</f>
        <v/>
      </c>
      <c r="C72" s="48" t="str">
        <f aca="false">IF(Lists!$H$63="","",INDEX('Item Master'!$B$6:$B$155,Lists!$H$63))</f>
        <v/>
      </c>
      <c r="D72" s="49" t="str">
        <f aca="false">IF(Lists!$H$63="","",INDEX(Lists!$E$2:$E$151,Lists!$H$63))</f>
        <v/>
      </c>
      <c r="E72" s="50" t="str">
        <f aca="false">IF(Lists!$H$63="","",INDEX('Daily Ordering'!$L$10:$L$159,Lists!$H$63))</f>
        <v/>
      </c>
      <c r="F72" s="50" t="str">
        <f aca="false">IF(Lists!$H$63="","","= "&amp;TEXT(D72*IF(N(INDEX('Item Master'!$I$6:$I$155,Lists!$H$63))=0,1,INDEX('Item Master'!$I$6:$I$155,Lists!$H$63)),"#,##0.##")&amp;" "&amp;INDEX('Daily Ordering'!$E$10:$E$159,Lists!$H$63))</f>
        <v/>
      </c>
      <c r="G72" s="48" t="str">
        <f aca="false">IF(Lists!$H$63="","",IF(INDEX('Item Master'!$E$6:$E$155,Lists!$H$63)="","(No supplier)",INDEX('Item Master'!$E$6:$E$155,Lists!$H$63)))</f>
        <v/>
      </c>
      <c r="H72" s="51" t="str">
        <f aca="false">IF(Lists!$H$63="","",IF(ISNUMBER(INDEX('Item Master'!$J$6:$J$155,Lists!$H$63)),D72*INDEX('Item Master'!$J$6:$J$155,Lists!$H$63),""))</f>
        <v/>
      </c>
    </row>
    <row r="73" customFormat="false" ht="18.75" hidden="false" customHeight="true" outlineLevel="0" collapsed="false">
      <c r="B73" s="47" t="str">
        <f aca="false">IF(Lists!$H$64="","",63)</f>
        <v/>
      </c>
      <c r="C73" s="48" t="str">
        <f aca="false">IF(Lists!$H$64="","",INDEX('Item Master'!$B$6:$B$155,Lists!$H$64))</f>
        <v/>
      </c>
      <c r="D73" s="49" t="str">
        <f aca="false">IF(Lists!$H$64="","",INDEX(Lists!$E$2:$E$151,Lists!$H$64))</f>
        <v/>
      </c>
      <c r="E73" s="50" t="str">
        <f aca="false">IF(Lists!$H$64="","",INDEX('Daily Ordering'!$L$10:$L$159,Lists!$H$64))</f>
        <v/>
      </c>
      <c r="F73" s="50" t="str">
        <f aca="false">IF(Lists!$H$64="","","= "&amp;TEXT(D73*IF(N(INDEX('Item Master'!$I$6:$I$155,Lists!$H$64))=0,1,INDEX('Item Master'!$I$6:$I$155,Lists!$H$64)),"#,##0.##")&amp;" "&amp;INDEX('Daily Ordering'!$E$10:$E$159,Lists!$H$64))</f>
        <v/>
      </c>
      <c r="G73" s="48" t="str">
        <f aca="false">IF(Lists!$H$64="","",IF(INDEX('Item Master'!$E$6:$E$155,Lists!$H$64)="","(No supplier)",INDEX('Item Master'!$E$6:$E$155,Lists!$H$64)))</f>
        <v/>
      </c>
      <c r="H73" s="51" t="str">
        <f aca="false">IF(Lists!$H$64="","",IF(ISNUMBER(INDEX('Item Master'!$J$6:$J$155,Lists!$H$64)),D73*INDEX('Item Master'!$J$6:$J$155,Lists!$H$64),""))</f>
        <v/>
      </c>
    </row>
    <row r="74" customFormat="false" ht="18.75" hidden="false" customHeight="true" outlineLevel="0" collapsed="false">
      <c r="B74" s="47" t="str">
        <f aca="false">IF(Lists!$H$65="","",64)</f>
        <v/>
      </c>
      <c r="C74" s="48" t="str">
        <f aca="false">IF(Lists!$H$65="","",INDEX('Item Master'!$B$6:$B$155,Lists!$H$65))</f>
        <v/>
      </c>
      <c r="D74" s="49" t="str">
        <f aca="false">IF(Lists!$H$65="","",INDEX(Lists!$E$2:$E$151,Lists!$H$65))</f>
        <v/>
      </c>
      <c r="E74" s="50" t="str">
        <f aca="false">IF(Lists!$H$65="","",INDEX('Daily Ordering'!$L$10:$L$159,Lists!$H$65))</f>
        <v/>
      </c>
      <c r="F74" s="50" t="str">
        <f aca="false">IF(Lists!$H$65="","","= "&amp;TEXT(D74*IF(N(INDEX('Item Master'!$I$6:$I$155,Lists!$H$65))=0,1,INDEX('Item Master'!$I$6:$I$155,Lists!$H$65)),"#,##0.##")&amp;" "&amp;INDEX('Daily Ordering'!$E$10:$E$159,Lists!$H$65))</f>
        <v/>
      </c>
      <c r="G74" s="48" t="str">
        <f aca="false">IF(Lists!$H$65="","",IF(INDEX('Item Master'!$E$6:$E$155,Lists!$H$65)="","(No supplier)",INDEX('Item Master'!$E$6:$E$155,Lists!$H$65)))</f>
        <v/>
      </c>
      <c r="H74" s="51" t="str">
        <f aca="false">IF(Lists!$H$65="","",IF(ISNUMBER(INDEX('Item Master'!$J$6:$J$155,Lists!$H$65)),D74*INDEX('Item Master'!$J$6:$J$155,Lists!$H$65),""))</f>
        <v/>
      </c>
    </row>
    <row r="75" customFormat="false" ht="18.75" hidden="false" customHeight="true" outlineLevel="0" collapsed="false">
      <c r="B75" s="47" t="str">
        <f aca="false">IF(Lists!$H$66="","",65)</f>
        <v/>
      </c>
      <c r="C75" s="48" t="str">
        <f aca="false">IF(Lists!$H$66="","",INDEX('Item Master'!$B$6:$B$155,Lists!$H$66))</f>
        <v/>
      </c>
      <c r="D75" s="49" t="str">
        <f aca="false">IF(Lists!$H$66="","",INDEX(Lists!$E$2:$E$151,Lists!$H$66))</f>
        <v/>
      </c>
      <c r="E75" s="50" t="str">
        <f aca="false">IF(Lists!$H$66="","",INDEX('Daily Ordering'!$L$10:$L$159,Lists!$H$66))</f>
        <v/>
      </c>
      <c r="F75" s="50" t="str">
        <f aca="false">IF(Lists!$H$66="","","= "&amp;TEXT(D75*IF(N(INDEX('Item Master'!$I$6:$I$155,Lists!$H$66))=0,1,INDEX('Item Master'!$I$6:$I$155,Lists!$H$66)),"#,##0.##")&amp;" "&amp;INDEX('Daily Ordering'!$E$10:$E$159,Lists!$H$66))</f>
        <v/>
      </c>
      <c r="G75" s="48" t="str">
        <f aca="false">IF(Lists!$H$66="","",IF(INDEX('Item Master'!$E$6:$E$155,Lists!$H$66)="","(No supplier)",INDEX('Item Master'!$E$6:$E$155,Lists!$H$66)))</f>
        <v/>
      </c>
      <c r="H75" s="51" t="str">
        <f aca="false">IF(Lists!$H$66="","",IF(ISNUMBER(INDEX('Item Master'!$J$6:$J$155,Lists!$H$66)),D75*INDEX('Item Master'!$J$6:$J$155,Lists!$H$66),""))</f>
        <v/>
      </c>
    </row>
    <row r="76" customFormat="false" ht="18.75" hidden="false" customHeight="true" outlineLevel="0" collapsed="false">
      <c r="B76" s="47" t="str">
        <f aca="false">IF(Lists!$H$67="","",66)</f>
        <v/>
      </c>
      <c r="C76" s="48" t="str">
        <f aca="false">IF(Lists!$H$67="","",INDEX('Item Master'!$B$6:$B$155,Lists!$H$67))</f>
        <v/>
      </c>
      <c r="D76" s="49" t="str">
        <f aca="false">IF(Lists!$H$67="","",INDEX(Lists!$E$2:$E$151,Lists!$H$67))</f>
        <v/>
      </c>
      <c r="E76" s="50" t="str">
        <f aca="false">IF(Lists!$H$67="","",INDEX('Daily Ordering'!$L$10:$L$159,Lists!$H$67))</f>
        <v/>
      </c>
      <c r="F76" s="50" t="str">
        <f aca="false">IF(Lists!$H$67="","","= "&amp;TEXT(D76*IF(N(INDEX('Item Master'!$I$6:$I$155,Lists!$H$67))=0,1,INDEX('Item Master'!$I$6:$I$155,Lists!$H$67)),"#,##0.##")&amp;" "&amp;INDEX('Daily Ordering'!$E$10:$E$159,Lists!$H$67))</f>
        <v/>
      </c>
      <c r="G76" s="48" t="str">
        <f aca="false">IF(Lists!$H$67="","",IF(INDEX('Item Master'!$E$6:$E$155,Lists!$H$67)="","(No supplier)",INDEX('Item Master'!$E$6:$E$155,Lists!$H$67)))</f>
        <v/>
      </c>
      <c r="H76" s="51" t="str">
        <f aca="false">IF(Lists!$H$67="","",IF(ISNUMBER(INDEX('Item Master'!$J$6:$J$155,Lists!$H$67)),D76*INDEX('Item Master'!$J$6:$J$155,Lists!$H$67),""))</f>
        <v/>
      </c>
    </row>
    <row r="77" customFormat="false" ht="18.75" hidden="false" customHeight="true" outlineLevel="0" collapsed="false">
      <c r="B77" s="47" t="str">
        <f aca="false">IF(Lists!$H$68="","",67)</f>
        <v/>
      </c>
      <c r="C77" s="48" t="str">
        <f aca="false">IF(Lists!$H$68="","",INDEX('Item Master'!$B$6:$B$155,Lists!$H$68))</f>
        <v/>
      </c>
      <c r="D77" s="49" t="str">
        <f aca="false">IF(Lists!$H$68="","",INDEX(Lists!$E$2:$E$151,Lists!$H$68))</f>
        <v/>
      </c>
      <c r="E77" s="50" t="str">
        <f aca="false">IF(Lists!$H$68="","",INDEX('Daily Ordering'!$L$10:$L$159,Lists!$H$68))</f>
        <v/>
      </c>
      <c r="F77" s="50" t="str">
        <f aca="false">IF(Lists!$H$68="","","= "&amp;TEXT(D77*IF(N(INDEX('Item Master'!$I$6:$I$155,Lists!$H$68))=0,1,INDEX('Item Master'!$I$6:$I$155,Lists!$H$68)),"#,##0.##")&amp;" "&amp;INDEX('Daily Ordering'!$E$10:$E$159,Lists!$H$68))</f>
        <v/>
      </c>
      <c r="G77" s="48" t="str">
        <f aca="false">IF(Lists!$H$68="","",IF(INDEX('Item Master'!$E$6:$E$155,Lists!$H$68)="","(No supplier)",INDEX('Item Master'!$E$6:$E$155,Lists!$H$68)))</f>
        <v/>
      </c>
      <c r="H77" s="51" t="str">
        <f aca="false">IF(Lists!$H$68="","",IF(ISNUMBER(INDEX('Item Master'!$J$6:$J$155,Lists!$H$68)),D77*INDEX('Item Master'!$J$6:$J$155,Lists!$H$68),""))</f>
        <v/>
      </c>
    </row>
    <row r="78" customFormat="false" ht="18.75" hidden="false" customHeight="true" outlineLevel="0" collapsed="false">
      <c r="B78" s="47" t="str">
        <f aca="false">IF(Lists!$H$69="","",68)</f>
        <v/>
      </c>
      <c r="C78" s="48" t="str">
        <f aca="false">IF(Lists!$H$69="","",INDEX('Item Master'!$B$6:$B$155,Lists!$H$69))</f>
        <v/>
      </c>
      <c r="D78" s="49" t="str">
        <f aca="false">IF(Lists!$H$69="","",INDEX(Lists!$E$2:$E$151,Lists!$H$69))</f>
        <v/>
      </c>
      <c r="E78" s="50" t="str">
        <f aca="false">IF(Lists!$H$69="","",INDEX('Daily Ordering'!$L$10:$L$159,Lists!$H$69))</f>
        <v/>
      </c>
      <c r="F78" s="50" t="str">
        <f aca="false">IF(Lists!$H$69="","","= "&amp;TEXT(D78*IF(N(INDEX('Item Master'!$I$6:$I$155,Lists!$H$69))=0,1,INDEX('Item Master'!$I$6:$I$155,Lists!$H$69)),"#,##0.##")&amp;" "&amp;INDEX('Daily Ordering'!$E$10:$E$159,Lists!$H$69))</f>
        <v/>
      </c>
      <c r="G78" s="48" t="str">
        <f aca="false">IF(Lists!$H$69="","",IF(INDEX('Item Master'!$E$6:$E$155,Lists!$H$69)="","(No supplier)",INDEX('Item Master'!$E$6:$E$155,Lists!$H$69)))</f>
        <v/>
      </c>
      <c r="H78" s="51" t="str">
        <f aca="false">IF(Lists!$H$69="","",IF(ISNUMBER(INDEX('Item Master'!$J$6:$J$155,Lists!$H$69)),D78*INDEX('Item Master'!$J$6:$J$155,Lists!$H$69),""))</f>
        <v/>
      </c>
    </row>
    <row r="79" customFormat="false" ht="18.75" hidden="false" customHeight="true" outlineLevel="0" collapsed="false">
      <c r="B79" s="47" t="str">
        <f aca="false">IF(Lists!$H$70="","",69)</f>
        <v/>
      </c>
      <c r="C79" s="48" t="str">
        <f aca="false">IF(Lists!$H$70="","",INDEX('Item Master'!$B$6:$B$155,Lists!$H$70))</f>
        <v/>
      </c>
      <c r="D79" s="49" t="str">
        <f aca="false">IF(Lists!$H$70="","",INDEX(Lists!$E$2:$E$151,Lists!$H$70))</f>
        <v/>
      </c>
      <c r="E79" s="50" t="str">
        <f aca="false">IF(Lists!$H$70="","",INDEX('Daily Ordering'!$L$10:$L$159,Lists!$H$70))</f>
        <v/>
      </c>
      <c r="F79" s="50" t="str">
        <f aca="false">IF(Lists!$H$70="","","= "&amp;TEXT(D79*IF(N(INDEX('Item Master'!$I$6:$I$155,Lists!$H$70))=0,1,INDEX('Item Master'!$I$6:$I$155,Lists!$H$70)),"#,##0.##")&amp;" "&amp;INDEX('Daily Ordering'!$E$10:$E$159,Lists!$H$70))</f>
        <v/>
      </c>
      <c r="G79" s="48" t="str">
        <f aca="false">IF(Lists!$H$70="","",IF(INDEX('Item Master'!$E$6:$E$155,Lists!$H$70)="","(No supplier)",INDEX('Item Master'!$E$6:$E$155,Lists!$H$70)))</f>
        <v/>
      </c>
      <c r="H79" s="51" t="str">
        <f aca="false">IF(Lists!$H$70="","",IF(ISNUMBER(INDEX('Item Master'!$J$6:$J$155,Lists!$H$70)),D79*INDEX('Item Master'!$J$6:$J$155,Lists!$H$70),""))</f>
        <v/>
      </c>
    </row>
    <row r="80" customFormat="false" ht="18.75" hidden="false" customHeight="true" outlineLevel="0" collapsed="false">
      <c r="B80" s="47" t="str">
        <f aca="false">IF(Lists!$H$71="","",70)</f>
        <v/>
      </c>
      <c r="C80" s="48" t="str">
        <f aca="false">IF(Lists!$H$71="","",INDEX('Item Master'!$B$6:$B$155,Lists!$H$71))</f>
        <v/>
      </c>
      <c r="D80" s="49" t="str">
        <f aca="false">IF(Lists!$H$71="","",INDEX(Lists!$E$2:$E$151,Lists!$H$71))</f>
        <v/>
      </c>
      <c r="E80" s="50" t="str">
        <f aca="false">IF(Lists!$H$71="","",INDEX('Daily Ordering'!$L$10:$L$159,Lists!$H$71))</f>
        <v/>
      </c>
      <c r="F80" s="50" t="str">
        <f aca="false">IF(Lists!$H$71="","","= "&amp;TEXT(D80*IF(N(INDEX('Item Master'!$I$6:$I$155,Lists!$H$71))=0,1,INDEX('Item Master'!$I$6:$I$155,Lists!$H$71)),"#,##0.##")&amp;" "&amp;INDEX('Daily Ordering'!$E$10:$E$159,Lists!$H$71))</f>
        <v/>
      </c>
      <c r="G80" s="48" t="str">
        <f aca="false">IF(Lists!$H$71="","",IF(INDEX('Item Master'!$E$6:$E$155,Lists!$H$71)="","(No supplier)",INDEX('Item Master'!$E$6:$E$155,Lists!$H$71)))</f>
        <v/>
      </c>
      <c r="H80" s="51" t="str">
        <f aca="false">IF(Lists!$H$71="","",IF(ISNUMBER(INDEX('Item Master'!$J$6:$J$155,Lists!$H$71)),D80*INDEX('Item Master'!$J$6:$J$155,Lists!$H$71),""))</f>
        <v/>
      </c>
    </row>
    <row r="81" customFormat="false" ht="18.75" hidden="false" customHeight="true" outlineLevel="0" collapsed="false">
      <c r="B81" s="47" t="str">
        <f aca="false">IF(Lists!$H$72="","",71)</f>
        <v/>
      </c>
      <c r="C81" s="48" t="str">
        <f aca="false">IF(Lists!$H$72="","",INDEX('Item Master'!$B$6:$B$155,Lists!$H$72))</f>
        <v/>
      </c>
      <c r="D81" s="49" t="str">
        <f aca="false">IF(Lists!$H$72="","",INDEX(Lists!$E$2:$E$151,Lists!$H$72))</f>
        <v/>
      </c>
      <c r="E81" s="50" t="str">
        <f aca="false">IF(Lists!$H$72="","",INDEX('Daily Ordering'!$L$10:$L$159,Lists!$H$72))</f>
        <v/>
      </c>
      <c r="F81" s="50" t="str">
        <f aca="false">IF(Lists!$H$72="","","= "&amp;TEXT(D81*IF(N(INDEX('Item Master'!$I$6:$I$155,Lists!$H$72))=0,1,INDEX('Item Master'!$I$6:$I$155,Lists!$H$72)),"#,##0.##")&amp;" "&amp;INDEX('Daily Ordering'!$E$10:$E$159,Lists!$H$72))</f>
        <v/>
      </c>
      <c r="G81" s="48" t="str">
        <f aca="false">IF(Lists!$H$72="","",IF(INDEX('Item Master'!$E$6:$E$155,Lists!$H$72)="","(No supplier)",INDEX('Item Master'!$E$6:$E$155,Lists!$H$72)))</f>
        <v/>
      </c>
      <c r="H81" s="51" t="str">
        <f aca="false">IF(Lists!$H$72="","",IF(ISNUMBER(INDEX('Item Master'!$J$6:$J$155,Lists!$H$72)),D81*INDEX('Item Master'!$J$6:$J$155,Lists!$H$72),""))</f>
        <v/>
      </c>
    </row>
    <row r="82" customFormat="false" ht="18.75" hidden="false" customHeight="true" outlineLevel="0" collapsed="false">
      <c r="B82" s="47" t="str">
        <f aca="false">IF(Lists!$H$73="","",72)</f>
        <v/>
      </c>
      <c r="C82" s="48" t="str">
        <f aca="false">IF(Lists!$H$73="","",INDEX('Item Master'!$B$6:$B$155,Lists!$H$73))</f>
        <v/>
      </c>
      <c r="D82" s="49" t="str">
        <f aca="false">IF(Lists!$H$73="","",INDEX(Lists!$E$2:$E$151,Lists!$H$73))</f>
        <v/>
      </c>
      <c r="E82" s="50" t="str">
        <f aca="false">IF(Lists!$H$73="","",INDEX('Daily Ordering'!$L$10:$L$159,Lists!$H$73))</f>
        <v/>
      </c>
      <c r="F82" s="50" t="str">
        <f aca="false">IF(Lists!$H$73="","","= "&amp;TEXT(D82*IF(N(INDEX('Item Master'!$I$6:$I$155,Lists!$H$73))=0,1,INDEX('Item Master'!$I$6:$I$155,Lists!$H$73)),"#,##0.##")&amp;" "&amp;INDEX('Daily Ordering'!$E$10:$E$159,Lists!$H$73))</f>
        <v/>
      </c>
      <c r="G82" s="48" t="str">
        <f aca="false">IF(Lists!$H$73="","",IF(INDEX('Item Master'!$E$6:$E$155,Lists!$H$73)="","(No supplier)",INDEX('Item Master'!$E$6:$E$155,Lists!$H$73)))</f>
        <v/>
      </c>
      <c r="H82" s="51" t="str">
        <f aca="false">IF(Lists!$H$73="","",IF(ISNUMBER(INDEX('Item Master'!$J$6:$J$155,Lists!$H$73)),D82*INDEX('Item Master'!$J$6:$J$155,Lists!$H$73),""))</f>
        <v/>
      </c>
    </row>
    <row r="83" customFormat="false" ht="18.75" hidden="false" customHeight="true" outlineLevel="0" collapsed="false">
      <c r="B83" s="47" t="str">
        <f aca="false">IF(Lists!$H$74="","",73)</f>
        <v/>
      </c>
      <c r="C83" s="48" t="str">
        <f aca="false">IF(Lists!$H$74="","",INDEX('Item Master'!$B$6:$B$155,Lists!$H$74))</f>
        <v/>
      </c>
      <c r="D83" s="49" t="str">
        <f aca="false">IF(Lists!$H$74="","",INDEX(Lists!$E$2:$E$151,Lists!$H$74))</f>
        <v/>
      </c>
      <c r="E83" s="50" t="str">
        <f aca="false">IF(Lists!$H$74="","",INDEX('Daily Ordering'!$L$10:$L$159,Lists!$H$74))</f>
        <v/>
      </c>
      <c r="F83" s="50" t="str">
        <f aca="false">IF(Lists!$H$74="","","= "&amp;TEXT(D83*IF(N(INDEX('Item Master'!$I$6:$I$155,Lists!$H$74))=0,1,INDEX('Item Master'!$I$6:$I$155,Lists!$H$74)),"#,##0.##")&amp;" "&amp;INDEX('Daily Ordering'!$E$10:$E$159,Lists!$H$74))</f>
        <v/>
      </c>
      <c r="G83" s="48" t="str">
        <f aca="false">IF(Lists!$H$74="","",IF(INDEX('Item Master'!$E$6:$E$155,Lists!$H$74)="","(No supplier)",INDEX('Item Master'!$E$6:$E$155,Lists!$H$74)))</f>
        <v/>
      </c>
      <c r="H83" s="51" t="str">
        <f aca="false">IF(Lists!$H$74="","",IF(ISNUMBER(INDEX('Item Master'!$J$6:$J$155,Lists!$H$74)),D83*INDEX('Item Master'!$J$6:$J$155,Lists!$H$74),""))</f>
        <v/>
      </c>
    </row>
    <row r="84" customFormat="false" ht="18.75" hidden="false" customHeight="true" outlineLevel="0" collapsed="false">
      <c r="B84" s="47" t="str">
        <f aca="false">IF(Lists!$H$75="","",74)</f>
        <v/>
      </c>
      <c r="C84" s="48" t="str">
        <f aca="false">IF(Lists!$H$75="","",INDEX('Item Master'!$B$6:$B$155,Lists!$H$75))</f>
        <v/>
      </c>
      <c r="D84" s="49" t="str">
        <f aca="false">IF(Lists!$H$75="","",INDEX(Lists!$E$2:$E$151,Lists!$H$75))</f>
        <v/>
      </c>
      <c r="E84" s="50" t="str">
        <f aca="false">IF(Lists!$H$75="","",INDEX('Daily Ordering'!$L$10:$L$159,Lists!$H$75))</f>
        <v/>
      </c>
      <c r="F84" s="50" t="str">
        <f aca="false">IF(Lists!$H$75="","","= "&amp;TEXT(D84*IF(N(INDEX('Item Master'!$I$6:$I$155,Lists!$H$75))=0,1,INDEX('Item Master'!$I$6:$I$155,Lists!$H$75)),"#,##0.##")&amp;" "&amp;INDEX('Daily Ordering'!$E$10:$E$159,Lists!$H$75))</f>
        <v/>
      </c>
      <c r="G84" s="48" t="str">
        <f aca="false">IF(Lists!$H$75="","",IF(INDEX('Item Master'!$E$6:$E$155,Lists!$H$75)="","(No supplier)",INDEX('Item Master'!$E$6:$E$155,Lists!$H$75)))</f>
        <v/>
      </c>
      <c r="H84" s="51" t="str">
        <f aca="false">IF(Lists!$H$75="","",IF(ISNUMBER(INDEX('Item Master'!$J$6:$J$155,Lists!$H$75)),D84*INDEX('Item Master'!$J$6:$J$155,Lists!$H$75),""))</f>
        <v/>
      </c>
    </row>
    <row r="85" customFormat="false" ht="18.75" hidden="false" customHeight="true" outlineLevel="0" collapsed="false">
      <c r="B85" s="47" t="str">
        <f aca="false">IF(Lists!$H$76="","",75)</f>
        <v/>
      </c>
      <c r="C85" s="48" t="str">
        <f aca="false">IF(Lists!$H$76="","",INDEX('Item Master'!$B$6:$B$155,Lists!$H$76))</f>
        <v/>
      </c>
      <c r="D85" s="49" t="str">
        <f aca="false">IF(Lists!$H$76="","",INDEX(Lists!$E$2:$E$151,Lists!$H$76))</f>
        <v/>
      </c>
      <c r="E85" s="50" t="str">
        <f aca="false">IF(Lists!$H$76="","",INDEX('Daily Ordering'!$L$10:$L$159,Lists!$H$76))</f>
        <v/>
      </c>
      <c r="F85" s="50" t="str">
        <f aca="false">IF(Lists!$H$76="","","= "&amp;TEXT(D85*IF(N(INDEX('Item Master'!$I$6:$I$155,Lists!$H$76))=0,1,INDEX('Item Master'!$I$6:$I$155,Lists!$H$76)),"#,##0.##")&amp;" "&amp;INDEX('Daily Ordering'!$E$10:$E$159,Lists!$H$76))</f>
        <v/>
      </c>
      <c r="G85" s="48" t="str">
        <f aca="false">IF(Lists!$H$76="","",IF(INDEX('Item Master'!$E$6:$E$155,Lists!$H$76)="","(No supplier)",INDEX('Item Master'!$E$6:$E$155,Lists!$H$76)))</f>
        <v/>
      </c>
      <c r="H85" s="51" t="str">
        <f aca="false">IF(Lists!$H$76="","",IF(ISNUMBER(INDEX('Item Master'!$J$6:$J$155,Lists!$H$76)),D85*INDEX('Item Master'!$J$6:$J$155,Lists!$H$76),""))</f>
        <v/>
      </c>
    </row>
    <row r="86" customFormat="false" ht="18.75" hidden="false" customHeight="true" outlineLevel="0" collapsed="false">
      <c r="B86" s="47" t="str">
        <f aca="false">IF(Lists!$H$77="","",76)</f>
        <v/>
      </c>
      <c r="C86" s="48" t="str">
        <f aca="false">IF(Lists!$H$77="","",INDEX('Item Master'!$B$6:$B$155,Lists!$H$77))</f>
        <v/>
      </c>
      <c r="D86" s="49" t="str">
        <f aca="false">IF(Lists!$H$77="","",INDEX(Lists!$E$2:$E$151,Lists!$H$77))</f>
        <v/>
      </c>
      <c r="E86" s="50" t="str">
        <f aca="false">IF(Lists!$H$77="","",INDEX('Daily Ordering'!$L$10:$L$159,Lists!$H$77))</f>
        <v/>
      </c>
      <c r="F86" s="50" t="str">
        <f aca="false">IF(Lists!$H$77="","","= "&amp;TEXT(D86*IF(N(INDEX('Item Master'!$I$6:$I$155,Lists!$H$77))=0,1,INDEX('Item Master'!$I$6:$I$155,Lists!$H$77)),"#,##0.##")&amp;" "&amp;INDEX('Daily Ordering'!$E$10:$E$159,Lists!$H$77))</f>
        <v/>
      </c>
      <c r="G86" s="48" t="str">
        <f aca="false">IF(Lists!$H$77="","",IF(INDEX('Item Master'!$E$6:$E$155,Lists!$H$77)="","(No supplier)",INDEX('Item Master'!$E$6:$E$155,Lists!$H$77)))</f>
        <v/>
      </c>
      <c r="H86" s="51" t="str">
        <f aca="false">IF(Lists!$H$77="","",IF(ISNUMBER(INDEX('Item Master'!$J$6:$J$155,Lists!$H$77)),D86*INDEX('Item Master'!$J$6:$J$155,Lists!$H$77),""))</f>
        <v/>
      </c>
    </row>
    <row r="87" customFormat="false" ht="18.75" hidden="false" customHeight="true" outlineLevel="0" collapsed="false">
      <c r="B87" s="47" t="str">
        <f aca="false">IF(Lists!$H$78="","",77)</f>
        <v/>
      </c>
      <c r="C87" s="48" t="str">
        <f aca="false">IF(Lists!$H$78="","",INDEX('Item Master'!$B$6:$B$155,Lists!$H$78))</f>
        <v/>
      </c>
      <c r="D87" s="49" t="str">
        <f aca="false">IF(Lists!$H$78="","",INDEX(Lists!$E$2:$E$151,Lists!$H$78))</f>
        <v/>
      </c>
      <c r="E87" s="50" t="str">
        <f aca="false">IF(Lists!$H$78="","",INDEX('Daily Ordering'!$L$10:$L$159,Lists!$H$78))</f>
        <v/>
      </c>
      <c r="F87" s="50" t="str">
        <f aca="false">IF(Lists!$H$78="","","= "&amp;TEXT(D87*IF(N(INDEX('Item Master'!$I$6:$I$155,Lists!$H$78))=0,1,INDEX('Item Master'!$I$6:$I$155,Lists!$H$78)),"#,##0.##")&amp;" "&amp;INDEX('Daily Ordering'!$E$10:$E$159,Lists!$H$78))</f>
        <v/>
      </c>
      <c r="G87" s="48" t="str">
        <f aca="false">IF(Lists!$H$78="","",IF(INDEX('Item Master'!$E$6:$E$155,Lists!$H$78)="","(No supplier)",INDEX('Item Master'!$E$6:$E$155,Lists!$H$78)))</f>
        <v/>
      </c>
      <c r="H87" s="51" t="str">
        <f aca="false">IF(Lists!$H$78="","",IF(ISNUMBER(INDEX('Item Master'!$J$6:$J$155,Lists!$H$78)),D87*INDEX('Item Master'!$J$6:$J$155,Lists!$H$78),""))</f>
        <v/>
      </c>
    </row>
    <row r="88" customFormat="false" ht="18.75" hidden="false" customHeight="true" outlineLevel="0" collapsed="false">
      <c r="B88" s="47" t="str">
        <f aca="false">IF(Lists!$H$79="","",78)</f>
        <v/>
      </c>
      <c r="C88" s="48" t="str">
        <f aca="false">IF(Lists!$H$79="","",INDEX('Item Master'!$B$6:$B$155,Lists!$H$79))</f>
        <v/>
      </c>
      <c r="D88" s="49" t="str">
        <f aca="false">IF(Lists!$H$79="","",INDEX(Lists!$E$2:$E$151,Lists!$H$79))</f>
        <v/>
      </c>
      <c r="E88" s="50" t="str">
        <f aca="false">IF(Lists!$H$79="","",INDEX('Daily Ordering'!$L$10:$L$159,Lists!$H$79))</f>
        <v/>
      </c>
      <c r="F88" s="50" t="str">
        <f aca="false">IF(Lists!$H$79="","","= "&amp;TEXT(D88*IF(N(INDEX('Item Master'!$I$6:$I$155,Lists!$H$79))=0,1,INDEX('Item Master'!$I$6:$I$155,Lists!$H$79)),"#,##0.##")&amp;" "&amp;INDEX('Daily Ordering'!$E$10:$E$159,Lists!$H$79))</f>
        <v/>
      </c>
      <c r="G88" s="48" t="str">
        <f aca="false">IF(Lists!$H$79="","",IF(INDEX('Item Master'!$E$6:$E$155,Lists!$H$79)="","(No supplier)",INDEX('Item Master'!$E$6:$E$155,Lists!$H$79)))</f>
        <v/>
      </c>
      <c r="H88" s="51" t="str">
        <f aca="false">IF(Lists!$H$79="","",IF(ISNUMBER(INDEX('Item Master'!$J$6:$J$155,Lists!$H$79)),D88*INDEX('Item Master'!$J$6:$J$155,Lists!$H$79),""))</f>
        <v/>
      </c>
    </row>
    <row r="89" customFormat="false" ht="18.75" hidden="false" customHeight="true" outlineLevel="0" collapsed="false">
      <c r="B89" s="47" t="str">
        <f aca="false">IF(Lists!$H$80="","",79)</f>
        <v/>
      </c>
      <c r="C89" s="48" t="str">
        <f aca="false">IF(Lists!$H$80="","",INDEX('Item Master'!$B$6:$B$155,Lists!$H$80))</f>
        <v/>
      </c>
      <c r="D89" s="49" t="str">
        <f aca="false">IF(Lists!$H$80="","",INDEX(Lists!$E$2:$E$151,Lists!$H$80))</f>
        <v/>
      </c>
      <c r="E89" s="50" t="str">
        <f aca="false">IF(Lists!$H$80="","",INDEX('Daily Ordering'!$L$10:$L$159,Lists!$H$80))</f>
        <v/>
      </c>
      <c r="F89" s="50" t="str">
        <f aca="false">IF(Lists!$H$80="","","= "&amp;TEXT(D89*IF(N(INDEX('Item Master'!$I$6:$I$155,Lists!$H$80))=0,1,INDEX('Item Master'!$I$6:$I$155,Lists!$H$80)),"#,##0.##")&amp;" "&amp;INDEX('Daily Ordering'!$E$10:$E$159,Lists!$H$80))</f>
        <v/>
      </c>
      <c r="G89" s="48" t="str">
        <f aca="false">IF(Lists!$H$80="","",IF(INDEX('Item Master'!$E$6:$E$155,Lists!$H$80)="","(No supplier)",INDEX('Item Master'!$E$6:$E$155,Lists!$H$80)))</f>
        <v/>
      </c>
      <c r="H89" s="51" t="str">
        <f aca="false">IF(Lists!$H$80="","",IF(ISNUMBER(INDEX('Item Master'!$J$6:$J$155,Lists!$H$80)),D89*INDEX('Item Master'!$J$6:$J$155,Lists!$H$80),""))</f>
        <v/>
      </c>
    </row>
    <row r="90" customFormat="false" ht="18.75" hidden="false" customHeight="true" outlineLevel="0" collapsed="false">
      <c r="B90" s="47" t="str">
        <f aca="false">IF(Lists!$H$81="","",80)</f>
        <v/>
      </c>
      <c r="C90" s="48" t="str">
        <f aca="false">IF(Lists!$H$81="","",INDEX('Item Master'!$B$6:$B$155,Lists!$H$81))</f>
        <v/>
      </c>
      <c r="D90" s="49" t="str">
        <f aca="false">IF(Lists!$H$81="","",INDEX(Lists!$E$2:$E$151,Lists!$H$81))</f>
        <v/>
      </c>
      <c r="E90" s="50" t="str">
        <f aca="false">IF(Lists!$H$81="","",INDEX('Daily Ordering'!$L$10:$L$159,Lists!$H$81))</f>
        <v/>
      </c>
      <c r="F90" s="50" t="str">
        <f aca="false">IF(Lists!$H$81="","","= "&amp;TEXT(D90*IF(N(INDEX('Item Master'!$I$6:$I$155,Lists!$H$81))=0,1,INDEX('Item Master'!$I$6:$I$155,Lists!$H$81)),"#,##0.##")&amp;" "&amp;INDEX('Daily Ordering'!$E$10:$E$159,Lists!$H$81))</f>
        <v/>
      </c>
      <c r="G90" s="48" t="str">
        <f aca="false">IF(Lists!$H$81="","",IF(INDEX('Item Master'!$E$6:$E$155,Lists!$H$81)="","(No supplier)",INDEX('Item Master'!$E$6:$E$155,Lists!$H$81)))</f>
        <v/>
      </c>
      <c r="H90" s="51" t="str">
        <f aca="false">IF(Lists!$H$81="","",IF(ISNUMBER(INDEX('Item Master'!$J$6:$J$155,Lists!$H$81)),D90*INDEX('Item Master'!$J$6:$J$155,Lists!$H$81),""))</f>
        <v/>
      </c>
    </row>
    <row r="91" customFormat="false" ht="15" hidden="false" customHeight="false" outlineLevel="0" collapsed="false">
      <c r="B91" s="52"/>
      <c r="C91" s="52"/>
      <c r="D91" s="52"/>
      <c r="E91" s="52"/>
      <c r="F91" s="52"/>
      <c r="G91" s="52"/>
      <c r="H91" s="52"/>
    </row>
    <row r="93" customFormat="false" ht="19.5" hidden="false" customHeight="true" outlineLevel="0" collapsed="false">
      <c r="B93" s="6" t="s">
        <v>142</v>
      </c>
      <c r="C93" s="7"/>
      <c r="D93" s="7"/>
      <c r="E93" s="7"/>
      <c r="F93" s="7"/>
      <c r="G93" s="7"/>
      <c r="H93" s="7"/>
    </row>
    <row r="94" customFormat="false" ht="15" hidden="false" customHeight="false" outlineLevel="0" collapsed="false">
      <c r="B94" s="53"/>
      <c r="C94" s="53"/>
      <c r="D94" s="53"/>
      <c r="E94" s="53"/>
      <c r="F94" s="53"/>
      <c r="G94" s="53"/>
      <c r="H94" s="53"/>
    </row>
    <row r="95" customFormat="false" ht="15" hidden="false" customHeight="false" outlineLevel="0" collapsed="false">
      <c r="B95" s="53"/>
      <c r="C95" s="53"/>
      <c r="D95" s="53"/>
      <c r="E95" s="53"/>
      <c r="F95" s="53"/>
      <c r="G95" s="53"/>
      <c r="H95" s="53"/>
    </row>
    <row r="96" customFormat="false" ht="15" hidden="false" customHeight="false" outlineLevel="0" collapsed="false">
      <c r="B96" s="53"/>
      <c r="C96" s="53"/>
      <c r="D96" s="53"/>
      <c r="E96" s="53"/>
      <c r="F96" s="53"/>
      <c r="G96" s="53"/>
      <c r="H96" s="53"/>
    </row>
    <row r="97" customFormat="false" ht="15" hidden="false" customHeight="false" outlineLevel="0" collapsed="false">
      <c r="B97" s="53"/>
      <c r="C97" s="53"/>
      <c r="D97" s="53"/>
      <c r="E97" s="53"/>
      <c r="F97" s="53"/>
      <c r="G97" s="53"/>
      <c r="H97" s="53"/>
    </row>
    <row r="98" customFormat="false" ht="15" hidden="false" customHeight="false" outlineLevel="0" collapsed="false">
      <c r="B98" s="53"/>
      <c r="C98" s="53"/>
      <c r="D98" s="53"/>
      <c r="E98" s="53"/>
      <c r="F98" s="53"/>
      <c r="G98" s="53"/>
      <c r="H98" s="53"/>
    </row>
    <row r="100" customFormat="false" ht="15" hidden="false" customHeight="false" outlineLevel="0" collapsed="false">
      <c r="B100" s="22" t="s">
        <v>143</v>
      </c>
    </row>
  </sheetData>
  <sheetProtection sheet="true"/>
  <mergeCells count="6">
    <mergeCell ref="D5:F5"/>
    <mergeCell ref="D6:F6"/>
    <mergeCell ref="D7:F7"/>
    <mergeCell ref="G7:H7"/>
    <mergeCell ref="D8:F8"/>
    <mergeCell ref="B94:H98"/>
  </mergeCells>
  <conditionalFormatting sqref="B11:H90">
    <cfRule type="expression" priority="2" aboveAverage="0" equalAverage="0" bottom="0" percent="0" rank="0" text="" dxfId="6">
      <formula>$C11&lt;&gt;""</formula>
    </cfRule>
  </conditionalFormatting>
  <dataValidations count="1">
    <dataValidation allowBlank="false" error="Pick a supplier from the list." errorStyle="stop" operator="between" showDropDown="false" showErrorMessage="false" showInputMessage="false" sqref="D5" type="list">
      <formula1>Lists!$C$2:$C$152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n">
        <v>0</v>
      </c>
      <c r="B1" s="0" t="s">
        <v>144</v>
      </c>
      <c r="C1" s="0" t="s">
        <v>145</v>
      </c>
      <c r="D1" s="0" t="s">
        <v>146</v>
      </c>
      <c r="E1" s="0" t="s">
        <v>147</v>
      </c>
      <c r="F1" s="0" t="s">
        <v>148</v>
      </c>
      <c r="G1" s="0" t="s">
        <v>149</v>
      </c>
      <c r="H1" s="0" t="s">
        <v>150</v>
      </c>
    </row>
    <row r="2" customFormat="false" ht="15" hidden="false" customHeight="false" outlineLevel="0" collapsed="false">
      <c r="A2" s="0" t="n">
        <f aca="false">IF('Item Master'!E6="","",IF(COUNTIF('Item Master'!$E$6:E6,'Item Master'!E6)=1,MAX($A$1:A1)+1,""))</f>
        <v>1</v>
      </c>
      <c r="C2" s="0" t="s">
        <v>133</v>
      </c>
      <c r="D2" s="0" t="n">
        <f aca="false">IF('Item Master'!B6="","",IFERROR(MATCH('Item Master'!E6,$C$3:$C$152,0),999))</f>
        <v>1</v>
      </c>
      <c r="E2" s="54" t="n">
        <f aca="false">IF('Daily Ordering'!B10="","",IF('Daily Ordering'!K10&lt;&gt;"",'Daily Ordering'!K10,'Daily Ordering'!J10))</f>
        <v>5</v>
      </c>
      <c r="F2" s="0" t="n">
        <f aca="false">IF(ISNUMBER(E2),IF(AND(E2&gt;0,OR(SEL="All",'Item Master'!E6=SEL)),D2*1000+1,""),"")</f>
        <v>1001</v>
      </c>
      <c r="G2" s="0" t="n">
        <f aca="false">IFERROR(SMALL($F$2:$F$151,1),"")</f>
        <v>1001</v>
      </c>
      <c r="H2" s="0" t="n">
        <f aca="false">IF(G2="","",MATCH(G2,$F$2:$F$151,0))</f>
        <v>1</v>
      </c>
    </row>
    <row r="3" customFormat="false" ht="15" hidden="false" customHeight="false" outlineLevel="0" collapsed="false">
      <c r="A3" s="0" t="n">
        <f aca="false">IF('Item Master'!E7="","",IF(COUNTIF('Item Master'!$E$6:E7,'Item Master'!E7)=1,MAX($A$1:A2)+1,""))</f>
        <v>2</v>
      </c>
      <c r="C3" s="0" t="str">
        <f aca="false">IFERROR(INDEX('Item Master'!$E$6:$E$155,MATCH(1,$A$2:$A$151,0)),"")</f>
        <v>Ocean Fresh Seafood</v>
      </c>
      <c r="D3" s="0" t="n">
        <f aca="false">IF('Item Master'!B7="","",IFERROR(MATCH('Item Master'!E7,$C$3:$C$152,0),999))</f>
        <v>2</v>
      </c>
      <c r="E3" s="54" t="n">
        <f aca="false">IF('Daily Ordering'!B11="","",IF('Daily Ordering'!K11&lt;&gt;"",'Daily Ordering'!K11,'Daily Ordering'!J11))</f>
        <v>3</v>
      </c>
      <c r="F3" s="0" t="n">
        <f aca="false">IF(ISNUMBER(E3),IF(AND(E3&gt;0,OR(SEL="All",'Item Master'!E7=SEL)),D3*1000+2,""),"")</f>
        <v>2002</v>
      </c>
      <c r="G3" s="0" t="n">
        <f aca="false">IFERROR(SMALL($F$2:$F$151,2),"")</f>
        <v>2002</v>
      </c>
      <c r="H3" s="0" t="n">
        <f aca="false">IF(G3="","",MATCH(G3,$F$2:$F$151,0))</f>
        <v>2</v>
      </c>
    </row>
    <row r="4" customFormat="false" ht="15" hidden="false" customHeight="false" outlineLevel="0" collapsed="false">
      <c r="A4" s="0" t="str">
        <f aca="false">IF('Item Master'!E8="","",IF(COUNTIF('Item Master'!$E$6:E8,'Item Master'!E8)=1,MAX($A$1:A3)+1,""))</f>
        <v/>
      </c>
      <c r="C4" s="0" t="str">
        <f aca="false">IFERROR(INDEX('Item Master'!$E$6:$E$155,MATCH(2,$A$2:$A$151,0)),"")</f>
        <v>Prime Meats</v>
      </c>
      <c r="D4" s="0" t="n">
        <f aca="false">IF('Item Master'!B8="","",IFERROR(MATCH('Item Master'!E8,$C$3:$C$152,0),999))</f>
        <v>2</v>
      </c>
      <c r="E4" s="54" t="n">
        <f aca="false">IF('Daily Ordering'!B12="","",IF('Daily Ordering'!K12&lt;&gt;"",'Daily Ordering'!K12,'Daily Ordering'!J12))</f>
        <v>3</v>
      </c>
      <c r="F4" s="0" t="n">
        <f aca="false">IF(ISNUMBER(E4),IF(AND(E4&gt;0,OR(SEL="All",'Item Master'!E8=SEL)),D4*1000+3,""),"")</f>
        <v>2003</v>
      </c>
      <c r="G4" s="0" t="n">
        <f aca="false">IFERROR(SMALL($F$2:$F$151,3),"")</f>
        <v>2003</v>
      </c>
      <c r="H4" s="0" t="n">
        <f aca="false">IF(G4="","",MATCH(G4,$F$2:$F$151,0))</f>
        <v>3</v>
      </c>
    </row>
    <row r="5" customFormat="false" ht="15" hidden="false" customHeight="false" outlineLevel="0" collapsed="false">
      <c r="A5" s="0" t="n">
        <f aca="false">IF('Item Master'!E9="","",IF(COUNTIF('Item Master'!$E$6:E9,'Item Master'!E9)=1,MAX($A$1:A4)+1,""))</f>
        <v>3</v>
      </c>
      <c r="C5" s="0" t="str">
        <f aca="false">IFERROR(INDEX('Item Master'!$E$6:$E$155,MATCH(3,$A$2:$A$151,0)),"")</f>
        <v>Green Farm Produce</v>
      </c>
      <c r="D5" s="0" t="n">
        <f aca="false">IF('Item Master'!B9="","",IFERROR(MATCH('Item Master'!E9,$C$3:$C$152,0),999))</f>
        <v>3</v>
      </c>
      <c r="E5" s="54" t="n">
        <f aca="false">IF('Daily Ordering'!B13="","",IF('Daily Ordering'!K13&lt;&gt;"",'Daily Ordering'!K13,'Daily Ordering'!J13))</f>
        <v>4</v>
      </c>
      <c r="F5" s="0" t="n">
        <f aca="false">IF(ISNUMBER(E5),IF(AND(E5&gt;0,OR(SEL="All",'Item Master'!E9=SEL)),D5*1000+4,""),"")</f>
        <v>3004</v>
      </c>
      <c r="G5" s="0" t="n">
        <f aca="false">IFERROR(SMALL($F$2:$F$151,4),"")</f>
        <v>3004</v>
      </c>
      <c r="H5" s="0" t="n">
        <f aca="false">IF(G5="","",MATCH(G5,$F$2:$F$151,0))</f>
        <v>4</v>
      </c>
    </row>
    <row r="6" customFormat="false" ht="15" hidden="false" customHeight="false" outlineLevel="0" collapsed="false">
      <c r="A6" s="0" t="str">
        <f aca="false">IF('Item Master'!E10="","",IF(COUNTIF('Item Master'!$E$6:E10,'Item Master'!E10)=1,MAX($A$1:A5)+1,""))</f>
        <v/>
      </c>
      <c r="C6" s="0" t="str">
        <f aca="false">IFERROR(INDEX('Item Master'!$E$6:$E$155,MATCH(4,$A$2:$A$151,0)),"")</f>
        <v>Daily Dairy</v>
      </c>
      <c r="D6" s="0" t="n">
        <f aca="false">IF('Item Master'!B10="","",IFERROR(MATCH('Item Master'!E10,$C$3:$C$152,0),999))</f>
        <v>3</v>
      </c>
      <c r="E6" s="54" t="n">
        <f aca="false">IF('Daily Ordering'!B14="","",IF('Daily Ordering'!K14&lt;&gt;"",'Daily Ordering'!K14,'Daily Ordering'!J14))</f>
        <v>2</v>
      </c>
      <c r="F6" s="0" t="n">
        <f aca="false">IF(ISNUMBER(E6),IF(AND(E6&gt;0,OR(SEL="All",'Item Master'!E10=SEL)),D6*1000+5,""),"")</f>
        <v>3005</v>
      </c>
      <c r="G6" s="0" t="n">
        <f aca="false">IFERROR(SMALL($F$2:$F$151,5),"")</f>
        <v>3005</v>
      </c>
      <c r="H6" s="0" t="n">
        <f aca="false">IF(G6="","",MATCH(G6,$F$2:$F$151,0))</f>
        <v>5</v>
      </c>
    </row>
    <row r="7" customFormat="false" ht="15" hidden="false" customHeight="false" outlineLevel="0" collapsed="false">
      <c r="A7" s="0" t="str">
        <f aca="false">IF('Item Master'!E11="","",IF(COUNTIF('Item Master'!$E$6:E11,'Item Master'!E11)=1,MAX($A$1:A6)+1,""))</f>
        <v/>
      </c>
      <c r="C7" s="0" t="str">
        <f aca="false">IFERROR(INDEX('Item Master'!$E$6:$E$155,MATCH(5,$A$2:$A$151,0)),"")</f>
        <v>Frozen Foods Co</v>
      </c>
      <c r="D7" s="0" t="n">
        <f aca="false">IF('Item Master'!B11="","",IFERROR(MATCH('Item Master'!E11,$C$3:$C$152,0),999))</f>
        <v>3</v>
      </c>
      <c r="E7" s="54" t="n">
        <f aca="false">IF('Daily Ordering'!B15="","",IF('Daily Ordering'!K15&lt;&gt;"",'Daily Ordering'!K15,'Daily Ordering'!J15))</f>
        <v>0</v>
      </c>
      <c r="F7" s="0" t="str">
        <f aca="false">IF(ISNUMBER(E7),IF(AND(E7&gt;0,OR(SEL="All",'Item Master'!E11=SEL)),D7*1000+6,""),"")</f>
        <v/>
      </c>
      <c r="G7" s="0" t="n">
        <f aca="false">IFERROR(SMALL($F$2:$F$151,6),"")</f>
        <v>3018</v>
      </c>
      <c r="H7" s="0" t="n">
        <f aca="false">IF(G7="","",MATCH(G7,$F$2:$F$151,0))</f>
        <v>18</v>
      </c>
    </row>
    <row r="8" customFormat="false" ht="15" hidden="false" customHeight="false" outlineLevel="0" collapsed="false">
      <c r="A8" s="0" t="n">
        <f aca="false">IF('Item Master'!E12="","",IF(COUNTIF('Item Master'!$E$6:E12,'Item Master'!E12)=1,MAX($A$1:A7)+1,""))</f>
        <v>4</v>
      </c>
      <c r="C8" s="0" t="str">
        <f aca="false">IFERROR(INDEX('Item Master'!$E$6:$E$155,MATCH(6,$A$2:$A$151,0)),"")</f>
        <v>Dry Goods Trading</v>
      </c>
      <c r="D8" s="0" t="n">
        <f aca="false">IF('Item Master'!B12="","",IFERROR(MATCH('Item Master'!E12,$C$3:$C$152,0),999))</f>
        <v>4</v>
      </c>
      <c r="E8" s="54" t="n">
        <f aca="false">IF('Daily Ordering'!B16="","",IF('Daily Ordering'!K16&lt;&gt;"",'Daily Ordering'!K16,'Daily Ordering'!J16))</f>
        <v>1</v>
      </c>
      <c r="F8" s="0" t="n">
        <f aca="false">IF(ISNUMBER(E8),IF(AND(E8&gt;0,OR(SEL="All",'Item Master'!E12=SEL)),D8*1000+7,""),"")</f>
        <v>4007</v>
      </c>
      <c r="G8" s="0" t="n">
        <f aca="false">IFERROR(SMALL($F$2:$F$151,7),"")</f>
        <v>4007</v>
      </c>
      <c r="H8" s="0" t="n">
        <f aca="false">IF(G8="","",MATCH(G8,$F$2:$F$151,0))</f>
        <v>7</v>
      </c>
    </row>
    <row r="9" customFormat="false" ht="15" hidden="false" customHeight="false" outlineLevel="0" collapsed="false">
      <c r="A9" s="0" t="str">
        <f aca="false">IF('Item Master'!E13="","",IF(COUNTIF('Item Master'!$E$6:E13,'Item Master'!E13)=1,MAX($A$1:A8)+1,""))</f>
        <v/>
      </c>
      <c r="C9" s="0" t="str">
        <f aca="false">IFERROR(INDEX('Item Master'!$E$6:$E$155,MATCH(7,$A$2:$A$151,0)),"")</f>
        <v>City Bakery</v>
      </c>
      <c r="D9" s="0" t="n">
        <f aca="false">IF('Item Master'!B13="","",IFERROR(MATCH('Item Master'!E13,$C$3:$C$152,0),999))</f>
        <v>4</v>
      </c>
      <c r="E9" s="54" t="n">
        <f aca="false">IF('Daily Ordering'!B17="","",IF('Daily Ordering'!K17&lt;&gt;"",'Daily Ordering'!K17,'Daily Ordering'!J17))</f>
        <v>1</v>
      </c>
      <c r="F9" s="0" t="n">
        <f aca="false">IF(ISNUMBER(E9),IF(AND(E9&gt;0,OR(SEL="All",'Item Master'!E13=SEL)),D9*1000+8,""),"")</f>
        <v>4008</v>
      </c>
      <c r="G9" s="0" t="n">
        <f aca="false">IFERROR(SMALL($F$2:$F$151,8),"")</f>
        <v>4008</v>
      </c>
      <c r="H9" s="0" t="n">
        <f aca="false">IF(G9="","",MATCH(G9,$F$2:$F$151,0))</f>
        <v>8</v>
      </c>
    </row>
    <row r="10" customFormat="false" ht="15" hidden="false" customHeight="false" outlineLevel="0" collapsed="false">
      <c r="A10" s="0" t="str">
        <f aca="false">IF('Item Master'!E14="","",IF(COUNTIF('Item Master'!$E$6:E14,'Item Master'!E14)=1,MAX($A$1:A9)+1,""))</f>
        <v/>
      </c>
      <c r="C10" s="0" t="str">
        <f aca="false">IFERROR(INDEX('Item Master'!$E$6:$E$155,MATCH(8,$A$2:$A$151,0)),"")</f>
        <v/>
      </c>
      <c r="D10" s="0" t="n">
        <f aca="false">IF('Item Master'!B14="","",IFERROR(MATCH('Item Master'!E14,$C$3:$C$152,0),999))</f>
        <v>4</v>
      </c>
      <c r="E10" s="54" t="n">
        <f aca="false">IF('Daily Ordering'!B18="","",IF('Daily Ordering'!K18&lt;&gt;"",'Daily Ordering'!K18,'Daily Ordering'!J18))</f>
        <v>1</v>
      </c>
      <c r="F10" s="0" t="n">
        <f aca="false">IF(ISNUMBER(E10),IF(AND(E10&gt;0,OR(SEL="All",'Item Master'!E14=SEL)),D10*1000+9,""),"")</f>
        <v>4009</v>
      </c>
      <c r="G10" s="0" t="n">
        <f aca="false">IFERROR(SMALL($F$2:$F$151,9),"")</f>
        <v>4009</v>
      </c>
      <c r="H10" s="0" t="n">
        <f aca="false">IF(G10="","",MATCH(G10,$F$2:$F$151,0))</f>
        <v>9</v>
      </c>
    </row>
    <row r="11" customFormat="false" ht="15" hidden="false" customHeight="false" outlineLevel="0" collapsed="false">
      <c r="A11" s="0" t="str">
        <f aca="false">IF('Item Master'!E15="","",IF(COUNTIF('Item Master'!$E$6:E15,'Item Master'!E15)=1,MAX($A$1:A10)+1,""))</f>
        <v/>
      </c>
      <c r="C11" s="0" t="str">
        <f aca="false">IFERROR(INDEX('Item Master'!$E$6:$E$155,MATCH(9,$A$2:$A$151,0)),"")</f>
        <v/>
      </c>
      <c r="D11" s="0" t="n">
        <f aca="false">IF('Item Master'!B15="","",IFERROR(MATCH('Item Master'!E15,$C$3:$C$152,0),999))</f>
        <v>4</v>
      </c>
      <c r="E11" s="54" t="n">
        <f aca="false">IF('Daily Ordering'!B19="","",IF('Daily Ordering'!K19&lt;&gt;"",'Daily Ordering'!K19,'Daily Ordering'!J19))</f>
        <v>0</v>
      </c>
      <c r="F11" s="0" t="str">
        <f aca="false">IF(ISNUMBER(E11),IF(AND(E11&gt;0,OR(SEL="All",'Item Master'!E15=SEL)),D11*1000+10,""),"")</f>
        <v/>
      </c>
      <c r="G11" s="0" t="n">
        <f aca="false">IFERROR(SMALL($F$2:$F$151,10),"")</f>
        <v>5012</v>
      </c>
      <c r="H11" s="0" t="n">
        <f aca="false">IF(G11="","",MATCH(G11,$F$2:$F$151,0))</f>
        <v>12</v>
      </c>
    </row>
    <row r="12" customFormat="false" ht="15" hidden="false" customHeight="false" outlineLevel="0" collapsed="false">
      <c r="A12" s="0" t="str">
        <f aca="false">IF('Item Master'!E16="","",IF(COUNTIF('Item Master'!$E$6:E16,'Item Master'!E16)=1,MAX($A$1:A11)+1,""))</f>
        <v/>
      </c>
      <c r="C12" s="0" t="str">
        <f aca="false">IFERROR(INDEX('Item Master'!$E$6:$E$155,MATCH(10,$A$2:$A$151,0)),"")</f>
        <v/>
      </c>
      <c r="D12" s="0" t="n">
        <f aca="false">IF('Item Master'!B16="","",IFERROR(MATCH('Item Master'!E16,$C$3:$C$152,0),999))</f>
        <v>1</v>
      </c>
      <c r="E12" s="54" t="n">
        <f aca="false">IF('Daily Ordering'!B20="","",IF('Daily Ordering'!K20&lt;&gt;"",'Daily Ordering'!K20,'Daily Ordering'!J20))</f>
        <v>0</v>
      </c>
      <c r="F12" s="0" t="str">
        <f aca="false">IF(ISNUMBER(E12),IF(AND(E12&gt;0,OR(SEL="All",'Item Master'!E16=SEL)),D12*1000+11,""),"")</f>
        <v/>
      </c>
      <c r="G12" s="0" t="n">
        <f aca="false">IFERROR(SMALL($F$2:$F$151,11),"")</f>
        <v>5013</v>
      </c>
      <c r="H12" s="0" t="n">
        <f aca="false">IF(G12="","",MATCH(G12,$F$2:$F$151,0))</f>
        <v>13</v>
      </c>
    </row>
    <row r="13" customFormat="false" ht="15" hidden="false" customHeight="false" outlineLevel="0" collapsed="false">
      <c r="A13" s="0" t="n">
        <f aca="false">IF('Item Master'!E17="","",IF(COUNTIF('Item Master'!$E$6:E17,'Item Master'!E17)=1,MAX($A$1:A12)+1,""))</f>
        <v>5</v>
      </c>
      <c r="C13" s="0" t="str">
        <f aca="false">IFERROR(INDEX('Item Master'!$E$6:$E$155,MATCH(11,$A$2:$A$151,0)),"")</f>
        <v/>
      </c>
      <c r="D13" s="0" t="n">
        <f aca="false">IF('Item Master'!B17="","",IFERROR(MATCH('Item Master'!E17,$C$3:$C$152,0),999))</f>
        <v>5</v>
      </c>
      <c r="E13" s="54" t="n">
        <f aca="false">IF('Daily Ordering'!B21="","",IF('Daily Ordering'!K21&lt;&gt;"",'Daily Ordering'!K21,'Daily Ordering'!J21))</f>
        <v>2</v>
      </c>
      <c r="F13" s="0" t="n">
        <f aca="false">IF(ISNUMBER(E13),IF(AND(E13&gt;0,OR(SEL="All",'Item Master'!E17=SEL)),D13*1000+12,""),"")</f>
        <v>5012</v>
      </c>
      <c r="G13" s="0" t="n">
        <f aca="false">IFERROR(SMALL($F$2:$F$151,12),"")</f>
        <v>6014</v>
      </c>
      <c r="H13" s="0" t="n">
        <f aca="false">IF(G13="","",MATCH(G13,$F$2:$F$151,0))</f>
        <v>14</v>
      </c>
    </row>
    <row r="14" customFormat="false" ht="15" hidden="false" customHeight="false" outlineLevel="0" collapsed="false">
      <c r="A14" s="0" t="str">
        <f aca="false">IF('Item Master'!E18="","",IF(COUNTIF('Item Master'!$E$6:E18,'Item Master'!E18)=1,MAX($A$1:A13)+1,""))</f>
        <v/>
      </c>
      <c r="C14" s="0" t="str">
        <f aca="false">IFERROR(INDEX('Item Master'!$E$6:$E$155,MATCH(12,$A$2:$A$151,0)),"")</f>
        <v/>
      </c>
      <c r="D14" s="0" t="n">
        <f aca="false">IF('Item Master'!B18="","",IFERROR(MATCH('Item Master'!E18,$C$3:$C$152,0),999))</f>
        <v>5</v>
      </c>
      <c r="E14" s="54" t="n">
        <f aca="false">IF('Daily Ordering'!B22="","",IF('Daily Ordering'!K22&lt;&gt;"",'Daily Ordering'!K22,'Daily Ordering'!J22))</f>
        <v>3</v>
      </c>
      <c r="F14" s="0" t="n">
        <f aca="false">IF(ISNUMBER(E14),IF(AND(E14&gt;0,OR(SEL="All",'Item Master'!E18=SEL)),D14*1000+13,""),"")</f>
        <v>5013</v>
      </c>
      <c r="G14" s="0" t="n">
        <f aca="false">IFERROR(SMALL($F$2:$F$151,13),"")</f>
        <v>6015</v>
      </c>
      <c r="H14" s="0" t="n">
        <f aca="false">IF(G14="","",MATCH(G14,$F$2:$F$151,0))</f>
        <v>15</v>
      </c>
    </row>
    <row r="15" customFormat="false" ht="15" hidden="false" customHeight="false" outlineLevel="0" collapsed="false">
      <c r="A15" s="0" t="n">
        <f aca="false">IF('Item Master'!E19="","",IF(COUNTIF('Item Master'!$E$6:E19,'Item Master'!E19)=1,MAX($A$1:A14)+1,""))</f>
        <v>6</v>
      </c>
      <c r="C15" s="0" t="str">
        <f aca="false">IFERROR(INDEX('Item Master'!$E$6:$E$155,MATCH(13,$A$2:$A$151,0)),"")</f>
        <v/>
      </c>
      <c r="D15" s="0" t="n">
        <f aca="false">IF('Item Master'!B19="","",IFERROR(MATCH('Item Master'!E19,$C$3:$C$152,0),999))</f>
        <v>6</v>
      </c>
      <c r="E15" s="54" t="n">
        <f aca="false">IF('Daily Ordering'!B23="","",IF('Daily Ordering'!K23&lt;&gt;"",'Daily Ordering'!K23,'Daily Ordering'!J23))</f>
        <v>2</v>
      </c>
      <c r="F15" s="0" t="n">
        <f aca="false">IF(ISNUMBER(E15),IF(AND(E15&gt;0,OR(SEL="All",'Item Master'!E19=SEL)),D15*1000+14,""),"")</f>
        <v>6014</v>
      </c>
      <c r="G15" s="0" t="n">
        <f aca="false">IFERROR(SMALL($F$2:$F$151,14),"")</f>
        <v>6016</v>
      </c>
      <c r="H15" s="0" t="n">
        <f aca="false">IF(G15="","",MATCH(G15,$F$2:$F$151,0))</f>
        <v>16</v>
      </c>
    </row>
    <row r="16" customFormat="false" ht="15" hidden="false" customHeight="false" outlineLevel="0" collapsed="false">
      <c r="A16" s="0" t="str">
        <f aca="false">IF('Item Master'!E20="","",IF(COUNTIF('Item Master'!$E$6:E20,'Item Master'!E20)=1,MAX($A$1:A15)+1,""))</f>
        <v/>
      </c>
      <c r="C16" s="0" t="str">
        <f aca="false">IFERROR(INDEX('Item Master'!$E$6:$E$155,MATCH(14,$A$2:$A$151,0)),"")</f>
        <v/>
      </c>
      <c r="D16" s="0" t="n">
        <f aca="false">IF('Item Master'!B20="","",IFERROR(MATCH('Item Master'!E20,$C$3:$C$152,0),999))</f>
        <v>6</v>
      </c>
      <c r="E16" s="54" t="n">
        <f aca="false">IF('Daily Ordering'!B24="","",IF('Daily Ordering'!K24&lt;&gt;"",'Daily Ordering'!K24,'Daily Ordering'!J24))</f>
        <v>1</v>
      </c>
      <c r="F16" s="0" t="n">
        <f aca="false">IF(ISNUMBER(E16),IF(AND(E16&gt;0,OR(SEL="All",'Item Master'!E20=SEL)),D16*1000+15,""),"")</f>
        <v>6015</v>
      </c>
      <c r="G16" s="0" t="n">
        <f aca="false">IFERROR(SMALL($F$2:$F$151,15),"")</f>
        <v>7019</v>
      </c>
      <c r="H16" s="0" t="n">
        <f aca="false">IF(G16="","",MATCH(G16,$F$2:$F$151,0))</f>
        <v>19</v>
      </c>
    </row>
    <row r="17" customFormat="false" ht="15" hidden="false" customHeight="false" outlineLevel="0" collapsed="false">
      <c r="A17" s="0" t="str">
        <f aca="false">IF('Item Master'!E21="","",IF(COUNTIF('Item Master'!$E$6:E21,'Item Master'!E21)=1,MAX($A$1:A16)+1,""))</f>
        <v/>
      </c>
      <c r="C17" s="0" t="str">
        <f aca="false">IFERROR(INDEX('Item Master'!$E$6:$E$155,MATCH(15,$A$2:$A$151,0)),"")</f>
        <v/>
      </c>
      <c r="D17" s="0" t="n">
        <f aca="false">IF('Item Master'!B21="","",IFERROR(MATCH('Item Master'!E21,$C$3:$C$152,0),999))</f>
        <v>6</v>
      </c>
      <c r="E17" s="54" t="n">
        <f aca="false">IF('Daily Ordering'!B25="","",IF('Daily Ordering'!K25&lt;&gt;"",'Daily Ordering'!K25,'Daily Ordering'!J25))</f>
        <v>1</v>
      </c>
      <c r="F17" s="0" t="n">
        <f aca="false">IF(ISNUMBER(E17),IF(AND(E17&gt;0,OR(SEL="All",'Item Master'!E21=SEL)),D17*1000+16,""),"")</f>
        <v>6016</v>
      </c>
      <c r="G17" s="0" t="str">
        <f aca="false">IFERROR(SMALL($F$2:$F$151,16),"")</f>
        <v/>
      </c>
      <c r="H17" s="0" t="str">
        <f aca="false">IF(G17="","",MATCH(G17,$F$2:$F$151,0))</f>
        <v/>
      </c>
    </row>
    <row r="18" customFormat="false" ht="15" hidden="false" customHeight="false" outlineLevel="0" collapsed="false">
      <c r="A18" s="0" t="str">
        <f aca="false">IF('Item Master'!E22="","",IF(COUNTIF('Item Master'!$E$6:E22,'Item Master'!E22)=1,MAX($A$1:A17)+1,""))</f>
        <v/>
      </c>
      <c r="C18" s="0" t="str">
        <f aca="false">IFERROR(INDEX('Item Master'!$E$6:$E$155,MATCH(16,$A$2:$A$151,0)),"")</f>
        <v/>
      </c>
      <c r="D18" s="0" t="n">
        <f aca="false">IF('Item Master'!B22="","",IFERROR(MATCH('Item Master'!E22,$C$3:$C$152,0),999))</f>
        <v>6</v>
      </c>
      <c r="E18" s="54" t="n">
        <f aca="false">IF('Daily Ordering'!B26="","",IF('Daily Ordering'!K26&lt;&gt;"",'Daily Ordering'!K26,'Daily Ordering'!J26))</f>
        <v>0</v>
      </c>
      <c r="F18" s="0" t="str">
        <f aca="false">IF(ISNUMBER(E18),IF(AND(E18&gt;0,OR(SEL="All",'Item Master'!E22=SEL)),D18*1000+17,""),"")</f>
        <v/>
      </c>
      <c r="G18" s="0" t="str">
        <f aca="false">IFERROR(SMALL($F$2:$F$151,17),"")</f>
        <v/>
      </c>
      <c r="H18" s="0" t="str">
        <f aca="false">IF(G18="","",MATCH(G18,$F$2:$F$151,0))</f>
        <v/>
      </c>
    </row>
    <row r="19" customFormat="false" ht="15" hidden="false" customHeight="false" outlineLevel="0" collapsed="false">
      <c r="A19" s="0" t="str">
        <f aca="false">IF('Item Master'!E23="","",IF(COUNTIF('Item Master'!$E$6:E23,'Item Master'!E23)=1,MAX($A$1:A18)+1,""))</f>
        <v/>
      </c>
      <c r="C19" s="0" t="str">
        <f aca="false">IFERROR(INDEX('Item Master'!$E$6:$E$155,MATCH(17,$A$2:$A$151,0)),"")</f>
        <v/>
      </c>
      <c r="D19" s="0" t="n">
        <f aca="false">IF('Item Master'!B23="","",IFERROR(MATCH('Item Master'!E23,$C$3:$C$152,0),999))</f>
        <v>3</v>
      </c>
      <c r="E19" s="54" t="n">
        <f aca="false">IF('Daily Ordering'!B27="","",IF('Daily Ordering'!K27&lt;&gt;"",'Daily Ordering'!K27,'Daily Ordering'!J27))</f>
        <v>1</v>
      </c>
      <c r="F19" s="0" t="n">
        <f aca="false">IF(ISNUMBER(E19),IF(AND(E19&gt;0,OR(SEL="All",'Item Master'!E23=SEL)),D19*1000+18,""),"")</f>
        <v>3018</v>
      </c>
      <c r="G19" s="0" t="str">
        <f aca="false">IFERROR(SMALL($F$2:$F$151,18),"")</f>
        <v/>
      </c>
      <c r="H19" s="0" t="str">
        <f aca="false">IF(G19="","",MATCH(G19,$F$2:$F$151,0))</f>
        <v/>
      </c>
    </row>
    <row r="20" customFormat="false" ht="15" hidden="false" customHeight="false" outlineLevel="0" collapsed="false">
      <c r="A20" s="0" t="n">
        <f aca="false">IF('Item Master'!E24="","",IF(COUNTIF('Item Master'!$E$6:E24,'Item Master'!E24)=1,MAX($A$1:A19)+1,""))</f>
        <v>7</v>
      </c>
      <c r="C20" s="0" t="str">
        <f aca="false">IFERROR(INDEX('Item Master'!$E$6:$E$155,MATCH(18,$A$2:$A$151,0)),"")</f>
        <v/>
      </c>
      <c r="D20" s="0" t="n">
        <f aca="false">IF('Item Master'!B24="","",IFERROR(MATCH('Item Master'!E24,$C$3:$C$152,0),999))</f>
        <v>7</v>
      </c>
      <c r="E20" s="54" t="n">
        <f aca="false">IF('Daily Ordering'!B28="","",IF('Daily Ordering'!K28&lt;&gt;"",'Daily Ordering'!K28,'Daily Ordering'!J28))</f>
        <v>14</v>
      </c>
      <c r="F20" s="0" t="n">
        <f aca="false">IF(ISNUMBER(E20),IF(AND(E20&gt;0,OR(SEL="All",'Item Master'!E24=SEL)),D20*1000+19,""),"")</f>
        <v>7019</v>
      </c>
      <c r="G20" s="0" t="str">
        <f aca="false">IFERROR(SMALL($F$2:$F$151,19),"")</f>
        <v/>
      </c>
      <c r="H20" s="0" t="str">
        <f aca="false">IF(G20="","",MATCH(G20,$F$2:$F$151,0))</f>
        <v/>
      </c>
    </row>
    <row r="21" customFormat="false" ht="15" hidden="false" customHeight="false" outlineLevel="0" collapsed="false">
      <c r="A21" s="0" t="str">
        <f aca="false">IF('Item Master'!E25="","",IF(COUNTIF('Item Master'!$E$6:E25,'Item Master'!E25)=1,MAX($A$1:A20)+1,""))</f>
        <v/>
      </c>
      <c r="C21" s="0" t="str">
        <f aca="false">IFERROR(INDEX('Item Master'!$E$6:$E$155,MATCH(19,$A$2:$A$151,0)),"")</f>
        <v/>
      </c>
      <c r="D21" s="0" t="str">
        <f aca="false">IF('Item Master'!B25="","",IFERROR(MATCH('Item Master'!E25,$C$3:$C$152,0),999))</f>
        <v/>
      </c>
      <c r="E21" s="0" t="str">
        <f aca="false">IF('Daily Ordering'!B29="","",IF('Daily Ordering'!K29&lt;&gt;"",'Daily Ordering'!K29,'Daily Ordering'!J29))</f>
        <v/>
      </c>
      <c r="F21" s="0" t="str">
        <f aca="false">IF(ISNUMBER(E21),IF(AND(E21&gt;0,OR(SEL="All",'Item Master'!E25=SEL)),D21*1000+20,""),"")</f>
        <v/>
      </c>
      <c r="G21" s="0" t="str">
        <f aca="false">IFERROR(SMALL($F$2:$F$151,20),"")</f>
        <v/>
      </c>
      <c r="H21" s="0" t="str">
        <f aca="false">IF(G21="","",MATCH(G21,$F$2:$F$151,0))</f>
        <v/>
      </c>
    </row>
    <row r="22" customFormat="false" ht="15" hidden="false" customHeight="false" outlineLevel="0" collapsed="false">
      <c r="A22" s="0" t="str">
        <f aca="false">IF('Item Master'!E26="","",IF(COUNTIF('Item Master'!$E$6:E26,'Item Master'!E26)=1,MAX($A$1:A21)+1,""))</f>
        <v/>
      </c>
      <c r="C22" s="0" t="str">
        <f aca="false">IFERROR(INDEX('Item Master'!$E$6:$E$155,MATCH(20,$A$2:$A$151,0)),"")</f>
        <v/>
      </c>
      <c r="D22" s="0" t="str">
        <f aca="false">IF('Item Master'!B26="","",IFERROR(MATCH('Item Master'!E26,$C$3:$C$152,0),999))</f>
        <v/>
      </c>
      <c r="E22" s="0" t="str">
        <f aca="false">IF('Daily Ordering'!B30="","",IF('Daily Ordering'!K30&lt;&gt;"",'Daily Ordering'!K30,'Daily Ordering'!J30))</f>
        <v/>
      </c>
      <c r="F22" s="0" t="str">
        <f aca="false">IF(ISNUMBER(E22),IF(AND(E22&gt;0,OR(SEL="All",'Item Master'!E26=SEL)),D22*1000+21,""),"")</f>
        <v/>
      </c>
      <c r="G22" s="0" t="str">
        <f aca="false">IFERROR(SMALL($F$2:$F$151,21),"")</f>
        <v/>
      </c>
      <c r="H22" s="0" t="str">
        <f aca="false">IF(G22="","",MATCH(G22,$F$2:$F$151,0))</f>
        <v/>
      </c>
    </row>
    <row r="23" customFormat="false" ht="15" hidden="false" customHeight="false" outlineLevel="0" collapsed="false">
      <c r="A23" s="0" t="str">
        <f aca="false">IF('Item Master'!E27="","",IF(COUNTIF('Item Master'!$E$6:E27,'Item Master'!E27)=1,MAX($A$1:A22)+1,""))</f>
        <v/>
      </c>
      <c r="C23" s="0" t="str">
        <f aca="false">IFERROR(INDEX('Item Master'!$E$6:$E$155,MATCH(21,$A$2:$A$151,0)),"")</f>
        <v/>
      </c>
      <c r="D23" s="0" t="str">
        <f aca="false">IF('Item Master'!B27="","",IFERROR(MATCH('Item Master'!E27,$C$3:$C$152,0),999))</f>
        <v/>
      </c>
      <c r="E23" s="0" t="str">
        <f aca="false">IF('Daily Ordering'!B31="","",IF('Daily Ordering'!K31&lt;&gt;"",'Daily Ordering'!K31,'Daily Ordering'!J31))</f>
        <v/>
      </c>
      <c r="F23" s="0" t="str">
        <f aca="false">IF(ISNUMBER(E23),IF(AND(E23&gt;0,OR(SEL="All",'Item Master'!E27=SEL)),D23*1000+22,""),"")</f>
        <v/>
      </c>
      <c r="G23" s="0" t="str">
        <f aca="false">IFERROR(SMALL($F$2:$F$151,22),"")</f>
        <v/>
      </c>
      <c r="H23" s="0" t="str">
        <f aca="false">IF(G23="","",MATCH(G23,$F$2:$F$151,0))</f>
        <v/>
      </c>
    </row>
    <row r="24" customFormat="false" ht="15" hidden="false" customHeight="false" outlineLevel="0" collapsed="false">
      <c r="A24" s="0" t="str">
        <f aca="false">IF('Item Master'!E28="","",IF(COUNTIF('Item Master'!$E$6:E28,'Item Master'!E28)=1,MAX($A$1:A23)+1,""))</f>
        <v/>
      </c>
      <c r="C24" s="0" t="str">
        <f aca="false">IFERROR(INDEX('Item Master'!$E$6:$E$155,MATCH(22,$A$2:$A$151,0)),"")</f>
        <v/>
      </c>
      <c r="D24" s="0" t="str">
        <f aca="false">IF('Item Master'!B28="","",IFERROR(MATCH('Item Master'!E28,$C$3:$C$152,0),999))</f>
        <v/>
      </c>
      <c r="E24" s="0" t="str">
        <f aca="false">IF('Daily Ordering'!B32="","",IF('Daily Ordering'!K32&lt;&gt;"",'Daily Ordering'!K32,'Daily Ordering'!J32))</f>
        <v/>
      </c>
      <c r="F24" s="0" t="str">
        <f aca="false">IF(ISNUMBER(E24),IF(AND(E24&gt;0,OR(SEL="All",'Item Master'!E28=SEL)),D24*1000+23,""),"")</f>
        <v/>
      </c>
      <c r="G24" s="0" t="str">
        <f aca="false">IFERROR(SMALL($F$2:$F$151,23),"")</f>
        <v/>
      </c>
      <c r="H24" s="0" t="str">
        <f aca="false">IF(G24="","",MATCH(G24,$F$2:$F$151,0))</f>
        <v/>
      </c>
    </row>
    <row r="25" customFormat="false" ht="15" hidden="false" customHeight="false" outlineLevel="0" collapsed="false">
      <c r="A25" s="0" t="str">
        <f aca="false">IF('Item Master'!E29="","",IF(COUNTIF('Item Master'!$E$6:E29,'Item Master'!E29)=1,MAX($A$1:A24)+1,""))</f>
        <v/>
      </c>
      <c r="C25" s="0" t="str">
        <f aca="false">IFERROR(INDEX('Item Master'!$E$6:$E$155,MATCH(23,$A$2:$A$151,0)),"")</f>
        <v/>
      </c>
      <c r="D25" s="0" t="str">
        <f aca="false">IF('Item Master'!B29="","",IFERROR(MATCH('Item Master'!E29,$C$3:$C$152,0),999))</f>
        <v/>
      </c>
      <c r="E25" s="0" t="str">
        <f aca="false">IF('Daily Ordering'!B33="","",IF('Daily Ordering'!K33&lt;&gt;"",'Daily Ordering'!K33,'Daily Ordering'!J33))</f>
        <v/>
      </c>
      <c r="F25" s="0" t="str">
        <f aca="false">IF(ISNUMBER(E25),IF(AND(E25&gt;0,OR(SEL="All",'Item Master'!E29=SEL)),D25*1000+24,""),"")</f>
        <v/>
      </c>
      <c r="G25" s="0" t="str">
        <f aca="false">IFERROR(SMALL($F$2:$F$151,24),"")</f>
        <v/>
      </c>
      <c r="H25" s="0" t="str">
        <f aca="false">IF(G25="","",MATCH(G25,$F$2:$F$151,0))</f>
        <v/>
      </c>
    </row>
    <row r="26" customFormat="false" ht="15" hidden="false" customHeight="false" outlineLevel="0" collapsed="false">
      <c r="A26" s="0" t="str">
        <f aca="false">IF('Item Master'!E30="","",IF(COUNTIF('Item Master'!$E$6:E30,'Item Master'!E30)=1,MAX($A$1:A25)+1,""))</f>
        <v/>
      </c>
      <c r="C26" s="0" t="str">
        <f aca="false">IFERROR(INDEX('Item Master'!$E$6:$E$155,MATCH(24,$A$2:$A$151,0)),"")</f>
        <v/>
      </c>
      <c r="D26" s="0" t="str">
        <f aca="false">IF('Item Master'!B30="","",IFERROR(MATCH('Item Master'!E30,$C$3:$C$152,0),999))</f>
        <v/>
      </c>
      <c r="E26" s="0" t="str">
        <f aca="false">IF('Daily Ordering'!B34="","",IF('Daily Ordering'!K34&lt;&gt;"",'Daily Ordering'!K34,'Daily Ordering'!J34))</f>
        <v/>
      </c>
      <c r="F26" s="0" t="str">
        <f aca="false">IF(ISNUMBER(E26),IF(AND(E26&gt;0,OR(SEL="All",'Item Master'!E30=SEL)),D26*1000+25,""),"")</f>
        <v/>
      </c>
      <c r="G26" s="0" t="str">
        <f aca="false">IFERROR(SMALL($F$2:$F$151,25),"")</f>
        <v/>
      </c>
      <c r="H26" s="0" t="str">
        <f aca="false">IF(G26="","",MATCH(G26,$F$2:$F$151,0))</f>
        <v/>
      </c>
    </row>
    <row r="27" customFormat="false" ht="15" hidden="false" customHeight="false" outlineLevel="0" collapsed="false">
      <c r="A27" s="0" t="str">
        <f aca="false">IF('Item Master'!E31="","",IF(COUNTIF('Item Master'!$E$6:E31,'Item Master'!E31)=1,MAX($A$1:A26)+1,""))</f>
        <v/>
      </c>
      <c r="C27" s="0" t="str">
        <f aca="false">IFERROR(INDEX('Item Master'!$E$6:$E$155,MATCH(25,$A$2:$A$151,0)),"")</f>
        <v/>
      </c>
      <c r="D27" s="0" t="str">
        <f aca="false">IF('Item Master'!B31="","",IFERROR(MATCH('Item Master'!E31,$C$3:$C$152,0),999))</f>
        <v/>
      </c>
      <c r="E27" s="0" t="str">
        <f aca="false">IF('Daily Ordering'!B35="","",IF('Daily Ordering'!K35&lt;&gt;"",'Daily Ordering'!K35,'Daily Ordering'!J35))</f>
        <v/>
      </c>
      <c r="F27" s="0" t="str">
        <f aca="false">IF(ISNUMBER(E27),IF(AND(E27&gt;0,OR(SEL="All",'Item Master'!E31=SEL)),D27*1000+26,""),"")</f>
        <v/>
      </c>
      <c r="G27" s="0" t="str">
        <f aca="false">IFERROR(SMALL($F$2:$F$151,26),"")</f>
        <v/>
      </c>
      <c r="H27" s="0" t="str">
        <f aca="false">IF(G27="","",MATCH(G27,$F$2:$F$151,0))</f>
        <v/>
      </c>
    </row>
    <row r="28" customFormat="false" ht="15" hidden="false" customHeight="false" outlineLevel="0" collapsed="false">
      <c r="A28" s="0" t="str">
        <f aca="false">IF('Item Master'!E32="","",IF(COUNTIF('Item Master'!$E$6:E32,'Item Master'!E32)=1,MAX($A$1:A27)+1,""))</f>
        <v/>
      </c>
      <c r="C28" s="0" t="str">
        <f aca="false">IFERROR(INDEX('Item Master'!$E$6:$E$155,MATCH(26,$A$2:$A$151,0)),"")</f>
        <v/>
      </c>
      <c r="D28" s="0" t="str">
        <f aca="false">IF('Item Master'!B32="","",IFERROR(MATCH('Item Master'!E32,$C$3:$C$152,0),999))</f>
        <v/>
      </c>
      <c r="E28" s="0" t="str">
        <f aca="false">IF('Daily Ordering'!B36="","",IF('Daily Ordering'!K36&lt;&gt;"",'Daily Ordering'!K36,'Daily Ordering'!J36))</f>
        <v/>
      </c>
      <c r="F28" s="0" t="str">
        <f aca="false">IF(ISNUMBER(E28),IF(AND(E28&gt;0,OR(SEL="All",'Item Master'!E32=SEL)),D28*1000+27,""),"")</f>
        <v/>
      </c>
      <c r="G28" s="0" t="str">
        <f aca="false">IFERROR(SMALL($F$2:$F$151,27),"")</f>
        <v/>
      </c>
      <c r="H28" s="0" t="str">
        <f aca="false">IF(G28="","",MATCH(G28,$F$2:$F$151,0))</f>
        <v/>
      </c>
    </row>
    <row r="29" customFormat="false" ht="15" hidden="false" customHeight="false" outlineLevel="0" collapsed="false">
      <c r="A29" s="0" t="str">
        <f aca="false">IF('Item Master'!E33="","",IF(COUNTIF('Item Master'!$E$6:E33,'Item Master'!E33)=1,MAX($A$1:A28)+1,""))</f>
        <v/>
      </c>
      <c r="C29" s="0" t="str">
        <f aca="false">IFERROR(INDEX('Item Master'!$E$6:$E$155,MATCH(27,$A$2:$A$151,0)),"")</f>
        <v/>
      </c>
      <c r="D29" s="0" t="str">
        <f aca="false">IF('Item Master'!B33="","",IFERROR(MATCH('Item Master'!E33,$C$3:$C$152,0),999))</f>
        <v/>
      </c>
      <c r="E29" s="0" t="str">
        <f aca="false">IF('Daily Ordering'!B37="","",IF('Daily Ordering'!K37&lt;&gt;"",'Daily Ordering'!K37,'Daily Ordering'!J37))</f>
        <v/>
      </c>
      <c r="F29" s="0" t="str">
        <f aca="false">IF(ISNUMBER(E29),IF(AND(E29&gt;0,OR(SEL="All",'Item Master'!E33=SEL)),D29*1000+28,""),"")</f>
        <v/>
      </c>
      <c r="G29" s="0" t="str">
        <f aca="false">IFERROR(SMALL($F$2:$F$151,28),"")</f>
        <v/>
      </c>
      <c r="H29" s="0" t="str">
        <f aca="false">IF(G29="","",MATCH(G29,$F$2:$F$151,0))</f>
        <v/>
      </c>
    </row>
    <row r="30" customFormat="false" ht="15" hidden="false" customHeight="false" outlineLevel="0" collapsed="false">
      <c r="A30" s="0" t="str">
        <f aca="false">IF('Item Master'!E34="","",IF(COUNTIF('Item Master'!$E$6:E34,'Item Master'!E34)=1,MAX($A$1:A29)+1,""))</f>
        <v/>
      </c>
      <c r="C30" s="0" t="str">
        <f aca="false">IFERROR(INDEX('Item Master'!$E$6:$E$155,MATCH(28,$A$2:$A$151,0)),"")</f>
        <v/>
      </c>
      <c r="D30" s="0" t="str">
        <f aca="false">IF('Item Master'!B34="","",IFERROR(MATCH('Item Master'!E34,$C$3:$C$152,0),999))</f>
        <v/>
      </c>
      <c r="E30" s="0" t="str">
        <f aca="false">IF('Daily Ordering'!B38="","",IF('Daily Ordering'!K38&lt;&gt;"",'Daily Ordering'!K38,'Daily Ordering'!J38))</f>
        <v/>
      </c>
      <c r="F30" s="0" t="str">
        <f aca="false">IF(ISNUMBER(E30),IF(AND(E30&gt;0,OR(SEL="All",'Item Master'!E34=SEL)),D30*1000+29,""),"")</f>
        <v/>
      </c>
      <c r="G30" s="0" t="str">
        <f aca="false">IFERROR(SMALL($F$2:$F$151,29),"")</f>
        <v/>
      </c>
      <c r="H30" s="0" t="str">
        <f aca="false">IF(G30="","",MATCH(G30,$F$2:$F$151,0))</f>
        <v/>
      </c>
    </row>
    <row r="31" customFormat="false" ht="15" hidden="false" customHeight="false" outlineLevel="0" collapsed="false">
      <c r="A31" s="0" t="str">
        <f aca="false">IF('Item Master'!E35="","",IF(COUNTIF('Item Master'!$E$6:E35,'Item Master'!E35)=1,MAX($A$1:A30)+1,""))</f>
        <v/>
      </c>
      <c r="C31" s="0" t="str">
        <f aca="false">IFERROR(INDEX('Item Master'!$E$6:$E$155,MATCH(29,$A$2:$A$151,0)),"")</f>
        <v/>
      </c>
      <c r="D31" s="0" t="str">
        <f aca="false">IF('Item Master'!B35="","",IFERROR(MATCH('Item Master'!E35,$C$3:$C$152,0),999))</f>
        <v/>
      </c>
      <c r="E31" s="0" t="str">
        <f aca="false">IF('Daily Ordering'!B39="","",IF('Daily Ordering'!K39&lt;&gt;"",'Daily Ordering'!K39,'Daily Ordering'!J39))</f>
        <v/>
      </c>
      <c r="F31" s="0" t="str">
        <f aca="false">IF(ISNUMBER(E31),IF(AND(E31&gt;0,OR(SEL="All",'Item Master'!E35=SEL)),D31*1000+30,""),"")</f>
        <v/>
      </c>
      <c r="G31" s="0" t="str">
        <f aca="false">IFERROR(SMALL($F$2:$F$151,30),"")</f>
        <v/>
      </c>
      <c r="H31" s="0" t="str">
        <f aca="false">IF(G31="","",MATCH(G31,$F$2:$F$151,0))</f>
        <v/>
      </c>
    </row>
    <row r="32" customFormat="false" ht="15" hidden="false" customHeight="false" outlineLevel="0" collapsed="false">
      <c r="A32" s="0" t="str">
        <f aca="false">IF('Item Master'!E36="","",IF(COUNTIF('Item Master'!$E$6:E36,'Item Master'!E36)=1,MAX($A$1:A31)+1,""))</f>
        <v/>
      </c>
      <c r="C32" s="0" t="str">
        <f aca="false">IFERROR(INDEX('Item Master'!$E$6:$E$155,MATCH(30,$A$2:$A$151,0)),"")</f>
        <v/>
      </c>
      <c r="D32" s="0" t="str">
        <f aca="false">IF('Item Master'!B36="","",IFERROR(MATCH('Item Master'!E36,$C$3:$C$152,0),999))</f>
        <v/>
      </c>
      <c r="E32" s="0" t="str">
        <f aca="false">IF('Daily Ordering'!B40="","",IF('Daily Ordering'!K40&lt;&gt;"",'Daily Ordering'!K40,'Daily Ordering'!J40))</f>
        <v/>
      </c>
      <c r="F32" s="0" t="str">
        <f aca="false">IF(ISNUMBER(E32),IF(AND(E32&gt;0,OR(SEL="All",'Item Master'!E36=SEL)),D32*1000+31,""),"")</f>
        <v/>
      </c>
      <c r="G32" s="0" t="str">
        <f aca="false">IFERROR(SMALL($F$2:$F$151,31),"")</f>
        <v/>
      </c>
      <c r="H32" s="0" t="str">
        <f aca="false">IF(G32="","",MATCH(G32,$F$2:$F$151,0))</f>
        <v/>
      </c>
    </row>
    <row r="33" customFormat="false" ht="15" hidden="false" customHeight="false" outlineLevel="0" collapsed="false">
      <c r="A33" s="0" t="str">
        <f aca="false">IF('Item Master'!E37="","",IF(COUNTIF('Item Master'!$E$6:E37,'Item Master'!E37)=1,MAX($A$1:A32)+1,""))</f>
        <v/>
      </c>
      <c r="C33" s="0" t="str">
        <f aca="false">IFERROR(INDEX('Item Master'!$E$6:$E$155,MATCH(31,$A$2:$A$151,0)),"")</f>
        <v/>
      </c>
      <c r="D33" s="0" t="str">
        <f aca="false">IF('Item Master'!B37="","",IFERROR(MATCH('Item Master'!E37,$C$3:$C$152,0),999))</f>
        <v/>
      </c>
      <c r="E33" s="0" t="str">
        <f aca="false">IF('Daily Ordering'!B41="","",IF('Daily Ordering'!K41&lt;&gt;"",'Daily Ordering'!K41,'Daily Ordering'!J41))</f>
        <v/>
      </c>
      <c r="F33" s="0" t="str">
        <f aca="false">IF(ISNUMBER(E33),IF(AND(E33&gt;0,OR(SEL="All",'Item Master'!E37=SEL)),D33*1000+32,""),"")</f>
        <v/>
      </c>
      <c r="G33" s="0" t="str">
        <f aca="false">IFERROR(SMALL($F$2:$F$151,32),"")</f>
        <v/>
      </c>
      <c r="H33" s="0" t="str">
        <f aca="false">IF(G33="","",MATCH(G33,$F$2:$F$151,0))</f>
        <v/>
      </c>
    </row>
    <row r="34" customFormat="false" ht="15" hidden="false" customHeight="false" outlineLevel="0" collapsed="false">
      <c r="A34" s="0" t="str">
        <f aca="false">IF('Item Master'!E38="","",IF(COUNTIF('Item Master'!$E$6:E38,'Item Master'!E38)=1,MAX($A$1:A33)+1,""))</f>
        <v/>
      </c>
      <c r="C34" s="0" t="str">
        <f aca="false">IFERROR(INDEX('Item Master'!$E$6:$E$155,MATCH(32,$A$2:$A$151,0)),"")</f>
        <v/>
      </c>
      <c r="D34" s="0" t="str">
        <f aca="false">IF('Item Master'!B38="","",IFERROR(MATCH('Item Master'!E38,$C$3:$C$152,0),999))</f>
        <v/>
      </c>
      <c r="E34" s="0" t="str">
        <f aca="false">IF('Daily Ordering'!B42="","",IF('Daily Ordering'!K42&lt;&gt;"",'Daily Ordering'!K42,'Daily Ordering'!J42))</f>
        <v/>
      </c>
      <c r="F34" s="0" t="str">
        <f aca="false">IF(ISNUMBER(E34),IF(AND(E34&gt;0,OR(SEL="All",'Item Master'!E38=SEL)),D34*1000+33,""),"")</f>
        <v/>
      </c>
      <c r="G34" s="0" t="str">
        <f aca="false">IFERROR(SMALL($F$2:$F$151,33),"")</f>
        <v/>
      </c>
      <c r="H34" s="0" t="str">
        <f aca="false">IF(G34="","",MATCH(G34,$F$2:$F$151,0))</f>
        <v/>
      </c>
    </row>
    <row r="35" customFormat="false" ht="15" hidden="false" customHeight="false" outlineLevel="0" collapsed="false">
      <c r="A35" s="0" t="str">
        <f aca="false">IF('Item Master'!E39="","",IF(COUNTIF('Item Master'!$E$6:E39,'Item Master'!E39)=1,MAX($A$1:A34)+1,""))</f>
        <v/>
      </c>
      <c r="C35" s="0" t="str">
        <f aca="false">IFERROR(INDEX('Item Master'!$E$6:$E$155,MATCH(33,$A$2:$A$151,0)),"")</f>
        <v/>
      </c>
      <c r="D35" s="0" t="str">
        <f aca="false">IF('Item Master'!B39="","",IFERROR(MATCH('Item Master'!E39,$C$3:$C$152,0),999))</f>
        <v/>
      </c>
      <c r="E35" s="0" t="str">
        <f aca="false">IF('Daily Ordering'!B43="","",IF('Daily Ordering'!K43&lt;&gt;"",'Daily Ordering'!K43,'Daily Ordering'!J43))</f>
        <v/>
      </c>
      <c r="F35" s="0" t="str">
        <f aca="false">IF(ISNUMBER(E35),IF(AND(E35&gt;0,OR(SEL="All",'Item Master'!E39=SEL)),D35*1000+34,""),"")</f>
        <v/>
      </c>
      <c r="G35" s="0" t="str">
        <f aca="false">IFERROR(SMALL($F$2:$F$151,34),"")</f>
        <v/>
      </c>
      <c r="H35" s="0" t="str">
        <f aca="false">IF(G35="","",MATCH(G35,$F$2:$F$151,0))</f>
        <v/>
      </c>
    </row>
    <row r="36" customFormat="false" ht="15" hidden="false" customHeight="false" outlineLevel="0" collapsed="false">
      <c r="A36" s="0" t="str">
        <f aca="false">IF('Item Master'!E40="","",IF(COUNTIF('Item Master'!$E$6:E40,'Item Master'!E40)=1,MAX($A$1:A35)+1,""))</f>
        <v/>
      </c>
      <c r="C36" s="0" t="str">
        <f aca="false">IFERROR(INDEX('Item Master'!$E$6:$E$155,MATCH(34,$A$2:$A$151,0)),"")</f>
        <v/>
      </c>
      <c r="D36" s="0" t="str">
        <f aca="false">IF('Item Master'!B40="","",IFERROR(MATCH('Item Master'!E40,$C$3:$C$152,0),999))</f>
        <v/>
      </c>
      <c r="E36" s="0" t="str">
        <f aca="false">IF('Daily Ordering'!B44="","",IF('Daily Ordering'!K44&lt;&gt;"",'Daily Ordering'!K44,'Daily Ordering'!J44))</f>
        <v/>
      </c>
      <c r="F36" s="0" t="str">
        <f aca="false">IF(ISNUMBER(E36),IF(AND(E36&gt;0,OR(SEL="All",'Item Master'!E40=SEL)),D36*1000+35,""),"")</f>
        <v/>
      </c>
      <c r="G36" s="0" t="str">
        <f aca="false">IFERROR(SMALL($F$2:$F$151,35),"")</f>
        <v/>
      </c>
      <c r="H36" s="0" t="str">
        <f aca="false">IF(G36="","",MATCH(G36,$F$2:$F$151,0))</f>
        <v/>
      </c>
    </row>
    <row r="37" customFormat="false" ht="15" hidden="false" customHeight="false" outlineLevel="0" collapsed="false">
      <c r="A37" s="0" t="str">
        <f aca="false">IF('Item Master'!E41="","",IF(COUNTIF('Item Master'!$E$6:E41,'Item Master'!E41)=1,MAX($A$1:A36)+1,""))</f>
        <v/>
      </c>
      <c r="C37" s="0" t="str">
        <f aca="false">IFERROR(INDEX('Item Master'!$E$6:$E$155,MATCH(35,$A$2:$A$151,0)),"")</f>
        <v/>
      </c>
      <c r="D37" s="0" t="str">
        <f aca="false">IF('Item Master'!B41="","",IFERROR(MATCH('Item Master'!E41,$C$3:$C$152,0),999))</f>
        <v/>
      </c>
      <c r="E37" s="0" t="str">
        <f aca="false">IF('Daily Ordering'!B45="","",IF('Daily Ordering'!K45&lt;&gt;"",'Daily Ordering'!K45,'Daily Ordering'!J45))</f>
        <v/>
      </c>
      <c r="F37" s="0" t="str">
        <f aca="false">IF(ISNUMBER(E37),IF(AND(E37&gt;0,OR(SEL="All",'Item Master'!E41=SEL)),D37*1000+36,""),"")</f>
        <v/>
      </c>
      <c r="G37" s="0" t="str">
        <f aca="false">IFERROR(SMALL($F$2:$F$151,36),"")</f>
        <v/>
      </c>
      <c r="H37" s="0" t="str">
        <f aca="false">IF(G37="","",MATCH(G37,$F$2:$F$151,0))</f>
        <v/>
      </c>
    </row>
    <row r="38" customFormat="false" ht="15" hidden="false" customHeight="false" outlineLevel="0" collapsed="false">
      <c r="A38" s="0" t="str">
        <f aca="false">IF('Item Master'!E42="","",IF(COUNTIF('Item Master'!$E$6:E42,'Item Master'!E42)=1,MAX($A$1:A37)+1,""))</f>
        <v/>
      </c>
      <c r="C38" s="0" t="str">
        <f aca="false">IFERROR(INDEX('Item Master'!$E$6:$E$155,MATCH(36,$A$2:$A$151,0)),"")</f>
        <v/>
      </c>
      <c r="D38" s="0" t="str">
        <f aca="false">IF('Item Master'!B42="","",IFERROR(MATCH('Item Master'!E42,$C$3:$C$152,0),999))</f>
        <v/>
      </c>
      <c r="E38" s="0" t="str">
        <f aca="false">IF('Daily Ordering'!B46="","",IF('Daily Ordering'!K46&lt;&gt;"",'Daily Ordering'!K46,'Daily Ordering'!J46))</f>
        <v/>
      </c>
      <c r="F38" s="0" t="str">
        <f aca="false">IF(ISNUMBER(E38),IF(AND(E38&gt;0,OR(SEL="All",'Item Master'!E42=SEL)),D38*1000+37,""),"")</f>
        <v/>
      </c>
      <c r="G38" s="0" t="str">
        <f aca="false">IFERROR(SMALL($F$2:$F$151,37),"")</f>
        <v/>
      </c>
      <c r="H38" s="0" t="str">
        <f aca="false">IF(G38="","",MATCH(G38,$F$2:$F$151,0))</f>
        <v/>
      </c>
    </row>
    <row r="39" customFormat="false" ht="15" hidden="false" customHeight="false" outlineLevel="0" collapsed="false">
      <c r="A39" s="0" t="str">
        <f aca="false">IF('Item Master'!E43="","",IF(COUNTIF('Item Master'!$E$6:E43,'Item Master'!E43)=1,MAX($A$1:A38)+1,""))</f>
        <v/>
      </c>
      <c r="C39" s="0" t="str">
        <f aca="false">IFERROR(INDEX('Item Master'!$E$6:$E$155,MATCH(37,$A$2:$A$151,0)),"")</f>
        <v/>
      </c>
      <c r="D39" s="0" t="str">
        <f aca="false">IF('Item Master'!B43="","",IFERROR(MATCH('Item Master'!E43,$C$3:$C$152,0),999))</f>
        <v/>
      </c>
      <c r="E39" s="0" t="str">
        <f aca="false">IF('Daily Ordering'!B47="","",IF('Daily Ordering'!K47&lt;&gt;"",'Daily Ordering'!K47,'Daily Ordering'!J47))</f>
        <v/>
      </c>
      <c r="F39" s="0" t="str">
        <f aca="false">IF(ISNUMBER(E39),IF(AND(E39&gt;0,OR(SEL="All",'Item Master'!E43=SEL)),D39*1000+38,""),"")</f>
        <v/>
      </c>
      <c r="G39" s="0" t="str">
        <f aca="false">IFERROR(SMALL($F$2:$F$151,38),"")</f>
        <v/>
      </c>
      <c r="H39" s="0" t="str">
        <f aca="false">IF(G39="","",MATCH(G39,$F$2:$F$151,0))</f>
        <v/>
      </c>
    </row>
    <row r="40" customFormat="false" ht="15" hidden="false" customHeight="false" outlineLevel="0" collapsed="false">
      <c r="A40" s="0" t="str">
        <f aca="false">IF('Item Master'!E44="","",IF(COUNTIF('Item Master'!$E$6:E44,'Item Master'!E44)=1,MAX($A$1:A39)+1,""))</f>
        <v/>
      </c>
      <c r="C40" s="0" t="str">
        <f aca="false">IFERROR(INDEX('Item Master'!$E$6:$E$155,MATCH(38,$A$2:$A$151,0)),"")</f>
        <v/>
      </c>
      <c r="D40" s="0" t="str">
        <f aca="false">IF('Item Master'!B44="","",IFERROR(MATCH('Item Master'!E44,$C$3:$C$152,0),999))</f>
        <v/>
      </c>
      <c r="E40" s="0" t="str">
        <f aca="false">IF('Daily Ordering'!B48="","",IF('Daily Ordering'!K48&lt;&gt;"",'Daily Ordering'!K48,'Daily Ordering'!J48))</f>
        <v/>
      </c>
      <c r="F40" s="0" t="str">
        <f aca="false">IF(ISNUMBER(E40),IF(AND(E40&gt;0,OR(SEL="All",'Item Master'!E44=SEL)),D40*1000+39,""),"")</f>
        <v/>
      </c>
      <c r="G40" s="0" t="str">
        <f aca="false">IFERROR(SMALL($F$2:$F$151,39),"")</f>
        <v/>
      </c>
      <c r="H40" s="0" t="str">
        <f aca="false">IF(G40="","",MATCH(G40,$F$2:$F$151,0))</f>
        <v/>
      </c>
    </row>
    <row r="41" customFormat="false" ht="15" hidden="false" customHeight="false" outlineLevel="0" collapsed="false">
      <c r="A41" s="0" t="str">
        <f aca="false">IF('Item Master'!E45="","",IF(COUNTIF('Item Master'!$E$6:E45,'Item Master'!E45)=1,MAX($A$1:A40)+1,""))</f>
        <v/>
      </c>
      <c r="C41" s="0" t="str">
        <f aca="false">IFERROR(INDEX('Item Master'!$E$6:$E$155,MATCH(39,$A$2:$A$151,0)),"")</f>
        <v/>
      </c>
      <c r="D41" s="0" t="str">
        <f aca="false">IF('Item Master'!B45="","",IFERROR(MATCH('Item Master'!E45,$C$3:$C$152,0),999))</f>
        <v/>
      </c>
      <c r="E41" s="0" t="str">
        <f aca="false">IF('Daily Ordering'!B49="","",IF('Daily Ordering'!K49&lt;&gt;"",'Daily Ordering'!K49,'Daily Ordering'!J49))</f>
        <v/>
      </c>
      <c r="F41" s="0" t="str">
        <f aca="false">IF(ISNUMBER(E41),IF(AND(E41&gt;0,OR(SEL="All",'Item Master'!E45=SEL)),D41*1000+40,""),"")</f>
        <v/>
      </c>
      <c r="G41" s="0" t="str">
        <f aca="false">IFERROR(SMALL($F$2:$F$151,40),"")</f>
        <v/>
      </c>
      <c r="H41" s="0" t="str">
        <f aca="false">IF(G41="","",MATCH(G41,$F$2:$F$151,0))</f>
        <v/>
      </c>
    </row>
    <row r="42" customFormat="false" ht="15" hidden="false" customHeight="false" outlineLevel="0" collapsed="false">
      <c r="A42" s="0" t="str">
        <f aca="false">IF('Item Master'!E46="","",IF(COUNTIF('Item Master'!$E$6:E46,'Item Master'!E46)=1,MAX($A$1:A41)+1,""))</f>
        <v/>
      </c>
      <c r="C42" s="0" t="str">
        <f aca="false">IFERROR(INDEX('Item Master'!$E$6:$E$155,MATCH(40,$A$2:$A$151,0)),"")</f>
        <v/>
      </c>
      <c r="D42" s="0" t="str">
        <f aca="false">IF('Item Master'!B46="","",IFERROR(MATCH('Item Master'!E46,$C$3:$C$152,0),999))</f>
        <v/>
      </c>
      <c r="E42" s="0" t="str">
        <f aca="false">IF('Daily Ordering'!B50="","",IF('Daily Ordering'!K50&lt;&gt;"",'Daily Ordering'!K50,'Daily Ordering'!J50))</f>
        <v/>
      </c>
      <c r="F42" s="0" t="str">
        <f aca="false">IF(ISNUMBER(E42),IF(AND(E42&gt;0,OR(SEL="All",'Item Master'!E46=SEL)),D42*1000+41,""),"")</f>
        <v/>
      </c>
      <c r="G42" s="0" t="str">
        <f aca="false">IFERROR(SMALL($F$2:$F$151,41),"")</f>
        <v/>
      </c>
      <c r="H42" s="0" t="str">
        <f aca="false">IF(G42="","",MATCH(G42,$F$2:$F$151,0))</f>
        <v/>
      </c>
    </row>
    <row r="43" customFormat="false" ht="15" hidden="false" customHeight="false" outlineLevel="0" collapsed="false">
      <c r="A43" s="0" t="str">
        <f aca="false">IF('Item Master'!E47="","",IF(COUNTIF('Item Master'!$E$6:E47,'Item Master'!E47)=1,MAX($A$1:A42)+1,""))</f>
        <v/>
      </c>
      <c r="C43" s="0" t="str">
        <f aca="false">IFERROR(INDEX('Item Master'!$E$6:$E$155,MATCH(41,$A$2:$A$151,0)),"")</f>
        <v/>
      </c>
      <c r="D43" s="0" t="str">
        <f aca="false">IF('Item Master'!B47="","",IFERROR(MATCH('Item Master'!E47,$C$3:$C$152,0),999))</f>
        <v/>
      </c>
      <c r="E43" s="0" t="str">
        <f aca="false">IF('Daily Ordering'!B51="","",IF('Daily Ordering'!K51&lt;&gt;"",'Daily Ordering'!K51,'Daily Ordering'!J51))</f>
        <v/>
      </c>
      <c r="F43" s="0" t="str">
        <f aca="false">IF(ISNUMBER(E43),IF(AND(E43&gt;0,OR(SEL="All",'Item Master'!E47=SEL)),D43*1000+42,""),"")</f>
        <v/>
      </c>
      <c r="G43" s="0" t="str">
        <f aca="false">IFERROR(SMALL($F$2:$F$151,42),"")</f>
        <v/>
      </c>
      <c r="H43" s="0" t="str">
        <f aca="false">IF(G43="","",MATCH(G43,$F$2:$F$151,0))</f>
        <v/>
      </c>
    </row>
    <row r="44" customFormat="false" ht="15" hidden="false" customHeight="false" outlineLevel="0" collapsed="false">
      <c r="A44" s="0" t="str">
        <f aca="false">IF('Item Master'!E48="","",IF(COUNTIF('Item Master'!$E$6:E48,'Item Master'!E48)=1,MAX($A$1:A43)+1,""))</f>
        <v/>
      </c>
      <c r="C44" s="0" t="str">
        <f aca="false">IFERROR(INDEX('Item Master'!$E$6:$E$155,MATCH(42,$A$2:$A$151,0)),"")</f>
        <v/>
      </c>
      <c r="D44" s="0" t="str">
        <f aca="false">IF('Item Master'!B48="","",IFERROR(MATCH('Item Master'!E48,$C$3:$C$152,0),999))</f>
        <v/>
      </c>
      <c r="E44" s="0" t="str">
        <f aca="false">IF('Daily Ordering'!B52="","",IF('Daily Ordering'!K52&lt;&gt;"",'Daily Ordering'!K52,'Daily Ordering'!J52))</f>
        <v/>
      </c>
      <c r="F44" s="0" t="str">
        <f aca="false">IF(ISNUMBER(E44),IF(AND(E44&gt;0,OR(SEL="All",'Item Master'!E48=SEL)),D44*1000+43,""),"")</f>
        <v/>
      </c>
      <c r="G44" s="0" t="str">
        <f aca="false">IFERROR(SMALL($F$2:$F$151,43),"")</f>
        <v/>
      </c>
      <c r="H44" s="0" t="str">
        <f aca="false">IF(G44="","",MATCH(G44,$F$2:$F$151,0))</f>
        <v/>
      </c>
    </row>
    <row r="45" customFormat="false" ht="15" hidden="false" customHeight="false" outlineLevel="0" collapsed="false">
      <c r="A45" s="0" t="str">
        <f aca="false">IF('Item Master'!E49="","",IF(COUNTIF('Item Master'!$E$6:E49,'Item Master'!E49)=1,MAX($A$1:A44)+1,""))</f>
        <v/>
      </c>
      <c r="C45" s="0" t="str">
        <f aca="false">IFERROR(INDEX('Item Master'!$E$6:$E$155,MATCH(43,$A$2:$A$151,0)),"")</f>
        <v/>
      </c>
      <c r="D45" s="0" t="str">
        <f aca="false">IF('Item Master'!B49="","",IFERROR(MATCH('Item Master'!E49,$C$3:$C$152,0),999))</f>
        <v/>
      </c>
      <c r="E45" s="0" t="str">
        <f aca="false">IF('Daily Ordering'!B53="","",IF('Daily Ordering'!K53&lt;&gt;"",'Daily Ordering'!K53,'Daily Ordering'!J53))</f>
        <v/>
      </c>
      <c r="F45" s="0" t="str">
        <f aca="false">IF(ISNUMBER(E45),IF(AND(E45&gt;0,OR(SEL="All",'Item Master'!E49=SEL)),D45*1000+44,""),"")</f>
        <v/>
      </c>
      <c r="G45" s="0" t="str">
        <f aca="false">IFERROR(SMALL($F$2:$F$151,44),"")</f>
        <v/>
      </c>
      <c r="H45" s="0" t="str">
        <f aca="false">IF(G45="","",MATCH(G45,$F$2:$F$151,0))</f>
        <v/>
      </c>
    </row>
    <row r="46" customFormat="false" ht="15" hidden="false" customHeight="false" outlineLevel="0" collapsed="false">
      <c r="A46" s="0" t="str">
        <f aca="false">IF('Item Master'!E50="","",IF(COUNTIF('Item Master'!$E$6:E50,'Item Master'!E50)=1,MAX($A$1:A45)+1,""))</f>
        <v/>
      </c>
      <c r="C46" s="0" t="str">
        <f aca="false">IFERROR(INDEX('Item Master'!$E$6:$E$155,MATCH(44,$A$2:$A$151,0)),"")</f>
        <v/>
      </c>
      <c r="D46" s="0" t="str">
        <f aca="false">IF('Item Master'!B50="","",IFERROR(MATCH('Item Master'!E50,$C$3:$C$152,0),999))</f>
        <v/>
      </c>
      <c r="E46" s="0" t="str">
        <f aca="false">IF('Daily Ordering'!B54="","",IF('Daily Ordering'!K54&lt;&gt;"",'Daily Ordering'!K54,'Daily Ordering'!J54))</f>
        <v/>
      </c>
      <c r="F46" s="0" t="str">
        <f aca="false">IF(ISNUMBER(E46),IF(AND(E46&gt;0,OR(SEL="All",'Item Master'!E50=SEL)),D46*1000+45,""),"")</f>
        <v/>
      </c>
      <c r="G46" s="0" t="str">
        <f aca="false">IFERROR(SMALL($F$2:$F$151,45),"")</f>
        <v/>
      </c>
      <c r="H46" s="0" t="str">
        <f aca="false">IF(G46="","",MATCH(G46,$F$2:$F$151,0))</f>
        <v/>
      </c>
    </row>
    <row r="47" customFormat="false" ht="15" hidden="false" customHeight="false" outlineLevel="0" collapsed="false">
      <c r="A47" s="0" t="str">
        <f aca="false">IF('Item Master'!E51="","",IF(COUNTIF('Item Master'!$E$6:E51,'Item Master'!E51)=1,MAX($A$1:A46)+1,""))</f>
        <v/>
      </c>
      <c r="C47" s="0" t="str">
        <f aca="false">IFERROR(INDEX('Item Master'!$E$6:$E$155,MATCH(45,$A$2:$A$151,0)),"")</f>
        <v/>
      </c>
      <c r="D47" s="0" t="str">
        <f aca="false">IF('Item Master'!B51="","",IFERROR(MATCH('Item Master'!E51,$C$3:$C$152,0),999))</f>
        <v/>
      </c>
      <c r="E47" s="0" t="str">
        <f aca="false">IF('Daily Ordering'!B55="","",IF('Daily Ordering'!K55&lt;&gt;"",'Daily Ordering'!K55,'Daily Ordering'!J55))</f>
        <v/>
      </c>
      <c r="F47" s="0" t="str">
        <f aca="false">IF(ISNUMBER(E47),IF(AND(E47&gt;0,OR(SEL="All",'Item Master'!E51=SEL)),D47*1000+46,""),"")</f>
        <v/>
      </c>
      <c r="G47" s="0" t="str">
        <f aca="false">IFERROR(SMALL($F$2:$F$151,46),"")</f>
        <v/>
      </c>
      <c r="H47" s="0" t="str">
        <f aca="false">IF(G47="","",MATCH(G47,$F$2:$F$151,0))</f>
        <v/>
      </c>
    </row>
    <row r="48" customFormat="false" ht="15" hidden="false" customHeight="false" outlineLevel="0" collapsed="false">
      <c r="A48" s="0" t="str">
        <f aca="false">IF('Item Master'!E52="","",IF(COUNTIF('Item Master'!$E$6:E52,'Item Master'!E52)=1,MAX($A$1:A47)+1,""))</f>
        <v/>
      </c>
      <c r="C48" s="0" t="str">
        <f aca="false">IFERROR(INDEX('Item Master'!$E$6:$E$155,MATCH(46,$A$2:$A$151,0)),"")</f>
        <v/>
      </c>
      <c r="D48" s="0" t="str">
        <f aca="false">IF('Item Master'!B52="","",IFERROR(MATCH('Item Master'!E52,$C$3:$C$152,0),999))</f>
        <v/>
      </c>
      <c r="E48" s="0" t="str">
        <f aca="false">IF('Daily Ordering'!B56="","",IF('Daily Ordering'!K56&lt;&gt;"",'Daily Ordering'!K56,'Daily Ordering'!J56))</f>
        <v/>
      </c>
      <c r="F48" s="0" t="str">
        <f aca="false">IF(ISNUMBER(E48),IF(AND(E48&gt;0,OR(SEL="All",'Item Master'!E52=SEL)),D48*1000+47,""),"")</f>
        <v/>
      </c>
      <c r="G48" s="0" t="str">
        <f aca="false">IFERROR(SMALL($F$2:$F$151,47),"")</f>
        <v/>
      </c>
      <c r="H48" s="0" t="str">
        <f aca="false">IF(G48="","",MATCH(G48,$F$2:$F$151,0))</f>
        <v/>
      </c>
    </row>
    <row r="49" customFormat="false" ht="15" hidden="false" customHeight="false" outlineLevel="0" collapsed="false">
      <c r="A49" s="0" t="str">
        <f aca="false">IF('Item Master'!E53="","",IF(COUNTIF('Item Master'!$E$6:E53,'Item Master'!E53)=1,MAX($A$1:A48)+1,""))</f>
        <v/>
      </c>
      <c r="C49" s="0" t="str">
        <f aca="false">IFERROR(INDEX('Item Master'!$E$6:$E$155,MATCH(47,$A$2:$A$151,0)),"")</f>
        <v/>
      </c>
      <c r="D49" s="0" t="str">
        <f aca="false">IF('Item Master'!B53="","",IFERROR(MATCH('Item Master'!E53,$C$3:$C$152,0),999))</f>
        <v/>
      </c>
      <c r="E49" s="0" t="str">
        <f aca="false">IF('Daily Ordering'!B57="","",IF('Daily Ordering'!K57&lt;&gt;"",'Daily Ordering'!K57,'Daily Ordering'!J57))</f>
        <v/>
      </c>
      <c r="F49" s="0" t="str">
        <f aca="false">IF(ISNUMBER(E49),IF(AND(E49&gt;0,OR(SEL="All",'Item Master'!E53=SEL)),D49*1000+48,""),"")</f>
        <v/>
      </c>
      <c r="G49" s="0" t="str">
        <f aca="false">IFERROR(SMALL($F$2:$F$151,48),"")</f>
        <v/>
      </c>
      <c r="H49" s="0" t="str">
        <f aca="false">IF(G49="","",MATCH(G49,$F$2:$F$151,0))</f>
        <v/>
      </c>
    </row>
    <row r="50" customFormat="false" ht="15" hidden="false" customHeight="false" outlineLevel="0" collapsed="false">
      <c r="A50" s="0" t="str">
        <f aca="false">IF('Item Master'!E54="","",IF(COUNTIF('Item Master'!$E$6:E54,'Item Master'!E54)=1,MAX($A$1:A49)+1,""))</f>
        <v/>
      </c>
      <c r="C50" s="0" t="str">
        <f aca="false">IFERROR(INDEX('Item Master'!$E$6:$E$155,MATCH(48,$A$2:$A$151,0)),"")</f>
        <v/>
      </c>
      <c r="D50" s="0" t="str">
        <f aca="false">IF('Item Master'!B54="","",IFERROR(MATCH('Item Master'!E54,$C$3:$C$152,0),999))</f>
        <v/>
      </c>
      <c r="E50" s="0" t="str">
        <f aca="false">IF('Daily Ordering'!B58="","",IF('Daily Ordering'!K58&lt;&gt;"",'Daily Ordering'!K58,'Daily Ordering'!J58))</f>
        <v/>
      </c>
      <c r="F50" s="0" t="str">
        <f aca="false">IF(ISNUMBER(E50),IF(AND(E50&gt;0,OR(SEL="All",'Item Master'!E54=SEL)),D50*1000+49,""),"")</f>
        <v/>
      </c>
      <c r="G50" s="0" t="str">
        <f aca="false">IFERROR(SMALL($F$2:$F$151,49),"")</f>
        <v/>
      </c>
      <c r="H50" s="0" t="str">
        <f aca="false">IF(G50="","",MATCH(G50,$F$2:$F$151,0))</f>
        <v/>
      </c>
    </row>
    <row r="51" customFormat="false" ht="15" hidden="false" customHeight="false" outlineLevel="0" collapsed="false">
      <c r="A51" s="0" t="str">
        <f aca="false">IF('Item Master'!E55="","",IF(COUNTIF('Item Master'!$E$6:E55,'Item Master'!E55)=1,MAX($A$1:A50)+1,""))</f>
        <v/>
      </c>
      <c r="C51" s="0" t="str">
        <f aca="false">IFERROR(INDEX('Item Master'!$E$6:$E$155,MATCH(49,$A$2:$A$151,0)),"")</f>
        <v/>
      </c>
      <c r="D51" s="0" t="str">
        <f aca="false">IF('Item Master'!B55="","",IFERROR(MATCH('Item Master'!E55,$C$3:$C$152,0),999))</f>
        <v/>
      </c>
      <c r="E51" s="0" t="str">
        <f aca="false">IF('Daily Ordering'!B59="","",IF('Daily Ordering'!K59&lt;&gt;"",'Daily Ordering'!K59,'Daily Ordering'!J59))</f>
        <v/>
      </c>
      <c r="F51" s="0" t="str">
        <f aca="false">IF(ISNUMBER(E51),IF(AND(E51&gt;0,OR(SEL="All",'Item Master'!E55=SEL)),D51*1000+50,""),"")</f>
        <v/>
      </c>
      <c r="G51" s="0" t="str">
        <f aca="false">IFERROR(SMALL($F$2:$F$151,50),"")</f>
        <v/>
      </c>
      <c r="H51" s="0" t="str">
        <f aca="false">IF(G51="","",MATCH(G51,$F$2:$F$151,0))</f>
        <v/>
      </c>
    </row>
    <row r="52" customFormat="false" ht="15" hidden="false" customHeight="false" outlineLevel="0" collapsed="false">
      <c r="A52" s="0" t="str">
        <f aca="false">IF('Item Master'!E56="","",IF(COUNTIF('Item Master'!$E$6:E56,'Item Master'!E56)=1,MAX($A$1:A51)+1,""))</f>
        <v/>
      </c>
      <c r="C52" s="0" t="str">
        <f aca="false">IFERROR(INDEX('Item Master'!$E$6:$E$155,MATCH(50,$A$2:$A$151,0)),"")</f>
        <v/>
      </c>
      <c r="D52" s="0" t="str">
        <f aca="false">IF('Item Master'!B56="","",IFERROR(MATCH('Item Master'!E56,$C$3:$C$152,0),999))</f>
        <v/>
      </c>
      <c r="E52" s="0" t="str">
        <f aca="false">IF('Daily Ordering'!B60="","",IF('Daily Ordering'!K60&lt;&gt;"",'Daily Ordering'!K60,'Daily Ordering'!J60))</f>
        <v/>
      </c>
      <c r="F52" s="0" t="str">
        <f aca="false">IF(ISNUMBER(E52),IF(AND(E52&gt;0,OR(SEL="All",'Item Master'!E56=SEL)),D52*1000+51,""),"")</f>
        <v/>
      </c>
      <c r="G52" s="0" t="str">
        <f aca="false">IFERROR(SMALL($F$2:$F$151,51),"")</f>
        <v/>
      </c>
      <c r="H52" s="0" t="str">
        <f aca="false">IF(G52="","",MATCH(G52,$F$2:$F$151,0))</f>
        <v/>
      </c>
    </row>
    <row r="53" customFormat="false" ht="15" hidden="false" customHeight="false" outlineLevel="0" collapsed="false">
      <c r="A53" s="0" t="str">
        <f aca="false">IF('Item Master'!E57="","",IF(COUNTIF('Item Master'!$E$6:E57,'Item Master'!E57)=1,MAX($A$1:A52)+1,""))</f>
        <v/>
      </c>
      <c r="C53" s="0" t="str">
        <f aca="false">IFERROR(INDEX('Item Master'!$E$6:$E$155,MATCH(51,$A$2:$A$151,0)),"")</f>
        <v/>
      </c>
      <c r="D53" s="0" t="str">
        <f aca="false">IF('Item Master'!B57="","",IFERROR(MATCH('Item Master'!E57,$C$3:$C$152,0),999))</f>
        <v/>
      </c>
      <c r="E53" s="0" t="str">
        <f aca="false">IF('Daily Ordering'!B61="","",IF('Daily Ordering'!K61&lt;&gt;"",'Daily Ordering'!K61,'Daily Ordering'!J61))</f>
        <v/>
      </c>
      <c r="F53" s="0" t="str">
        <f aca="false">IF(ISNUMBER(E53),IF(AND(E53&gt;0,OR(SEL="All",'Item Master'!E57=SEL)),D53*1000+52,""),"")</f>
        <v/>
      </c>
      <c r="G53" s="0" t="str">
        <f aca="false">IFERROR(SMALL($F$2:$F$151,52),"")</f>
        <v/>
      </c>
      <c r="H53" s="0" t="str">
        <f aca="false">IF(G53="","",MATCH(G53,$F$2:$F$151,0))</f>
        <v/>
      </c>
    </row>
    <row r="54" customFormat="false" ht="15" hidden="false" customHeight="false" outlineLevel="0" collapsed="false">
      <c r="A54" s="0" t="str">
        <f aca="false">IF('Item Master'!E58="","",IF(COUNTIF('Item Master'!$E$6:E58,'Item Master'!E58)=1,MAX($A$1:A53)+1,""))</f>
        <v/>
      </c>
      <c r="C54" s="0" t="str">
        <f aca="false">IFERROR(INDEX('Item Master'!$E$6:$E$155,MATCH(52,$A$2:$A$151,0)),"")</f>
        <v/>
      </c>
      <c r="D54" s="0" t="str">
        <f aca="false">IF('Item Master'!B58="","",IFERROR(MATCH('Item Master'!E58,$C$3:$C$152,0),999))</f>
        <v/>
      </c>
      <c r="E54" s="0" t="str">
        <f aca="false">IF('Daily Ordering'!B62="","",IF('Daily Ordering'!K62&lt;&gt;"",'Daily Ordering'!K62,'Daily Ordering'!J62))</f>
        <v/>
      </c>
      <c r="F54" s="0" t="str">
        <f aca="false">IF(ISNUMBER(E54),IF(AND(E54&gt;0,OR(SEL="All",'Item Master'!E58=SEL)),D54*1000+53,""),"")</f>
        <v/>
      </c>
      <c r="G54" s="0" t="str">
        <f aca="false">IFERROR(SMALL($F$2:$F$151,53),"")</f>
        <v/>
      </c>
      <c r="H54" s="0" t="str">
        <f aca="false">IF(G54="","",MATCH(G54,$F$2:$F$151,0))</f>
        <v/>
      </c>
    </row>
    <row r="55" customFormat="false" ht="15" hidden="false" customHeight="false" outlineLevel="0" collapsed="false">
      <c r="A55" s="0" t="str">
        <f aca="false">IF('Item Master'!E59="","",IF(COUNTIF('Item Master'!$E$6:E59,'Item Master'!E59)=1,MAX($A$1:A54)+1,""))</f>
        <v/>
      </c>
      <c r="C55" s="0" t="str">
        <f aca="false">IFERROR(INDEX('Item Master'!$E$6:$E$155,MATCH(53,$A$2:$A$151,0)),"")</f>
        <v/>
      </c>
      <c r="D55" s="0" t="str">
        <f aca="false">IF('Item Master'!B59="","",IFERROR(MATCH('Item Master'!E59,$C$3:$C$152,0),999))</f>
        <v/>
      </c>
      <c r="E55" s="0" t="str">
        <f aca="false">IF('Daily Ordering'!B63="","",IF('Daily Ordering'!K63&lt;&gt;"",'Daily Ordering'!K63,'Daily Ordering'!J63))</f>
        <v/>
      </c>
      <c r="F55" s="0" t="str">
        <f aca="false">IF(ISNUMBER(E55),IF(AND(E55&gt;0,OR(SEL="All",'Item Master'!E59=SEL)),D55*1000+54,""),"")</f>
        <v/>
      </c>
      <c r="G55" s="0" t="str">
        <f aca="false">IFERROR(SMALL($F$2:$F$151,54),"")</f>
        <v/>
      </c>
      <c r="H55" s="0" t="str">
        <f aca="false">IF(G55="","",MATCH(G55,$F$2:$F$151,0))</f>
        <v/>
      </c>
    </row>
    <row r="56" customFormat="false" ht="15" hidden="false" customHeight="false" outlineLevel="0" collapsed="false">
      <c r="A56" s="0" t="str">
        <f aca="false">IF('Item Master'!E60="","",IF(COUNTIF('Item Master'!$E$6:E60,'Item Master'!E60)=1,MAX($A$1:A55)+1,""))</f>
        <v/>
      </c>
      <c r="C56" s="0" t="str">
        <f aca="false">IFERROR(INDEX('Item Master'!$E$6:$E$155,MATCH(54,$A$2:$A$151,0)),"")</f>
        <v/>
      </c>
      <c r="D56" s="0" t="str">
        <f aca="false">IF('Item Master'!B60="","",IFERROR(MATCH('Item Master'!E60,$C$3:$C$152,0),999))</f>
        <v/>
      </c>
      <c r="E56" s="0" t="str">
        <f aca="false">IF('Daily Ordering'!B64="","",IF('Daily Ordering'!K64&lt;&gt;"",'Daily Ordering'!K64,'Daily Ordering'!J64))</f>
        <v/>
      </c>
      <c r="F56" s="0" t="str">
        <f aca="false">IF(ISNUMBER(E56),IF(AND(E56&gt;0,OR(SEL="All",'Item Master'!E60=SEL)),D56*1000+55,""),"")</f>
        <v/>
      </c>
      <c r="G56" s="0" t="str">
        <f aca="false">IFERROR(SMALL($F$2:$F$151,55),"")</f>
        <v/>
      </c>
      <c r="H56" s="0" t="str">
        <f aca="false">IF(G56="","",MATCH(G56,$F$2:$F$151,0))</f>
        <v/>
      </c>
    </row>
    <row r="57" customFormat="false" ht="15" hidden="false" customHeight="false" outlineLevel="0" collapsed="false">
      <c r="A57" s="0" t="str">
        <f aca="false">IF('Item Master'!E61="","",IF(COUNTIF('Item Master'!$E$6:E61,'Item Master'!E61)=1,MAX($A$1:A56)+1,""))</f>
        <v/>
      </c>
      <c r="C57" s="0" t="str">
        <f aca="false">IFERROR(INDEX('Item Master'!$E$6:$E$155,MATCH(55,$A$2:$A$151,0)),"")</f>
        <v/>
      </c>
      <c r="D57" s="0" t="str">
        <f aca="false">IF('Item Master'!B61="","",IFERROR(MATCH('Item Master'!E61,$C$3:$C$152,0),999))</f>
        <v/>
      </c>
      <c r="E57" s="0" t="str">
        <f aca="false">IF('Daily Ordering'!B65="","",IF('Daily Ordering'!K65&lt;&gt;"",'Daily Ordering'!K65,'Daily Ordering'!J65))</f>
        <v/>
      </c>
      <c r="F57" s="0" t="str">
        <f aca="false">IF(ISNUMBER(E57),IF(AND(E57&gt;0,OR(SEL="All",'Item Master'!E61=SEL)),D57*1000+56,""),"")</f>
        <v/>
      </c>
      <c r="G57" s="0" t="str">
        <f aca="false">IFERROR(SMALL($F$2:$F$151,56),"")</f>
        <v/>
      </c>
      <c r="H57" s="0" t="str">
        <f aca="false">IF(G57="","",MATCH(G57,$F$2:$F$151,0))</f>
        <v/>
      </c>
    </row>
    <row r="58" customFormat="false" ht="15" hidden="false" customHeight="false" outlineLevel="0" collapsed="false">
      <c r="A58" s="0" t="str">
        <f aca="false">IF('Item Master'!E62="","",IF(COUNTIF('Item Master'!$E$6:E62,'Item Master'!E62)=1,MAX($A$1:A57)+1,""))</f>
        <v/>
      </c>
      <c r="C58" s="0" t="str">
        <f aca="false">IFERROR(INDEX('Item Master'!$E$6:$E$155,MATCH(56,$A$2:$A$151,0)),"")</f>
        <v/>
      </c>
      <c r="D58" s="0" t="str">
        <f aca="false">IF('Item Master'!B62="","",IFERROR(MATCH('Item Master'!E62,$C$3:$C$152,0),999))</f>
        <v/>
      </c>
      <c r="E58" s="0" t="str">
        <f aca="false">IF('Daily Ordering'!B66="","",IF('Daily Ordering'!K66&lt;&gt;"",'Daily Ordering'!K66,'Daily Ordering'!J66))</f>
        <v/>
      </c>
      <c r="F58" s="0" t="str">
        <f aca="false">IF(ISNUMBER(E58),IF(AND(E58&gt;0,OR(SEL="All",'Item Master'!E62=SEL)),D58*1000+57,""),"")</f>
        <v/>
      </c>
      <c r="G58" s="0" t="str">
        <f aca="false">IFERROR(SMALL($F$2:$F$151,57),"")</f>
        <v/>
      </c>
      <c r="H58" s="0" t="str">
        <f aca="false">IF(G58="","",MATCH(G58,$F$2:$F$151,0))</f>
        <v/>
      </c>
    </row>
    <row r="59" customFormat="false" ht="15" hidden="false" customHeight="false" outlineLevel="0" collapsed="false">
      <c r="A59" s="0" t="str">
        <f aca="false">IF('Item Master'!E63="","",IF(COUNTIF('Item Master'!$E$6:E63,'Item Master'!E63)=1,MAX($A$1:A58)+1,""))</f>
        <v/>
      </c>
      <c r="C59" s="0" t="str">
        <f aca="false">IFERROR(INDEX('Item Master'!$E$6:$E$155,MATCH(57,$A$2:$A$151,0)),"")</f>
        <v/>
      </c>
      <c r="D59" s="0" t="str">
        <f aca="false">IF('Item Master'!B63="","",IFERROR(MATCH('Item Master'!E63,$C$3:$C$152,0),999))</f>
        <v/>
      </c>
      <c r="E59" s="0" t="str">
        <f aca="false">IF('Daily Ordering'!B67="","",IF('Daily Ordering'!K67&lt;&gt;"",'Daily Ordering'!K67,'Daily Ordering'!J67))</f>
        <v/>
      </c>
      <c r="F59" s="0" t="str">
        <f aca="false">IF(ISNUMBER(E59),IF(AND(E59&gt;0,OR(SEL="All",'Item Master'!E63=SEL)),D59*1000+58,""),"")</f>
        <v/>
      </c>
      <c r="G59" s="0" t="str">
        <f aca="false">IFERROR(SMALL($F$2:$F$151,58),"")</f>
        <v/>
      </c>
      <c r="H59" s="0" t="str">
        <f aca="false">IF(G59="","",MATCH(G59,$F$2:$F$151,0))</f>
        <v/>
      </c>
    </row>
    <row r="60" customFormat="false" ht="15" hidden="false" customHeight="false" outlineLevel="0" collapsed="false">
      <c r="A60" s="0" t="str">
        <f aca="false">IF('Item Master'!E64="","",IF(COUNTIF('Item Master'!$E$6:E64,'Item Master'!E64)=1,MAX($A$1:A59)+1,""))</f>
        <v/>
      </c>
      <c r="C60" s="0" t="str">
        <f aca="false">IFERROR(INDEX('Item Master'!$E$6:$E$155,MATCH(58,$A$2:$A$151,0)),"")</f>
        <v/>
      </c>
      <c r="D60" s="0" t="str">
        <f aca="false">IF('Item Master'!B64="","",IFERROR(MATCH('Item Master'!E64,$C$3:$C$152,0),999))</f>
        <v/>
      </c>
      <c r="E60" s="0" t="str">
        <f aca="false">IF('Daily Ordering'!B68="","",IF('Daily Ordering'!K68&lt;&gt;"",'Daily Ordering'!K68,'Daily Ordering'!J68))</f>
        <v/>
      </c>
      <c r="F60" s="0" t="str">
        <f aca="false">IF(ISNUMBER(E60),IF(AND(E60&gt;0,OR(SEL="All",'Item Master'!E64=SEL)),D60*1000+59,""),"")</f>
        <v/>
      </c>
      <c r="G60" s="0" t="str">
        <f aca="false">IFERROR(SMALL($F$2:$F$151,59),"")</f>
        <v/>
      </c>
      <c r="H60" s="0" t="str">
        <f aca="false">IF(G60="","",MATCH(G60,$F$2:$F$151,0))</f>
        <v/>
      </c>
    </row>
    <row r="61" customFormat="false" ht="15" hidden="false" customHeight="false" outlineLevel="0" collapsed="false">
      <c r="A61" s="0" t="str">
        <f aca="false">IF('Item Master'!E65="","",IF(COUNTIF('Item Master'!$E$6:E65,'Item Master'!E65)=1,MAX($A$1:A60)+1,""))</f>
        <v/>
      </c>
      <c r="C61" s="0" t="str">
        <f aca="false">IFERROR(INDEX('Item Master'!$E$6:$E$155,MATCH(59,$A$2:$A$151,0)),"")</f>
        <v/>
      </c>
      <c r="D61" s="0" t="str">
        <f aca="false">IF('Item Master'!B65="","",IFERROR(MATCH('Item Master'!E65,$C$3:$C$152,0),999))</f>
        <v/>
      </c>
      <c r="E61" s="0" t="str">
        <f aca="false">IF('Daily Ordering'!B69="","",IF('Daily Ordering'!K69&lt;&gt;"",'Daily Ordering'!K69,'Daily Ordering'!J69))</f>
        <v/>
      </c>
      <c r="F61" s="0" t="str">
        <f aca="false">IF(ISNUMBER(E61),IF(AND(E61&gt;0,OR(SEL="All",'Item Master'!E65=SEL)),D61*1000+60,""),"")</f>
        <v/>
      </c>
      <c r="G61" s="0" t="str">
        <f aca="false">IFERROR(SMALL($F$2:$F$151,60),"")</f>
        <v/>
      </c>
      <c r="H61" s="0" t="str">
        <f aca="false">IF(G61="","",MATCH(G61,$F$2:$F$151,0))</f>
        <v/>
      </c>
    </row>
    <row r="62" customFormat="false" ht="15" hidden="false" customHeight="false" outlineLevel="0" collapsed="false">
      <c r="A62" s="0" t="str">
        <f aca="false">IF('Item Master'!E66="","",IF(COUNTIF('Item Master'!$E$6:E66,'Item Master'!E66)=1,MAX($A$1:A61)+1,""))</f>
        <v/>
      </c>
      <c r="C62" s="0" t="str">
        <f aca="false">IFERROR(INDEX('Item Master'!$E$6:$E$155,MATCH(60,$A$2:$A$151,0)),"")</f>
        <v/>
      </c>
      <c r="D62" s="0" t="str">
        <f aca="false">IF('Item Master'!B66="","",IFERROR(MATCH('Item Master'!E66,$C$3:$C$152,0),999))</f>
        <v/>
      </c>
      <c r="E62" s="0" t="str">
        <f aca="false">IF('Daily Ordering'!B70="","",IF('Daily Ordering'!K70&lt;&gt;"",'Daily Ordering'!K70,'Daily Ordering'!J70))</f>
        <v/>
      </c>
      <c r="F62" s="0" t="str">
        <f aca="false">IF(ISNUMBER(E62),IF(AND(E62&gt;0,OR(SEL="All",'Item Master'!E66=SEL)),D62*1000+61,""),"")</f>
        <v/>
      </c>
      <c r="G62" s="0" t="str">
        <f aca="false">IFERROR(SMALL($F$2:$F$151,61),"")</f>
        <v/>
      </c>
      <c r="H62" s="0" t="str">
        <f aca="false">IF(G62="","",MATCH(G62,$F$2:$F$151,0))</f>
        <v/>
      </c>
    </row>
    <row r="63" customFormat="false" ht="15" hidden="false" customHeight="false" outlineLevel="0" collapsed="false">
      <c r="A63" s="0" t="str">
        <f aca="false">IF('Item Master'!E67="","",IF(COUNTIF('Item Master'!$E$6:E67,'Item Master'!E67)=1,MAX($A$1:A62)+1,""))</f>
        <v/>
      </c>
      <c r="C63" s="0" t="str">
        <f aca="false">IFERROR(INDEX('Item Master'!$E$6:$E$155,MATCH(61,$A$2:$A$151,0)),"")</f>
        <v/>
      </c>
      <c r="D63" s="0" t="str">
        <f aca="false">IF('Item Master'!B67="","",IFERROR(MATCH('Item Master'!E67,$C$3:$C$152,0),999))</f>
        <v/>
      </c>
      <c r="E63" s="0" t="str">
        <f aca="false">IF('Daily Ordering'!B71="","",IF('Daily Ordering'!K71&lt;&gt;"",'Daily Ordering'!K71,'Daily Ordering'!J71))</f>
        <v/>
      </c>
      <c r="F63" s="0" t="str">
        <f aca="false">IF(ISNUMBER(E63),IF(AND(E63&gt;0,OR(SEL="All",'Item Master'!E67=SEL)),D63*1000+62,""),"")</f>
        <v/>
      </c>
      <c r="G63" s="0" t="str">
        <f aca="false">IFERROR(SMALL($F$2:$F$151,62),"")</f>
        <v/>
      </c>
      <c r="H63" s="0" t="str">
        <f aca="false">IF(G63="","",MATCH(G63,$F$2:$F$151,0))</f>
        <v/>
      </c>
    </row>
    <row r="64" customFormat="false" ht="15" hidden="false" customHeight="false" outlineLevel="0" collapsed="false">
      <c r="A64" s="0" t="str">
        <f aca="false">IF('Item Master'!E68="","",IF(COUNTIF('Item Master'!$E$6:E68,'Item Master'!E68)=1,MAX($A$1:A63)+1,""))</f>
        <v/>
      </c>
      <c r="C64" s="0" t="str">
        <f aca="false">IFERROR(INDEX('Item Master'!$E$6:$E$155,MATCH(62,$A$2:$A$151,0)),"")</f>
        <v/>
      </c>
      <c r="D64" s="0" t="str">
        <f aca="false">IF('Item Master'!B68="","",IFERROR(MATCH('Item Master'!E68,$C$3:$C$152,0),999))</f>
        <v/>
      </c>
      <c r="E64" s="0" t="str">
        <f aca="false">IF('Daily Ordering'!B72="","",IF('Daily Ordering'!K72&lt;&gt;"",'Daily Ordering'!K72,'Daily Ordering'!J72))</f>
        <v/>
      </c>
      <c r="F64" s="0" t="str">
        <f aca="false">IF(ISNUMBER(E64),IF(AND(E64&gt;0,OR(SEL="All",'Item Master'!E68=SEL)),D64*1000+63,""),"")</f>
        <v/>
      </c>
      <c r="G64" s="0" t="str">
        <f aca="false">IFERROR(SMALL($F$2:$F$151,63),"")</f>
        <v/>
      </c>
      <c r="H64" s="0" t="str">
        <f aca="false">IF(G64="","",MATCH(G64,$F$2:$F$151,0))</f>
        <v/>
      </c>
    </row>
    <row r="65" customFormat="false" ht="15" hidden="false" customHeight="false" outlineLevel="0" collapsed="false">
      <c r="A65" s="0" t="str">
        <f aca="false">IF('Item Master'!E69="","",IF(COUNTIF('Item Master'!$E$6:E69,'Item Master'!E69)=1,MAX($A$1:A64)+1,""))</f>
        <v/>
      </c>
      <c r="C65" s="0" t="str">
        <f aca="false">IFERROR(INDEX('Item Master'!$E$6:$E$155,MATCH(63,$A$2:$A$151,0)),"")</f>
        <v/>
      </c>
      <c r="D65" s="0" t="str">
        <f aca="false">IF('Item Master'!B69="","",IFERROR(MATCH('Item Master'!E69,$C$3:$C$152,0),999))</f>
        <v/>
      </c>
      <c r="E65" s="0" t="str">
        <f aca="false">IF('Daily Ordering'!B73="","",IF('Daily Ordering'!K73&lt;&gt;"",'Daily Ordering'!K73,'Daily Ordering'!J73))</f>
        <v/>
      </c>
      <c r="F65" s="0" t="str">
        <f aca="false">IF(ISNUMBER(E65),IF(AND(E65&gt;0,OR(SEL="All",'Item Master'!E69=SEL)),D65*1000+64,""),"")</f>
        <v/>
      </c>
      <c r="G65" s="0" t="str">
        <f aca="false">IFERROR(SMALL($F$2:$F$151,64),"")</f>
        <v/>
      </c>
      <c r="H65" s="0" t="str">
        <f aca="false">IF(G65="","",MATCH(G65,$F$2:$F$151,0))</f>
        <v/>
      </c>
    </row>
    <row r="66" customFormat="false" ht="15" hidden="false" customHeight="false" outlineLevel="0" collapsed="false">
      <c r="A66" s="0" t="str">
        <f aca="false">IF('Item Master'!E70="","",IF(COUNTIF('Item Master'!$E$6:E70,'Item Master'!E70)=1,MAX($A$1:A65)+1,""))</f>
        <v/>
      </c>
      <c r="C66" s="0" t="str">
        <f aca="false">IFERROR(INDEX('Item Master'!$E$6:$E$155,MATCH(64,$A$2:$A$151,0)),"")</f>
        <v/>
      </c>
      <c r="D66" s="0" t="str">
        <f aca="false">IF('Item Master'!B70="","",IFERROR(MATCH('Item Master'!E70,$C$3:$C$152,0),999))</f>
        <v/>
      </c>
      <c r="E66" s="0" t="str">
        <f aca="false">IF('Daily Ordering'!B74="","",IF('Daily Ordering'!K74&lt;&gt;"",'Daily Ordering'!K74,'Daily Ordering'!J74))</f>
        <v/>
      </c>
      <c r="F66" s="0" t="str">
        <f aca="false">IF(ISNUMBER(E66),IF(AND(E66&gt;0,OR(SEL="All",'Item Master'!E70=SEL)),D66*1000+65,""),"")</f>
        <v/>
      </c>
      <c r="G66" s="0" t="str">
        <f aca="false">IFERROR(SMALL($F$2:$F$151,65),"")</f>
        <v/>
      </c>
      <c r="H66" s="0" t="str">
        <f aca="false">IF(G66="","",MATCH(G66,$F$2:$F$151,0))</f>
        <v/>
      </c>
    </row>
    <row r="67" customFormat="false" ht="15" hidden="false" customHeight="false" outlineLevel="0" collapsed="false">
      <c r="A67" s="0" t="str">
        <f aca="false">IF('Item Master'!E71="","",IF(COUNTIF('Item Master'!$E$6:E71,'Item Master'!E71)=1,MAX($A$1:A66)+1,""))</f>
        <v/>
      </c>
      <c r="C67" s="0" t="str">
        <f aca="false">IFERROR(INDEX('Item Master'!$E$6:$E$155,MATCH(65,$A$2:$A$151,0)),"")</f>
        <v/>
      </c>
      <c r="D67" s="0" t="str">
        <f aca="false">IF('Item Master'!B71="","",IFERROR(MATCH('Item Master'!E71,$C$3:$C$152,0),999))</f>
        <v/>
      </c>
      <c r="E67" s="0" t="str">
        <f aca="false">IF('Daily Ordering'!B75="","",IF('Daily Ordering'!K75&lt;&gt;"",'Daily Ordering'!K75,'Daily Ordering'!J75))</f>
        <v/>
      </c>
      <c r="F67" s="0" t="str">
        <f aca="false">IF(ISNUMBER(E67),IF(AND(E67&gt;0,OR(SEL="All",'Item Master'!E71=SEL)),D67*1000+66,""),"")</f>
        <v/>
      </c>
      <c r="G67" s="0" t="str">
        <f aca="false">IFERROR(SMALL($F$2:$F$151,66),"")</f>
        <v/>
      </c>
      <c r="H67" s="0" t="str">
        <f aca="false">IF(G67="","",MATCH(G67,$F$2:$F$151,0))</f>
        <v/>
      </c>
    </row>
    <row r="68" customFormat="false" ht="15" hidden="false" customHeight="false" outlineLevel="0" collapsed="false">
      <c r="A68" s="0" t="str">
        <f aca="false">IF('Item Master'!E72="","",IF(COUNTIF('Item Master'!$E$6:E72,'Item Master'!E72)=1,MAX($A$1:A67)+1,""))</f>
        <v/>
      </c>
      <c r="C68" s="0" t="str">
        <f aca="false">IFERROR(INDEX('Item Master'!$E$6:$E$155,MATCH(66,$A$2:$A$151,0)),"")</f>
        <v/>
      </c>
      <c r="D68" s="0" t="str">
        <f aca="false">IF('Item Master'!B72="","",IFERROR(MATCH('Item Master'!E72,$C$3:$C$152,0),999))</f>
        <v/>
      </c>
      <c r="E68" s="0" t="str">
        <f aca="false">IF('Daily Ordering'!B76="","",IF('Daily Ordering'!K76&lt;&gt;"",'Daily Ordering'!K76,'Daily Ordering'!J76))</f>
        <v/>
      </c>
      <c r="F68" s="0" t="str">
        <f aca="false">IF(ISNUMBER(E68),IF(AND(E68&gt;0,OR(SEL="All",'Item Master'!E72=SEL)),D68*1000+67,""),"")</f>
        <v/>
      </c>
      <c r="G68" s="0" t="str">
        <f aca="false">IFERROR(SMALL($F$2:$F$151,67),"")</f>
        <v/>
      </c>
      <c r="H68" s="0" t="str">
        <f aca="false">IF(G68="","",MATCH(G68,$F$2:$F$151,0))</f>
        <v/>
      </c>
    </row>
    <row r="69" customFormat="false" ht="15" hidden="false" customHeight="false" outlineLevel="0" collapsed="false">
      <c r="A69" s="0" t="str">
        <f aca="false">IF('Item Master'!E73="","",IF(COUNTIF('Item Master'!$E$6:E73,'Item Master'!E73)=1,MAX($A$1:A68)+1,""))</f>
        <v/>
      </c>
      <c r="C69" s="0" t="str">
        <f aca="false">IFERROR(INDEX('Item Master'!$E$6:$E$155,MATCH(67,$A$2:$A$151,0)),"")</f>
        <v/>
      </c>
      <c r="D69" s="0" t="str">
        <f aca="false">IF('Item Master'!B73="","",IFERROR(MATCH('Item Master'!E73,$C$3:$C$152,0),999))</f>
        <v/>
      </c>
      <c r="E69" s="0" t="str">
        <f aca="false">IF('Daily Ordering'!B77="","",IF('Daily Ordering'!K77&lt;&gt;"",'Daily Ordering'!K77,'Daily Ordering'!J77))</f>
        <v/>
      </c>
      <c r="F69" s="0" t="str">
        <f aca="false">IF(ISNUMBER(E69),IF(AND(E69&gt;0,OR(SEL="All",'Item Master'!E73=SEL)),D69*1000+68,""),"")</f>
        <v/>
      </c>
      <c r="G69" s="0" t="str">
        <f aca="false">IFERROR(SMALL($F$2:$F$151,68),"")</f>
        <v/>
      </c>
      <c r="H69" s="0" t="str">
        <f aca="false">IF(G69="","",MATCH(G69,$F$2:$F$151,0))</f>
        <v/>
      </c>
    </row>
    <row r="70" customFormat="false" ht="15" hidden="false" customHeight="false" outlineLevel="0" collapsed="false">
      <c r="A70" s="0" t="str">
        <f aca="false">IF('Item Master'!E74="","",IF(COUNTIF('Item Master'!$E$6:E74,'Item Master'!E74)=1,MAX($A$1:A69)+1,""))</f>
        <v/>
      </c>
      <c r="C70" s="0" t="str">
        <f aca="false">IFERROR(INDEX('Item Master'!$E$6:$E$155,MATCH(68,$A$2:$A$151,0)),"")</f>
        <v/>
      </c>
      <c r="D70" s="0" t="str">
        <f aca="false">IF('Item Master'!B74="","",IFERROR(MATCH('Item Master'!E74,$C$3:$C$152,0),999))</f>
        <v/>
      </c>
      <c r="E70" s="0" t="str">
        <f aca="false">IF('Daily Ordering'!B78="","",IF('Daily Ordering'!K78&lt;&gt;"",'Daily Ordering'!K78,'Daily Ordering'!J78))</f>
        <v/>
      </c>
      <c r="F70" s="0" t="str">
        <f aca="false">IF(ISNUMBER(E70),IF(AND(E70&gt;0,OR(SEL="All",'Item Master'!E74=SEL)),D70*1000+69,""),"")</f>
        <v/>
      </c>
      <c r="G70" s="0" t="str">
        <f aca="false">IFERROR(SMALL($F$2:$F$151,69),"")</f>
        <v/>
      </c>
      <c r="H70" s="0" t="str">
        <f aca="false">IF(G70="","",MATCH(G70,$F$2:$F$151,0))</f>
        <v/>
      </c>
    </row>
    <row r="71" customFormat="false" ht="15" hidden="false" customHeight="false" outlineLevel="0" collapsed="false">
      <c r="A71" s="0" t="str">
        <f aca="false">IF('Item Master'!E75="","",IF(COUNTIF('Item Master'!$E$6:E75,'Item Master'!E75)=1,MAX($A$1:A70)+1,""))</f>
        <v/>
      </c>
      <c r="C71" s="0" t="str">
        <f aca="false">IFERROR(INDEX('Item Master'!$E$6:$E$155,MATCH(69,$A$2:$A$151,0)),"")</f>
        <v/>
      </c>
      <c r="D71" s="0" t="str">
        <f aca="false">IF('Item Master'!B75="","",IFERROR(MATCH('Item Master'!E75,$C$3:$C$152,0),999))</f>
        <v/>
      </c>
      <c r="E71" s="0" t="str">
        <f aca="false">IF('Daily Ordering'!B79="","",IF('Daily Ordering'!K79&lt;&gt;"",'Daily Ordering'!K79,'Daily Ordering'!J79))</f>
        <v/>
      </c>
      <c r="F71" s="0" t="str">
        <f aca="false">IF(ISNUMBER(E71),IF(AND(E71&gt;0,OR(SEL="All",'Item Master'!E75=SEL)),D71*1000+70,""),"")</f>
        <v/>
      </c>
      <c r="G71" s="0" t="str">
        <f aca="false">IFERROR(SMALL($F$2:$F$151,70),"")</f>
        <v/>
      </c>
      <c r="H71" s="0" t="str">
        <f aca="false">IF(G71="","",MATCH(G71,$F$2:$F$151,0))</f>
        <v/>
      </c>
    </row>
    <row r="72" customFormat="false" ht="15" hidden="false" customHeight="false" outlineLevel="0" collapsed="false">
      <c r="A72" s="0" t="str">
        <f aca="false">IF('Item Master'!E76="","",IF(COUNTIF('Item Master'!$E$6:E76,'Item Master'!E76)=1,MAX($A$1:A71)+1,""))</f>
        <v/>
      </c>
      <c r="C72" s="0" t="str">
        <f aca="false">IFERROR(INDEX('Item Master'!$E$6:$E$155,MATCH(70,$A$2:$A$151,0)),"")</f>
        <v/>
      </c>
      <c r="D72" s="0" t="str">
        <f aca="false">IF('Item Master'!B76="","",IFERROR(MATCH('Item Master'!E76,$C$3:$C$152,0),999))</f>
        <v/>
      </c>
      <c r="E72" s="0" t="str">
        <f aca="false">IF('Daily Ordering'!B80="","",IF('Daily Ordering'!K80&lt;&gt;"",'Daily Ordering'!K80,'Daily Ordering'!J80))</f>
        <v/>
      </c>
      <c r="F72" s="0" t="str">
        <f aca="false">IF(ISNUMBER(E72),IF(AND(E72&gt;0,OR(SEL="All",'Item Master'!E76=SEL)),D72*1000+71,""),"")</f>
        <v/>
      </c>
      <c r="G72" s="0" t="str">
        <f aca="false">IFERROR(SMALL($F$2:$F$151,71),"")</f>
        <v/>
      </c>
      <c r="H72" s="0" t="str">
        <f aca="false">IF(G72="","",MATCH(G72,$F$2:$F$151,0))</f>
        <v/>
      </c>
    </row>
    <row r="73" customFormat="false" ht="15" hidden="false" customHeight="false" outlineLevel="0" collapsed="false">
      <c r="A73" s="0" t="str">
        <f aca="false">IF('Item Master'!E77="","",IF(COUNTIF('Item Master'!$E$6:E77,'Item Master'!E77)=1,MAX($A$1:A72)+1,""))</f>
        <v/>
      </c>
      <c r="C73" s="0" t="str">
        <f aca="false">IFERROR(INDEX('Item Master'!$E$6:$E$155,MATCH(71,$A$2:$A$151,0)),"")</f>
        <v/>
      </c>
      <c r="D73" s="0" t="str">
        <f aca="false">IF('Item Master'!B77="","",IFERROR(MATCH('Item Master'!E77,$C$3:$C$152,0),999))</f>
        <v/>
      </c>
      <c r="E73" s="0" t="str">
        <f aca="false">IF('Daily Ordering'!B81="","",IF('Daily Ordering'!K81&lt;&gt;"",'Daily Ordering'!K81,'Daily Ordering'!J81))</f>
        <v/>
      </c>
      <c r="F73" s="0" t="str">
        <f aca="false">IF(ISNUMBER(E73),IF(AND(E73&gt;0,OR(SEL="All",'Item Master'!E77=SEL)),D73*1000+72,""),"")</f>
        <v/>
      </c>
      <c r="G73" s="0" t="str">
        <f aca="false">IFERROR(SMALL($F$2:$F$151,72),"")</f>
        <v/>
      </c>
      <c r="H73" s="0" t="str">
        <f aca="false">IF(G73="","",MATCH(G73,$F$2:$F$151,0))</f>
        <v/>
      </c>
    </row>
    <row r="74" customFormat="false" ht="15" hidden="false" customHeight="false" outlineLevel="0" collapsed="false">
      <c r="A74" s="0" t="str">
        <f aca="false">IF('Item Master'!E78="","",IF(COUNTIF('Item Master'!$E$6:E78,'Item Master'!E78)=1,MAX($A$1:A73)+1,""))</f>
        <v/>
      </c>
      <c r="C74" s="0" t="str">
        <f aca="false">IFERROR(INDEX('Item Master'!$E$6:$E$155,MATCH(72,$A$2:$A$151,0)),"")</f>
        <v/>
      </c>
      <c r="D74" s="0" t="str">
        <f aca="false">IF('Item Master'!B78="","",IFERROR(MATCH('Item Master'!E78,$C$3:$C$152,0),999))</f>
        <v/>
      </c>
      <c r="E74" s="0" t="str">
        <f aca="false">IF('Daily Ordering'!B82="","",IF('Daily Ordering'!K82&lt;&gt;"",'Daily Ordering'!K82,'Daily Ordering'!J82))</f>
        <v/>
      </c>
      <c r="F74" s="0" t="str">
        <f aca="false">IF(ISNUMBER(E74),IF(AND(E74&gt;0,OR(SEL="All",'Item Master'!E78=SEL)),D74*1000+73,""),"")</f>
        <v/>
      </c>
      <c r="G74" s="0" t="str">
        <f aca="false">IFERROR(SMALL($F$2:$F$151,73),"")</f>
        <v/>
      </c>
      <c r="H74" s="0" t="str">
        <f aca="false">IF(G74="","",MATCH(G74,$F$2:$F$151,0))</f>
        <v/>
      </c>
    </row>
    <row r="75" customFormat="false" ht="15" hidden="false" customHeight="false" outlineLevel="0" collapsed="false">
      <c r="A75" s="0" t="str">
        <f aca="false">IF('Item Master'!E79="","",IF(COUNTIF('Item Master'!$E$6:E79,'Item Master'!E79)=1,MAX($A$1:A74)+1,""))</f>
        <v/>
      </c>
      <c r="C75" s="0" t="str">
        <f aca="false">IFERROR(INDEX('Item Master'!$E$6:$E$155,MATCH(73,$A$2:$A$151,0)),"")</f>
        <v/>
      </c>
      <c r="D75" s="0" t="str">
        <f aca="false">IF('Item Master'!B79="","",IFERROR(MATCH('Item Master'!E79,$C$3:$C$152,0),999))</f>
        <v/>
      </c>
      <c r="E75" s="0" t="str">
        <f aca="false">IF('Daily Ordering'!B83="","",IF('Daily Ordering'!K83&lt;&gt;"",'Daily Ordering'!K83,'Daily Ordering'!J83))</f>
        <v/>
      </c>
      <c r="F75" s="0" t="str">
        <f aca="false">IF(ISNUMBER(E75),IF(AND(E75&gt;0,OR(SEL="All",'Item Master'!E79=SEL)),D75*1000+74,""),"")</f>
        <v/>
      </c>
      <c r="G75" s="0" t="str">
        <f aca="false">IFERROR(SMALL($F$2:$F$151,74),"")</f>
        <v/>
      </c>
      <c r="H75" s="0" t="str">
        <f aca="false">IF(G75="","",MATCH(G75,$F$2:$F$151,0))</f>
        <v/>
      </c>
    </row>
    <row r="76" customFormat="false" ht="15" hidden="false" customHeight="false" outlineLevel="0" collapsed="false">
      <c r="A76" s="0" t="str">
        <f aca="false">IF('Item Master'!E80="","",IF(COUNTIF('Item Master'!$E$6:E80,'Item Master'!E80)=1,MAX($A$1:A75)+1,""))</f>
        <v/>
      </c>
      <c r="C76" s="0" t="str">
        <f aca="false">IFERROR(INDEX('Item Master'!$E$6:$E$155,MATCH(74,$A$2:$A$151,0)),"")</f>
        <v/>
      </c>
      <c r="D76" s="0" t="str">
        <f aca="false">IF('Item Master'!B80="","",IFERROR(MATCH('Item Master'!E80,$C$3:$C$152,0),999))</f>
        <v/>
      </c>
      <c r="E76" s="0" t="str">
        <f aca="false">IF('Daily Ordering'!B84="","",IF('Daily Ordering'!K84&lt;&gt;"",'Daily Ordering'!K84,'Daily Ordering'!J84))</f>
        <v/>
      </c>
      <c r="F76" s="0" t="str">
        <f aca="false">IF(ISNUMBER(E76),IF(AND(E76&gt;0,OR(SEL="All",'Item Master'!E80=SEL)),D76*1000+75,""),"")</f>
        <v/>
      </c>
      <c r="G76" s="0" t="str">
        <f aca="false">IFERROR(SMALL($F$2:$F$151,75),"")</f>
        <v/>
      </c>
      <c r="H76" s="0" t="str">
        <f aca="false">IF(G76="","",MATCH(G76,$F$2:$F$151,0))</f>
        <v/>
      </c>
    </row>
    <row r="77" customFormat="false" ht="15" hidden="false" customHeight="false" outlineLevel="0" collapsed="false">
      <c r="A77" s="0" t="str">
        <f aca="false">IF('Item Master'!E81="","",IF(COUNTIF('Item Master'!$E$6:E81,'Item Master'!E81)=1,MAX($A$1:A76)+1,""))</f>
        <v/>
      </c>
      <c r="C77" s="0" t="str">
        <f aca="false">IFERROR(INDEX('Item Master'!$E$6:$E$155,MATCH(75,$A$2:$A$151,0)),"")</f>
        <v/>
      </c>
      <c r="D77" s="0" t="str">
        <f aca="false">IF('Item Master'!B81="","",IFERROR(MATCH('Item Master'!E81,$C$3:$C$152,0),999))</f>
        <v/>
      </c>
      <c r="E77" s="0" t="str">
        <f aca="false">IF('Daily Ordering'!B85="","",IF('Daily Ordering'!K85&lt;&gt;"",'Daily Ordering'!K85,'Daily Ordering'!J85))</f>
        <v/>
      </c>
      <c r="F77" s="0" t="str">
        <f aca="false">IF(ISNUMBER(E77),IF(AND(E77&gt;0,OR(SEL="All",'Item Master'!E81=SEL)),D77*1000+76,""),"")</f>
        <v/>
      </c>
      <c r="G77" s="0" t="str">
        <f aca="false">IFERROR(SMALL($F$2:$F$151,76),"")</f>
        <v/>
      </c>
      <c r="H77" s="0" t="str">
        <f aca="false">IF(G77="","",MATCH(G77,$F$2:$F$151,0))</f>
        <v/>
      </c>
    </row>
    <row r="78" customFormat="false" ht="15" hidden="false" customHeight="false" outlineLevel="0" collapsed="false">
      <c r="A78" s="0" t="str">
        <f aca="false">IF('Item Master'!E82="","",IF(COUNTIF('Item Master'!$E$6:E82,'Item Master'!E82)=1,MAX($A$1:A77)+1,""))</f>
        <v/>
      </c>
      <c r="C78" s="0" t="str">
        <f aca="false">IFERROR(INDEX('Item Master'!$E$6:$E$155,MATCH(76,$A$2:$A$151,0)),"")</f>
        <v/>
      </c>
      <c r="D78" s="0" t="str">
        <f aca="false">IF('Item Master'!B82="","",IFERROR(MATCH('Item Master'!E82,$C$3:$C$152,0),999))</f>
        <v/>
      </c>
      <c r="E78" s="0" t="str">
        <f aca="false">IF('Daily Ordering'!B86="","",IF('Daily Ordering'!K86&lt;&gt;"",'Daily Ordering'!K86,'Daily Ordering'!J86))</f>
        <v/>
      </c>
      <c r="F78" s="0" t="str">
        <f aca="false">IF(ISNUMBER(E78),IF(AND(E78&gt;0,OR(SEL="All",'Item Master'!E82=SEL)),D78*1000+77,""),"")</f>
        <v/>
      </c>
      <c r="G78" s="0" t="str">
        <f aca="false">IFERROR(SMALL($F$2:$F$151,77),"")</f>
        <v/>
      </c>
      <c r="H78" s="0" t="str">
        <f aca="false">IF(G78="","",MATCH(G78,$F$2:$F$151,0))</f>
        <v/>
      </c>
    </row>
    <row r="79" customFormat="false" ht="15" hidden="false" customHeight="false" outlineLevel="0" collapsed="false">
      <c r="A79" s="0" t="str">
        <f aca="false">IF('Item Master'!E83="","",IF(COUNTIF('Item Master'!$E$6:E83,'Item Master'!E83)=1,MAX($A$1:A78)+1,""))</f>
        <v/>
      </c>
      <c r="C79" s="0" t="str">
        <f aca="false">IFERROR(INDEX('Item Master'!$E$6:$E$155,MATCH(77,$A$2:$A$151,0)),"")</f>
        <v/>
      </c>
      <c r="D79" s="0" t="str">
        <f aca="false">IF('Item Master'!B83="","",IFERROR(MATCH('Item Master'!E83,$C$3:$C$152,0),999))</f>
        <v/>
      </c>
      <c r="E79" s="0" t="str">
        <f aca="false">IF('Daily Ordering'!B87="","",IF('Daily Ordering'!K87&lt;&gt;"",'Daily Ordering'!K87,'Daily Ordering'!J87))</f>
        <v/>
      </c>
      <c r="F79" s="0" t="str">
        <f aca="false">IF(ISNUMBER(E79),IF(AND(E79&gt;0,OR(SEL="All",'Item Master'!E83=SEL)),D79*1000+78,""),"")</f>
        <v/>
      </c>
      <c r="G79" s="0" t="str">
        <f aca="false">IFERROR(SMALL($F$2:$F$151,78),"")</f>
        <v/>
      </c>
      <c r="H79" s="0" t="str">
        <f aca="false">IF(G79="","",MATCH(G79,$F$2:$F$151,0))</f>
        <v/>
      </c>
    </row>
    <row r="80" customFormat="false" ht="15" hidden="false" customHeight="false" outlineLevel="0" collapsed="false">
      <c r="A80" s="0" t="str">
        <f aca="false">IF('Item Master'!E84="","",IF(COUNTIF('Item Master'!$E$6:E84,'Item Master'!E84)=1,MAX($A$1:A79)+1,""))</f>
        <v/>
      </c>
      <c r="C80" s="0" t="str">
        <f aca="false">IFERROR(INDEX('Item Master'!$E$6:$E$155,MATCH(78,$A$2:$A$151,0)),"")</f>
        <v/>
      </c>
      <c r="D80" s="0" t="str">
        <f aca="false">IF('Item Master'!B84="","",IFERROR(MATCH('Item Master'!E84,$C$3:$C$152,0),999))</f>
        <v/>
      </c>
      <c r="E80" s="0" t="str">
        <f aca="false">IF('Daily Ordering'!B88="","",IF('Daily Ordering'!K88&lt;&gt;"",'Daily Ordering'!K88,'Daily Ordering'!J88))</f>
        <v/>
      </c>
      <c r="F80" s="0" t="str">
        <f aca="false">IF(ISNUMBER(E80),IF(AND(E80&gt;0,OR(SEL="All",'Item Master'!E84=SEL)),D80*1000+79,""),"")</f>
        <v/>
      </c>
      <c r="G80" s="0" t="str">
        <f aca="false">IFERROR(SMALL($F$2:$F$151,79),"")</f>
        <v/>
      </c>
      <c r="H80" s="0" t="str">
        <f aca="false">IF(G80="","",MATCH(G80,$F$2:$F$151,0))</f>
        <v/>
      </c>
    </row>
    <row r="81" customFormat="false" ht="15" hidden="false" customHeight="false" outlineLevel="0" collapsed="false">
      <c r="A81" s="0" t="str">
        <f aca="false">IF('Item Master'!E85="","",IF(COUNTIF('Item Master'!$E$6:E85,'Item Master'!E85)=1,MAX($A$1:A80)+1,""))</f>
        <v/>
      </c>
      <c r="C81" s="0" t="str">
        <f aca="false">IFERROR(INDEX('Item Master'!$E$6:$E$155,MATCH(79,$A$2:$A$151,0)),"")</f>
        <v/>
      </c>
      <c r="D81" s="0" t="str">
        <f aca="false">IF('Item Master'!B85="","",IFERROR(MATCH('Item Master'!E85,$C$3:$C$152,0),999))</f>
        <v/>
      </c>
      <c r="E81" s="0" t="str">
        <f aca="false">IF('Daily Ordering'!B89="","",IF('Daily Ordering'!K89&lt;&gt;"",'Daily Ordering'!K89,'Daily Ordering'!J89))</f>
        <v/>
      </c>
      <c r="F81" s="0" t="str">
        <f aca="false">IF(ISNUMBER(E81),IF(AND(E81&gt;0,OR(SEL="All",'Item Master'!E85=SEL)),D81*1000+80,""),"")</f>
        <v/>
      </c>
      <c r="G81" s="0" t="str">
        <f aca="false">IFERROR(SMALL($F$2:$F$151,80),"")</f>
        <v/>
      </c>
      <c r="H81" s="0" t="str">
        <f aca="false">IF(G81="","",MATCH(G81,$F$2:$F$151,0))</f>
        <v/>
      </c>
    </row>
    <row r="82" customFormat="false" ht="15" hidden="false" customHeight="false" outlineLevel="0" collapsed="false">
      <c r="A82" s="0" t="str">
        <f aca="false">IF('Item Master'!E86="","",IF(COUNTIF('Item Master'!$E$6:E86,'Item Master'!E86)=1,MAX($A$1:A81)+1,""))</f>
        <v/>
      </c>
      <c r="C82" s="0" t="str">
        <f aca="false">IFERROR(INDEX('Item Master'!$E$6:$E$155,MATCH(80,$A$2:$A$151,0)),"")</f>
        <v/>
      </c>
      <c r="D82" s="0" t="str">
        <f aca="false">IF('Item Master'!B86="","",IFERROR(MATCH('Item Master'!E86,$C$3:$C$152,0),999))</f>
        <v/>
      </c>
      <c r="E82" s="0" t="str">
        <f aca="false">IF('Daily Ordering'!B90="","",IF('Daily Ordering'!K90&lt;&gt;"",'Daily Ordering'!K90,'Daily Ordering'!J90))</f>
        <v/>
      </c>
      <c r="F82" s="0" t="str">
        <f aca="false">IF(ISNUMBER(E82),IF(AND(E82&gt;0,OR(SEL="All",'Item Master'!E86=SEL)),D82*1000+81,""),"")</f>
        <v/>
      </c>
      <c r="G82" s="0" t="str">
        <f aca="false">IFERROR(SMALL($F$2:$F$151,81),"")</f>
        <v/>
      </c>
      <c r="H82" s="0" t="str">
        <f aca="false">IF(G82="","",MATCH(G82,$F$2:$F$151,0))</f>
        <v/>
      </c>
    </row>
    <row r="83" customFormat="false" ht="15" hidden="false" customHeight="false" outlineLevel="0" collapsed="false">
      <c r="A83" s="0" t="str">
        <f aca="false">IF('Item Master'!E87="","",IF(COUNTIF('Item Master'!$E$6:E87,'Item Master'!E87)=1,MAX($A$1:A82)+1,""))</f>
        <v/>
      </c>
      <c r="C83" s="0" t="str">
        <f aca="false">IFERROR(INDEX('Item Master'!$E$6:$E$155,MATCH(81,$A$2:$A$151,0)),"")</f>
        <v/>
      </c>
      <c r="D83" s="0" t="str">
        <f aca="false">IF('Item Master'!B87="","",IFERROR(MATCH('Item Master'!E87,$C$3:$C$152,0),999))</f>
        <v/>
      </c>
      <c r="E83" s="0" t="str">
        <f aca="false">IF('Daily Ordering'!B91="","",IF('Daily Ordering'!K91&lt;&gt;"",'Daily Ordering'!K91,'Daily Ordering'!J91))</f>
        <v/>
      </c>
      <c r="F83" s="0" t="str">
        <f aca="false">IF(ISNUMBER(E83),IF(AND(E83&gt;0,OR(SEL="All",'Item Master'!E87=SEL)),D83*1000+82,""),"")</f>
        <v/>
      </c>
      <c r="G83" s="0" t="str">
        <f aca="false">IFERROR(SMALL($F$2:$F$151,82),"")</f>
        <v/>
      </c>
      <c r="H83" s="0" t="str">
        <f aca="false">IF(G83="","",MATCH(G83,$F$2:$F$151,0))</f>
        <v/>
      </c>
    </row>
    <row r="84" customFormat="false" ht="15" hidden="false" customHeight="false" outlineLevel="0" collapsed="false">
      <c r="A84" s="0" t="str">
        <f aca="false">IF('Item Master'!E88="","",IF(COUNTIF('Item Master'!$E$6:E88,'Item Master'!E88)=1,MAX($A$1:A83)+1,""))</f>
        <v/>
      </c>
      <c r="C84" s="0" t="str">
        <f aca="false">IFERROR(INDEX('Item Master'!$E$6:$E$155,MATCH(82,$A$2:$A$151,0)),"")</f>
        <v/>
      </c>
      <c r="D84" s="0" t="str">
        <f aca="false">IF('Item Master'!B88="","",IFERROR(MATCH('Item Master'!E88,$C$3:$C$152,0),999))</f>
        <v/>
      </c>
      <c r="E84" s="0" t="str">
        <f aca="false">IF('Daily Ordering'!B92="","",IF('Daily Ordering'!K92&lt;&gt;"",'Daily Ordering'!K92,'Daily Ordering'!J92))</f>
        <v/>
      </c>
      <c r="F84" s="0" t="str">
        <f aca="false">IF(ISNUMBER(E84),IF(AND(E84&gt;0,OR(SEL="All",'Item Master'!E88=SEL)),D84*1000+83,""),"")</f>
        <v/>
      </c>
      <c r="G84" s="0" t="str">
        <f aca="false">IFERROR(SMALL($F$2:$F$151,83),"")</f>
        <v/>
      </c>
      <c r="H84" s="0" t="str">
        <f aca="false">IF(G84="","",MATCH(G84,$F$2:$F$151,0))</f>
        <v/>
      </c>
    </row>
    <row r="85" customFormat="false" ht="15" hidden="false" customHeight="false" outlineLevel="0" collapsed="false">
      <c r="A85" s="0" t="str">
        <f aca="false">IF('Item Master'!E89="","",IF(COUNTIF('Item Master'!$E$6:E89,'Item Master'!E89)=1,MAX($A$1:A84)+1,""))</f>
        <v/>
      </c>
      <c r="C85" s="0" t="str">
        <f aca="false">IFERROR(INDEX('Item Master'!$E$6:$E$155,MATCH(83,$A$2:$A$151,0)),"")</f>
        <v/>
      </c>
      <c r="D85" s="0" t="str">
        <f aca="false">IF('Item Master'!B89="","",IFERROR(MATCH('Item Master'!E89,$C$3:$C$152,0),999))</f>
        <v/>
      </c>
      <c r="E85" s="0" t="str">
        <f aca="false">IF('Daily Ordering'!B93="","",IF('Daily Ordering'!K93&lt;&gt;"",'Daily Ordering'!K93,'Daily Ordering'!J93))</f>
        <v/>
      </c>
      <c r="F85" s="0" t="str">
        <f aca="false">IF(ISNUMBER(E85),IF(AND(E85&gt;0,OR(SEL="All",'Item Master'!E89=SEL)),D85*1000+84,""),"")</f>
        <v/>
      </c>
      <c r="G85" s="0" t="str">
        <f aca="false">IFERROR(SMALL($F$2:$F$151,84),"")</f>
        <v/>
      </c>
      <c r="H85" s="0" t="str">
        <f aca="false">IF(G85="","",MATCH(G85,$F$2:$F$151,0))</f>
        <v/>
      </c>
    </row>
    <row r="86" customFormat="false" ht="15" hidden="false" customHeight="false" outlineLevel="0" collapsed="false">
      <c r="A86" s="0" t="str">
        <f aca="false">IF('Item Master'!E90="","",IF(COUNTIF('Item Master'!$E$6:E90,'Item Master'!E90)=1,MAX($A$1:A85)+1,""))</f>
        <v/>
      </c>
      <c r="C86" s="0" t="str">
        <f aca="false">IFERROR(INDEX('Item Master'!$E$6:$E$155,MATCH(84,$A$2:$A$151,0)),"")</f>
        <v/>
      </c>
      <c r="D86" s="0" t="str">
        <f aca="false">IF('Item Master'!B90="","",IFERROR(MATCH('Item Master'!E90,$C$3:$C$152,0),999))</f>
        <v/>
      </c>
      <c r="E86" s="0" t="str">
        <f aca="false">IF('Daily Ordering'!B94="","",IF('Daily Ordering'!K94&lt;&gt;"",'Daily Ordering'!K94,'Daily Ordering'!J94))</f>
        <v/>
      </c>
      <c r="F86" s="0" t="str">
        <f aca="false">IF(ISNUMBER(E86),IF(AND(E86&gt;0,OR(SEL="All",'Item Master'!E90=SEL)),D86*1000+85,""),"")</f>
        <v/>
      </c>
      <c r="G86" s="0" t="str">
        <f aca="false">IFERROR(SMALL($F$2:$F$151,85),"")</f>
        <v/>
      </c>
      <c r="H86" s="0" t="str">
        <f aca="false">IF(G86="","",MATCH(G86,$F$2:$F$151,0))</f>
        <v/>
      </c>
    </row>
    <row r="87" customFormat="false" ht="15" hidden="false" customHeight="false" outlineLevel="0" collapsed="false">
      <c r="A87" s="0" t="str">
        <f aca="false">IF('Item Master'!E91="","",IF(COUNTIF('Item Master'!$E$6:E91,'Item Master'!E91)=1,MAX($A$1:A86)+1,""))</f>
        <v/>
      </c>
      <c r="C87" s="0" t="str">
        <f aca="false">IFERROR(INDEX('Item Master'!$E$6:$E$155,MATCH(85,$A$2:$A$151,0)),"")</f>
        <v/>
      </c>
      <c r="D87" s="0" t="str">
        <f aca="false">IF('Item Master'!B91="","",IFERROR(MATCH('Item Master'!E91,$C$3:$C$152,0),999))</f>
        <v/>
      </c>
      <c r="E87" s="0" t="str">
        <f aca="false">IF('Daily Ordering'!B95="","",IF('Daily Ordering'!K95&lt;&gt;"",'Daily Ordering'!K95,'Daily Ordering'!J95))</f>
        <v/>
      </c>
      <c r="F87" s="0" t="str">
        <f aca="false">IF(ISNUMBER(E87),IF(AND(E87&gt;0,OR(SEL="All",'Item Master'!E91=SEL)),D87*1000+86,""),"")</f>
        <v/>
      </c>
      <c r="G87" s="0" t="str">
        <f aca="false">IFERROR(SMALL($F$2:$F$151,86),"")</f>
        <v/>
      </c>
      <c r="H87" s="0" t="str">
        <f aca="false">IF(G87="","",MATCH(G87,$F$2:$F$151,0))</f>
        <v/>
      </c>
    </row>
    <row r="88" customFormat="false" ht="15" hidden="false" customHeight="false" outlineLevel="0" collapsed="false">
      <c r="A88" s="0" t="str">
        <f aca="false">IF('Item Master'!E92="","",IF(COUNTIF('Item Master'!$E$6:E92,'Item Master'!E92)=1,MAX($A$1:A87)+1,""))</f>
        <v/>
      </c>
      <c r="C88" s="0" t="str">
        <f aca="false">IFERROR(INDEX('Item Master'!$E$6:$E$155,MATCH(86,$A$2:$A$151,0)),"")</f>
        <v/>
      </c>
      <c r="D88" s="0" t="str">
        <f aca="false">IF('Item Master'!B92="","",IFERROR(MATCH('Item Master'!E92,$C$3:$C$152,0),999))</f>
        <v/>
      </c>
      <c r="E88" s="0" t="str">
        <f aca="false">IF('Daily Ordering'!B96="","",IF('Daily Ordering'!K96&lt;&gt;"",'Daily Ordering'!K96,'Daily Ordering'!J96))</f>
        <v/>
      </c>
      <c r="F88" s="0" t="str">
        <f aca="false">IF(ISNUMBER(E88),IF(AND(E88&gt;0,OR(SEL="All",'Item Master'!E92=SEL)),D88*1000+87,""),"")</f>
        <v/>
      </c>
      <c r="G88" s="0" t="str">
        <f aca="false">IFERROR(SMALL($F$2:$F$151,87),"")</f>
        <v/>
      </c>
      <c r="H88" s="0" t="str">
        <f aca="false">IF(G88="","",MATCH(G88,$F$2:$F$151,0))</f>
        <v/>
      </c>
    </row>
    <row r="89" customFormat="false" ht="15" hidden="false" customHeight="false" outlineLevel="0" collapsed="false">
      <c r="A89" s="0" t="str">
        <f aca="false">IF('Item Master'!E93="","",IF(COUNTIF('Item Master'!$E$6:E93,'Item Master'!E93)=1,MAX($A$1:A88)+1,""))</f>
        <v/>
      </c>
      <c r="C89" s="0" t="str">
        <f aca="false">IFERROR(INDEX('Item Master'!$E$6:$E$155,MATCH(87,$A$2:$A$151,0)),"")</f>
        <v/>
      </c>
      <c r="D89" s="0" t="str">
        <f aca="false">IF('Item Master'!B93="","",IFERROR(MATCH('Item Master'!E93,$C$3:$C$152,0),999))</f>
        <v/>
      </c>
      <c r="E89" s="0" t="str">
        <f aca="false">IF('Daily Ordering'!B97="","",IF('Daily Ordering'!K97&lt;&gt;"",'Daily Ordering'!K97,'Daily Ordering'!J97))</f>
        <v/>
      </c>
      <c r="F89" s="0" t="str">
        <f aca="false">IF(ISNUMBER(E89),IF(AND(E89&gt;0,OR(SEL="All",'Item Master'!E93=SEL)),D89*1000+88,""),"")</f>
        <v/>
      </c>
      <c r="G89" s="0" t="str">
        <f aca="false">IFERROR(SMALL($F$2:$F$151,88),"")</f>
        <v/>
      </c>
      <c r="H89" s="0" t="str">
        <f aca="false">IF(G89="","",MATCH(G89,$F$2:$F$151,0))</f>
        <v/>
      </c>
    </row>
    <row r="90" customFormat="false" ht="15" hidden="false" customHeight="false" outlineLevel="0" collapsed="false">
      <c r="A90" s="0" t="str">
        <f aca="false">IF('Item Master'!E94="","",IF(COUNTIF('Item Master'!$E$6:E94,'Item Master'!E94)=1,MAX($A$1:A89)+1,""))</f>
        <v/>
      </c>
      <c r="C90" s="0" t="str">
        <f aca="false">IFERROR(INDEX('Item Master'!$E$6:$E$155,MATCH(88,$A$2:$A$151,0)),"")</f>
        <v/>
      </c>
      <c r="D90" s="0" t="str">
        <f aca="false">IF('Item Master'!B94="","",IFERROR(MATCH('Item Master'!E94,$C$3:$C$152,0),999))</f>
        <v/>
      </c>
      <c r="E90" s="0" t="str">
        <f aca="false">IF('Daily Ordering'!B98="","",IF('Daily Ordering'!K98&lt;&gt;"",'Daily Ordering'!K98,'Daily Ordering'!J98))</f>
        <v/>
      </c>
      <c r="F90" s="0" t="str">
        <f aca="false">IF(ISNUMBER(E90),IF(AND(E90&gt;0,OR(SEL="All",'Item Master'!E94=SEL)),D90*1000+89,""),"")</f>
        <v/>
      </c>
      <c r="G90" s="0" t="str">
        <f aca="false">IFERROR(SMALL($F$2:$F$151,89),"")</f>
        <v/>
      </c>
      <c r="H90" s="0" t="str">
        <f aca="false">IF(G90="","",MATCH(G90,$F$2:$F$151,0))</f>
        <v/>
      </c>
    </row>
    <row r="91" customFormat="false" ht="15" hidden="false" customHeight="false" outlineLevel="0" collapsed="false">
      <c r="A91" s="0" t="str">
        <f aca="false">IF('Item Master'!E95="","",IF(COUNTIF('Item Master'!$E$6:E95,'Item Master'!E95)=1,MAX($A$1:A90)+1,""))</f>
        <v/>
      </c>
      <c r="C91" s="0" t="str">
        <f aca="false">IFERROR(INDEX('Item Master'!$E$6:$E$155,MATCH(89,$A$2:$A$151,0)),"")</f>
        <v/>
      </c>
      <c r="D91" s="0" t="str">
        <f aca="false">IF('Item Master'!B95="","",IFERROR(MATCH('Item Master'!E95,$C$3:$C$152,0),999))</f>
        <v/>
      </c>
      <c r="E91" s="0" t="str">
        <f aca="false">IF('Daily Ordering'!B99="","",IF('Daily Ordering'!K99&lt;&gt;"",'Daily Ordering'!K99,'Daily Ordering'!J99))</f>
        <v/>
      </c>
      <c r="F91" s="0" t="str">
        <f aca="false">IF(ISNUMBER(E91),IF(AND(E91&gt;0,OR(SEL="All",'Item Master'!E95=SEL)),D91*1000+90,""),"")</f>
        <v/>
      </c>
      <c r="G91" s="0" t="str">
        <f aca="false">IFERROR(SMALL($F$2:$F$151,90),"")</f>
        <v/>
      </c>
      <c r="H91" s="0" t="str">
        <f aca="false">IF(G91="","",MATCH(G91,$F$2:$F$151,0))</f>
        <v/>
      </c>
    </row>
    <row r="92" customFormat="false" ht="15" hidden="false" customHeight="false" outlineLevel="0" collapsed="false">
      <c r="A92" s="0" t="str">
        <f aca="false">IF('Item Master'!E96="","",IF(COUNTIF('Item Master'!$E$6:E96,'Item Master'!E96)=1,MAX($A$1:A91)+1,""))</f>
        <v/>
      </c>
      <c r="C92" s="0" t="str">
        <f aca="false">IFERROR(INDEX('Item Master'!$E$6:$E$155,MATCH(90,$A$2:$A$151,0)),"")</f>
        <v/>
      </c>
      <c r="D92" s="0" t="str">
        <f aca="false">IF('Item Master'!B96="","",IFERROR(MATCH('Item Master'!E96,$C$3:$C$152,0),999))</f>
        <v/>
      </c>
      <c r="E92" s="0" t="str">
        <f aca="false">IF('Daily Ordering'!B100="","",IF('Daily Ordering'!K100&lt;&gt;"",'Daily Ordering'!K100,'Daily Ordering'!J100))</f>
        <v/>
      </c>
      <c r="F92" s="0" t="str">
        <f aca="false">IF(ISNUMBER(E92),IF(AND(E92&gt;0,OR(SEL="All",'Item Master'!E96=SEL)),D92*1000+91,""),"")</f>
        <v/>
      </c>
      <c r="G92" s="0" t="str">
        <f aca="false">IFERROR(SMALL($F$2:$F$151,91),"")</f>
        <v/>
      </c>
      <c r="H92" s="0" t="str">
        <f aca="false">IF(G92="","",MATCH(G92,$F$2:$F$151,0))</f>
        <v/>
      </c>
    </row>
    <row r="93" customFormat="false" ht="15" hidden="false" customHeight="false" outlineLevel="0" collapsed="false">
      <c r="A93" s="0" t="str">
        <f aca="false">IF('Item Master'!E97="","",IF(COUNTIF('Item Master'!$E$6:E97,'Item Master'!E97)=1,MAX($A$1:A92)+1,""))</f>
        <v/>
      </c>
      <c r="C93" s="0" t="str">
        <f aca="false">IFERROR(INDEX('Item Master'!$E$6:$E$155,MATCH(91,$A$2:$A$151,0)),"")</f>
        <v/>
      </c>
      <c r="D93" s="0" t="str">
        <f aca="false">IF('Item Master'!B97="","",IFERROR(MATCH('Item Master'!E97,$C$3:$C$152,0),999))</f>
        <v/>
      </c>
      <c r="E93" s="0" t="str">
        <f aca="false">IF('Daily Ordering'!B101="","",IF('Daily Ordering'!K101&lt;&gt;"",'Daily Ordering'!K101,'Daily Ordering'!J101))</f>
        <v/>
      </c>
      <c r="F93" s="0" t="str">
        <f aca="false">IF(ISNUMBER(E93),IF(AND(E93&gt;0,OR(SEL="All",'Item Master'!E97=SEL)),D93*1000+92,""),"")</f>
        <v/>
      </c>
      <c r="G93" s="0" t="str">
        <f aca="false">IFERROR(SMALL($F$2:$F$151,92),"")</f>
        <v/>
      </c>
      <c r="H93" s="0" t="str">
        <f aca="false">IF(G93="","",MATCH(G93,$F$2:$F$151,0))</f>
        <v/>
      </c>
    </row>
    <row r="94" customFormat="false" ht="15" hidden="false" customHeight="false" outlineLevel="0" collapsed="false">
      <c r="A94" s="0" t="str">
        <f aca="false">IF('Item Master'!E98="","",IF(COUNTIF('Item Master'!$E$6:E98,'Item Master'!E98)=1,MAX($A$1:A93)+1,""))</f>
        <v/>
      </c>
      <c r="C94" s="0" t="str">
        <f aca="false">IFERROR(INDEX('Item Master'!$E$6:$E$155,MATCH(92,$A$2:$A$151,0)),"")</f>
        <v/>
      </c>
      <c r="D94" s="0" t="str">
        <f aca="false">IF('Item Master'!B98="","",IFERROR(MATCH('Item Master'!E98,$C$3:$C$152,0),999))</f>
        <v/>
      </c>
      <c r="E94" s="0" t="str">
        <f aca="false">IF('Daily Ordering'!B102="","",IF('Daily Ordering'!K102&lt;&gt;"",'Daily Ordering'!K102,'Daily Ordering'!J102))</f>
        <v/>
      </c>
      <c r="F94" s="0" t="str">
        <f aca="false">IF(ISNUMBER(E94),IF(AND(E94&gt;0,OR(SEL="All",'Item Master'!E98=SEL)),D94*1000+93,""),"")</f>
        <v/>
      </c>
      <c r="G94" s="0" t="str">
        <f aca="false">IFERROR(SMALL($F$2:$F$151,93),"")</f>
        <v/>
      </c>
      <c r="H94" s="0" t="str">
        <f aca="false">IF(G94="","",MATCH(G94,$F$2:$F$151,0))</f>
        <v/>
      </c>
    </row>
    <row r="95" customFormat="false" ht="15" hidden="false" customHeight="false" outlineLevel="0" collapsed="false">
      <c r="A95" s="0" t="str">
        <f aca="false">IF('Item Master'!E99="","",IF(COUNTIF('Item Master'!$E$6:E99,'Item Master'!E99)=1,MAX($A$1:A94)+1,""))</f>
        <v/>
      </c>
      <c r="C95" s="0" t="str">
        <f aca="false">IFERROR(INDEX('Item Master'!$E$6:$E$155,MATCH(93,$A$2:$A$151,0)),"")</f>
        <v/>
      </c>
      <c r="D95" s="0" t="str">
        <f aca="false">IF('Item Master'!B99="","",IFERROR(MATCH('Item Master'!E99,$C$3:$C$152,0),999))</f>
        <v/>
      </c>
      <c r="E95" s="0" t="str">
        <f aca="false">IF('Daily Ordering'!B103="","",IF('Daily Ordering'!K103&lt;&gt;"",'Daily Ordering'!K103,'Daily Ordering'!J103))</f>
        <v/>
      </c>
      <c r="F95" s="0" t="str">
        <f aca="false">IF(ISNUMBER(E95),IF(AND(E95&gt;0,OR(SEL="All",'Item Master'!E99=SEL)),D95*1000+94,""),"")</f>
        <v/>
      </c>
      <c r="G95" s="0" t="str">
        <f aca="false">IFERROR(SMALL($F$2:$F$151,94),"")</f>
        <v/>
      </c>
      <c r="H95" s="0" t="str">
        <f aca="false">IF(G95="","",MATCH(G95,$F$2:$F$151,0))</f>
        <v/>
      </c>
    </row>
    <row r="96" customFormat="false" ht="15" hidden="false" customHeight="false" outlineLevel="0" collapsed="false">
      <c r="A96" s="0" t="str">
        <f aca="false">IF('Item Master'!E100="","",IF(COUNTIF('Item Master'!$E$6:E100,'Item Master'!E100)=1,MAX($A$1:A95)+1,""))</f>
        <v/>
      </c>
      <c r="C96" s="0" t="str">
        <f aca="false">IFERROR(INDEX('Item Master'!$E$6:$E$155,MATCH(94,$A$2:$A$151,0)),"")</f>
        <v/>
      </c>
      <c r="D96" s="0" t="str">
        <f aca="false">IF('Item Master'!B100="","",IFERROR(MATCH('Item Master'!E100,$C$3:$C$152,0),999))</f>
        <v/>
      </c>
      <c r="E96" s="0" t="str">
        <f aca="false">IF('Daily Ordering'!B104="","",IF('Daily Ordering'!K104&lt;&gt;"",'Daily Ordering'!K104,'Daily Ordering'!J104))</f>
        <v/>
      </c>
      <c r="F96" s="0" t="str">
        <f aca="false">IF(ISNUMBER(E96),IF(AND(E96&gt;0,OR(SEL="All",'Item Master'!E100=SEL)),D96*1000+95,""),"")</f>
        <v/>
      </c>
      <c r="G96" s="0" t="str">
        <f aca="false">IFERROR(SMALL($F$2:$F$151,95),"")</f>
        <v/>
      </c>
      <c r="H96" s="0" t="str">
        <f aca="false">IF(G96="","",MATCH(G96,$F$2:$F$151,0))</f>
        <v/>
      </c>
    </row>
    <row r="97" customFormat="false" ht="15" hidden="false" customHeight="false" outlineLevel="0" collapsed="false">
      <c r="A97" s="0" t="str">
        <f aca="false">IF('Item Master'!E101="","",IF(COUNTIF('Item Master'!$E$6:E101,'Item Master'!E101)=1,MAX($A$1:A96)+1,""))</f>
        <v/>
      </c>
      <c r="C97" s="0" t="str">
        <f aca="false">IFERROR(INDEX('Item Master'!$E$6:$E$155,MATCH(95,$A$2:$A$151,0)),"")</f>
        <v/>
      </c>
      <c r="D97" s="0" t="str">
        <f aca="false">IF('Item Master'!B101="","",IFERROR(MATCH('Item Master'!E101,$C$3:$C$152,0),999))</f>
        <v/>
      </c>
      <c r="E97" s="0" t="str">
        <f aca="false">IF('Daily Ordering'!B105="","",IF('Daily Ordering'!K105&lt;&gt;"",'Daily Ordering'!K105,'Daily Ordering'!J105))</f>
        <v/>
      </c>
      <c r="F97" s="0" t="str">
        <f aca="false">IF(ISNUMBER(E97),IF(AND(E97&gt;0,OR(SEL="All",'Item Master'!E101=SEL)),D97*1000+96,""),"")</f>
        <v/>
      </c>
      <c r="G97" s="0" t="str">
        <f aca="false">IFERROR(SMALL($F$2:$F$151,96),"")</f>
        <v/>
      </c>
      <c r="H97" s="0" t="str">
        <f aca="false">IF(G97="","",MATCH(G97,$F$2:$F$151,0))</f>
        <v/>
      </c>
    </row>
    <row r="98" customFormat="false" ht="15" hidden="false" customHeight="false" outlineLevel="0" collapsed="false">
      <c r="A98" s="0" t="str">
        <f aca="false">IF('Item Master'!E102="","",IF(COUNTIF('Item Master'!$E$6:E102,'Item Master'!E102)=1,MAX($A$1:A97)+1,""))</f>
        <v/>
      </c>
      <c r="C98" s="0" t="str">
        <f aca="false">IFERROR(INDEX('Item Master'!$E$6:$E$155,MATCH(96,$A$2:$A$151,0)),"")</f>
        <v/>
      </c>
      <c r="D98" s="0" t="str">
        <f aca="false">IF('Item Master'!B102="","",IFERROR(MATCH('Item Master'!E102,$C$3:$C$152,0),999))</f>
        <v/>
      </c>
      <c r="E98" s="0" t="str">
        <f aca="false">IF('Daily Ordering'!B106="","",IF('Daily Ordering'!K106&lt;&gt;"",'Daily Ordering'!K106,'Daily Ordering'!J106))</f>
        <v/>
      </c>
      <c r="F98" s="0" t="str">
        <f aca="false">IF(ISNUMBER(E98),IF(AND(E98&gt;0,OR(SEL="All",'Item Master'!E102=SEL)),D98*1000+97,""),"")</f>
        <v/>
      </c>
      <c r="G98" s="0" t="str">
        <f aca="false">IFERROR(SMALL($F$2:$F$151,97),"")</f>
        <v/>
      </c>
      <c r="H98" s="0" t="str">
        <f aca="false">IF(G98="","",MATCH(G98,$F$2:$F$151,0))</f>
        <v/>
      </c>
    </row>
    <row r="99" customFormat="false" ht="15" hidden="false" customHeight="false" outlineLevel="0" collapsed="false">
      <c r="A99" s="0" t="str">
        <f aca="false">IF('Item Master'!E103="","",IF(COUNTIF('Item Master'!$E$6:E103,'Item Master'!E103)=1,MAX($A$1:A98)+1,""))</f>
        <v/>
      </c>
      <c r="C99" s="0" t="str">
        <f aca="false">IFERROR(INDEX('Item Master'!$E$6:$E$155,MATCH(97,$A$2:$A$151,0)),"")</f>
        <v/>
      </c>
      <c r="D99" s="0" t="str">
        <f aca="false">IF('Item Master'!B103="","",IFERROR(MATCH('Item Master'!E103,$C$3:$C$152,0),999))</f>
        <v/>
      </c>
      <c r="E99" s="0" t="str">
        <f aca="false">IF('Daily Ordering'!B107="","",IF('Daily Ordering'!K107&lt;&gt;"",'Daily Ordering'!K107,'Daily Ordering'!J107))</f>
        <v/>
      </c>
      <c r="F99" s="0" t="str">
        <f aca="false">IF(ISNUMBER(E99),IF(AND(E99&gt;0,OR(SEL="All",'Item Master'!E103=SEL)),D99*1000+98,""),"")</f>
        <v/>
      </c>
      <c r="G99" s="0" t="str">
        <f aca="false">IFERROR(SMALL($F$2:$F$151,98),"")</f>
        <v/>
      </c>
      <c r="H99" s="0" t="str">
        <f aca="false">IF(G99="","",MATCH(G99,$F$2:$F$151,0))</f>
        <v/>
      </c>
    </row>
    <row r="100" customFormat="false" ht="15" hidden="false" customHeight="false" outlineLevel="0" collapsed="false">
      <c r="A100" s="0" t="str">
        <f aca="false">IF('Item Master'!E104="","",IF(COUNTIF('Item Master'!$E$6:E104,'Item Master'!E104)=1,MAX($A$1:A99)+1,""))</f>
        <v/>
      </c>
      <c r="C100" s="0" t="str">
        <f aca="false">IFERROR(INDEX('Item Master'!$E$6:$E$155,MATCH(98,$A$2:$A$151,0)),"")</f>
        <v/>
      </c>
      <c r="D100" s="0" t="str">
        <f aca="false">IF('Item Master'!B104="","",IFERROR(MATCH('Item Master'!E104,$C$3:$C$152,0),999))</f>
        <v/>
      </c>
      <c r="E100" s="0" t="str">
        <f aca="false">IF('Daily Ordering'!B108="","",IF('Daily Ordering'!K108&lt;&gt;"",'Daily Ordering'!K108,'Daily Ordering'!J108))</f>
        <v/>
      </c>
      <c r="F100" s="0" t="str">
        <f aca="false">IF(ISNUMBER(E100),IF(AND(E100&gt;0,OR(SEL="All",'Item Master'!E104=SEL)),D100*1000+99,""),"")</f>
        <v/>
      </c>
      <c r="G100" s="0" t="str">
        <f aca="false">IFERROR(SMALL($F$2:$F$151,99),"")</f>
        <v/>
      </c>
      <c r="H100" s="0" t="str">
        <f aca="false">IF(G100="","",MATCH(G100,$F$2:$F$151,0))</f>
        <v/>
      </c>
    </row>
    <row r="101" customFormat="false" ht="15" hidden="false" customHeight="false" outlineLevel="0" collapsed="false">
      <c r="A101" s="0" t="str">
        <f aca="false">IF('Item Master'!E105="","",IF(COUNTIF('Item Master'!$E$6:E105,'Item Master'!E105)=1,MAX($A$1:A100)+1,""))</f>
        <v/>
      </c>
      <c r="C101" s="0" t="str">
        <f aca="false">IFERROR(INDEX('Item Master'!$E$6:$E$155,MATCH(99,$A$2:$A$151,0)),"")</f>
        <v/>
      </c>
      <c r="D101" s="0" t="str">
        <f aca="false">IF('Item Master'!B105="","",IFERROR(MATCH('Item Master'!E105,$C$3:$C$152,0),999))</f>
        <v/>
      </c>
      <c r="E101" s="0" t="str">
        <f aca="false">IF('Daily Ordering'!B109="","",IF('Daily Ordering'!K109&lt;&gt;"",'Daily Ordering'!K109,'Daily Ordering'!J109))</f>
        <v/>
      </c>
      <c r="F101" s="0" t="str">
        <f aca="false">IF(ISNUMBER(E101),IF(AND(E101&gt;0,OR(SEL="All",'Item Master'!E105=SEL)),D101*1000+100,""),"")</f>
        <v/>
      </c>
      <c r="G101" s="0" t="str">
        <f aca="false">IFERROR(SMALL($F$2:$F$151,100),"")</f>
        <v/>
      </c>
      <c r="H101" s="0" t="str">
        <f aca="false">IF(G101="","",MATCH(G101,$F$2:$F$151,0))</f>
        <v/>
      </c>
    </row>
    <row r="102" customFormat="false" ht="15" hidden="false" customHeight="false" outlineLevel="0" collapsed="false">
      <c r="A102" s="0" t="str">
        <f aca="false">IF('Item Master'!E106="","",IF(COUNTIF('Item Master'!$E$6:E106,'Item Master'!E106)=1,MAX($A$1:A101)+1,""))</f>
        <v/>
      </c>
      <c r="C102" s="0" t="str">
        <f aca="false">IFERROR(INDEX('Item Master'!$E$6:$E$155,MATCH(100,$A$2:$A$151,0)),"")</f>
        <v/>
      </c>
      <c r="D102" s="0" t="str">
        <f aca="false">IF('Item Master'!B106="","",IFERROR(MATCH('Item Master'!E106,$C$3:$C$152,0),999))</f>
        <v/>
      </c>
      <c r="E102" s="0" t="str">
        <f aca="false">IF('Daily Ordering'!B110="","",IF('Daily Ordering'!K110&lt;&gt;"",'Daily Ordering'!K110,'Daily Ordering'!J110))</f>
        <v/>
      </c>
      <c r="F102" s="0" t="str">
        <f aca="false">IF(ISNUMBER(E102),IF(AND(E102&gt;0,OR(SEL="All",'Item Master'!E106=SEL)),D102*1000+101,""),"")</f>
        <v/>
      </c>
      <c r="G102" s="0" t="str">
        <f aca="false">IFERROR(SMALL($F$2:$F$151,101),"")</f>
        <v/>
      </c>
      <c r="H102" s="0" t="str">
        <f aca="false">IF(G102="","",MATCH(G102,$F$2:$F$151,0))</f>
        <v/>
      </c>
    </row>
    <row r="103" customFormat="false" ht="15" hidden="false" customHeight="false" outlineLevel="0" collapsed="false">
      <c r="A103" s="0" t="str">
        <f aca="false">IF('Item Master'!E107="","",IF(COUNTIF('Item Master'!$E$6:E107,'Item Master'!E107)=1,MAX($A$1:A102)+1,""))</f>
        <v/>
      </c>
      <c r="C103" s="0" t="str">
        <f aca="false">IFERROR(INDEX('Item Master'!$E$6:$E$155,MATCH(101,$A$2:$A$151,0)),"")</f>
        <v/>
      </c>
      <c r="D103" s="0" t="str">
        <f aca="false">IF('Item Master'!B107="","",IFERROR(MATCH('Item Master'!E107,$C$3:$C$152,0),999))</f>
        <v/>
      </c>
      <c r="E103" s="0" t="str">
        <f aca="false">IF('Daily Ordering'!B111="","",IF('Daily Ordering'!K111&lt;&gt;"",'Daily Ordering'!K111,'Daily Ordering'!J111))</f>
        <v/>
      </c>
      <c r="F103" s="0" t="str">
        <f aca="false">IF(ISNUMBER(E103),IF(AND(E103&gt;0,OR(SEL="All",'Item Master'!E107=SEL)),D103*1000+102,""),"")</f>
        <v/>
      </c>
      <c r="G103" s="0" t="str">
        <f aca="false">IFERROR(SMALL($F$2:$F$151,102),"")</f>
        <v/>
      </c>
      <c r="H103" s="0" t="str">
        <f aca="false">IF(G103="","",MATCH(G103,$F$2:$F$151,0))</f>
        <v/>
      </c>
    </row>
    <row r="104" customFormat="false" ht="15" hidden="false" customHeight="false" outlineLevel="0" collapsed="false">
      <c r="A104" s="0" t="str">
        <f aca="false">IF('Item Master'!E108="","",IF(COUNTIF('Item Master'!$E$6:E108,'Item Master'!E108)=1,MAX($A$1:A103)+1,""))</f>
        <v/>
      </c>
      <c r="C104" s="0" t="str">
        <f aca="false">IFERROR(INDEX('Item Master'!$E$6:$E$155,MATCH(102,$A$2:$A$151,0)),"")</f>
        <v/>
      </c>
      <c r="D104" s="0" t="str">
        <f aca="false">IF('Item Master'!B108="","",IFERROR(MATCH('Item Master'!E108,$C$3:$C$152,0),999))</f>
        <v/>
      </c>
      <c r="E104" s="0" t="str">
        <f aca="false">IF('Daily Ordering'!B112="","",IF('Daily Ordering'!K112&lt;&gt;"",'Daily Ordering'!K112,'Daily Ordering'!J112))</f>
        <v/>
      </c>
      <c r="F104" s="0" t="str">
        <f aca="false">IF(ISNUMBER(E104),IF(AND(E104&gt;0,OR(SEL="All",'Item Master'!E108=SEL)),D104*1000+103,""),"")</f>
        <v/>
      </c>
      <c r="G104" s="0" t="str">
        <f aca="false">IFERROR(SMALL($F$2:$F$151,103),"")</f>
        <v/>
      </c>
      <c r="H104" s="0" t="str">
        <f aca="false">IF(G104="","",MATCH(G104,$F$2:$F$151,0))</f>
        <v/>
      </c>
    </row>
    <row r="105" customFormat="false" ht="15" hidden="false" customHeight="false" outlineLevel="0" collapsed="false">
      <c r="A105" s="0" t="str">
        <f aca="false">IF('Item Master'!E109="","",IF(COUNTIF('Item Master'!$E$6:E109,'Item Master'!E109)=1,MAX($A$1:A104)+1,""))</f>
        <v/>
      </c>
      <c r="C105" s="0" t="str">
        <f aca="false">IFERROR(INDEX('Item Master'!$E$6:$E$155,MATCH(103,$A$2:$A$151,0)),"")</f>
        <v/>
      </c>
      <c r="D105" s="0" t="str">
        <f aca="false">IF('Item Master'!B109="","",IFERROR(MATCH('Item Master'!E109,$C$3:$C$152,0),999))</f>
        <v/>
      </c>
      <c r="E105" s="0" t="str">
        <f aca="false">IF('Daily Ordering'!B113="","",IF('Daily Ordering'!K113&lt;&gt;"",'Daily Ordering'!K113,'Daily Ordering'!J113))</f>
        <v/>
      </c>
      <c r="F105" s="0" t="str">
        <f aca="false">IF(ISNUMBER(E105),IF(AND(E105&gt;0,OR(SEL="All",'Item Master'!E109=SEL)),D105*1000+104,""),"")</f>
        <v/>
      </c>
      <c r="G105" s="0" t="str">
        <f aca="false">IFERROR(SMALL($F$2:$F$151,104),"")</f>
        <v/>
      </c>
      <c r="H105" s="0" t="str">
        <f aca="false">IF(G105="","",MATCH(G105,$F$2:$F$151,0))</f>
        <v/>
      </c>
    </row>
    <row r="106" customFormat="false" ht="15" hidden="false" customHeight="false" outlineLevel="0" collapsed="false">
      <c r="A106" s="0" t="str">
        <f aca="false">IF('Item Master'!E110="","",IF(COUNTIF('Item Master'!$E$6:E110,'Item Master'!E110)=1,MAX($A$1:A105)+1,""))</f>
        <v/>
      </c>
      <c r="C106" s="0" t="str">
        <f aca="false">IFERROR(INDEX('Item Master'!$E$6:$E$155,MATCH(104,$A$2:$A$151,0)),"")</f>
        <v/>
      </c>
      <c r="D106" s="0" t="str">
        <f aca="false">IF('Item Master'!B110="","",IFERROR(MATCH('Item Master'!E110,$C$3:$C$152,0),999))</f>
        <v/>
      </c>
      <c r="E106" s="0" t="str">
        <f aca="false">IF('Daily Ordering'!B114="","",IF('Daily Ordering'!K114&lt;&gt;"",'Daily Ordering'!K114,'Daily Ordering'!J114))</f>
        <v/>
      </c>
      <c r="F106" s="0" t="str">
        <f aca="false">IF(ISNUMBER(E106),IF(AND(E106&gt;0,OR(SEL="All",'Item Master'!E110=SEL)),D106*1000+105,""),"")</f>
        <v/>
      </c>
      <c r="G106" s="0" t="str">
        <f aca="false">IFERROR(SMALL($F$2:$F$151,105),"")</f>
        <v/>
      </c>
      <c r="H106" s="0" t="str">
        <f aca="false">IF(G106="","",MATCH(G106,$F$2:$F$151,0))</f>
        <v/>
      </c>
    </row>
    <row r="107" customFormat="false" ht="15" hidden="false" customHeight="false" outlineLevel="0" collapsed="false">
      <c r="A107" s="0" t="str">
        <f aca="false">IF('Item Master'!E111="","",IF(COUNTIF('Item Master'!$E$6:E111,'Item Master'!E111)=1,MAX($A$1:A106)+1,""))</f>
        <v/>
      </c>
      <c r="C107" s="0" t="str">
        <f aca="false">IFERROR(INDEX('Item Master'!$E$6:$E$155,MATCH(105,$A$2:$A$151,0)),"")</f>
        <v/>
      </c>
      <c r="D107" s="0" t="str">
        <f aca="false">IF('Item Master'!B111="","",IFERROR(MATCH('Item Master'!E111,$C$3:$C$152,0),999))</f>
        <v/>
      </c>
      <c r="E107" s="0" t="str">
        <f aca="false">IF('Daily Ordering'!B115="","",IF('Daily Ordering'!K115&lt;&gt;"",'Daily Ordering'!K115,'Daily Ordering'!J115))</f>
        <v/>
      </c>
      <c r="F107" s="0" t="str">
        <f aca="false">IF(ISNUMBER(E107),IF(AND(E107&gt;0,OR(SEL="All",'Item Master'!E111=SEL)),D107*1000+106,""),"")</f>
        <v/>
      </c>
      <c r="G107" s="0" t="str">
        <f aca="false">IFERROR(SMALL($F$2:$F$151,106),"")</f>
        <v/>
      </c>
      <c r="H107" s="0" t="str">
        <f aca="false">IF(G107="","",MATCH(G107,$F$2:$F$151,0))</f>
        <v/>
      </c>
    </row>
    <row r="108" customFormat="false" ht="15" hidden="false" customHeight="false" outlineLevel="0" collapsed="false">
      <c r="A108" s="0" t="str">
        <f aca="false">IF('Item Master'!E112="","",IF(COUNTIF('Item Master'!$E$6:E112,'Item Master'!E112)=1,MAX($A$1:A107)+1,""))</f>
        <v/>
      </c>
      <c r="C108" s="0" t="str">
        <f aca="false">IFERROR(INDEX('Item Master'!$E$6:$E$155,MATCH(106,$A$2:$A$151,0)),"")</f>
        <v/>
      </c>
      <c r="D108" s="0" t="str">
        <f aca="false">IF('Item Master'!B112="","",IFERROR(MATCH('Item Master'!E112,$C$3:$C$152,0),999))</f>
        <v/>
      </c>
      <c r="E108" s="0" t="str">
        <f aca="false">IF('Daily Ordering'!B116="","",IF('Daily Ordering'!K116&lt;&gt;"",'Daily Ordering'!K116,'Daily Ordering'!J116))</f>
        <v/>
      </c>
      <c r="F108" s="0" t="str">
        <f aca="false">IF(ISNUMBER(E108),IF(AND(E108&gt;0,OR(SEL="All",'Item Master'!E112=SEL)),D108*1000+107,""),"")</f>
        <v/>
      </c>
      <c r="G108" s="0" t="str">
        <f aca="false">IFERROR(SMALL($F$2:$F$151,107),"")</f>
        <v/>
      </c>
      <c r="H108" s="0" t="str">
        <f aca="false">IF(G108="","",MATCH(G108,$F$2:$F$151,0))</f>
        <v/>
      </c>
    </row>
    <row r="109" customFormat="false" ht="15" hidden="false" customHeight="false" outlineLevel="0" collapsed="false">
      <c r="A109" s="0" t="str">
        <f aca="false">IF('Item Master'!E113="","",IF(COUNTIF('Item Master'!$E$6:E113,'Item Master'!E113)=1,MAX($A$1:A108)+1,""))</f>
        <v/>
      </c>
      <c r="C109" s="0" t="str">
        <f aca="false">IFERROR(INDEX('Item Master'!$E$6:$E$155,MATCH(107,$A$2:$A$151,0)),"")</f>
        <v/>
      </c>
      <c r="D109" s="0" t="str">
        <f aca="false">IF('Item Master'!B113="","",IFERROR(MATCH('Item Master'!E113,$C$3:$C$152,0),999))</f>
        <v/>
      </c>
      <c r="E109" s="0" t="str">
        <f aca="false">IF('Daily Ordering'!B117="","",IF('Daily Ordering'!K117&lt;&gt;"",'Daily Ordering'!K117,'Daily Ordering'!J117))</f>
        <v/>
      </c>
      <c r="F109" s="0" t="str">
        <f aca="false">IF(ISNUMBER(E109),IF(AND(E109&gt;0,OR(SEL="All",'Item Master'!E113=SEL)),D109*1000+108,""),"")</f>
        <v/>
      </c>
      <c r="G109" s="0" t="str">
        <f aca="false">IFERROR(SMALL($F$2:$F$151,108),"")</f>
        <v/>
      </c>
      <c r="H109" s="0" t="str">
        <f aca="false">IF(G109="","",MATCH(G109,$F$2:$F$151,0))</f>
        <v/>
      </c>
    </row>
    <row r="110" customFormat="false" ht="15" hidden="false" customHeight="false" outlineLevel="0" collapsed="false">
      <c r="A110" s="0" t="str">
        <f aca="false">IF('Item Master'!E114="","",IF(COUNTIF('Item Master'!$E$6:E114,'Item Master'!E114)=1,MAX($A$1:A109)+1,""))</f>
        <v/>
      </c>
      <c r="C110" s="0" t="str">
        <f aca="false">IFERROR(INDEX('Item Master'!$E$6:$E$155,MATCH(108,$A$2:$A$151,0)),"")</f>
        <v/>
      </c>
      <c r="D110" s="0" t="str">
        <f aca="false">IF('Item Master'!B114="","",IFERROR(MATCH('Item Master'!E114,$C$3:$C$152,0),999))</f>
        <v/>
      </c>
      <c r="E110" s="0" t="str">
        <f aca="false">IF('Daily Ordering'!B118="","",IF('Daily Ordering'!K118&lt;&gt;"",'Daily Ordering'!K118,'Daily Ordering'!J118))</f>
        <v/>
      </c>
      <c r="F110" s="0" t="str">
        <f aca="false">IF(ISNUMBER(E110),IF(AND(E110&gt;0,OR(SEL="All",'Item Master'!E114=SEL)),D110*1000+109,""),"")</f>
        <v/>
      </c>
      <c r="G110" s="0" t="str">
        <f aca="false">IFERROR(SMALL($F$2:$F$151,109),"")</f>
        <v/>
      </c>
      <c r="H110" s="0" t="str">
        <f aca="false">IF(G110="","",MATCH(G110,$F$2:$F$151,0))</f>
        <v/>
      </c>
    </row>
    <row r="111" customFormat="false" ht="15" hidden="false" customHeight="false" outlineLevel="0" collapsed="false">
      <c r="A111" s="0" t="str">
        <f aca="false">IF('Item Master'!E115="","",IF(COUNTIF('Item Master'!$E$6:E115,'Item Master'!E115)=1,MAX($A$1:A110)+1,""))</f>
        <v/>
      </c>
      <c r="C111" s="0" t="str">
        <f aca="false">IFERROR(INDEX('Item Master'!$E$6:$E$155,MATCH(109,$A$2:$A$151,0)),"")</f>
        <v/>
      </c>
      <c r="D111" s="0" t="str">
        <f aca="false">IF('Item Master'!B115="","",IFERROR(MATCH('Item Master'!E115,$C$3:$C$152,0),999))</f>
        <v/>
      </c>
      <c r="E111" s="0" t="str">
        <f aca="false">IF('Daily Ordering'!B119="","",IF('Daily Ordering'!K119&lt;&gt;"",'Daily Ordering'!K119,'Daily Ordering'!J119))</f>
        <v/>
      </c>
      <c r="F111" s="0" t="str">
        <f aca="false">IF(ISNUMBER(E111),IF(AND(E111&gt;0,OR(SEL="All",'Item Master'!E115=SEL)),D111*1000+110,""),"")</f>
        <v/>
      </c>
      <c r="G111" s="0" t="str">
        <f aca="false">IFERROR(SMALL($F$2:$F$151,110),"")</f>
        <v/>
      </c>
      <c r="H111" s="0" t="str">
        <f aca="false">IF(G111="","",MATCH(G111,$F$2:$F$151,0))</f>
        <v/>
      </c>
    </row>
    <row r="112" customFormat="false" ht="15" hidden="false" customHeight="false" outlineLevel="0" collapsed="false">
      <c r="A112" s="0" t="str">
        <f aca="false">IF('Item Master'!E116="","",IF(COUNTIF('Item Master'!$E$6:E116,'Item Master'!E116)=1,MAX($A$1:A111)+1,""))</f>
        <v/>
      </c>
      <c r="C112" s="0" t="str">
        <f aca="false">IFERROR(INDEX('Item Master'!$E$6:$E$155,MATCH(110,$A$2:$A$151,0)),"")</f>
        <v/>
      </c>
      <c r="D112" s="0" t="str">
        <f aca="false">IF('Item Master'!B116="","",IFERROR(MATCH('Item Master'!E116,$C$3:$C$152,0),999))</f>
        <v/>
      </c>
      <c r="E112" s="0" t="str">
        <f aca="false">IF('Daily Ordering'!B120="","",IF('Daily Ordering'!K120&lt;&gt;"",'Daily Ordering'!K120,'Daily Ordering'!J120))</f>
        <v/>
      </c>
      <c r="F112" s="0" t="str">
        <f aca="false">IF(ISNUMBER(E112),IF(AND(E112&gt;0,OR(SEL="All",'Item Master'!E116=SEL)),D112*1000+111,""),"")</f>
        <v/>
      </c>
      <c r="G112" s="0" t="str">
        <f aca="false">IFERROR(SMALL($F$2:$F$151,111),"")</f>
        <v/>
      </c>
      <c r="H112" s="0" t="str">
        <f aca="false">IF(G112="","",MATCH(G112,$F$2:$F$151,0))</f>
        <v/>
      </c>
    </row>
    <row r="113" customFormat="false" ht="15" hidden="false" customHeight="false" outlineLevel="0" collapsed="false">
      <c r="A113" s="0" t="str">
        <f aca="false">IF('Item Master'!E117="","",IF(COUNTIF('Item Master'!$E$6:E117,'Item Master'!E117)=1,MAX($A$1:A112)+1,""))</f>
        <v/>
      </c>
      <c r="C113" s="0" t="str">
        <f aca="false">IFERROR(INDEX('Item Master'!$E$6:$E$155,MATCH(111,$A$2:$A$151,0)),"")</f>
        <v/>
      </c>
      <c r="D113" s="0" t="str">
        <f aca="false">IF('Item Master'!B117="","",IFERROR(MATCH('Item Master'!E117,$C$3:$C$152,0),999))</f>
        <v/>
      </c>
      <c r="E113" s="0" t="str">
        <f aca="false">IF('Daily Ordering'!B121="","",IF('Daily Ordering'!K121&lt;&gt;"",'Daily Ordering'!K121,'Daily Ordering'!J121))</f>
        <v/>
      </c>
      <c r="F113" s="0" t="str">
        <f aca="false">IF(ISNUMBER(E113),IF(AND(E113&gt;0,OR(SEL="All",'Item Master'!E117=SEL)),D113*1000+112,""),"")</f>
        <v/>
      </c>
      <c r="G113" s="0" t="str">
        <f aca="false">IFERROR(SMALL($F$2:$F$151,112),"")</f>
        <v/>
      </c>
      <c r="H113" s="0" t="str">
        <f aca="false">IF(G113="","",MATCH(G113,$F$2:$F$151,0))</f>
        <v/>
      </c>
    </row>
    <row r="114" customFormat="false" ht="15" hidden="false" customHeight="false" outlineLevel="0" collapsed="false">
      <c r="A114" s="0" t="str">
        <f aca="false">IF('Item Master'!E118="","",IF(COUNTIF('Item Master'!$E$6:E118,'Item Master'!E118)=1,MAX($A$1:A113)+1,""))</f>
        <v/>
      </c>
      <c r="C114" s="0" t="str">
        <f aca="false">IFERROR(INDEX('Item Master'!$E$6:$E$155,MATCH(112,$A$2:$A$151,0)),"")</f>
        <v/>
      </c>
      <c r="D114" s="0" t="str">
        <f aca="false">IF('Item Master'!B118="","",IFERROR(MATCH('Item Master'!E118,$C$3:$C$152,0),999))</f>
        <v/>
      </c>
      <c r="E114" s="0" t="str">
        <f aca="false">IF('Daily Ordering'!B122="","",IF('Daily Ordering'!K122&lt;&gt;"",'Daily Ordering'!K122,'Daily Ordering'!J122))</f>
        <v/>
      </c>
      <c r="F114" s="0" t="str">
        <f aca="false">IF(ISNUMBER(E114),IF(AND(E114&gt;0,OR(SEL="All",'Item Master'!E118=SEL)),D114*1000+113,""),"")</f>
        <v/>
      </c>
      <c r="G114" s="0" t="str">
        <f aca="false">IFERROR(SMALL($F$2:$F$151,113),"")</f>
        <v/>
      </c>
      <c r="H114" s="0" t="str">
        <f aca="false">IF(G114="","",MATCH(G114,$F$2:$F$151,0))</f>
        <v/>
      </c>
    </row>
    <row r="115" customFormat="false" ht="15" hidden="false" customHeight="false" outlineLevel="0" collapsed="false">
      <c r="A115" s="0" t="str">
        <f aca="false">IF('Item Master'!E119="","",IF(COUNTIF('Item Master'!$E$6:E119,'Item Master'!E119)=1,MAX($A$1:A114)+1,""))</f>
        <v/>
      </c>
      <c r="C115" s="0" t="str">
        <f aca="false">IFERROR(INDEX('Item Master'!$E$6:$E$155,MATCH(113,$A$2:$A$151,0)),"")</f>
        <v/>
      </c>
      <c r="D115" s="0" t="str">
        <f aca="false">IF('Item Master'!B119="","",IFERROR(MATCH('Item Master'!E119,$C$3:$C$152,0),999))</f>
        <v/>
      </c>
      <c r="E115" s="0" t="str">
        <f aca="false">IF('Daily Ordering'!B123="","",IF('Daily Ordering'!K123&lt;&gt;"",'Daily Ordering'!K123,'Daily Ordering'!J123))</f>
        <v/>
      </c>
      <c r="F115" s="0" t="str">
        <f aca="false">IF(ISNUMBER(E115),IF(AND(E115&gt;0,OR(SEL="All",'Item Master'!E119=SEL)),D115*1000+114,""),"")</f>
        <v/>
      </c>
      <c r="G115" s="0" t="str">
        <f aca="false">IFERROR(SMALL($F$2:$F$151,114),"")</f>
        <v/>
      </c>
      <c r="H115" s="0" t="str">
        <f aca="false">IF(G115="","",MATCH(G115,$F$2:$F$151,0))</f>
        <v/>
      </c>
    </row>
    <row r="116" customFormat="false" ht="15" hidden="false" customHeight="false" outlineLevel="0" collapsed="false">
      <c r="A116" s="0" t="str">
        <f aca="false">IF('Item Master'!E120="","",IF(COUNTIF('Item Master'!$E$6:E120,'Item Master'!E120)=1,MAX($A$1:A115)+1,""))</f>
        <v/>
      </c>
      <c r="C116" s="0" t="str">
        <f aca="false">IFERROR(INDEX('Item Master'!$E$6:$E$155,MATCH(114,$A$2:$A$151,0)),"")</f>
        <v/>
      </c>
      <c r="D116" s="0" t="str">
        <f aca="false">IF('Item Master'!B120="","",IFERROR(MATCH('Item Master'!E120,$C$3:$C$152,0),999))</f>
        <v/>
      </c>
      <c r="E116" s="0" t="str">
        <f aca="false">IF('Daily Ordering'!B124="","",IF('Daily Ordering'!K124&lt;&gt;"",'Daily Ordering'!K124,'Daily Ordering'!J124))</f>
        <v/>
      </c>
      <c r="F116" s="0" t="str">
        <f aca="false">IF(ISNUMBER(E116),IF(AND(E116&gt;0,OR(SEL="All",'Item Master'!E120=SEL)),D116*1000+115,""),"")</f>
        <v/>
      </c>
      <c r="G116" s="0" t="str">
        <f aca="false">IFERROR(SMALL($F$2:$F$151,115),"")</f>
        <v/>
      </c>
      <c r="H116" s="0" t="str">
        <f aca="false">IF(G116="","",MATCH(G116,$F$2:$F$151,0))</f>
        <v/>
      </c>
    </row>
    <row r="117" customFormat="false" ht="15" hidden="false" customHeight="false" outlineLevel="0" collapsed="false">
      <c r="A117" s="0" t="str">
        <f aca="false">IF('Item Master'!E121="","",IF(COUNTIF('Item Master'!$E$6:E121,'Item Master'!E121)=1,MAX($A$1:A116)+1,""))</f>
        <v/>
      </c>
      <c r="C117" s="0" t="str">
        <f aca="false">IFERROR(INDEX('Item Master'!$E$6:$E$155,MATCH(115,$A$2:$A$151,0)),"")</f>
        <v/>
      </c>
      <c r="D117" s="0" t="str">
        <f aca="false">IF('Item Master'!B121="","",IFERROR(MATCH('Item Master'!E121,$C$3:$C$152,0),999))</f>
        <v/>
      </c>
      <c r="E117" s="0" t="str">
        <f aca="false">IF('Daily Ordering'!B125="","",IF('Daily Ordering'!K125&lt;&gt;"",'Daily Ordering'!K125,'Daily Ordering'!J125))</f>
        <v/>
      </c>
      <c r="F117" s="0" t="str">
        <f aca="false">IF(ISNUMBER(E117),IF(AND(E117&gt;0,OR(SEL="All",'Item Master'!E121=SEL)),D117*1000+116,""),"")</f>
        <v/>
      </c>
      <c r="G117" s="0" t="str">
        <f aca="false">IFERROR(SMALL($F$2:$F$151,116),"")</f>
        <v/>
      </c>
      <c r="H117" s="0" t="str">
        <f aca="false">IF(G117="","",MATCH(G117,$F$2:$F$151,0))</f>
        <v/>
      </c>
    </row>
    <row r="118" customFormat="false" ht="15" hidden="false" customHeight="false" outlineLevel="0" collapsed="false">
      <c r="A118" s="0" t="str">
        <f aca="false">IF('Item Master'!E122="","",IF(COUNTIF('Item Master'!$E$6:E122,'Item Master'!E122)=1,MAX($A$1:A117)+1,""))</f>
        <v/>
      </c>
      <c r="C118" s="0" t="str">
        <f aca="false">IFERROR(INDEX('Item Master'!$E$6:$E$155,MATCH(116,$A$2:$A$151,0)),"")</f>
        <v/>
      </c>
      <c r="D118" s="0" t="str">
        <f aca="false">IF('Item Master'!B122="","",IFERROR(MATCH('Item Master'!E122,$C$3:$C$152,0),999))</f>
        <v/>
      </c>
      <c r="E118" s="0" t="str">
        <f aca="false">IF('Daily Ordering'!B126="","",IF('Daily Ordering'!K126&lt;&gt;"",'Daily Ordering'!K126,'Daily Ordering'!J126))</f>
        <v/>
      </c>
      <c r="F118" s="0" t="str">
        <f aca="false">IF(ISNUMBER(E118),IF(AND(E118&gt;0,OR(SEL="All",'Item Master'!E122=SEL)),D118*1000+117,""),"")</f>
        <v/>
      </c>
      <c r="G118" s="0" t="str">
        <f aca="false">IFERROR(SMALL($F$2:$F$151,117),"")</f>
        <v/>
      </c>
      <c r="H118" s="0" t="str">
        <f aca="false">IF(G118="","",MATCH(G118,$F$2:$F$151,0))</f>
        <v/>
      </c>
    </row>
    <row r="119" customFormat="false" ht="15" hidden="false" customHeight="false" outlineLevel="0" collapsed="false">
      <c r="A119" s="0" t="str">
        <f aca="false">IF('Item Master'!E123="","",IF(COUNTIF('Item Master'!$E$6:E123,'Item Master'!E123)=1,MAX($A$1:A118)+1,""))</f>
        <v/>
      </c>
      <c r="C119" s="0" t="str">
        <f aca="false">IFERROR(INDEX('Item Master'!$E$6:$E$155,MATCH(117,$A$2:$A$151,0)),"")</f>
        <v/>
      </c>
      <c r="D119" s="0" t="str">
        <f aca="false">IF('Item Master'!B123="","",IFERROR(MATCH('Item Master'!E123,$C$3:$C$152,0),999))</f>
        <v/>
      </c>
      <c r="E119" s="0" t="str">
        <f aca="false">IF('Daily Ordering'!B127="","",IF('Daily Ordering'!K127&lt;&gt;"",'Daily Ordering'!K127,'Daily Ordering'!J127))</f>
        <v/>
      </c>
      <c r="F119" s="0" t="str">
        <f aca="false">IF(ISNUMBER(E119),IF(AND(E119&gt;0,OR(SEL="All",'Item Master'!E123=SEL)),D119*1000+118,""),"")</f>
        <v/>
      </c>
      <c r="G119" s="0" t="str">
        <f aca="false">IFERROR(SMALL($F$2:$F$151,118),"")</f>
        <v/>
      </c>
      <c r="H119" s="0" t="str">
        <f aca="false">IF(G119="","",MATCH(G119,$F$2:$F$151,0))</f>
        <v/>
      </c>
    </row>
    <row r="120" customFormat="false" ht="15" hidden="false" customHeight="false" outlineLevel="0" collapsed="false">
      <c r="A120" s="0" t="str">
        <f aca="false">IF('Item Master'!E124="","",IF(COUNTIF('Item Master'!$E$6:E124,'Item Master'!E124)=1,MAX($A$1:A119)+1,""))</f>
        <v/>
      </c>
      <c r="C120" s="0" t="str">
        <f aca="false">IFERROR(INDEX('Item Master'!$E$6:$E$155,MATCH(118,$A$2:$A$151,0)),"")</f>
        <v/>
      </c>
      <c r="D120" s="0" t="str">
        <f aca="false">IF('Item Master'!B124="","",IFERROR(MATCH('Item Master'!E124,$C$3:$C$152,0),999))</f>
        <v/>
      </c>
      <c r="E120" s="0" t="str">
        <f aca="false">IF('Daily Ordering'!B128="","",IF('Daily Ordering'!K128&lt;&gt;"",'Daily Ordering'!K128,'Daily Ordering'!J128))</f>
        <v/>
      </c>
      <c r="F120" s="0" t="str">
        <f aca="false">IF(ISNUMBER(E120),IF(AND(E120&gt;0,OR(SEL="All",'Item Master'!E124=SEL)),D120*1000+119,""),"")</f>
        <v/>
      </c>
      <c r="G120" s="0" t="str">
        <f aca="false">IFERROR(SMALL($F$2:$F$151,119),"")</f>
        <v/>
      </c>
      <c r="H120" s="0" t="str">
        <f aca="false">IF(G120="","",MATCH(G120,$F$2:$F$151,0))</f>
        <v/>
      </c>
    </row>
    <row r="121" customFormat="false" ht="15" hidden="false" customHeight="false" outlineLevel="0" collapsed="false">
      <c r="A121" s="0" t="str">
        <f aca="false">IF('Item Master'!E125="","",IF(COUNTIF('Item Master'!$E$6:E125,'Item Master'!E125)=1,MAX($A$1:A120)+1,""))</f>
        <v/>
      </c>
      <c r="C121" s="0" t="str">
        <f aca="false">IFERROR(INDEX('Item Master'!$E$6:$E$155,MATCH(119,$A$2:$A$151,0)),"")</f>
        <v/>
      </c>
      <c r="D121" s="0" t="str">
        <f aca="false">IF('Item Master'!B125="","",IFERROR(MATCH('Item Master'!E125,$C$3:$C$152,0),999))</f>
        <v/>
      </c>
      <c r="E121" s="0" t="str">
        <f aca="false">IF('Daily Ordering'!B129="","",IF('Daily Ordering'!K129&lt;&gt;"",'Daily Ordering'!K129,'Daily Ordering'!J129))</f>
        <v/>
      </c>
      <c r="F121" s="0" t="str">
        <f aca="false">IF(ISNUMBER(E121),IF(AND(E121&gt;0,OR(SEL="All",'Item Master'!E125=SEL)),D121*1000+120,""),"")</f>
        <v/>
      </c>
      <c r="G121" s="0" t="str">
        <f aca="false">IFERROR(SMALL($F$2:$F$151,120),"")</f>
        <v/>
      </c>
      <c r="H121" s="0" t="str">
        <f aca="false">IF(G121="","",MATCH(G121,$F$2:$F$151,0))</f>
        <v/>
      </c>
    </row>
    <row r="122" customFormat="false" ht="15" hidden="false" customHeight="false" outlineLevel="0" collapsed="false">
      <c r="A122" s="0" t="str">
        <f aca="false">IF('Item Master'!E126="","",IF(COUNTIF('Item Master'!$E$6:E126,'Item Master'!E126)=1,MAX($A$1:A121)+1,""))</f>
        <v/>
      </c>
      <c r="C122" s="0" t="str">
        <f aca="false">IFERROR(INDEX('Item Master'!$E$6:$E$155,MATCH(120,$A$2:$A$151,0)),"")</f>
        <v/>
      </c>
      <c r="D122" s="0" t="str">
        <f aca="false">IF('Item Master'!B126="","",IFERROR(MATCH('Item Master'!E126,$C$3:$C$152,0),999))</f>
        <v/>
      </c>
      <c r="E122" s="0" t="str">
        <f aca="false">IF('Daily Ordering'!B130="","",IF('Daily Ordering'!K130&lt;&gt;"",'Daily Ordering'!K130,'Daily Ordering'!J130))</f>
        <v/>
      </c>
      <c r="F122" s="0" t="str">
        <f aca="false">IF(ISNUMBER(E122),IF(AND(E122&gt;0,OR(SEL="All",'Item Master'!E126=SEL)),D122*1000+121,""),"")</f>
        <v/>
      </c>
      <c r="G122" s="0" t="str">
        <f aca="false">IFERROR(SMALL($F$2:$F$151,121),"")</f>
        <v/>
      </c>
      <c r="H122" s="0" t="str">
        <f aca="false">IF(G122="","",MATCH(G122,$F$2:$F$151,0))</f>
        <v/>
      </c>
    </row>
    <row r="123" customFormat="false" ht="15" hidden="false" customHeight="false" outlineLevel="0" collapsed="false">
      <c r="A123" s="0" t="str">
        <f aca="false">IF('Item Master'!E127="","",IF(COUNTIF('Item Master'!$E$6:E127,'Item Master'!E127)=1,MAX($A$1:A122)+1,""))</f>
        <v/>
      </c>
      <c r="C123" s="0" t="str">
        <f aca="false">IFERROR(INDEX('Item Master'!$E$6:$E$155,MATCH(121,$A$2:$A$151,0)),"")</f>
        <v/>
      </c>
      <c r="D123" s="0" t="str">
        <f aca="false">IF('Item Master'!B127="","",IFERROR(MATCH('Item Master'!E127,$C$3:$C$152,0),999))</f>
        <v/>
      </c>
      <c r="E123" s="0" t="str">
        <f aca="false">IF('Daily Ordering'!B131="","",IF('Daily Ordering'!K131&lt;&gt;"",'Daily Ordering'!K131,'Daily Ordering'!J131))</f>
        <v/>
      </c>
      <c r="F123" s="0" t="str">
        <f aca="false">IF(ISNUMBER(E123),IF(AND(E123&gt;0,OR(SEL="All",'Item Master'!E127=SEL)),D123*1000+122,""),"")</f>
        <v/>
      </c>
      <c r="G123" s="0" t="str">
        <f aca="false">IFERROR(SMALL($F$2:$F$151,122),"")</f>
        <v/>
      </c>
      <c r="H123" s="0" t="str">
        <f aca="false">IF(G123="","",MATCH(G123,$F$2:$F$151,0))</f>
        <v/>
      </c>
    </row>
    <row r="124" customFormat="false" ht="15" hidden="false" customHeight="false" outlineLevel="0" collapsed="false">
      <c r="A124" s="0" t="str">
        <f aca="false">IF('Item Master'!E128="","",IF(COUNTIF('Item Master'!$E$6:E128,'Item Master'!E128)=1,MAX($A$1:A123)+1,""))</f>
        <v/>
      </c>
      <c r="C124" s="0" t="str">
        <f aca="false">IFERROR(INDEX('Item Master'!$E$6:$E$155,MATCH(122,$A$2:$A$151,0)),"")</f>
        <v/>
      </c>
      <c r="D124" s="0" t="str">
        <f aca="false">IF('Item Master'!B128="","",IFERROR(MATCH('Item Master'!E128,$C$3:$C$152,0),999))</f>
        <v/>
      </c>
      <c r="E124" s="0" t="str">
        <f aca="false">IF('Daily Ordering'!B132="","",IF('Daily Ordering'!K132&lt;&gt;"",'Daily Ordering'!K132,'Daily Ordering'!J132))</f>
        <v/>
      </c>
      <c r="F124" s="0" t="str">
        <f aca="false">IF(ISNUMBER(E124),IF(AND(E124&gt;0,OR(SEL="All",'Item Master'!E128=SEL)),D124*1000+123,""),"")</f>
        <v/>
      </c>
      <c r="G124" s="0" t="str">
        <f aca="false">IFERROR(SMALL($F$2:$F$151,123),"")</f>
        <v/>
      </c>
      <c r="H124" s="0" t="str">
        <f aca="false">IF(G124="","",MATCH(G124,$F$2:$F$151,0))</f>
        <v/>
      </c>
    </row>
    <row r="125" customFormat="false" ht="15" hidden="false" customHeight="false" outlineLevel="0" collapsed="false">
      <c r="A125" s="0" t="str">
        <f aca="false">IF('Item Master'!E129="","",IF(COUNTIF('Item Master'!$E$6:E129,'Item Master'!E129)=1,MAX($A$1:A124)+1,""))</f>
        <v/>
      </c>
      <c r="C125" s="0" t="str">
        <f aca="false">IFERROR(INDEX('Item Master'!$E$6:$E$155,MATCH(123,$A$2:$A$151,0)),"")</f>
        <v/>
      </c>
      <c r="D125" s="0" t="str">
        <f aca="false">IF('Item Master'!B129="","",IFERROR(MATCH('Item Master'!E129,$C$3:$C$152,0),999))</f>
        <v/>
      </c>
      <c r="E125" s="0" t="str">
        <f aca="false">IF('Daily Ordering'!B133="","",IF('Daily Ordering'!K133&lt;&gt;"",'Daily Ordering'!K133,'Daily Ordering'!J133))</f>
        <v/>
      </c>
      <c r="F125" s="0" t="str">
        <f aca="false">IF(ISNUMBER(E125),IF(AND(E125&gt;0,OR(SEL="All",'Item Master'!E129=SEL)),D125*1000+124,""),"")</f>
        <v/>
      </c>
      <c r="G125" s="0" t="str">
        <f aca="false">IFERROR(SMALL($F$2:$F$151,124),"")</f>
        <v/>
      </c>
      <c r="H125" s="0" t="str">
        <f aca="false">IF(G125="","",MATCH(G125,$F$2:$F$151,0))</f>
        <v/>
      </c>
    </row>
    <row r="126" customFormat="false" ht="15" hidden="false" customHeight="false" outlineLevel="0" collapsed="false">
      <c r="A126" s="0" t="str">
        <f aca="false">IF('Item Master'!E130="","",IF(COUNTIF('Item Master'!$E$6:E130,'Item Master'!E130)=1,MAX($A$1:A125)+1,""))</f>
        <v/>
      </c>
      <c r="C126" s="0" t="str">
        <f aca="false">IFERROR(INDEX('Item Master'!$E$6:$E$155,MATCH(124,$A$2:$A$151,0)),"")</f>
        <v/>
      </c>
      <c r="D126" s="0" t="str">
        <f aca="false">IF('Item Master'!B130="","",IFERROR(MATCH('Item Master'!E130,$C$3:$C$152,0),999))</f>
        <v/>
      </c>
      <c r="E126" s="0" t="str">
        <f aca="false">IF('Daily Ordering'!B134="","",IF('Daily Ordering'!K134&lt;&gt;"",'Daily Ordering'!K134,'Daily Ordering'!J134))</f>
        <v/>
      </c>
      <c r="F126" s="0" t="str">
        <f aca="false">IF(ISNUMBER(E126),IF(AND(E126&gt;0,OR(SEL="All",'Item Master'!E130=SEL)),D126*1000+125,""),"")</f>
        <v/>
      </c>
      <c r="G126" s="0" t="str">
        <f aca="false">IFERROR(SMALL($F$2:$F$151,125),"")</f>
        <v/>
      </c>
      <c r="H126" s="0" t="str">
        <f aca="false">IF(G126="","",MATCH(G126,$F$2:$F$151,0))</f>
        <v/>
      </c>
    </row>
    <row r="127" customFormat="false" ht="15" hidden="false" customHeight="false" outlineLevel="0" collapsed="false">
      <c r="A127" s="0" t="str">
        <f aca="false">IF('Item Master'!E131="","",IF(COUNTIF('Item Master'!$E$6:E131,'Item Master'!E131)=1,MAX($A$1:A126)+1,""))</f>
        <v/>
      </c>
      <c r="C127" s="0" t="str">
        <f aca="false">IFERROR(INDEX('Item Master'!$E$6:$E$155,MATCH(125,$A$2:$A$151,0)),"")</f>
        <v/>
      </c>
      <c r="D127" s="0" t="str">
        <f aca="false">IF('Item Master'!B131="","",IFERROR(MATCH('Item Master'!E131,$C$3:$C$152,0),999))</f>
        <v/>
      </c>
      <c r="E127" s="0" t="str">
        <f aca="false">IF('Daily Ordering'!B135="","",IF('Daily Ordering'!K135&lt;&gt;"",'Daily Ordering'!K135,'Daily Ordering'!J135))</f>
        <v/>
      </c>
      <c r="F127" s="0" t="str">
        <f aca="false">IF(ISNUMBER(E127),IF(AND(E127&gt;0,OR(SEL="All",'Item Master'!E131=SEL)),D127*1000+126,""),"")</f>
        <v/>
      </c>
      <c r="G127" s="0" t="str">
        <f aca="false">IFERROR(SMALL($F$2:$F$151,126),"")</f>
        <v/>
      </c>
      <c r="H127" s="0" t="str">
        <f aca="false">IF(G127="","",MATCH(G127,$F$2:$F$151,0))</f>
        <v/>
      </c>
    </row>
    <row r="128" customFormat="false" ht="15" hidden="false" customHeight="false" outlineLevel="0" collapsed="false">
      <c r="A128" s="0" t="str">
        <f aca="false">IF('Item Master'!E132="","",IF(COUNTIF('Item Master'!$E$6:E132,'Item Master'!E132)=1,MAX($A$1:A127)+1,""))</f>
        <v/>
      </c>
      <c r="C128" s="0" t="str">
        <f aca="false">IFERROR(INDEX('Item Master'!$E$6:$E$155,MATCH(126,$A$2:$A$151,0)),"")</f>
        <v/>
      </c>
      <c r="D128" s="0" t="str">
        <f aca="false">IF('Item Master'!B132="","",IFERROR(MATCH('Item Master'!E132,$C$3:$C$152,0),999))</f>
        <v/>
      </c>
      <c r="E128" s="0" t="str">
        <f aca="false">IF('Daily Ordering'!B136="","",IF('Daily Ordering'!K136&lt;&gt;"",'Daily Ordering'!K136,'Daily Ordering'!J136))</f>
        <v/>
      </c>
      <c r="F128" s="0" t="str">
        <f aca="false">IF(ISNUMBER(E128),IF(AND(E128&gt;0,OR(SEL="All",'Item Master'!E132=SEL)),D128*1000+127,""),"")</f>
        <v/>
      </c>
      <c r="G128" s="0" t="str">
        <f aca="false">IFERROR(SMALL($F$2:$F$151,127),"")</f>
        <v/>
      </c>
      <c r="H128" s="0" t="str">
        <f aca="false">IF(G128="","",MATCH(G128,$F$2:$F$151,0))</f>
        <v/>
      </c>
    </row>
    <row r="129" customFormat="false" ht="15" hidden="false" customHeight="false" outlineLevel="0" collapsed="false">
      <c r="A129" s="0" t="str">
        <f aca="false">IF('Item Master'!E133="","",IF(COUNTIF('Item Master'!$E$6:E133,'Item Master'!E133)=1,MAX($A$1:A128)+1,""))</f>
        <v/>
      </c>
      <c r="C129" s="0" t="str">
        <f aca="false">IFERROR(INDEX('Item Master'!$E$6:$E$155,MATCH(127,$A$2:$A$151,0)),"")</f>
        <v/>
      </c>
      <c r="D129" s="0" t="str">
        <f aca="false">IF('Item Master'!B133="","",IFERROR(MATCH('Item Master'!E133,$C$3:$C$152,0),999))</f>
        <v/>
      </c>
      <c r="E129" s="0" t="str">
        <f aca="false">IF('Daily Ordering'!B137="","",IF('Daily Ordering'!K137&lt;&gt;"",'Daily Ordering'!K137,'Daily Ordering'!J137))</f>
        <v/>
      </c>
      <c r="F129" s="0" t="str">
        <f aca="false">IF(ISNUMBER(E129),IF(AND(E129&gt;0,OR(SEL="All",'Item Master'!E133=SEL)),D129*1000+128,""),"")</f>
        <v/>
      </c>
      <c r="G129" s="0" t="str">
        <f aca="false">IFERROR(SMALL($F$2:$F$151,128),"")</f>
        <v/>
      </c>
      <c r="H129" s="0" t="str">
        <f aca="false">IF(G129="","",MATCH(G129,$F$2:$F$151,0))</f>
        <v/>
      </c>
    </row>
    <row r="130" customFormat="false" ht="15" hidden="false" customHeight="false" outlineLevel="0" collapsed="false">
      <c r="A130" s="0" t="str">
        <f aca="false">IF('Item Master'!E134="","",IF(COUNTIF('Item Master'!$E$6:E134,'Item Master'!E134)=1,MAX($A$1:A129)+1,""))</f>
        <v/>
      </c>
      <c r="C130" s="0" t="str">
        <f aca="false">IFERROR(INDEX('Item Master'!$E$6:$E$155,MATCH(128,$A$2:$A$151,0)),"")</f>
        <v/>
      </c>
      <c r="D130" s="0" t="str">
        <f aca="false">IF('Item Master'!B134="","",IFERROR(MATCH('Item Master'!E134,$C$3:$C$152,0),999))</f>
        <v/>
      </c>
      <c r="E130" s="0" t="str">
        <f aca="false">IF('Daily Ordering'!B138="","",IF('Daily Ordering'!K138&lt;&gt;"",'Daily Ordering'!K138,'Daily Ordering'!J138))</f>
        <v/>
      </c>
      <c r="F130" s="0" t="str">
        <f aca="false">IF(ISNUMBER(E130),IF(AND(E130&gt;0,OR(SEL="All",'Item Master'!E134=SEL)),D130*1000+129,""),"")</f>
        <v/>
      </c>
      <c r="G130" s="0" t="str">
        <f aca="false">IFERROR(SMALL($F$2:$F$151,129),"")</f>
        <v/>
      </c>
      <c r="H130" s="0" t="str">
        <f aca="false">IF(G130="","",MATCH(G130,$F$2:$F$151,0))</f>
        <v/>
      </c>
    </row>
    <row r="131" customFormat="false" ht="15" hidden="false" customHeight="false" outlineLevel="0" collapsed="false">
      <c r="A131" s="0" t="str">
        <f aca="false">IF('Item Master'!E135="","",IF(COUNTIF('Item Master'!$E$6:E135,'Item Master'!E135)=1,MAX($A$1:A130)+1,""))</f>
        <v/>
      </c>
      <c r="C131" s="0" t="str">
        <f aca="false">IFERROR(INDEX('Item Master'!$E$6:$E$155,MATCH(129,$A$2:$A$151,0)),"")</f>
        <v/>
      </c>
      <c r="D131" s="0" t="str">
        <f aca="false">IF('Item Master'!B135="","",IFERROR(MATCH('Item Master'!E135,$C$3:$C$152,0),999))</f>
        <v/>
      </c>
      <c r="E131" s="0" t="str">
        <f aca="false">IF('Daily Ordering'!B139="","",IF('Daily Ordering'!K139&lt;&gt;"",'Daily Ordering'!K139,'Daily Ordering'!J139))</f>
        <v/>
      </c>
      <c r="F131" s="0" t="str">
        <f aca="false">IF(ISNUMBER(E131),IF(AND(E131&gt;0,OR(SEL="All",'Item Master'!E135=SEL)),D131*1000+130,""),"")</f>
        <v/>
      </c>
      <c r="G131" s="0" t="str">
        <f aca="false">IFERROR(SMALL($F$2:$F$151,130),"")</f>
        <v/>
      </c>
      <c r="H131" s="0" t="str">
        <f aca="false">IF(G131="","",MATCH(G131,$F$2:$F$151,0))</f>
        <v/>
      </c>
    </row>
    <row r="132" customFormat="false" ht="15" hidden="false" customHeight="false" outlineLevel="0" collapsed="false">
      <c r="A132" s="0" t="str">
        <f aca="false">IF('Item Master'!E136="","",IF(COUNTIF('Item Master'!$E$6:E136,'Item Master'!E136)=1,MAX($A$1:A131)+1,""))</f>
        <v/>
      </c>
      <c r="C132" s="0" t="str">
        <f aca="false">IFERROR(INDEX('Item Master'!$E$6:$E$155,MATCH(130,$A$2:$A$151,0)),"")</f>
        <v/>
      </c>
      <c r="D132" s="0" t="str">
        <f aca="false">IF('Item Master'!B136="","",IFERROR(MATCH('Item Master'!E136,$C$3:$C$152,0),999))</f>
        <v/>
      </c>
      <c r="E132" s="0" t="str">
        <f aca="false">IF('Daily Ordering'!B140="","",IF('Daily Ordering'!K140&lt;&gt;"",'Daily Ordering'!K140,'Daily Ordering'!J140))</f>
        <v/>
      </c>
      <c r="F132" s="0" t="str">
        <f aca="false">IF(ISNUMBER(E132),IF(AND(E132&gt;0,OR(SEL="All",'Item Master'!E136=SEL)),D132*1000+131,""),"")</f>
        <v/>
      </c>
      <c r="G132" s="0" t="str">
        <f aca="false">IFERROR(SMALL($F$2:$F$151,131),"")</f>
        <v/>
      </c>
      <c r="H132" s="0" t="str">
        <f aca="false">IF(G132="","",MATCH(G132,$F$2:$F$151,0))</f>
        <v/>
      </c>
    </row>
    <row r="133" customFormat="false" ht="15" hidden="false" customHeight="false" outlineLevel="0" collapsed="false">
      <c r="A133" s="0" t="str">
        <f aca="false">IF('Item Master'!E137="","",IF(COUNTIF('Item Master'!$E$6:E137,'Item Master'!E137)=1,MAX($A$1:A132)+1,""))</f>
        <v/>
      </c>
      <c r="C133" s="0" t="str">
        <f aca="false">IFERROR(INDEX('Item Master'!$E$6:$E$155,MATCH(131,$A$2:$A$151,0)),"")</f>
        <v/>
      </c>
      <c r="D133" s="0" t="str">
        <f aca="false">IF('Item Master'!B137="","",IFERROR(MATCH('Item Master'!E137,$C$3:$C$152,0),999))</f>
        <v/>
      </c>
      <c r="E133" s="0" t="str">
        <f aca="false">IF('Daily Ordering'!B141="","",IF('Daily Ordering'!K141&lt;&gt;"",'Daily Ordering'!K141,'Daily Ordering'!J141))</f>
        <v/>
      </c>
      <c r="F133" s="0" t="str">
        <f aca="false">IF(ISNUMBER(E133),IF(AND(E133&gt;0,OR(SEL="All",'Item Master'!E137=SEL)),D133*1000+132,""),"")</f>
        <v/>
      </c>
      <c r="G133" s="0" t="str">
        <f aca="false">IFERROR(SMALL($F$2:$F$151,132),"")</f>
        <v/>
      </c>
      <c r="H133" s="0" t="str">
        <f aca="false">IF(G133="","",MATCH(G133,$F$2:$F$151,0))</f>
        <v/>
      </c>
    </row>
    <row r="134" customFormat="false" ht="15" hidden="false" customHeight="false" outlineLevel="0" collapsed="false">
      <c r="A134" s="0" t="str">
        <f aca="false">IF('Item Master'!E138="","",IF(COUNTIF('Item Master'!$E$6:E138,'Item Master'!E138)=1,MAX($A$1:A133)+1,""))</f>
        <v/>
      </c>
      <c r="C134" s="0" t="str">
        <f aca="false">IFERROR(INDEX('Item Master'!$E$6:$E$155,MATCH(132,$A$2:$A$151,0)),"")</f>
        <v/>
      </c>
      <c r="D134" s="0" t="str">
        <f aca="false">IF('Item Master'!B138="","",IFERROR(MATCH('Item Master'!E138,$C$3:$C$152,0),999))</f>
        <v/>
      </c>
      <c r="E134" s="0" t="str">
        <f aca="false">IF('Daily Ordering'!B142="","",IF('Daily Ordering'!K142&lt;&gt;"",'Daily Ordering'!K142,'Daily Ordering'!J142))</f>
        <v/>
      </c>
      <c r="F134" s="0" t="str">
        <f aca="false">IF(ISNUMBER(E134),IF(AND(E134&gt;0,OR(SEL="All",'Item Master'!E138=SEL)),D134*1000+133,""),"")</f>
        <v/>
      </c>
      <c r="G134" s="0" t="str">
        <f aca="false">IFERROR(SMALL($F$2:$F$151,133),"")</f>
        <v/>
      </c>
      <c r="H134" s="0" t="str">
        <f aca="false">IF(G134="","",MATCH(G134,$F$2:$F$151,0))</f>
        <v/>
      </c>
    </row>
    <row r="135" customFormat="false" ht="15" hidden="false" customHeight="false" outlineLevel="0" collapsed="false">
      <c r="A135" s="0" t="str">
        <f aca="false">IF('Item Master'!E139="","",IF(COUNTIF('Item Master'!$E$6:E139,'Item Master'!E139)=1,MAX($A$1:A134)+1,""))</f>
        <v/>
      </c>
      <c r="C135" s="0" t="str">
        <f aca="false">IFERROR(INDEX('Item Master'!$E$6:$E$155,MATCH(133,$A$2:$A$151,0)),"")</f>
        <v/>
      </c>
      <c r="D135" s="0" t="str">
        <f aca="false">IF('Item Master'!B139="","",IFERROR(MATCH('Item Master'!E139,$C$3:$C$152,0),999))</f>
        <v/>
      </c>
      <c r="E135" s="0" t="str">
        <f aca="false">IF('Daily Ordering'!B143="","",IF('Daily Ordering'!K143&lt;&gt;"",'Daily Ordering'!K143,'Daily Ordering'!J143))</f>
        <v/>
      </c>
      <c r="F135" s="0" t="str">
        <f aca="false">IF(ISNUMBER(E135),IF(AND(E135&gt;0,OR(SEL="All",'Item Master'!E139=SEL)),D135*1000+134,""),"")</f>
        <v/>
      </c>
      <c r="G135" s="0" t="str">
        <f aca="false">IFERROR(SMALL($F$2:$F$151,134),"")</f>
        <v/>
      </c>
      <c r="H135" s="0" t="str">
        <f aca="false">IF(G135="","",MATCH(G135,$F$2:$F$151,0))</f>
        <v/>
      </c>
    </row>
    <row r="136" customFormat="false" ht="15" hidden="false" customHeight="false" outlineLevel="0" collapsed="false">
      <c r="A136" s="0" t="str">
        <f aca="false">IF('Item Master'!E140="","",IF(COUNTIF('Item Master'!$E$6:E140,'Item Master'!E140)=1,MAX($A$1:A135)+1,""))</f>
        <v/>
      </c>
      <c r="C136" s="0" t="str">
        <f aca="false">IFERROR(INDEX('Item Master'!$E$6:$E$155,MATCH(134,$A$2:$A$151,0)),"")</f>
        <v/>
      </c>
      <c r="D136" s="0" t="str">
        <f aca="false">IF('Item Master'!B140="","",IFERROR(MATCH('Item Master'!E140,$C$3:$C$152,0),999))</f>
        <v/>
      </c>
      <c r="E136" s="0" t="str">
        <f aca="false">IF('Daily Ordering'!B144="","",IF('Daily Ordering'!K144&lt;&gt;"",'Daily Ordering'!K144,'Daily Ordering'!J144))</f>
        <v/>
      </c>
      <c r="F136" s="0" t="str">
        <f aca="false">IF(ISNUMBER(E136),IF(AND(E136&gt;0,OR(SEL="All",'Item Master'!E140=SEL)),D136*1000+135,""),"")</f>
        <v/>
      </c>
      <c r="G136" s="0" t="str">
        <f aca="false">IFERROR(SMALL($F$2:$F$151,135),"")</f>
        <v/>
      </c>
      <c r="H136" s="0" t="str">
        <f aca="false">IF(G136="","",MATCH(G136,$F$2:$F$151,0))</f>
        <v/>
      </c>
    </row>
    <row r="137" customFormat="false" ht="15" hidden="false" customHeight="false" outlineLevel="0" collapsed="false">
      <c r="A137" s="0" t="str">
        <f aca="false">IF('Item Master'!E141="","",IF(COUNTIF('Item Master'!$E$6:E141,'Item Master'!E141)=1,MAX($A$1:A136)+1,""))</f>
        <v/>
      </c>
      <c r="C137" s="0" t="str">
        <f aca="false">IFERROR(INDEX('Item Master'!$E$6:$E$155,MATCH(135,$A$2:$A$151,0)),"")</f>
        <v/>
      </c>
      <c r="D137" s="0" t="str">
        <f aca="false">IF('Item Master'!B141="","",IFERROR(MATCH('Item Master'!E141,$C$3:$C$152,0),999))</f>
        <v/>
      </c>
      <c r="E137" s="0" t="str">
        <f aca="false">IF('Daily Ordering'!B145="","",IF('Daily Ordering'!K145&lt;&gt;"",'Daily Ordering'!K145,'Daily Ordering'!J145))</f>
        <v/>
      </c>
      <c r="F137" s="0" t="str">
        <f aca="false">IF(ISNUMBER(E137),IF(AND(E137&gt;0,OR(SEL="All",'Item Master'!E141=SEL)),D137*1000+136,""),"")</f>
        <v/>
      </c>
      <c r="G137" s="0" t="str">
        <f aca="false">IFERROR(SMALL($F$2:$F$151,136),"")</f>
        <v/>
      </c>
      <c r="H137" s="0" t="str">
        <f aca="false">IF(G137="","",MATCH(G137,$F$2:$F$151,0))</f>
        <v/>
      </c>
    </row>
    <row r="138" customFormat="false" ht="15" hidden="false" customHeight="false" outlineLevel="0" collapsed="false">
      <c r="A138" s="0" t="str">
        <f aca="false">IF('Item Master'!E142="","",IF(COUNTIF('Item Master'!$E$6:E142,'Item Master'!E142)=1,MAX($A$1:A137)+1,""))</f>
        <v/>
      </c>
      <c r="C138" s="0" t="str">
        <f aca="false">IFERROR(INDEX('Item Master'!$E$6:$E$155,MATCH(136,$A$2:$A$151,0)),"")</f>
        <v/>
      </c>
      <c r="D138" s="0" t="str">
        <f aca="false">IF('Item Master'!B142="","",IFERROR(MATCH('Item Master'!E142,$C$3:$C$152,0),999))</f>
        <v/>
      </c>
      <c r="E138" s="0" t="str">
        <f aca="false">IF('Daily Ordering'!B146="","",IF('Daily Ordering'!K146&lt;&gt;"",'Daily Ordering'!K146,'Daily Ordering'!J146))</f>
        <v/>
      </c>
      <c r="F138" s="0" t="str">
        <f aca="false">IF(ISNUMBER(E138),IF(AND(E138&gt;0,OR(SEL="All",'Item Master'!E142=SEL)),D138*1000+137,""),"")</f>
        <v/>
      </c>
      <c r="G138" s="0" t="str">
        <f aca="false">IFERROR(SMALL($F$2:$F$151,137),"")</f>
        <v/>
      </c>
      <c r="H138" s="0" t="str">
        <f aca="false">IF(G138="","",MATCH(G138,$F$2:$F$151,0))</f>
        <v/>
      </c>
    </row>
    <row r="139" customFormat="false" ht="15" hidden="false" customHeight="false" outlineLevel="0" collapsed="false">
      <c r="A139" s="0" t="str">
        <f aca="false">IF('Item Master'!E143="","",IF(COUNTIF('Item Master'!$E$6:E143,'Item Master'!E143)=1,MAX($A$1:A138)+1,""))</f>
        <v/>
      </c>
      <c r="C139" s="0" t="str">
        <f aca="false">IFERROR(INDEX('Item Master'!$E$6:$E$155,MATCH(137,$A$2:$A$151,0)),"")</f>
        <v/>
      </c>
      <c r="D139" s="0" t="str">
        <f aca="false">IF('Item Master'!B143="","",IFERROR(MATCH('Item Master'!E143,$C$3:$C$152,0),999))</f>
        <v/>
      </c>
      <c r="E139" s="0" t="str">
        <f aca="false">IF('Daily Ordering'!B147="","",IF('Daily Ordering'!K147&lt;&gt;"",'Daily Ordering'!K147,'Daily Ordering'!J147))</f>
        <v/>
      </c>
      <c r="F139" s="0" t="str">
        <f aca="false">IF(ISNUMBER(E139),IF(AND(E139&gt;0,OR(SEL="All",'Item Master'!E143=SEL)),D139*1000+138,""),"")</f>
        <v/>
      </c>
      <c r="G139" s="0" t="str">
        <f aca="false">IFERROR(SMALL($F$2:$F$151,138),"")</f>
        <v/>
      </c>
      <c r="H139" s="0" t="str">
        <f aca="false">IF(G139="","",MATCH(G139,$F$2:$F$151,0))</f>
        <v/>
      </c>
    </row>
    <row r="140" customFormat="false" ht="15" hidden="false" customHeight="false" outlineLevel="0" collapsed="false">
      <c r="A140" s="0" t="str">
        <f aca="false">IF('Item Master'!E144="","",IF(COUNTIF('Item Master'!$E$6:E144,'Item Master'!E144)=1,MAX($A$1:A139)+1,""))</f>
        <v/>
      </c>
      <c r="C140" s="0" t="str">
        <f aca="false">IFERROR(INDEX('Item Master'!$E$6:$E$155,MATCH(138,$A$2:$A$151,0)),"")</f>
        <v/>
      </c>
      <c r="D140" s="0" t="str">
        <f aca="false">IF('Item Master'!B144="","",IFERROR(MATCH('Item Master'!E144,$C$3:$C$152,0),999))</f>
        <v/>
      </c>
      <c r="E140" s="0" t="str">
        <f aca="false">IF('Daily Ordering'!B148="","",IF('Daily Ordering'!K148&lt;&gt;"",'Daily Ordering'!K148,'Daily Ordering'!J148))</f>
        <v/>
      </c>
      <c r="F140" s="0" t="str">
        <f aca="false">IF(ISNUMBER(E140),IF(AND(E140&gt;0,OR(SEL="All",'Item Master'!E144=SEL)),D140*1000+139,""),"")</f>
        <v/>
      </c>
      <c r="G140" s="0" t="str">
        <f aca="false">IFERROR(SMALL($F$2:$F$151,139),"")</f>
        <v/>
      </c>
      <c r="H140" s="0" t="str">
        <f aca="false">IF(G140="","",MATCH(G140,$F$2:$F$151,0))</f>
        <v/>
      </c>
    </row>
    <row r="141" customFormat="false" ht="15" hidden="false" customHeight="false" outlineLevel="0" collapsed="false">
      <c r="A141" s="0" t="str">
        <f aca="false">IF('Item Master'!E145="","",IF(COUNTIF('Item Master'!$E$6:E145,'Item Master'!E145)=1,MAX($A$1:A140)+1,""))</f>
        <v/>
      </c>
      <c r="C141" s="0" t="str">
        <f aca="false">IFERROR(INDEX('Item Master'!$E$6:$E$155,MATCH(139,$A$2:$A$151,0)),"")</f>
        <v/>
      </c>
      <c r="D141" s="0" t="str">
        <f aca="false">IF('Item Master'!B145="","",IFERROR(MATCH('Item Master'!E145,$C$3:$C$152,0),999))</f>
        <v/>
      </c>
      <c r="E141" s="0" t="str">
        <f aca="false">IF('Daily Ordering'!B149="","",IF('Daily Ordering'!K149&lt;&gt;"",'Daily Ordering'!K149,'Daily Ordering'!J149))</f>
        <v/>
      </c>
      <c r="F141" s="0" t="str">
        <f aca="false">IF(ISNUMBER(E141),IF(AND(E141&gt;0,OR(SEL="All",'Item Master'!E145=SEL)),D141*1000+140,""),"")</f>
        <v/>
      </c>
      <c r="G141" s="0" t="str">
        <f aca="false">IFERROR(SMALL($F$2:$F$151,140),"")</f>
        <v/>
      </c>
      <c r="H141" s="0" t="str">
        <f aca="false">IF(G141="","",MATCH(G141,$F$2:$F$151,0))</f>
        <v/>
      </c>
    </row>
    <row r="142" customFormat="false" ht="15" hidden="false" customHeight="false" outlineLevel="0" collapsed="false">
      <c r="A142" s="0" t="str">
        <f aca="false">IF('Item Master'!E146="","",IF(COUNTIF('Item Master'!$E$6:E146,'Item Master'!E146)=1,MAX($A$1:A141)+1,""))</f>
        <v/>
      </c>
      <c r="C142" s="0" t="str">
        <f aca="false">IFERROR(INDEX('Item Master'!$E$6:$E$155,MATCH(140,$A$2:$A$151,0)),"")</f>
        <v/>
      </c>
      <c r="D142" s="0" t="str">
        <f aca="false">IF('Item Master'!B146="","",IFERROR(MATCH('Item Master'!E146,$C$3:$C$152,0),999))</f>
        <v/>
      </c>
      <c r="E142" s="0" t="str">
        <f aca="false">IF('Daily Ordering'!B150="","",IF('Daily Ordering'!K150&lt;&gt;"",'Daily Ordering'!K150,'Daily Ordering'!J150))</f>
        <v/>
      </c>
      <c r="F142" s="0" t="str">
        <f aca="false">IF(ISNUMBER(E142),IF(AND(E142&gt;0,OR(SEL="All",'Item Master'!E146=SEL)),D142*1000+141,""),"")</f>
        <v/>
      </c>
      <c r="G142" s="0" t="str">
        <f aca="false">IFERROR(SMALL($F$2:$F$151,141),"")</f>
        <v/>
      </c>
      <c r="H142" s="0" t="str">
        <f aca="false">IF(G142="","",MATCH(G142,$F$2:$F$151,0))</f>
        <v/>
      </c>
    </row>
    <row r="143" customFormat="false" ht="15" hidden="false" customHeight="false" outlineLevel="0" collapsed="false">
      <c r="A143" s="0" t="str">
        <f aca="false">IF('Item Master'!E147="","",IF(COUNTIF('Item Master'!$E$6:E147,'Item Master'!E147)=1,MAX($A$1:A142)+1,""))</f>
        <v/>
      </c>
      <c r="C143" s="0" t="str">
        <f aca="false">IFERROR(INDEX('Item Master'!$E$6:$E$155,MATCH(141,$A$2:$A$151,0)),"")</f>
        <v/>
      </c>
      <c r="D143" s="0" t="str">
        <f aca="false">IF('Item Master'!B147="","",IFERROR(MATCH('Item Master'!E147,$C$3:$C$152,0),999))</f>
        <v/>
      </c>
      <c r="E143" s="0" t="str">
        <f aca="false">IF('Daily Ordering'!B151="","",IF('Daily Ordering'!K151&lt;&gt;"",'Daily Ordering'!K151,'Daily Ordering'!J151))</f>
        <v/>
      </c>
      <c r="F143" s="0" t="str">
        <f aca="false">IF(ISNUMBER(E143),IF(AND(E143&gt;0,OR(SEL="All",'Item Master'!E147=SEL)),D143*1000+142,""),"")</f>
        <v/>
      </c>
      <c r="G143" s="0" t="str">
        <f aca="false">IFERROR(SMALL($F$2:$F$151,142),"")</f>
        <v/>
      </c>
      <c r="H143" s="0" t="str">
        <f aca="false">IF(G143="","",MATCH(G143,$F$2:$F$151,0))</f>
        <v/>
      </c>
    </row>
    <row r="144" customFormat="false" ht="15" hidden="false" customHeight="false" outlineLevel="0" collapsed="false">
      <c r="A144" s="0" t="str">
        <f aca="false">IF('Item Master'!E148="","",IF(COUNTIF('Item Master'!$E$6:E148,'Item Master'!E148)=1,MAX($A$1:A143)+1,""))</f>
        <v/>
      </c>
      <c r="C144" s="0" t="str">
        <f aca="false">IFERROR(INDEX('Item Master'!$E$6:$E$155,MATCH(142,$A$2:$A$151,0)),"")</f>
        <v/>
      </c>
      <c r="D144" s="0" t="str">
        <f aca="false">IF('Item Master'!B148="","",IFERROR(MATCH('Item Master'!E148,$C$3:$C$152,0),999))</f>
        <v/>
      </c>
      <c r="E144" s="0" t="str">
        <f aca="false">IF('Daily Ordering'!B152="","",IF('Daily Ordering'!K152&lt;&gt;"",'Daily Ordering'!K152,'Daily Ordering'!J152))</f>
        <v/>
      </c>
      <c r="F144" s="0" t="str">
        <f aca="false">IF(ISNUMBER(E144),IF(AND(E144&gt;0,OR(SEL="All",'Item Master'!E148=SEL)),D144*1000+143,""),"")</f>
        <v/>
      </c>
      <c r="G144" s="0" t="str">
        <f aca="false">IFERROR(SMALL($F$2:$F$151,143),"")</f>
        <v/>
      </c>
      <c r="H144" s="0" t="str">
        <f aca="false">IF(G144="","",MATCH(G144,$F$2:$F$151,0))</f>
        <v/>
      </c>
    </row>
    <row r="145" customFormat="false" ht="15" hidden="false" customHeight="false" outlineLevel="0" collapsed="false">
      <c r="A145" s="0" t="str">
        <f aca="false">IF('Item Master'!E149="","",IF(COUNTIF('Item Master'!$E$6:E149,'Item Master'!E149)=1,MAX($A$1:A144)+1,""))</f>
        <v/>
      </c>
      <c r="C145" s="0" t="str">
        <f aca="false">IFERROR(INDEX('Item Master'!$E$6:$E$155,MATCH(143,$A$2:$A$151,0)),"")</f>
        <v/>
      </c>
      <c r="D145" s="0" t="str">
        <f aca="false">IF('Item Master'!B149="","",IFERROR(MATCH('Item Master'!E149,$C$3:$C$152,0),999))</f>
        <v/>
      </c>
      <c r="E145" s="0" t="str">
        <f aca="false">IF('Daily Ordering'!B153="","",IF('Daily Ordering'!K153&lt;&gt;"",'Daily Ordering'!K153,'Daily Ordering'!J153))</f>
        <v/>
      </c>
      <c r="F145" s="0" t="str">
        <f aca="false">IF(ISNUMBER(E145),IF(AND(E145&gt;0,OR(SEL="All",'Item Master'!E149=SEL)),D145*1000+144,""),"")</f>
        <v/>
      </c>
      <c r="G145" s="0" t="str">
        <f aca="false">IFERROR(SMALL($F$2:$F$151,144),"")</f>
        <v/>
      </c>
      <c r="H145" s="0" t="str">
        <f aca="false">IF(G145="","",MATCH(G145,$F$2:$F$151,0))</f>
        <v/>
      </c>
    </row>
    <row r="146" customFormat="false" ht="15" hidden="false" customHeight="false" outlineLevel="0" collapsed="false">
      <c r="A146" s="0" t="str">
        <f aca="false">IF('Item Master'!E150="","",IF(COUNTIF('Item Master'!$E$6:E150,'Item Master'!E150)=1,MAX($A$1:A145)+1,""))</f>
        <v/>
      </c>
      <c r="C146" s="0" t="str">
        <f aca="false">IFERROR(INDEX('Item Master'!$E$6:$E$155,MATCH(144,$A$2:$A$151,0)),"")</f>
        <v/>
      </c>
      <c r="D146" s="0" t="str">
        <f aca="false">IF('Item Master'!B150="","",IFERROR(MATCH('Item Master'!E150,$C$3:$C$152,0),999))</f>
        <v/>
      </c>
      <c r="E146" s="0" t="str">
        <f aca="false">IF('Daily Ordering'!B154="","",IF('Daily Ordering'!K154&lt;&gt;"",'Daily Ordering'!K154,'Daily Ordering'!J154))</f>
        <v/>
      </c>
      <c r="F146" s="0" t="str">
        <f aca="false">IF(ISNUMBER(E146),IF(AND(E146&gt;0,OR(SEL="All",'Item Master'!E150=SEL)),D146*1000+145,""),"")</f>
        <v/>
      </c>
      <c r="G146" s="0" t="str">
        <f aca="false">IFERROR(SMALL($F$2:$F$151,145),"")</f>
        <v/>
      </c>
      <c r="H146" s="0" t="str">
        <f aca="false">IF(G146="","",MATCH(G146,$F$2:$F$151,0))</f>
        <v/>
      </c>
    </row>
    <row r="147" customFormat="false" ht="15" hidden="false" customHeight="false" outlineLevel="0" collapsed="false">
      <c r="A147" s="0" t="str">
        <f aca="false">IF('Item Master'!E151="","",IF(COUNTIF('Item Master'!$E$6:E151,'Item Master'!E151)=1,MAX($A$1:A146)+1,""))</f>
        <v/>
      </c>
      <c r="C147" s="0" t="str">
        <f aca="false">IFERROR(INDEX('Item Master'!$E$6:$E$155,MATCH(145,$A$2:$A$151,0)),"")</f>
        <v/>
      </c>
      <c r="D147" s="0" t="str">
        <f aca="false">IF('Item Master'!B151="","",IFERROR(MATCH('Item Master'!E151,$C$3:$C$152,0),999))</f>
        <v/>
      </c>
      <c r="E147" s="0" t="str">
        <f aca="false">IF('Daily Ordering'!B155="","",IF('Daily Ordering'!K155&lt;&gt;"",'Daily Ordering'!K155,'Daily Ordering'!J155))</f>
        <v/>
      </c>
      <c r="F147" s="0" t="str">
        <f aca="false">IF(ISNUMBER(E147),IF(AND(E147&gt;0,OR(SEL="All",'Item Master'!E151=SEL)),D147*1000+146,""),"")</f>
        <v/>
      </c>
      <c r="G147" s="0" t="str">
        <f aca="false">IFERROR(SMALL($F$2:$F$151,146),"")</f>
        <v/>
      </c>
      <c r="H147" s="0" t="str">
        <f aca="false">IF(G147="","",MATCH(G147,$F$2:$F$151,0))</f>
        <v/>
      </c>
    </row>
    <row r="148" customFormat="false" ht="15" hidden="false" customHeight="false" outlineLevel="0" collapsed="false">
      <c r="A148" s="0" t="str">
        <f aca="false">IF('Item Master'!E152="","",IF(COUNTIF('Item Master'!$E$6:E152,'Item Master'!E152)=1,MAX($A$1:A147)+1,""))</f>
        <v/>
      </c>
      <c r="C148" s="0" t="str">
        <f aca="false">IFERROR(INDEX('Item Master'!$E$6:$E$155,MATCH(146,$A$2:$A$151,0)),"")</f>
        <v/>
      </c>
      <c r="D148" s="0" t="str">
        <f aca="false">IF('Item Master'!B152="","",IFERROR(MATCH('Item Master'!E152,$C$3:$C$152,0),999))</f>
        <v/>
      </c>
      <c r="E148" s="0" t="str">
        <f aca="false">IF('Daily Ordering'!B156="","",IF('Daily Ordering'!K156&lt;&gt;"",'Daily Ordering'!K156,'Daily Ordering'!J156))</f>
        <v/>
      </c>
      <c r="F148" s="0" t="str">
        <f aca="false">IF(ISNUMBER(E148),IF(AND(E148&gt;0,OR(SEL="All",'Item Master'!E152=SEL)),D148*1000+147,""),"")</f>
        <v/>
      </c>
      <c r="G148" s="0" t="str">
        <f aca="false">IFERROR(SMALL($F$2:$F$151,147),"")</f>
        <v/>
      </c>
      <c r="H148" s="0" t="str">
        <f aca="false">IF(G148="","",MATCH(G148,$F$2:$F$151,0))</f>
        <v/>
      </c>
    </row>
    <row r="149" customFormat="false" ht="15" hidden="false" customHeight="false" outlineLevel="0" collapsed="false">
      <c r="A149" s="0" t="str">
        <f aca="false">IF('Item Master'!E153="","",IF(COUNTIF('Item Master'!$E$6:E153,'Item Master'!E153)=1,MAX($A$1:A148)+1,""))</f>
        <v/>
      </c>
      <c r="C149" s="0" t="str">
        <f aca="false">IFERROR(INDEX('Item Master'!$E$6:$E$155,MATCH(147,$A$2:$A$151,0)),"")</f>
        <v/>
      </c>
      <c r="D149" s="0" t="str">
        <f aca="false">IF('Item Master'!B153="","",IFERROR(MATCH('Item Master'!E153,$C$3:$C$152,0),999))</f>
        <v/>
      </c>
      <c r="E149" s="0" t="str">
        <f aca="false">IF('Daily Ordering'!B157="","",IF('Daily Ordering'!K157&lt;&gt;"",'Daily Ordering'!K157,'Daily Ordering'!J157))</f>
        <v/>
      </c>
      <c r="F149" s="0" t="str">
        <f aca="false">IF(ISNUMBER(E149),IF(AND(E149&gt;0,OR(SEL="All",'Item Master'!E153=SEL)),D149*1000+148,""),"")</f>
        <v/>
      </c>
      <c r="G149" s="0" t="str">
        <f aca="false">IFERROR(SMALL($F$2:$F$151,148),"")</f>
        <v/>
      </c>
      <c r="H149" s="0" t="str">
        <f aca="false">IF(G149="","",MATCH(G149,$F$2:$F$151,0))</f>
        <v/>
      </c>
    </row>
    <row r="150" customFormat="false" ht="15" hidden="false" customHeight="false" outlineLevel="0" collapsed="false">
      <c r="A150" s="0" t="str">
        <f aca="false">IF('Item Master'!E154="","",IF(COUNTIF('Item Master'!$E$6:E154,'Item Master'!E154)=1,MAX($A$1:A149)+1,""))</f>
        <v/>
      </c>
      <c r="C150" s="0" t="str">
        <f aca="false">IFERROR(INDEX('Item Master'!$E$6:$E$155,MATCH(148,$A$2:$A$151,0)),"")</f>
        <v/>
      </c>
      <c r="D150" s="0" t="str">
        <f aca="false">IF('Item Master'!B154="","",IFERROR(MATCH('Item Master'!E154,$C$3:$C$152,0),999))</f>
        <v/>
      </c>
      <c r="E150" s="0" t="str">
        <f aca="false">IF('Daily Ordering'!B158="","",IF('Daily Ordering'!K158&lt;&gt;"",'Daily Ordering'!K158,'Daily Ordering'!J158))</f>
        <v/>
      </c>
      <c r="F150" s="0" t="str">
        <f aca="false">IF(ISNUMBER(E150),IF(AND(E150&gt;0,OR(SEL="All",'Item Master'!E154=SEL)),D150*1000+149,""),"")</f>
        <v/>
      </c>
      <c r="G150" s="0" t="str">
        <f aca="false">IFERROR(SMALL($F$2:$F$151,149),"")</f>
        <v/>
      </c>
      <c r="H150" s="0" t="str">
        <f aca="false">IF(G150="","",MATCH(G150,$F$2:$F$151,0))</f>
        <v/>
      </c>
    </row>
    <row r="151" customFormat="false" ht="15" hidden="false" customHeight="false" outlineLevel="0" collapsed="false">
      <c r="A151" s="0" t="str">
        <f aca="false">IF('Item Master'!E155="","",IF(COUNTIF('Item Master'!$E$6:E155,'Item Master'!E155)=1,MAX($A$1:A150)+1,""))</f>
        <v/>
      </c>
      <c r="C151" s="0" t="str">
        <f aca="false">IFERROR(INDEX('Item Master'!$E$6:$E$155,MATCH(149,$A$2:$A$151,0)),"")</f>
        <v/>
      </c>
      <c r="D151" s="0" t="str">
        <f aca="false">IF('Item Master'!B155="","",IFERROR(MATCH('Item Master'!E155,$C$3:$C$152,0),999))</f>
        <v/>
      </c>
      <c r="E151" s="0" t="str">
        <f aca="false">IF('Daily Ordering'!B159="","",IF('Daily Ordering'!K159&lt;&gt;"",'Daily Ordering'!K159,'Daily Ordering'!J159))</f>
        <v/>
      </c>
      <c r="F151" s="0" t="str">
        <f aca="false">IF(ISNUMBER(E151),IF(AND(E151&gt;0,OR(SEL="All",'Item Master'!E155=SEL)),D151*1000+150,""),"")</f>
        <v/>
      </c>
      <c r="G151" s="0" t="str">
        <f aca="false">IFERROR(SMALL($F$2:$F$151,150),"")</f>
        <v/>
      </c>
      <c r="H151" s="0" t="str">
        <f aca="false">IF(G151="","",MATCH(G151,$F$2:$F$151,0))</f>
        <v/>
      </c>
    </row>
    <row r="152" customFormat="false" ht="15" hidden="false" customHeight="false" outlineLevel="0" collapsed="false">
      <c r="C152" s="0" t="str">
        <f aca="false">IFERROR(INDEX('Item Master'!$E$6:$E$155,MATCH(150,$A$2:$A$151,0)),"")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2026-10-17T14:28:22Z</dcterms:created>
  <dc:creator>openpyxl</dc:creator>
  <dc:description/>
  <dc:language>en-US</dc:language>
  <cp:lastModifiedBy/>
  <dcterms:modified xsi:type="dcterms:W3CDTF">2026-10-17T14:28:22Z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