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30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31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.xml" ContentType="application/vnd.openxmlformats-officedocument.spreadsheetml.worksheet+xml"/>
  <Override PartName="/xl/worksheets/sheet18.xml" ContentType="application/vnd.openxmlformats-officedocument.spreadsheetml.worksheet+xml"/>
  <Override PartName="/xl/worksheets/sheet20.xml" ContentType="application/vnd.openxmlformats-officedocument.spreadsheetml.worksheet+xml"/>
  <Override PartName="/xl/worksheets/sheet2.xml" ContentType="application/vnd.openxmlformats-officedocument.spreadsheetml.worksheet+xml"/>
  <Override PartName="/xl/worksheets/sheet19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Ingredients" sheetId="2" state="visible" r:id="rId4"/>
    <sheet name="Components" sheetId="3" state="visible" r:id="rId5"/>
    <sheet name="Summary" sheetId="4" state="visible" r:id="rId6"/>
    <sheet name="Recipe 01" sheetId="5" state="visible" r:id="rId7"/>
    <sheet name="Recipe 02" sheetId="6" state="visible" r:id="rId8"/>
    <sheet name="Recipe 03" sheetId="7" state="visible" r:id="rId9"/>
    <sheet name="Recipe 04" sheetId="8" state="visible" r:id="rId10"/>
    <sheet name="Recipe 05" sheetId="9" state="visible" r:id="rId11"/>
    <sheet name="Recipe 06" sheetId="10" state="visible" r:id="rId12"/>
    <sheet name="Recipe 07" sheetId="11" state="visible" r:id="rId13"/>
    <sheet name="Recipe 08" sheetId="12" state="visible" r:id="rId14"/>
    <sheet name="Recipe 09" sheetId="13" state="visible" r:id="rId15"/>
    <sheet name="Recipe 10" sheetId="14" state="visible" r:id="rId16"/>
    <sheet name="Recipe 11" sheetId="15" state="visible" r:id="rId17"/>
    <sheet name="Recipe 12" sheetId="16" state="visible" r:id="rId18"/>
    <sheet name="Recipe 13" sheetId="17" state="visible" r:id="rId19"/>
    <sheet name="Recipe 14" sheetId="18" state="visible" r:id="rId20"/>
    <sheet name="Recipe 15" sheetId="19" state="visible" r:id="rId21"/>
    <sheet name="Recipe 16" sheetId="20" state="visible" r:id="rId22"/>
    <sheet name="Recipe 17" sheetId="21" state="visible" r:id="rId23"/>
    <sheet name="Recipe 18" sheetId="22" state="visible" r:id="rId24"/>
    <sheet name="Recipe 19" sheetId="23" state="visible" r:id="rId25"/>
    <sheet name="Recipe 20" sheetId="24" state="visible" r:id="rId26"/>
    <sheet name="Recipe 21" sheetId="25" state="visible" r:id="rId27"/>
    <sheet name="Recipe 22" sheetId="26" state="visible" r:id="rId28"/>
    <sheet name="Recipe 23" sheetId="27" state="visible" r:id="rId29"/>
    <sheet name="Recipe 24" sheetId="28" state="visible" r:id="rId30"/>
    <sheet name="Recipe 25" sheetId="29" state="visible" r:id="rId31"/>
    <sheet name="Recipe 26" sheetId="30" state="visible" r:id="rId32"/>
    <sheet name="Recipe 27" sheetId="31" state="visible" r:id="rId33"/>
    <sheet name="Recipe 28" sheetId="32" state="visible" r:id="rId34"/>
    <sheet name="Recipe 29" sheetId="33" state="visible" r:id="rId35"/>
    <sheet name="Recipe 30" sheetId="34" state="visible" r:id="rId36"/>
    <sheet name="Lists" sheetId="35" state="hidden" r:id="rId37"/>
  </sheets>
  <definedNames>
    <definedName function="false" hidden="false" localSheetId="2" name="_xlnm.Print_Area" vbProcedure="false">Components!$A$1:$G$186</definedName>
    <definedName function="false" hidden="false" localSheetId="1" name="_xlnm.Print_Area" vbProcedure="false">Ingredients!$A$1:$J$205</definedName>
    <definedName function="false" hidden="false" localSheetId="1" name="_xlnm.Print_Titles" vbProcedure="false">Ingredients!$5:$5</definedName>
    <definedName function="false" hidden="false" localSheetId="4" name="_xlnm.Print_Area" vbProcedure="false">'Recipe 01'!$A$1:$G$46</definedName>
    <definedName function="false" hidden="false" localSheetId="5" name="_xlnm.Print_Area" vbProcedure="false">'Recipe 02'!$A$1:$G$46</definedName>
    <definedName function="false" hidden="false" localSheetId="6" name="_xlnm.Print_Area" vbProcedure="false">'Recipe 03'!$A$1:$G$46</definedName>
    <definedName function="false" hidden="false" localSheetId="7" name="_xlnm.Print_Area" vbProcedure="false">'Recipe 04'!$A$1:$G$46</definedName>
    <definedName function="false" hidden="false" localSheetId="8" name="_xlnm.Print_Area" vbProcedure="false">'Recipe 05'!$A$1:$G$46</definedName>
    <definedName function="false" hidden="false" localSheetId="9" name="_xlnm.Print_Area" vbProcedure="false">'Recipe 06'!$A$1:$G$46</definedName>
    <definedName function="false" hidden="false" localSheetId="10" name="_xlnm.Print_Area" vbProcedure="false">'Recipe 07'!$A$1:$G$46</definedName>
    <definedName function="false" hidden="false" localSheetId="11" name="_xlnm.Print_Area" vbProcedure="false">'Recipe 08'!$A$1:$G$46</definedName>
    <definedName function="false" hidden="false" localSheetId="12" name="_xlnm.Print_Area" vbProcedure="false">'Recipe 09'!$A$1:$G$46</definedName>
    <definedName function="false" hidden="false" localSheetId="13" name="_xlnm.Print_Area" vbProcedure="false">'Recipe 10'!$A$1:$G$46</definedName>
    <definedName function="false" hidden="false" localSheetId="14" name="_xlnm.Print_Area" vbProcedure="false">'Recipe 11'!$A$1:$G$46</definedName>
    <definedName function="false" hidden="false" localSheetId="15" name="_xlnm.Print_Area" vbProcedure="false">'Recipe 12'!$A$1:$G$46</definedName>
    <definedName function="false" hidden="false" localSheetId="16" name="_xlnm.Print_Area" vbProcedure="false">'Recipe 13'!$A$1:$G$46</definedName>
    <definedName function="false" hidden="false" localSheetId="17" name="_xlnm.Print_Area" vbProcedure="false">'Recipe 14'!$A$1:$G$46</definedName>
    <definedName function="false" hidden="false" localSheetId="18" name="_xlnm.Print_Area" vbProcedure="false">'Recipe 15'!$A$1:$G$46</definedName>
    <definedName function="false" hidden="false" localSheetId="19" name="_xlnm.Print_Area" vbProcedure="false">'Recipe 16'!$A$1:$G$46</definedName>
    <definedName function="false" hidden="false" localSheetId="20" name="_xlnm.Print_Area" vbProcedure="false">'Recipe 17'!$A$1:$G$46</definedName>
    <definedName function="false" hidden="false" localSheetId="21" name="_xlnm.Print_Area" vbProcedure="false">'Recipe 18'!$A$1:$G$46</definedName>
    <definedName function="false" hidden="false" localSheetId="22" name="_xlnm.Print_Area" vbProcedure="false">'Recipe 19'!$A$1:$G$46</definedName>
    <definedName function="false" hidden="false" localSheetId="23" name="_xlnm.Print_Area" vbProcedure="false">'Recipe 20'!$A$1:$G$46</definedName>
    <definedName function="false" hidden="false" localSheetId="24" name="_xlnm.Print_Area" vbProcedure="false">'Recipe 21'!$A$1:$G$46</definedName>
    <definedName function="false" hidden="false" localSheetId="25" name="_xlnm.Print_Area" vbProcedure="false">'Recipe 22'!$A$1:$G$46</definedName>
    <definedName function="false" hidden="false" localSheetId="26" name="_xlnm.Print_Area" vbProcedure="false">'Recipe 23'!$A$1:$G$46</definedName>
    <definedName function="false" hidden="false" localSheetId="27" name="_xlnm.Print_Area" vbProcedure="false">'Recipe 24'!$A$1:$G$46</definedName>
    <definedName function="false" hidden="false" localSheetId="28" name="_xlnm.Print_Area" vbProcedure="false">'Recipe 25'!$A$1:$G$46</definedName>
    <definedName function="false" hidden="false" localSheetId="29" name="_xlnm.Print_Area" vbProcedure="false">'Recipe 26'!$A$1:$G$46</definedName>
    <definedName function="false" hidden="false" localSheetId="30" name="_xlnm.Print_Area" vbProcedure="false">'Recipe 27'!$A$1:$G$46</definedName>
    <definedName function="false" hidden="false" localSheetId="31" name="_xlnm.Print_Area" vbProcedure="false">'Recipe 28'!$A$1:$G$46</definedName>
    <definedName function="false" hidden="false" localSheetId="32" name="_xlnm.Print_Area" vbProcedure="false">'Recipe 29'!$A$1:$G$46</definedName>
    <definedName function="false" hidden="false" localSheetId="33" name="_xlnm.Print_Area" vbProcedure="false">'Recipe 30'!$A$1:$G$46</definedName>
    <definedName function="false" hidden="false" localSheetId="0" name="_xlnm.Print_Area" vbProcedure="false">'Start Here'!$A$1:$E$41</definedName>
    <definedName function="false" hidden="false" localSheetId="3" name="_xlnm.Print_Area" vbProcedure="false">Summary!$A$1:$J$41</definedName>
    <definedName function="false" hidden="false" localSheetId="3" name="_xlnm.Print_Titles" vbProcedure="false">Summary!$6:$6</definedName>
    <definedName function="false" hidden="false" name="CURRENCY" vbProcedure="false">'Start Here'!$D$8</definedName>
    <definedName function="false" hidden="false" name="TARGET_FC" vbProcedure="false">'Start Here'!$D$11</definedName>
    <definedName function="false" hidden="false" name="VAT_INCL" vbProcedure="false">'Start Here'!$D$9</definedName>
    <definedName function="false" hidden="false" name="VAT_RATE" vbProcedure="false">'Start Here'!$D$10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<sst xmlns="http://schemas.openxmlformats.org/spreadsheetml/2006/main" count="709" uniqueCount="200">
  <si>
    <t xml:space="preserve">CHEF OPERATIONS</t>
  </si>
  <si>
    <t xml:space="preserve">STARTER EDITION</t>
  </si>
  <si>
    <t xml:space="preserve">Recipe Food Cost Calculator</t>
  </si>
  <si>
    <t xml:space="preserve">Know the real cost of every plate.</t>
  </si>
  <si>
    <t xml:space="preserve">1.  Your Settings</t>
  </si>
  <si>
    <t xml:space="preserve">Currency</t>
  </si>
  <si>
    <t xml:space="preserve">$</t>
  </si>
  <si>
    <t xml:space="preserve">Type your money sign: $, AED, THB, €, £</t>
  </si>
  <si>
    <t xml:space="preserve">Menu price includes VAT?</t>
  </si>
  <si>
    <t xml:space="preserve">Yes</t>
  </si>
  <si>
    <t xml:space="preserve">Yes = the price on your menu already has VAT inside.</t>
  </si>
  <si>
    <t xml:space="preserve">VAT %</t>
  </si>
  <si>
    <t xml:space="preserve">Type 0% if you do not charge VAT.</t>
  </si>
  <si>
    <t xml:space="preserve">Target Food Cost %</t>
  </si>
  <si>
    <t xml:space="preserve">Your goal. Many restaurants aim for 25% to 35%.</t>
  </si>
  <si>
    <t xml:space="preserve">2.  How to Use</t>
  </si>
  <si>
    <t xml:space="preserve">Add Ingredients</t>
  </si>
  <si>
    <t xml:space="preserve">Go to the Ingredients tab. Type each item you buy, the pack size and the price you pay.</t>
  </si>
  <si>
    <t xml:space="preserve">Make Components</t>
  </si>
  <si>
    <t xml:space="preserve">Optional. Make your own dough or sauce? Build it in the Components tab. Bought it ready? Skip this step.</t>
  </si>
  <si>
    <t xml:space="preserve">Cost a Recipe</t>
  </si>
  <si>
    <t xml:space="preserve">Open Recipe 01. Pick items from the list. Type how much you use, the portions and the menu price.</t>
  </si>
  <si>
    <t xml:space="preserve">Check Summary</t>
  </si>
  <si>
    <t xml:space="preserve">See all your recipes on one page. Look at the ones that are above target.</t>
  </si>
  <si>
    <t xml:space="preserve">Tip: Recipe 01 has a Margherita Pizza example. Look at it first, then change it to your own recipe.</t>
  </si>
  <si>
    <t xml:space="preserve">3.  Cell Guide</t>
  </si>
  <si>
    <t xml:space="preserve">White box = you type here.</t>
  </si>
  <si>
    <t xml:space="preserve">Grey box = automatic. Do not type here.</t>
  </si>
  <si>
    <t xml:space="preserve">Navy = headings.</t>
  </si>
  <si>
    <t xml:space="preserve">4.  Simple Rules</t>
  </si>
  <si>
    <t xml:space="preserve">Units</t>
  </si>
  <si>
    <t xml:space="preserve">Use only g, ml or pc.  1 kg = 1,000 g.  1 L = 1,000 ml.</t>
  </si>
  <si>
    <t xml:space="preserve">Yield %</t>
  </si>
  <si>
    <t xml:space="preserve">How much you can really use. You buy 1 kg salmon. After cleaning you have 850 g. Yield = 85%. Leave it blank for 100%.</t>
  </si>
  <si>
    <t xml:space="preserve">Portions</t>
  </si>
  <si>
    <t xml:space="preserve">How many plates the recipe makes. One pizza = 1. A big batch of soup can be 20.</t>
  </si>
  <si>
    <t xml:space="preserve">VAT</t>
  </si>
  <si>
    <t xml:space="preserve">If your menu price includes VAT, the tool takes VAT out first. This gives you the true food cost.</t>
  </si>
  <si>
    <t xml:space="preserve">New prices</t>
  </si>
  <si>
    <t xml:space="preserve">Supplier changed the price? Change it in Ingredients. Every recipe updates by itself.</t>
  </si>
  <si>
    <t xml:space="preserve">5.  Need More Recipes?</t>
  </si>
  <si>
    <t xml:space="preserve">30 cards</t>
  </si>
  <si>
    <t xml:space="preserve">This file has 30 recipe cards: Recipe 01 to Recipe 30.</t>
  </si>
  <si>
    <t xml:space="preserve">More than 30</t>
  </si>
  <si>
    <t xml:space="preserve">Save a copy of this file with a new name, for example "Menu - Desserts". Your ingredients stay. Clear the old recipes and start again.</t>
  </si>
  <si>
    <t xml:space="preserve">Tab names</t>
  </si>
  <si>
    <t xml:space="preserve">Do not rename the Recipe tabs. The Summary page needs these names to find your recipes.</t>
  </si>
  <si>
    <t xml:space="preserve">6.  Google Sheets</t>
  </si>
  <si>
    <t xml:space="preserve">Works the same</t>
  </si>
  <si>
    <t xml:space="preserve">Upload this file to Google Drive and open it with Google Sheets. All formulas and lists still work.</t>
  </si>
  <si>
    <t xml:space="preserve">CHEF OPERATIONS  ·  Free tool for chefs. Share it with your team.</t>
  </si>
  <si>
    <t xml:space="preserve">CHEF OPERATIONS  /  INGREDIENTS</t>
  </si>
  <si>
    <t xml:space="preserve">Ingredients</t>
  </si>
  <si>
    <t xml:space="preserve">Type what you buy. Pack size in g, ml or pc only (2 kg = 2,000 g). Yield % blank = 100%. The grey column is automatic.</t>
  </si>
  <si>
    <t xml:space="preserve">Ingredient</t>
  </si>
  <si>
    <t xml:space="preserve">Category</t>
  </si>
  <si>
    <t xml:space="preserve">Supplier</t>
  </si>
  <si>
    <t xml:space="preserve">Pack Size</t>
  </si>
  <si>
    <t xml:space="preserve">Unit</t>
  </si>
  <si>
    <t xml:space="preserve">Last Updated</t>
  </si>
  <si>
    <t xml:space="preserve">Flour Tipo 00</t>
  </si>
  <si>
    <t xml:space="preserve">Dry Goods</t>
  </si>
  <si>
    <t xml:space="preserve">Sample Supplier</t>
  </si>
  <si>
    <t xml:space="preserve">g</t>
  </si>
  <si>
    <t xml:space="preserve">Instant Dry Yeast</t>
  </si>
  <si>
    <t xml:space="preserve">Fine Sea Salt</t>
  </si>
  <si>
    <t xml:space="preserve">Sugar</t>
  </si>
  <si>
    <t xml:space="preserve">Black Pepper, Ground</t>
  </si>
  <si>
    <t xml:space="preserve">Extra Virgin Olive Oil</t>
  </si>
  <si>
    <t xml:space="preserve">Oil &amp; Vinegar</t>
  </si>
  <si>
    <t xml:space="preserve">ml</t>
  </si>
  <si>
    <t xml:space="preserve">Water</t>
  </si>
  <si>
    <t xml:space="preserve">Other</t>
  </si>
  <si>
    <t xml:space="preserve">Whole Peeled Tomato</t>
  </si>
  <si>
    <t xml:space="preserve">Canned</t>
  </si>
  <si>
    <t xml:space="preserve">Garlic</t>
  </si>
  <si>
    <t xml:space="preserve">Produce</t>
  </si>
  <si>
    <t xml:space="preserve">Fresh Basil</t>
  </si>
  <si>
    <t xml:space="preserve">Herbs</t>
  </si>
  <si>
    <t xml:space="preserve">Mozzarella Fior di Latte</t>
  </si>
  <si>
    <t xml:space="preserve">Dairy</t>
  </si>
  <si>
    <t xml:space="preserve">Parmesan</t>
  </si>
  <si>
    <t xml:space="preserve">Eggs</t>
  </si>
  <si>
    <t xml:space="preserve">pc</t>
  </si>
  <si>
    <t xml:space="preserve">Salmon Fillet, Skin On</t>
  </si>
  <si>
    <t xml:space="preserve">Seafood</t>
  </si>
  <si>
    <t xml:space="preserve">Ribeye, Whole Loin</t>
  </si>
  <si>
    <t xml:space="preserve">Meat</t>
  </si>
  <si>
    <t xml:space="preserve">CHEF OPERATIONS  /  COMPONENTS</t>
  </si>
  <si>
    <t xml:space="preserve">Components</t>
  </si>
  <si>
    <t xml:space="preserve">Things you make yourself: dough, sauce, stock, dressing. Use them in any recipe like an ingredient.</t>
  </si>
  <si>
    <t xml:space="preserve">Batch Yield = how much one batch makes, in g, ml or pc.</t>
  </si>
  <si>
    <t xml:space="preserve">COMPONENT 01</t>
  </si>
  <si>
    <t xml:space="preserve">Name</t>
  </si>
  <si>
    <t xml:space="preserve">Pizza Dough</t>
  </si>
  <si>
    <t xml:space="preserve">Batch Yield</t>
  </si>
  <si>
    <t xml:space="preserve">Yield Unit</t>
  </si>
  <si>
    <t xml:space="preserve">#</t>
  </si>
  <si>
    <t xml:space="preserve">Qty</t>
  </si>
  <si>
    <t xml:space="preserve">Total Batch Cost</t>
  </si>
  <si>
    <t xml:space="preserve">COMPONENT 02</t>
  </si>
  <si>
    <t xml:space="preserve">Pizza Sauce</t>
  </si>
  <si>
    <t xml:space="preserve">COMPONENT 03</t>
  </si>
  <si>
    <t xml:space="preserve">COMPONENT 04</t>
  </si>
  <si>
    <t xml:space="preserve">COMPONENT 05</t>
  </si>
  <si>
    <t xml:space="preserve">COMPONENT 06</t>
  </si>
  <si>
    <t xml:space="preserve">COMPONENT 07</t>
  </si>
  <si>
    <t xml:space="preserve">COMPONENT 08</t>
  </si>
  <si>
    <t xml:space="preserve">COMPONENT 09</t>
  </si>
  <si>
    <t xml:space="preserve">COMPONENT 10</t>
  </si>
  <si>
    <t xml:space="preserve">CHEF OPERATIONS  /  RECIPE SUMMARY</t>
  </si>
  <si>
    <t xml:space="preserve">Recipe Summary</t>
  </si>
  <si>
    <t xml:space="preserve">Card</t>
  </si>
  <si>
    <t xml:space="preserve">Recipe</t>
  </si>
  <si>
    <t xml:space="preserve">Food Cost %</t>
  </si>
  <si>
    <t xml:space="preserve">Status</t>
  </si>
  <si>
    <t xml:space="preserve">Recipe 01</t>
  </si>
  <si>
    <t xml:space="preserve">Recipe 02</t>
  </si>
  <si>
    <t xml:space="preserve">Recipe 03</t>
  </si>
  <si>
    <t xml:space="preserve">Recipe 04</t>
  </si>
  <si>
    <t xml:space="preserve">Recipe 05</t>
  </si>
  <si>
    <t xml:space="preserve">Recipe 06</t>
  </si>
  <si>
    <t xml:space="preserve">Recipe 07</t>
  </si>
  <si>
    <t xml:space="preserve">Recipe 08</t>
  </si>
  <si>
    <t xml:space="preserve">Recipe 09</t>
  </si>
  <si>
    <t xml:space="preserve">Recipe 10</t>
  </si>
  <si>
    <t xml:space="preserve">Recipe 11</t>
  </si>
  <si>
    <t xml:space="preserve">Recipe 12</t>
  </si>
  <si>
    <t xml:space="preserve">Recipe 13</t>
  </si>
  <si>
    <t xml:space="preserve">Recipe 14</t>
  </si>
  <si>
    <t xml:space="preserve">Recipe 15</t>
  </si>
  <si>
    <t xml:space="preserve">Recipe 16</t>
  </si>
  <si>
    <t xml:space="preserve">Recipe 17</t>
  </si>
  <si>
    <t xml:space="preserve">Recipe 18</t>
  </si>
  <si>
    <t xml:space="preserve">Recipe 19</t>
  </si>
  <si>
    <t xml:space="preserve">Recipe 20</t>
  </si>
  <si>
    <t xml:space="preserve">Recipe 21</t>
  </si>
  <si>
    <t xml:space="preserve">Recipe 22</t>
  </si>
  <si>
    <t xml:space="preserve">Recipe 23</t>
  </si>
  <si>
    <t xml:space="preserve">Recipe 24</t>
  </si>
  <si>
    <t xml:space="preserve">Recipe 25</t>
  </si>
  <si>
    <t xml:space="preserve">Recipe 26</t>
  </si>
  <si>
    <t xml:space="preserve">Recipe 27</t>
  </si>
  <si>
    <t xml:space="preserve">Recipe 28</t>
  </si>
  <si>
    <t xml:space="preserve">Recipe 29</t>
  </si>
  <si>
    <t xml:space="preserve">Recipe 30</t>
  </si>
  <si>
    <t xml:space="preserve">Average Food Cost %</t>
  </si>
  <si>
    <t xml:space="preserve">Recipes above target</t>
  </si>
  <si>
    <t xml:space="preserve">Click a card name to open the recipe.</t>
  </si>
  <si>
    <t xml:space="preserve">CHEF OPERATIONS  /  RECIPE COSTING</t>
  </si>
  <si>
    <t xml:space="preserve">RECIPE 01</t>
  </si>
  <si>
    <t xml:space="preserve">Recipe Name</t>
  </si>
  <si>
    <t xml:space="preserve">Margherita Pizza</t>
  </si>
  <si>
    <t xml:space="preserve">Pizza</t>
  </si>
  <si>
    <t xml:space="preserve">portion(s)</t>
  </si>
  <si>
    <t xml:space="preserve">Date</t>
  </si>
  <si>
    <t xml:space="preserve">Ingredient / Component</t>
  </si>
  <si>
    <t xml:space="preserve">Total Recipe Cost</t>
  </si>
  <si>
    <t xml:space="preserve">Method &amp; Plating Notes</t>
  </si>
  <si>
    <t xml:space="preserve">1. Stretch one dough ball to 30 cm.
2. Spread 80 g sauce. Leave 2 cm edge.
3. Tear mozzarella on top.
4. Bake 90 sec at 450°C.
5. Finish with fresh basil and olive oil.</t>
  </si>
  <si>
    <t xml:space="preserve">White box = you type.   Grey box = automatic.</t>
  </si>
  <si>
    <t xml:space="preserve">RECIPE 02</t>
  </si>
  <si>
    <t xml:space="preserve">RECIPE 03</t>
  </si>
  <si>
    <t xml:space="preserve">RECIPE 04</t>
  </si>
  <si>
    <t xml:space="preserve">RECIPE 05</t>
  </si>
  <si>
    <t xml:space="preserve">RECIPE 06</t>
  </si>
  <si>
    <t xml:space="preserve">RECIPE 07</t>
  </si>
  <si>
    <t xml:space="preserve">RECIPE 08</t>
  </si>
  <si>
    <t xml:space="preserve">RECIPE 09</t>
  </si>
  <si>
    <t xml:space="preserve">RECIPE 10</t>
  </si>
  <si>
    <t xml:space="preserve">RECIPE 11</t>
  </si>
  <si>
    <t xml:space="preserve">RECIPE 12</t>
  </si>
  <si>
    <t xml:space="preserve">RECIPE 13</t>
  </si>
  <si>
    <t xml:space="preserve">RECIPE 14</t>
  </si>
  <si>
    <t xml:space="preserve">RECIPE 15</t>
  </si>
  <si>
    <t xml:space="preserve">RECIPE 16</t>
  </si>
  <si>
    <t xml:space="preserve">RECIPE 17</t>
  </si>
  <si>
    <t xml:space="preserve">RECIPE 18</t>
  </si>
  <si>
    <t xml:space="preserve">RECIPE 19</t>
  </si>
  <si>
    <t xml:space="preserve">RECIPE 20</t>
  </si>
  <si>
    <t xml:space="preserve">RECIPE 21</t>
  </si>
  <si>
    <t xml:space="preserve">RECIPE 22</t>
  </si>
  <si>
    <t xml:space="preserve">RECIPE 23</t>
  </si>
  <si>
    <t xml:space="preserve">RECIPE 24</t>
  </si>
  <si>
    <t xml:space="preserve">RECIPE 25</t>
  </si>
  <si>
    <t xml:space="preserve">RECIPE 26</t>
  </si>
  <si>
    <t xml:space="preserve">RECIPE 27</t>
  </si>
  <si>
    <t xml:space="preserve">RECIPE 28</t>
  </si>
  <si>
    <t xml:space="preserve">RECIPE 29</t>
  </si>
  <si>
    <t xml:space="preserve">RECIPE 30</t>
  </si>
  <si>
    <t xml:space="preserve">k</t>
  </si>
  <si>
    <t xml:space="preserve">Ingredients (no gaps)</t>
  </si>
  <si>
    <t xml:space="preserve">Dropdown: components + ingredients</t>
  </si>
  <si>
    <t xml:space="preserve">Ingredient index</t>
  </si>
  <si>
    <t xml:space="preserve">Component name</t>
  </si>
  <si>
    <t xml:space="preserve">Comp index</t>
  </si>
  <si>
    <t xml:space="preserve">Comp unit</t>
  </si>
  <si>
    <t xml:space="preserve">Comp cost/unit</t>
  </si>
  <si>
    <t xml:space="preserve">Components (no gaps)</t>
  </si>
  <si>
    <t xml:space="preserve">Counts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</si>
</sst>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%"/>
    <numFmt numFmtId="166" formatCode="#,##0"/>
    <numFmt numFmtId="167" formatCode="#,##0.00"/>
    <numFmt numFmtId="168" formatCode="#,##0.0000"/>
    <numFmt numFmtId="169" formatCode="dd\ mmm\ yyyy"/>
    <numFmt numFmtId="170" formatCode="#,##0.##"/>
    <numFmt numFmtId="171" formatCode="@"/>
    <numFmt numFmtId="172" formatCode="0.0%"/>
    <numFmt numFmtId="173" formatCode="General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FFFFFF"/>
      <name val="Arial"/>
      <family val="0"/>
      <charset val="1"/>
    </font>
    <font>
      <b val="true"/>
      <sz val="20"/>
      <color rgb="FF1E1E1E"/>
      <name val="Arial"/>
      <family val="0"/>
      <charset val="1"/>
    </font>
    <font>
      <sz val="10"/>
      <color rgb="FF6B7278"/>
      <name val="Arial"/>
      <family val="0"/>
      <charset val="1"/>
    </font>
    <font>
      <b val="true"/>
      <sz val="11"/>
      <color rgb="FF293B4A"/>
      <name val="Arial"/>
      <family val="0"/>
      <charset val="1"/>
    </font>
    <font>
      <b val="true"/>
      <sz val="10"/>
      <color rgb="FF1E1E1E"/>
      <name val="Arial"/>
      <family val="0"/>
      <charset val="1"/>
    </font>
    <font>
      <sz val="9"/>
      <color rgb="FF6B7278"/>
      <name val="Arial"/>
      <family val="0"/>
      <charset val="1"/>
    </font>
    <font>
      <b val="true"/>
      <sz val="14"/>
      <color rgb="FF293B4A"/>
      <name val="Arial"/>
      <family val="0"/>
      <charset val="1"/>
    </font>
    <font>
      <sz val="10"/>
      <color rgb="FF1E1E1E"/>
      <name val="Arial"/>
      <family val="0"/>
      <charset val="1"/>
    </font>
    <font>
      <i val="true"/>
      <sz val="9"/>
      <color rgb="FF6B7278"/>
      <name val="Arial"/>
      <family val="0"/>
      <charset val="1"/>
    </font>
    <font>
      <sz val="8"/>
      <color rgb="FF6B7278"/>
      <name val="Arial"/>
      <family val="0"/>
      <charset val="1"/>
    </font>
    <font>
      <b val="true"/>
      <sz val="16"/>
      <color rgb="FF1E1E1E"/>
      <name val="Arial"/>
      <family val="0"/>
      <charset val="1"/>
    </font>
    <font>
      <b val="true"/>
      <sz val="9"/>
      <color rgb="FF6B7278"/>
      <name val="Arial"/>
      <family val="0"/>
      <charset val="1"/>
    </font>
    <font>
      <b val="true"/>
      <sz val="11"/>
      <color rgb="FF1E1E1E"/>
      <name val="Arial"/>
      <family val="0"/>
      <charset val="1"/>
    </font>
    <font>
      <b val="true"/>
      <sz val="10"/>
      <color rgb="FF293B4A"/>
      <name val="Arial"/>
      <family val="0"/>
      <charset val="1"/>
    </font>
    <font>
      <sz val="9"/>
      <color rgb="FF293B4A"/>
      <name val="Arial"/>
      <family val="0"/>
      <charset val="1"/>
    </font>
    <font>
      <b val="true"/>
      <sz val="18"/>
      <color rgb="FF1E1E1E"/>
      <name val="Arial"/>
      <family val="0"/>
      <charset val="1"/>
    </font>
    <font>
      <b val="true"/>
      <sz val="20"/>
      <color rgb="FF293B4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93B4A"/>
        <bgColor rgb="FF003366"/>
      </patternFill>
    </fill>
    <fill>
      <patternFill patternType="solid">
        <fgColor rgb="FFF2F3F4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293B4A"/>
      </bottom>
      <diagonal/>
    </border>
    <border diagonalUp="false" diagonalDown="false">
      <left style="thin">
        <color rgb="FFC9CDD1"/>
      </left>
      <right style="thin">
        <color rgb="FFC9CDD1"/>
      </right>
      <top style="thin">
        <color rgb="FFC9CDD1"/>
      </top>
      <bottom style="thin">
        <color rgb="FFC9CDD1"/>
      </bottom>
      <diagonal/>
    </border>
    <border diagonalUp="false" diagonalDown="false">
      <left/>
      <right/>
      <top/>
      <bottom style="thin">
        <color rgb="FFC9CDD1"/>
      </bottom>
      <diagonal/>
    </border>
    <border diagonalUp="false" diagonalDown="false">
      <left/>
      <right/>
      <top style="thin">
        <color rgb="FF293B4A"/>
      </top>
      <bottom/>
      <diagonal/>
    </border>
    <border diagonalUp="false" diagonalDown="false">
      <left/>
      <right/>
      <top style="medium">
        <color rgb="FF293B4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5" fontId="8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11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1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1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1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8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1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7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1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7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1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11" fillId="0" borderId="2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7" fontId="8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5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7" fontId="20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2" fontId="20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3" borderId="0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7" fontId="7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top" textRotation="0" wrapText="true" indent="1" shrinkToFit="false"/>
      <protection locked="fals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293B4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DD1"/>
      <rgbColor rgb="FF808080"/>
      <rgbColor rgb="FF9999FF"/>
      <rgbColor rgb="FF993366"/>
      <rgbColor rgb="FFF2F3F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78"/>
      <rgbColor rgb="FF969696"/>
      <rgbColor rgb="FF003366"/>
      <rgbColor rgb="FF339966"/>
      <rgbColor rgb="FF003300"/>
      <rgbColor rgb="FF1E1E1E"/>
      <rgbColor rgb="FF993300"/>
      <rgbColor rgb="FF993366"/>
      <rgbColor rgb="FF333399"/>
      <rgbColor rgb="FF293B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worksheet" Target="worksheets/sheet33.xml"/><Relationship Id="rId36" Type="http://schemas.openxmlformats.org/officeDocument/2006/relationships/worksheet" Target="worksheets/sheet34.xml"/><Relationship Id="rId37" Type="http://schemas.openxmlformats.org/officeDocument/2006/relationships/worksheet" Target="worksheets/sheet35.xml"/><Relationship Id="rId3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CHEF_OPERATIONS_Recipe_Food_Cost_Calculator.xlsx" TargetMode="External"/><Relationship Id="rId2" Type="http://schemas.openxmlformats.org/officeDocument/2006/relationships/hyperlink" Target="CHEF_OPERATIONS_Recipe_Food_Cost_Calculator.xlsx" TargetMode="External"/><Relationship Id="rId3" Type="http://schemas.openxmlformats.org/officeDocument/2006/relationships/hyperlink" Target="CHEF_OPERATIONS_Recipe_Food_Cost_Calculator.xlsx" TargetMode="External"/><Relationship Id="rId4" Type="http://schemas.openxmlformats.org/officeDocument/2006/relationships/hyperlink" Target="CHEF_OPERATIONS_Recipe_Food_Cost_Calculator.xlsx" TargetMode="External"/><Relationship Id="rId5" Type="http://schemas.openxmlformats.org/officeDocument/2006/relationships/hyperlink" Target="CHEF_OPERATIONS_Recipe_Food_Cost_Calculator.xlsx" TargetMode="External"/><Relationship Id="rId6" Type="http://schemas.openxmlformats.org/officeDocument/2006/relationships/hyperlink" Target="CHEF_OPERATIONS_Recipe_Food_Cost_Calculator.xlsx" TargetMode="External"/><Relationship Id="rId7" Type="http://schemas.openxmlformats.org/officeDocument/2006/relationships/hyperlink" Target="CHEF_OPERATIONS_Recipe_Food_Cost_Calculator.xlsx" TargetMode="External"/><Relationship Id="rId8" Type="http://schemas.openxmlformats.org/officeDocument/2006/relationships/hyperlink" Target="CHEF_OPERATIONS_Recipe_Food_Cost_Calculator.xlsx" TargetMode="External"/><Relationship Id="rId9" Type="http://schemas.openxmlformats.org/officeDocument/2006/relationships/hyperlink" Target="CHEF_OPERATIONS_Recipe_Food_Cost_Calculator.xlsx" TargetMode="External"/><Relationship Id="rId10" Type="http://schemas.openxmlformats.org/officeDocument/2006/relationships/hyperlink" Target="CHEF_OPERATIONS_Recipe_Food_Cost_Calculator.xlsx" TargetMode="External"/><Relationship Id="rId11" Type="http://schemas.openxmlformats.org/officeDocument/2006/relationships/hyperlink" Target="CHEF_OPERATIONS_Recipe_Food_Cost_Calculator.xlsx" TargetMode="External"/><Relationship Id="rId12" Type="http://schemas.openxmlformats.org/officeDocument/2006/relationships/hyperlink" Target="CHEF_OPERATIONS_Recipe_Food_Cost_Calculator.xlsx" TargetMode="External"/><Relationship Id="rId13" Type="http://schemas.openxmlformats.org/officeDocument/2006/relationships/hyperlink" Target="CHEF_OPERATIONS_Recipe_Food_Cost_Calculator.xlsx" TargetMode="External"/><Relationship Id="rId14" Type="http://schemas.openxmlformats.org/officeDocument/2006/relationships/hyperlink" Target="CHEF_OPERATIONS_Recipe_Food_Cost_Calculator.xlsx" TargetMode="External"/><Relationship Id="rId15" Type="http://schemas.openxmlformats.org/officeDocument/2006/relationships/hyperlink" Target="CHEF_OPERATIONS_Recipe_Food_Cost_Calculator.xlsx" TargetMode="External"/><Relationship Id="rId16" Type="http://schemas.openxmlformats.org/officeDocument/2006/relationships/hyperlink" Target="CHEF_OPERATIONS_Recipe_Food_Cost_Calculator.xlsx" TargetMode="External"/><Relationship Id="rId17" Type="http://schemas.openxmlformats.org/officeDocument/2006/relationships/hyperlink" Target="CHEF_OPERATIONS_Recipe_Food_Cost_Calculator.xlsx" TargetMode="External"/><Relationship Id="rId18" Type="http://schemas.openxmlformats.org/officeDocument/2006/relationships/hyperlink" Target="CHEF_OPERATIONS_Recipe_Food_Cost_Calculator.xlsx" TargetMode="External"/><Relationship Id="rId19" Type="http://schemas.openxmlformats.org/officeDocument/2006/relationships/hyperlink" Target="CHEF_OPERATIONS_Recipe_Food_Cost_Calculator.xlsx" TargetMode="External"/><Relationship Id="rId20" Type="http://schemas.openxmlformats.org/officeDocument/2006/relationships/hyperlink" Target="CHEF_OPERATIONS_Recipe_Food_Cost_Calculator.xlsx" TargetMode="External"/><Relationship Id="rId21" Type="http://schemas.openxmlformats.org/officeDocument/2006/relationships/hyperlink" Target="CHEF_OPERATIONS_Recipe_Food_Cost_Calculator.xlsx" TargetMode="External"/><Relationship Id="rId22" Type="http://schemas.openxmlformats.org/officeDocument/2006/relationships/hyperlink" Target="CHEF_OPERATIONS_Recipe_Food_Cost_Calculator.xlsx" TargetMode="External"/><Relationship Id="rId23" Type="http://schemas.openxmlformats.org/officeDocument/2006/relationships/hyperlink" Target="CHEF_OPERATIONS_Recipe_Food_Cost_Calculator.xlsx" TargetMode="External"/><Relationship Id="rId24" Type="http://schemas.openxmlformats.org/officeDocument/2006/relationships/hyperlink" Target="CHEF_OPERATIONS_Recipe_Food_Cost_Calculator.xlsx" TargetMode="External"/><Relationship Id="rId25" Type="http://schemas.openxmlformats.org/officeDocument/2006/relationships/hyperlink" Target="CHEF_OPERATIONS_Recipe_Food_Cost_Calculator.xlsx" TargetMode="External"/><Relationship Id="rId26" Type="http://schemas.openxmlformats.org/officeDocument/2006/relationships/hyperlink" Target="CHEF_OPERATIONS_Recipe_Food_Cost_Calculator.xlsx" TargetMode="External"/><Relationship Id="rId27" Type="http://schemas.openxmlformats.org/officeDocument/2006/relationships/hyperlink" Target="CHEF_OPERATIONS_Recipe_Food_Cost_Calculator.xlsx" TargetMode="External"/><Relationship Id="rId28" Type="http://schemas.openxmlformats.org/officeDocument/2006/relationships/hyperlink" Target="CHEF_OPERATIONS_Recipe_Food_Cost_Calculator.xlsx" TargetMode="External"/><Relationship Id="rId29" Type="http://schemas.openxmlformats.org/officeDocument/2006/relationships/hyperlink" Target="CHEF_OPERATIONS_Recipe_Food_Cost_Calculator.xlsx" TargetMode="External"/><Relationship Id="rId30" Type="http://schemas.openxmlformats.org/officeDocument/2006/relationships/hyperlink" Target="CHEF_OPERATIONS_Recipe_Food_Cost_Calculator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4" min="4" style="0" width="16"/>
    <col collapsed="false" customWidth="true" hidden="false" outlineLevel="0" max="5" min="5" style="0" width="62"/>
  </cols>
  <sheetData>
    <row r="2" customFormat="false" ht="21.75" hidden="false" customHeight="true" outlineLevel="0" collapsed="false">
      <c r="B2" s="1" t="s">
        <v>0</v>
      </c>
      <c r="C2" s="2"/>
      <c r="D2" s="2"/>
      <c r="E2" s="3" t="s">
        <v>1</v>
      </c>
    </row>
    <row r="4" customFormat="false" ht="30" hidden="false" customHeight="true" outlineLevel="0" collapsed="false">
      <c r="B4" s="4" t="s">
        <v>2</v>
      </c>
    </row>
    <row r="5" customFormat="false" ht="15" hidden="false" customHeight="false" outlineLevel="0" collapsed="false">
      <c r="B5" s="5" t="s">
        <v>3</v>
      </c>
    </row>
    <row r="7" customFormat="false" ht="19.5" hidden="false" customHeight="true" outlineLevel="0" collapsed="false">
      <c r="B7" s="6" t="s">
        <v>4</v>
      </c>
      <c r="C7" s="7"/>
      <c r="D7" s="7"/>
      <c r="E7" s="7"/>
    </row>
    <row r="8" customFormat="false" ht="19.5" hidden="false" customHeight="true" outlineLevel="0" collapsed="false">
      <c r="C8" s="8" t="s">
        <v>5</v>
      </c>
      <c r="D8" s="9" t="s">
        <v>6</v>
      </c>
      <c r="E8" s="10" t="s">
        <v>7</v>
      </c>
    </row>
    <row r="9" customFormat="false" ht="19.5" hidden="false" customHeight="true" outlineLevel="0" collapsed="false">
      <c r="C9" s="8" t="s">
        <v>8</v>
      </c>
      <c r="D9" s="9" t="s">
        <v>9</v>
      </c>
      <c r="E9" s="10" t="s">
        <v>10</v>
      </c>
    </row>
    <row r="10" customFormat="false" ht="19.5" hidden="false" customHeight="true" outlineLevel="0" collapsed="false">
      <c r="C10" s="8" t="s">
        <v>11</v>
      </c>
      <c r="D10" s="11" t="n">
        <v>0.05</v>
      </c>
      <c r="E10" s="10" t="s">
        <v>12</v>
      </c>
    </row>
    <row r="11" customFormat="false" ht="19.5" hidden="false" customHeight="true" outlineLevel="0" collapsed="false">
      <c r="C11" s="8" t="s">
        <v>13</v>
      </c>
      <c r="D11" s="11" t="n">
        <v>0.28</v>
      </c>
      <c r="E11" s="10" t="s">
        <v>14</v>
      </c>
    </row>
    <row r="13" customFormat="false" ht="19.5" hidden="false" customHeight="true" outlineLevel="0" collapsed="false">
      <c r="B13" s="6" t="s">
        <v>15</v>
      </c>
      <c r="C13" s="7"/>
      <c r="D13" s="7"/>
      <c r="E13" s="7"/>
    </row>
    <row r="14" customFormat="false" ht="30" hidden="false" customHeight="true" outlineLevel="0" collapsed="false">
      <c r="B14" s="12" t="n">
        <v>1</v>
      </c>
      <c r="C14" s="8" t="s">
        <v>16</v>
      </c>
      <c r="D14" s="13" t="s">
        <v>17</v>
      </c>
      <c r="E14" s="13"/>
    </row>
    <row r="15" customFormat="false" ht="30" hidden="false" customHeight="true" outlineLevel="0" collapsed="false">
      <c r="B15" s="12" t="n">
        <v>2</v>
      </c>
      <c r="C15" s="8" t="s">
        <v>18</v>
      </c>
      <c r="D15" s="13" t="s">
        <v>19</v>
      </c>
      <c r="E15" s="13"/>
    </row>
    <row r="16" customFormat="false" ht="30" hidden="false" customHeight="true" outlineLevel="0" collapsed="false">
      <c r="B16" s="12" t="n">
        <v>3</v>
      </c>
      <c r="C16" s="8" t="s">
        <v>20</v>
      </c>
      <c r="D16" s="13" t="s">
        <v>21</v>
      </c>
      <c r="E16" s="13"/>
    </row>
    <row r="17" customFormat="false" ht="30" hidden="false" customHeight="true" outlineLevel="0" collapsed="false">
      <c r="B17" s="12" t="n">
        <v>4</v>
      </c>
      <c r="C17" s="8" t="s">
        <v>22</v>
      </c>
      <c r="D17" s="13" t="s">
        <v>23</v>
      </c>
      <c r="E17" s="13"/>
    </row>
    <row r="18" customFormat="false" ht="15" hidden="false" customHeight="false" outlineLevel="0" collapsed="false">
      <c r="C18" s="14" t="s">
        <v>24</v>
      </c>
    </row>
    <row r="20" customFormat="false" ht="19.5" hidden="false" customHeight="true" outlineLevel="0" collapsed="false">
      <c r="B20" s="6" t="s">
        <v>25</v>
      </c>
      <c r="C20" s="7"/>
      <c r="D20" s="7"/>
      <c r="E20" s="7"/>
    </row>
    <row r="21" customFormat="false" ht="19.5" hidden="false" customHeight="true" outlineLevel="0" collapsed="false">
      <c r="D21" s="15"/>
      <c r="E21" s="16" t="s">
        <v>26</v>
      </c>
    </row>
    <row r="22" customFormat="false" ht="19.5" hidden="false" customHeight="true" outlineLevel="0" collapsed="false">
      <c r="D22" s="17"/>
      <c r="E22" s="16" t="s">
        <v>27</v>
      </c>
    </row>
    <row r="23" customFormat="false" ht="19.5" hidden="false" customHeight="true" outlineLevel="0" collapsed="false">
      <c r="D23" s="18"/>
      <c r="E23" s="16" t="s">
        <v>28</v>
      </c>
    </row>
    <row r="25" customFormat="false" ht="19.5" hidden="false" customHeight="true" outlineLevel="0" collapsed="false">
      <c r="B25" s="6" t="s">
        <v>29</v>
      </c>
      <c r="C25" s="7"/>
      <c r="D25" s="7"/>
      <c r="E25" s="7"/>
    </row>
    <row r="26" customFormat="false" ht="30" hidden="false" customHeight="true" outlineLevel="0" collapsed="false">
      <c r="C26" s="8" t="s">
        <v>30</v>
      </c>
      <c r="D26" s="13" t="s">
        <v>31</v>
      </c>
      <c r="E26" s="13"/>
    </row>
    <row r="27" customFormat="false" ht="30" hidden="false" customHeight="true" outlineLevel="0" collapsed="false">
      <c r="C27" s="8" t="s">
        <v>32</v>
      </c>
      <c r="D27" s="13" t="s">
        <v>33</v>
      </c>
      <c r="E27" s="13"/>
    </row>
    <row r="28" customFormat="false" ht="30" hidden="false" customHeight="true" outlineLevel="0" collapsed="false">
      <c r="C28" s="8" t="s">
        <v>34</v>
      </c>
      <c r="D28" s="13" t="s">
        <v>35</v>
      </c>
      <c r="E28" s="13"/>
    </row>
    <row r="29" customFormat="false" ht="30" hidden="false" customHeight="true" outlineLevel="0" collapsed="false">
      <c r="C29" s="8" t="s">
        <v>36</v>
      </c>
      <c r="D29" s="13" t="s">
        <v>37</v>
      </c>
      <c r="E29" s="13"/>
    </row>
    <row r="30" customFormat="false" ht="30" hidden="false" customHeight="true" outlineLevel="0" collapsed="false">
      <c r="C30" s="8" t="s">
        <v>38</v>
      </c>
      <c r="D30" s="13" t="s">
        <v>39</v>
      </c>
      <c r="E30" s="13"/>
    </row>
    <row r="32" customFormat="false" ht="19.5" hidden="false" customHeight="true" outlineLevel="0" collapsed="false">
      <c r="B32" s="6" t="s">
        <v>40</v>
      </c>
      <c r="C32" s="7"/>
      <c r="D32" s="7"/>
      <c r="E32" s="7"/>
    </row>
    <row r="33" customFormat="false" ht="30" hidden="false" customHeight="true" outlineLevel="0" collapsed="false">
      <c r="C33" s="8" t="s">
        <v>41</v>
      </c>
      <c r="D33" s="13" t="s">
        <v>42</v>
      </c>
      <c r="E33" s="13"/>
    </row>
    <row r="34" customFormat="false" ht="30" hidden="false" customHeight="true" outlineLevel="0" collapsed="false">
      <c r="C34" s="8" t="s">
        <v>43</v>
      </c>
      <c r="D34" s="13" t="s">
        <v>44</v>
      </c>
      <c r="E34" s="13"/>
    </row>
    <row r="35" customFormat="false" ht="30" hidden="false" customHeight="true" outlineLevel="0" collapsed="false">
      <c r="C35" s="8" t="s">
        <v>45</v>
      </c>
      <c r="D35" s="13" t="s">
        <v>46</v>
      </c>
      <c r="E35" s="13"/>
    </row>
    <row r="37" customFormat="false" ht="19.5" hidden="false" customHeight="true" outlineLevel="0" collapsed="false">
      <c r="B37" s="6" t="s">
        <v>47</v>
      </c>
      <c r="C37" s="7"/>
      <c r="D37" s="7"/>
      <c r="E37" s="7"/>
    </row>
    <row r="38" customFormat="false" ht="30" hidden="false" customHeight="true" outlineLevel="0" collapsed="false">
      <c r="C38" s="8" t="s">
        <v>48</v>
      </c>
      <c r="D38" s="13" t="s">
        <v>49</v>
      </c>
      <c r="E38" s="13"/>
    </row>
    <row r="41" customFormat="false" ht="15" hidden="false" customHeight="false" outlineLevel="0" collapsed="false">
      <c r="B41" s="19" t="s">
        <v>50</v>
      </c>
    </row>
  </sheetData>
  <sheetProtection sheet="true"/>
  <mergeCells count="13">
    <mergeCell ref="D14:E14"/>
    <mergeCell ref="D15:E15"/>
    <mergeCell ref="D16:E16"/>
    <mergeCell ref="D17:E17"/>
    <mergeCell ref="D26:E26"/>
    <mergeCell ref="D27:E27"/>
    <mergeCell ref="D28:E28"/>
    <mergeCell ref="D29:E29"/>
    <mergeCell ref="D30:E30"/>
    <mergeCell ref="D33:E33"/>
    <mergeCell ref="D34:E34"/>
    <mergeCell ref="D35:E35"/>
    <mergeCell ref="D38:E38"/>
  </mergeCells>
  <dataValidations count="3">
    <dataValidation allowBlank="false" errorStyle="stop" operator="between" showDropDown="false" showErrorMessage="false" showInputMessage="false" sqref="D9" type="list">
      <formula1>"Yes,No"</formula1>
      <formula2>0</formula2>
    </dataValidation>
    <dataValidation allowBlank="false" error="Type a % between 0% and 50%." errorStyle="stop" operator="between" showDropDown="false" showErrorMessage="false" showInputMessage="false" sqref="D10" type="decimal">
      <formula1>0</formula1>
      <formula2>0.5</formula2>
    </dataValidation>
    <dataValidation allowBlank="false" error="Type a % between 1% and 100%." errorStyle="stop" operator="between" showDropDown="false" showErrorMessage="false" showInputMessage="false" sqref="D11" type="decimal">
      <formula1>0.01</formula1>
      <formula2>1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5"/>
    <col collapsed="false" customWidth="true" hidden="false" outlineLevel="0" max="4" min="4" style="0" width="18"/>
    <col collapsed="false" customWidth="true" hidden="false" outlineLevel="0" max="5" min="5" style="0" width="11"/>
    <col collapsed="false" customWidth="true" hidden="false" outlineLevel="0" max="6" min="6" style="0" width="7"/>
    <col collapsed="false" customWidth="true" hidden="false" outlineLevel="0" max="7" min="7" style="0" width="12"/>
    <col collapsed="false" customWidth="true" hidden="false" outlineLevel="0" max="8" min="8" style="0" width="9"/>
    <col collapsed="false" customWidth="true" hidden="false" outlineLevel="0" max="9" min="9" style="0" width="14"/>
    <col collapsed="false" customWidth="true" hidden="false" outlineLevel="0" max="10" min="10" style="0" width="13"/>
  </cols>
  <sheetData>
    <row r="2" customFormat="false" ht="21.75" hidden="false" customHeight="true" outlineLevel="0" collapsed="false">
      <c r="B2" s="1" t="s">
        <v>51</v>
      </c>
      <c r="C2" s="2"/>
      <c r="D2" s="2"/>
      <c r="E2" s="2"/>
      <c r="F2" s="2"/>
      <c r="G2" s="2"/>
      <c r="H2" s="2"/>
      <c r="I2" s="2"/>
      <c r="J2" s="2"/>
    </row>
    <row r="3" customFormat="false" ht="25.5" hidden="false" customHeight="true" outlineLevel="0" collapsed="false">
      <c r="B3" s="20" t="s">
        <v>52</v>
      </c>
    </row>
    <row r="4" customFormat="false" ht="15" hidden="false" customHeight="false" outlineLevel="0" collapsed="false">
      <c r="B4" s="21" t="s">
        <v>53</v>
      </c>
    </row>
    <row r="5" customFormat="false" ht="30" hidden="false" customHeight="true" outlineLevel="0" collapsed="false">
      <c r="B5" s="22" t="s">
        <v>54</v>
      </c>
      <c r="C5" s="22" t="s">
        <v>55</v>
      </c>
      <c r="D5" s="22" t="s">
        <v>56</v>
      </c>
      <c r="E5" s="23" t="s">
        <v>57</v>
      </c>
      <c r="F5" s="23" t="s">
        <v>58</v>
      </c>
      <c r="G5" s="23" t="str">
        <f aca="false">"Pack Price ("&amp;CURRENCY&amp;")"</f>
        <v>Pack Price ($)</v>
      </c>
      <c r="H5" s="23" t="s">
        <v>32</v>
      </c>
      <c r="I5" s="23" t="str">
        <f aca="false">"Cost per Unit ("&amp;CURRENCY&amp;")"</f>
        <v>Cost per Unit ($)</v>
      </c>
      <c r="J5" s="23" t="s">
        <v>59</v>
      </c>
    </row>
    <row r="6" customFormat="false" ht="18" hidden="false" customHeight="true" outlineLevel="0" collapsed="false">
      <c r="B6" s="24" t="s">
        <v>60</v>
      </c>
      <c r="C6" s="24" t="s">
        <v>61</v>
      </c>
      <c r="D6" s="24" t="s">
        <v>62</v>
      </c>
      <c r="E6" s="25" t="n">
        <v>25000</v>
      </c>
      <c r="F6" s="26" t="s">
        <v>63</v>
      </c>
      <c r="G6" s="27" t="n">
        <v>30</v>
      </c>
      <c r="H6" s="28"/>
      <c r="I6" s="29" t="n">
        <f aca="false">IF(OR(B6="",N(E6)=0,G6=""),"",G6/(E6*IF(N(H6)=0,1,H6)))</f>
        <v>0.0012</v>
      </c>
      <c r="J6" s="30" t="n">
        <v>46312</v>
      </c>
    </row>
    <row r="7" customFormat="false" ht="18" hidden="false" customHeight="true" outlineLevel="0" collapsed="false">
      <c r="B7" s="24" t="s">
        <v>64</v>
      </c>
      <c r="C7" s="24" t="s">
        <v>61</v>
      </c>
      <c r="D7" s="24" t="s">
        <v>62</v>
      </c>
      <c r="E7" s="25" t="n">
        <v>500</v>
      </c>
      <c r="F7" s="26" t="s">
        <v>63</v>
      </c>
      <c r="G7" s="27" t="n">
        <v>10</v>
      </c>
      <c r="H7" s="28"/>
      <c r="I7" s="29" t="n">
        <f aca="false">IF(OR(B7="",N(E7)=0,G7=""),"",G7/(E7*IF(N(H7)=0,1,H7)))</f>
        <v>0.02</v>
      </c>
      <c r="J7" s="30" t="n">
        <v>46312</v>
      </c>
    </row>
    <row r="8" customFormat="false" ht="18" hidden="false" customHeight="true" outlineLevel="0" collapsed="false">
      <c r="B8" s="24" t="s">
        <v>65</v>
      </c>
      <c r="C8" s="24" t="s">
        <v>61</v>
      </c>
      <c r="D8" s="24" t="s">
        <v>62</v>
      </c>
      <c r="E8" s="25" t="n">
        <v>1000</v>
      </c>
      <c r="F8" s="26" t="s">
        <v>63</v>
      </c>
      <c r="G8" s="27" t="n">
        <v>1</v>
      </c>
      <c r="H8" s="28"/>
      <c r="I8" s="29" t="n">
        <f aca="false">IF(OR(B8="",N(E8)=0,G8=""),"",G8/(E8*IF(N(H8)=0,1,H8)))</f>
        <v>0.001</v>
      </c>
      <c r="J8" s="30" t="n">
        <v>46312</v>
      </c>
    </row>
    <row r="9" customFormat="false" ht="18" hidden="false" customHeight="true" outlineLevel="0" collapsed="false">
      <c r="B9" s="24" t="s">
        <v>66</v>
      </c>
      <c r="C9" s="24" t="s">
        <v>61</v>
      </c>
      <c r="D9" s="24" t="s">
        <v>62</v>
      </c>
      <c r="E9" s="25" t="n">
        <v>1000</v>
      </c>
      <c r="F9" s="26" t="s">
        <v>63</v>
      </c>
      <c r="G9" s="27" t="n">
        <v>2</v>
      </c>
      <c r="H9" s="28"/>
      <c r="I9" s="29" t="n">
        <f aca="false">IF(OR(B9="",N(E9)=0,G9=""),"",G9/(E9*IF(N(H9)=0,1,H9)))</f>
        <v>0.002</v>
      </c>
      <c r="J9" s="30" t="n">
        <v>46312</v>
      </c>
    </row>
    <row r="10" customFormat="false" ht="18" hidden="false" customHeight="true" outlineLevel="0" collapsed="false">
      <c r="B10" s="24" t="s">
        <v>67</v>
      </c>
      <c r="C10" s="24" t="s">
        <v>61</v>
      </c>
      <c r="D10" s="24" t="s">
        <v>62</v>
      </c>
      <c r="E10" s="25" t="n">
        <v>500</v>
      </c>
      <c r="F10" s="26" t="s">
        <v>63</v>
      </c>
      <c r="G10" s="27" t="n">
        <v>8</v>
      </c>
      <c r="H10" s="28"/>
      <c r="I10" s="29" t="n">
        <f aca="false">IF(OR(B10="",N(E10)=0,G10=""),"",G10/(E10*IF(N(H10)=0,1,H10)))</f>
        <v>0.016</v>
      </c>
      <c r="J10" s="30" t="n">
        <v>46312</v>
      </c>
    </row>
    <row r="11" customFormat="false" ht="18" hidden="false" customHeight="true" outlineLevel="0" collapsed="false">
      <c r="B11" s="24" t="s">
        <v>68</v>
      </c>
      <c r="C11" s="24" t="s">
        <v>69</v>
      </c>
      <c r="D11" s="24" t="s">
        <v>62</v>
      </c>
      <c r="E11" s="25" t="n">
        <v>5000</v>
      </c>
      <c r="F11" s="26" t="s">
        <v>70</v>
      </c>
      <c r="G11" s="27" t="n">
        <v>50</v>
      </c>
      <c r="H11" s="28"/>
      <c r="I11" s="29" t="n">
        <f aca="false">IF(OR(B11="",N(E11)=0,G11=""),"",G11/(E11*IF(N(H11)=0,1,H11)))</f>
        <v>0.01</v>
      </c>
      <c r="J11" s="30" t="n">
        <v>46312</v>
      </c>
    </row>
    <row r="12" customFormat="false" ht="18" hidden="false" customHeight="true" outlineLevel="0" collapsed="false">
      <c r="B12" s="24" t="s">
        <v>71</v>
      </c>
      <c r="C12" s="24" t="s">
        <v>72</v>
      </c>
      <c r="D12" s="24" t="s">
        <v>62</v>
      </c>
      <c r="E12" s="25" t="n">
        <v>1000</v>
      </c>
      <c r="F12" s="26" t="s">
        <v>70</v>
      </c>
      <c r="G12" s="27" t="n">
        <v>0</v>
      </c>
      <c r="H12" s="28"/>
      <c r="I12" s="29" t="n">
        <f aca="false">IF(OR(B12="",N(E12)=0,G12=""),"",G12/(E12*IF(N(H12)=0,1,H12)))</f>
        <v>0</v>
      </c>
      <c r="J12" s="30" t="n">
        <v>46312</v>
      </c>
    </row>
    <row r="13" customFormat="false" ht="18" hidden="false" customHeight="true" outlineLevel="0" collapsed="false">
      <c r="B13" s="24" t="s">
        <v>73</v>
      </c>
      <c r="C13" s="24" t="s">
        <v>74</v>
      </c>
      <c r="D13" s="24" t="s">
        <v>62</v>
      </c>
      <c r="E13" s="25" t="n">
        <v>2550</v>
      </c>
      <c r="F13" s="26" t="s">
        <v>63</v>
      </c>
      <c r="G13" s="27" t="n">
        <v>9</v>
      </c>
      <c r="H13" s="28"/>
      <c r="I13" s="29" t="n">
        <f aca="false">IF(OR(B13="",N(E13)=0,G13=""),"",G13/(E13*IF(N(H13)=0,1,H13)))</f>
        <v>0.00352941176470588</v>
      </c>
      <c r="J13" s="30" t="n">
        <v>46312</v>
      </c>
    </row>
    <row r="14" customFormat="false" ht="18" hidden="false" customHeight="true" outlineLevel="0" collapsed="false">
      <c r="B14" s="24" t="s">
        <v>75</v>
      </c>
      <c r="C14" s="24" t="s">
        <v>76</v>
      </c>
      <c r="D14" s="24" t="s">
        <v>62</v>
      </c>
      <c r="E14" s="25" t="n">
        <v>1000</v>
      </c>
      <c r="F14" s="26" t="s">
        <v>63</v>
      </c>
      <c r="G14" s="27" t="n">
        <v>6</v>
      </c>
      <c r="H14" s="28" t="n">
        <v>0.85</v>
      </c>
      <c r="I14" s="29" t="n">
        <f aca="false">IF(OR(B14="",N(E14)=0,G14=""),"",G14/(E14*IF(N(H14)=0,1,H14)))</f>
        <v>0.00705882352941177</v>
      </c>
      <c r="J14" s="30" t="n">
        <v>46312</v>
      </c>
    </row>
    <row r="15" customFormat="false" ht="18" hidden="false" customHeight="true" outlineLevel="0" collapsed="false">
      <c r="B15" s="24" t="s">
        <v>77</v>
      </c>
      <c r="C15" s="24" t="s">
        <v>78</v>
      </c>
      <c r="D15" s="24" t="s">
        <v>62</v>
      </c>
      <c r="E15" s="25" t="n">
        <v>250</v>
      </c>
      <c r="F15" s="26" t="s">
        <v>63</v>
      </c>
      <c r="G15" s="27" t="n">
        <v>12</v>
      </c>
      <c r="H15" s="28" t="n">
        <v>0.8</v>
      </c>
      <c r="I15" s="29" t="n">
        <f aca="false">IF(OR(B15="",N(E15)=0,G15=""),"",G15/(E15*IF(N(H15)=0,1,H15)))</f>
        <v>0.06</v>
      </c>
      <c r="J15" s="30" t="n">
        <v>46312</v>
      </c>
    </row>
    <row r="16" customFormat="false" ht="18" hidden="false" customHeight="true" outlineLevel="0" collapsed="false">
      <c r="B16" s="24" t="s">
        <v>79</v>
      </c>
      <c r="C16" s="24" t="s">
        <v>80</v>
      </c>
      <c r="D16" s="24" t="s">
        <v>62</v>
      </c>
      <c r="E16" s="25" t="n">
        <v>2000</v>
      </c>
      <c r="F16" s="26" t="s">
        <v>63</v>
      </c>
      <c r="G16" s="27" t="n">
        <v>30</v>
      </c>
      <c r="H16" s="28"/>
      <c r="I16" s="29" t="n">
        <f aca="false">IF(OR(B16="",N(E16)=0,G16=""),"",G16/(E16*IF(N(H16)=0,1,H16)))</f>
        <v>0.015</v>
      </c>
      <c r="J16" s="30" t="n">
        <v>46312</v>
      </c>
    </row>
    <row r="17" customFormat="false" ht="18" hidden="false" customHeight="true" outlineLevel="0" collapsed="false">
      <c r="B17" s="24" t="s">
        <v>81</v>
      </c>
      <c r="C17" s="24" t="s">
        <v>80</v>
      </c>
      <c r="D17" s="24" t="s">
        <v>62</v>
      </c>
      <c r="E17" s="25" t="n">
        <v>1000</v>
      </c>
      <c r="F17" s="26" t="s">
        <v>63</v>
      </c>
      <c r="G17" s="27" t="n">
        <v>28</v>
      </c>
      <c r="H17" s="28"/>
      <c r="I17" s="29" t="n">
        <f aca="false">IF(OR(B17="",N(E17)=0,G17=""),"",G17/(E17*IF(N(H17)=0,1,H17)))</f>
        <v>0.028</v>
      </c>
      <c r="J17" s="30" t="n">
        <v>46312</v>
      </c>
    </row>
    <row r="18" customFormat="false" ht="18" hidden="false" customHeight="true" outlineLevel="0" collapsed="false">
      <c r="B18" s="24" t="s">
        <v>82</v>
      </c>
      <c r="C18" s="24" t="s">
        <v>80</v>
      </c>
      <c r="D18" s="24" t="s">
        <v>62</v>
      </c>
      <c r="E18" s="25" t="n">
        <v>30</v>
      </c>
      <c r="F18" s="26" t="s">
        <v>83</v>
      </c>
      <c r="G18" s="27" t="n">
        <v>9</v>
      </c>
      <c r="H18" s="28"/>
      <c r="I18" s="29" t="n">
        <f aca="false">IF(OR(B18="",N(E18)=0,G18=""),"",G18/(E18*IF(N(H18)=0,1,H18)))</f>
        <v>0.3</v>
      </c>
      <c r="J18" s="30" t="n">
        <v>46312</v>
      </c>
    </row>
    <row r="19" customFormat="false" ht="18" hidden="false" customHeight="true" outlineLevel="0" collapsed="false">
      <c r="B19" s="24" t="s">
        <v>84</v>
      </c>
      <c r="C19" s="24" t="s">
        <v>85</v>
      </c>
      <c r="D19" s="24" t="s">
        <v>62</v>
      </c>
      <c r="E19" s="25" t="n">
        <v>1000</v>
      </c>
      <c r="F19" s="26" t="s">
        <v>63</v>
      </c>
      <c r="G19" s="27" t="n">
        <v>40</v>
      </c>
      <c r="H19" s="28" t="n">
        <v>0.85</v>
      </c>
      <c r="I19" s="29" t="n">
        <f aca="false">IF(OR(B19="",N(E19)=0,G19=""),"",G19/(E19*IF(N(H19)=0,1,H19)))</f>
        <v>0.0470588235294118</v>
      </c>
      <c r="J19" s="30" t="n">
        <v>46312</v>
      </c>
    </row>
    <row r="20" customFormat="false" ht="18" hidden="false" customHeight="true" outlineLevel="0" collapsed="false">
      <c r="B20" s="24" t="s">
        <v>86</v>
      </c>
      <c r="C20" s="24" t="s">
        <v>87</v>
      </c>
      <c r="D20" s="24" t="s">
        <v>62</v>
      </c>
      <c r="E20" s="25" t="n">
        <v>5000</v>
      </c>
      <c r="F20" s="26" t="s">
        <v>63</v>
      </c>
      <c r="G20" s="27" t="n">
        <v>175</v>
      </c>
      <c r="H20" s="28" t="n">
        <v>0.9</v>
      </c>
      <c r="I20" s="29" t="n">
        <f aca="false">IF(OR(B20="",N(E20)=0,G20=""),"",G20/(E20*IF(N(H20)=0,1,H20)))</f>
        <v>0.0388888888888889</v>
      </c>
      <c r="J20" s="30" t="n">
        <v>46312</v>
      </c>
    </row>
    <row r="21" customFormat="false" ht="18" hidden="false" customHeight="true" outlineLevel="0" collapsed="false">
      <c r="B21" s="24"/>
      <c r="C21" s="24"/>
      <c r="D21" s="24"/>
      <c r="E21" s="25"/>
      <c r="F21" s="26"/>
      <c r="G21" s="27"/>
      <c r="H21" s="28"/>
      <c r="I21" s="29" t="str">
        <f aca="false">IF(OR(B21="",N(E21)=0,G21=""),"",G21/(E21*IF(N(H21)=0,1,H21)))</f>
        <v/>
      </c>
      <c r="J21" s="30"/>
    </row>
    <row r="22" customFormat="false" ht="18" hidden="false" customHeight="true" outlineLevel="0" collapsed="false">
      <c r="B22" s="24"/>
      <c r="C22" s="24"/>
      <c r="D22" s="24"/>
      <c r="E22" s="25"/>
      <c r="F22" s="26"/>
      <c r="G22" s="27"/>
      <c r="H22" s="28"/>
      <c r="I22" s="29" t="str">
        <f aca="false">IF(OR(B22="",N(E22)=0,G22=""),"",G22/(E22*IF(N(H22)=0,1,H22)))</f>
        <v/>
      </c>
      <c r="J22" s="30"/>
    </row>
    <row r="23" customFormat="false" ht="18" hidden="false" customHeight="true" outlineLevel="0" collapsed="false">
      <c r="B23" s="24"/>
      <c r="C23" s="24"/>
      <c r="D23" s="24"/>
      <c r="E23" s="25"/>
      <c r="F23" s="26"/>
      <c r="G23" s="27"/>
      <c r="H23" s="28"/>
      <c r="I23" s="29" t="str">
        <f aca="false">IF(OR(B23="",N(E23)=0,G23=""),"",G23/(E23*IF(N(H23)=0,1,H23)))</f>
        <v/>
      </c>
      <c r="J23" s="30"/>
    </row>
    <row r="24" customFormat="false" ht="18" hidden="false" customHeight="true" outlineLevel="0" collapsed="false">
      <c r="B24" s="24"/>
      <c r="C24" s="24"/>
      <c r="D24" s="24"/>
      <c r="E24" s="25"/>
      <c r="F24" s="26"/>
      <c r="G24" s="27"/>
      <c r="H24" s="28"/>
      <c r="I24" s="29" t="str">
        <f aca="false">IF(OR(B24="",N(E24)=0,G24=""),"",G24/(E24*IF(N(H24)=0,1,H24)))</f>
        <v/>
      </c>
      <c r="J24" s="30"/>
    </row>
    <row r="25" customFormat="false" ht="18" hidden="false" customHeight="true" outlineLevel="0" collapsed="false">
      <c r="B25" s="24"/>
      <c r="C25" s="24"/>
      <c r="D25" s="24"/>
      <c r="E25" s="25"/>
      <c r="F25" s="26"/>
      <c r="G25" s="27"/>
      <c r="H25" s="28"/>
      <c r="I25" s="29" t="str">
        <f aca="false">IF(OR(B25="",N(E25)=0,G25=""),"",G25/(E25*IF(N(H25)=0,1,H25)))</f>
        <v/>
      </c>
      <c r="J25" s="30"/>
    </row>
    <row r="26" customFormat="false" ht="18" hidden="false" customHeight="true" outlineLevel="0" collapsed="false">
      <c r="B26" s="24"/>
      <c r="C26" s="24"/>
      <c r="D26" s="24"/>
      <c r="E26" s="25"/>
      <c r="F26" s="26"/>
      <c r="G26" s="27"/>
      <c r="H26" s="28"/>
      <c r="I26" s="29" t="str">
        <f aca="false">IF(OR(B26="",N(E26)=0,G26=""),"",G26/(E26*IF(N(H26)=0,1,H26)))</f>
        <v/>
      </c>
      <c r="J26" s="30"/>
    </row>
    <row r="27" customFormat="false" ht="18" hidden="false" customHeight="true" outlineLevel="0" collapsed="false">
      <c r="B27" s="24"/>
      <c r="C27" s="24"/>
      <c r="D27" s="24"/>
      <c r="E27" s="25"/>
      <c r="F27" s="26"/>
      <c r="G27" s="27"/>
      <c r="H27" s="28"/>
      <c r="I27" s="29" t="str">
        <f aca="false">IF(OR(B27="",N(E27)=0,G27=""),"",G27/(E27*IF(N(H27)=0,1,H27)))</f>
        <v/>
      </c>
      <c r="J27" s="30"/>
    </row>
    <row r="28" customFormat="false" ht="18" hidden="false" customHeight="true" outlineLevel="0" collapsed="false">
      <c r="B28" s="24"/>
      <c r="C28" s="24"/>
      <c r="D28" s="24"/>
      <c r="E28" s="25"/>
      <c r="F28" s="26"/>
      <c r="G28" s="27"/>
      <c r="H28" s="28"/>
      <c r="I28" s="29" t="str">
        <f aca="false">IF(OR(B28="",N(E28)=0,G28=""),"",G28/(E28*IF(N(H28)=0,1,H28)))</f>
        <v/>
      </c>
      <c r="J28" s="30"/>
    </row>
    <row r="29" customFormat="false" ht="18" hidden="false" customHeight="true" outlineLevel="0" collapsed="false">
      <c r="B29" s="24"/>
      <c r="C29" s="24"/>
      <c r="D29" s="24"/>
      <c r="E29" s="25"/>
      <c r="F29" s="26"/>
      <c r="G29" s="27"/>
      <c r="H29" s="28"/>
      <c r="I29" s="29" t="str">
        <f aca="false">IF(OR(B29="",N(E29)=0,G29=""),"",G29/(E29*IF(N(H29)=0,1,H29)))</f>
        <v/>
      </c>
      <c r="J29" s="30"/>
    </row>
    <row r="30" customFormat="false" ht="18" hidden="false" customHeight="true" outlineLevel="0" collapsed="false">
      <c r="B30" s="24"/>
      <c r="C30" s="24"/>
      <c r="D30" s="24"/>
      <c r="E30" s="25"/>
      <c r="F30" s="26"/>
      <c r="G30" s="27"/>
      <c r="H30" s="28"/>
      <c r="I30" s="29" t="str">
        <f aca="false">IF(OR(B30="",N(E30)=0,G30=""),"",G30/(E30*IF(N(H30)=0,1,H30)))</f>
        <v/>
      </c>
      <c r="J30" s="30"/>
    </row>
    <row r="31" customFormat="false" ht="18" hidden="false" customHeight="true" outlineLevel="0" collapsed="false">
      <c r="B31" s="24"/>
      <c r="C31" s="24"/>
      <c r="D31" s="24"/>
      <c r="E31" s="25"/>
      <c r="F31" s="26"/>
      <c r="G31" s="27"/>
      <c r="H31" s="28"/>
      <c r="I31" s="29" t="str">
        <f aca="false">IF(OR(B31="",N(E31)=0,G31=""),"",G31/(E31*IF(N(H31)=0,1,H31)))</f>
        <v/>
      </c>
      <c r="J31" s="30"/>
    </row>
    <row r="32" customFormat="false" ht="18" hidden="false" customHeight="true" outlineLevel="0" collapsed="false">
      <c r="B32" s="24"/>
      <c r="C32" s="24"/>
      <c r="D32" s="24"/>
      <c r="E32" s="25"/>
      <c r="F32" s="26"/>
      <c r="G32" s="27"/>
      <c r="H32" s="28"/>
      <c r="I32" s="29" t="str">
        <f aca="false">IF(OR(B32="",N(E32)=0,G32=""),"",G32/(E32*IF(N(H32)=0,1,H32)))</f>
        <v/>
      </c>
      <c r="J32" s="30"/>
    </row>
    <row r="33" customFormat="false" ht="18" hidden="false" customHeight="true" outlineLevel="0" collapsed="false">
      <c r="B33" s="24"/>
      <c r="C33" s="24"/>
      <c r="D33" s="24"/>
      <c r="E33" s="25"/>
      <c r="F33" s="26"/>
      <c r="G33" s="27"/>
      <c r="H33" s="28"/>
      <c r="I33" s="29" t="str">
        <f aca="false">IF(OR(B33="",N(E33)=0,G33=""),"",G33/(E33*IF(N(H33)=0,1,H33)))</f>
        <v/>
      </c>
      <c r="J33" s="30"/>
    </row>
    <row r="34" customFormat="false" ht="18" hidden="false" customHeight="true" outlineLevel="0" collapsed="false">
      <c r="B34" s="24"/>
      <c r="C34" s="24"/>
      <c r="D34" s="24"/>
      <c r="E34" s="25"/>
      <c r="F34" s="26"/>
      <c r="G34" s="27"/>
      <c r="H34" s="28"/>
      <c r="I34" s="29" t="str">
        <f aca="false">IF(OR(B34="",N(E34)=0,G34=""),"",G34/(E34*IF(N(H34)=0,1,H34)))</f>
        <v/>
      </c>
      <c r="J34" s="30"/>
    </row>
    <row r="35" customFormat="false" ht="18" hidden="false" customHeight="true" outlineLevel="0" collapsed="false">
      <c r="B35" s="24"/>
      <c r="C35" s="24"/>
      <c r="D35" s="24"/>
      <c r="E35" s="25"/>
      <c r="F35" s="26"/>
      <c r="G35" s="27"/>
      <c r="H35" s="28"/>
      <c r="I35" s="29" t="str">
        <f aca="false">IF(OR(B35="",N(E35)=0,G35=""),"",G35/(E35*IF(N(H35)=0,1,H35)))</f>
        <v/>
      </c>
      <c r="J35" s="30"/>
    </row>
    <row r="36" customFormat="false" ht="18" hidden="false" customHeight="true" outlineLevel="0" collapsed="false">
      <c r="B36" s="24"/>
      <c r="C36" s="24"/>
      <c r="D36" s="24"/>
      <c r="E36" s="25"/>
      <c r="F36" s="26"/>
      <c r="G36" s="27"/>
      <c r="H36" s="28"/>
      <c r="I36" s="29" t="str">
        <f aca="false">IF(OR(B36="",N(E36)=0,G36=""),"",G36/(E36*IF(N(H36)=0,1,H36)))</f>
        <v/>
      </c>
      <c r="J36" s="30"/>
    </row>
    <row r="37" customFormat="false" ht="18" hidden="false" customHeight="true" outlineLevel="0" collapsed="false">
      <c r="B37" s="24"/>
      <c r="C37" s="24"/>
      <c r="D37" s="24"/>
      <c r="E37" s="25"/>
      <c r="F37" s="26"/>
      <c r="G37" s="27"/>
      <c r="H37" s="28"/>
      <c r="I37" s="29" t="str">
        <f aca="false">IF(OR(B37="",N(E37)=0,G37=""),"",G37/(E37*IF(N(H37)=0,1,H37)))</f>
        <v/>
      </c>
      <c r="J37" s="30"/>
    </row>
    <row r="38" customFormat="false" ht="18" hidden="false" customHeight="true" outlineLevel="0" collapsed="false">
      <c r="B38" s="24"/>
      <c r="C38" s="24"/>
      <c r="D38" s="24"/>
      <c r="E38" s="25"/>
      <c r="F38" s="26"/>
      <c r="G38" s="27"/>
      <c r="H38" s="28"/>
      <c r="I38" s="29" t="str">
        <f aca="false">IF(OR(B38="",N(E38)=0,G38=""),"",G38/(E38*IF(N(H38)=0,1,H38)))</f>
        <v/>
      </c>
      <c r="J38" s="30"/>
    </row>
    <row r="39" customFormat="false" ht="18" hidden="false" customHeight="true" outlineLevel="0" collapsed="false">
      <c r="B39" s="24"/>
      <c r="C39" s="24"/>
      <c r="D39" s="24"/>
      <c r="E39" s="25"/>
      <c r="F39" s="26"/>
      <c r="G39" s="27"/>
      <c r="H39" s="28"/>
      <c r="I39" s="29" t="str">
        <f aca="false">IF(OR(B39="",N(E39)=0,G39=""),"",G39/(E39*IF(N(H39)=0,1,H39)))</f>
        <v/>
      </c>
      <c r="J39" s="30"/>
    </row>
    <row r="40" customFormat="false" ht="18" hidden="false" customHeight="true" outlineLevel="0" collapsed="false">
      <c r="B40" s="24"/>
      <c r="C40" s="24"/>
      <c r="D40" s="24"/>
      <c r="E40" s="25"/>
      <c r="F40" s="26"/>
      <c r="G40" s="27"/>
      <c r="H40" s="28"/>
      <c r="I40" s="29" t="str">
        <f aca="false">IF(OR(B40="",N(E40)=0,G40=""),"",G40/(E40*IF(N(H40)=0,1,H40)))</f>
        <v/>
      </c>
      <c r="J40" s="30"/>
    </row>
    <row r="41" customFormat="false" ht="18" hidden="false" customHeight="true" outlineLevel="0" collapsed="false">
      <c r="B41" s="24"/>
      <c r="C41" s="24"/>
      <c r="D41" s="24"/>
      <c r="E41" s="25"/>
      <c r="F41" s="26"/>
      <c r="G41" s="27"/>
      <c r="H41" s="28"/>
      <c r="I41" s="29" t="str">
        <f aca="false">IF(OR(B41="",N(E41)=0,G41=""),"",G41/(E41*IF(N(H41)=0,1,H41)))</f>
        <v/>
      </c>
      <c r="J41" s="30"/>
    </row>
    <row r="42" customFormat="false" ht="18" hidden="false" customHeight="true" outlineLevel="0" collapsed="false">
      <c r="B42" s="24"/>
      <c r="C42" s="24"/>
      <c r="D42" s="24"/>
      <c r="E42" s="25"/>
      <c r="F42" s="26"/>
      <c r="G42" s="27"/>
      <c r="H42" s="28"/>
      <c r="I42" s="29" t="str">
        <f aca="false">IF(OR(B42="",N(E42)=0,G42=""),"",G42/(E42*IF(N(H42)=0,1,H42)))</f>
        <v/>
      </c>
      <c r="J42" s="30"/>
    </row>
    <row r="43" customFormat="false" ht="18" hidden="false" customHeight="true" outlineLevel="0" collapsed="false">
      <c r="B43" s="24"/>
      <c r="C43" s="24"/>
      <c r="D43" s="24"/>
      <c r="E43" s="25"/>
      <c r="F43" s="26"/>
      <c r="G43" s="27"/>
      <c r="H43" s="28"/>
      <c r="I43" s="29" t="str">
        <f aca="false">IF(OR(B43="",N(E43)=0,G43=""),"",G43/(E43*IF(N(H43)=0,1,H43)))</f>
        <v/>
      </c>
      <c r="J43" s="30"/>
    </row>
    <row r="44" customFormat="false" ht="18" hidden="false" customHeight="true" outlineLevel="0" collapsed="false">
      <c r="B44" s="24"/>
      <c r="C44" s="24"/>
      <c r="D44" s="24"/>
      <c r="E44" s="25"/>
      <c r="F44" s="26"/>
      <c r="G44" s="27"/>
      <c r="H44" s="28"/>
      <c r="I44" s="29" t="str">
        <f aca="false">IF(OR(B44="",N(E44)=0,G44=""),"",G44/(E44*IF(N(H44)=0,1,H44)))</f>
        <v/>
      </c>
      <c r="J44" s="30"/>
    </row>
    <row r="45" customFormat="false" ht="18" hidden="false" customHeight="true" outlineLevel="0" collapsed="false">
      <c r="B45" s="24"/>
      <c r="C45" s="24"/>
      <c r="D45" s="24"/>
      <c r="E45" s="25"/>
      <c r="F45" s="26"/>
      <c r="G45" s="27"/>
      <c r="H45" s="28"/>
      <c r="I45" s="29" t="str">
        <f aca="false">IF(OR(B45="",N(E45)=0,G45=""),"",G45/(E45*IF(N(H45)=0,1,H45)))</f>
        <v/>
      </c>
      <c r="J45" s="30"/>
    </row>
    <row r="46" customFormat="false" ht="18" hidden="false" customHeight="true" outlineLevel="0" collapsed="false">
      <c r="B46" s="24"/>
      <c r="C46" s="24"/>
      <c r="D46" s="24"/>
      <c r="E46" s="25"/>
      <c r="F46" s="26"/>
      <c r="G46" s="27"/>
      <c r="H46" s="28"/>
      <c r="I46" s="29" t="str">
        <f aca="false">IF(OR(B46="",N(E46)=0,G46=""),"",G46/(E46*IF(N(H46)=0,1,H46)))</f>
        <v/>
      </c>
      <c r="J46" s="30"/>
    </row>
    <row r="47" customFormat="false" ht="18" hidden="false" customHeight="true" outlineLevel="0" collapsed="false">
      <c r="B47" s="24"/>
      <c r="C47" s="24"/>
      <c r="D47" s="24"/>
      <c r="E47" s="25"/>
      <c r="F47" s="26"/>
      <c r="G47" s="27"/>
      <c r="H47" s="28"/>
      <c r="I47" s="29" t="str">
        <f aca="false">IF(OR(B47="",N(E47)=0,G47=""),"",G47/(E47*IF(N(H47)=0,1,H47)))</f>
        <v/>
      </c>
      <c r="J47" s="30"/>
    </row>
    <row r="48" customFormat="false" ht="18" hidden="false" customHeight="true" outlineLevel="0" collapsed="false">
      <c r="B48" s="24"/>
      <c r="C48" s="24"/>
      <c r="D48" s="24"/>
      <c r="E48" s="25"/>
      <c r="F48" s="26"/>
      <c r="G48" s="27"/>
      <c r="H48" s="28"/>
      <c r="I48" s="29" t="str">
        <f aca="false">IF(OR(B48="",N(E48)=0,G48=""),"",G48/(E48*IF(N(H48)=0,1,H48)))</f>
        <v/>
      </c>
      <c r="J48" s="30"/>
    </row>
    <row r="49" customFormat="false" ht="18" hidden="false" customHeight="true" outlineLevel="0" collapsed="false">
      <c r="B49" s="24"/>
      <c r="C49" s="24"/>
      <c r="D49" s="24"/>
      <c r="E49" s="25"/>
      <c r="F49" s="26"/>
      <c r="G49" s="27"/>
      <c r="H49" s="28"/>
      <c r="I49" s="29" t="str">
        <f aca="false">IF(OR(B49="",N(E49)=0,G49=""),"",G49/(E49*IF(N(H49)=0,1,H49)))</f>
        <v/>
      </c>
      <c r="J49" s="30"/>
    </row>
    <row r="50" customFormat="false" ht="18" hidden="false" customHeight="true" outlineLevel="0" collapsed="false">
      <c r="B50" s="24"/>
      <c r="C50" s="24"/>
      <c r="D50" s="24"/>
      <c r="E50" s="25"/>
      <c r="F50" s="26"/>
      <c r="G50" s="27"/>
      <c r="H50" s="28"/>
      <c r="I50" s="29" t="str">
        <f aca="false">IF(OR(B50="",N(E50)=0,G50=""),"",G50/(E50*IF(N(H50)=0,1,H50)))</f>
        <v/>
      </c>
      <c r="J50" s="30"/>
    </row>
    <row r="51" customFormat="false" ht="18" hidden="false" customHeight="true" outlineLevel="0" collapsed="false">
      <c r="B51" s="24"/>
      <c r="C51" s="24"/>
      <c r="D51" s="24"/>
      <c r="E51" s="25"/>
      <c r="F51" s="26"/>
      <c r="G51" s="27"/>
      <c r="H51" s="28"/>
      <c r="I51" s="29" t="str">
        <f aca="false">IF(OR(B51="",N(E51)=0,G51=""),"",G51/(E51*IF(N(H51)=0,1,H51)))</f>
        <v/>
      </c>
      <c r="J51" s="30"/>
    </row>
    <row r="52" customFormat="false" ht="18" hidden="false" customHeight="true" outlineLevel="0" collapsed="false">
      <c r="B52" s="24"/>
      <c r="C52" s="24"/>
      <c r="D52" s="24"/>
      <c r="E52" s="25"/>
      <c r="F52" s="26"/>
      <c r="G52" s="27"/>
      <c r="H52" s="28"/>
      <c r="I52" s="29" t="str">
        <f aca="false">IF(OR(B52="",N(E52)=0,G52=""),"",G52/(E52*IF(N(H52)=0,1,H52)))</f>
        <v/>
      </c>
      <c r="J52" s="30"/>
    </row>
    <row r="53" customFormat="false" ht="18" hidden="false" customHeight="true" outlineLevel="0" collapsed="false">
      <c r="B53" s="24"/>
      <c r="C53" s="24"/>
      <c r="D53" s="24"/>
      <c r="E53" s="25"/>
      <c r="F53" s="26"/>
      <c r="G53" s="27"/>
      <c r="H53" s="28"/>
      <c r="I53" s="29" t="str">
        <f aca="false">IF(OR(B53="",N(E53)=0,G53=""),"",G53/(E53*IF(N(H53)=0,1,H53)))</f>
        <v/>
      </c>
      <c r="J53" s="30"/>
    </row>
    <row r="54" customFormat="false" ht="18" hidden="false" customHeight="true" outlineLevel="0" collapsed="false">
      <c r="B54" s="24"/>
      <c r="C54" s="24"/>
      <c r="D54" s="24"/>
      <c r="E54" s="25"/>
      <c r="F54" s="26"/>
      <c r="G54" s="27"/>
      <c r="H54" s="28"/>
      <c r="I54" s="29" t="str">
        <f aca="false">IF(OR(B54="",N(E54)=0,G54=""),"",G54/(E54*IF(N(H54)=0,1,H54)))</f>
        <v/>
      </c>
      <c r="J54" s="30"/>
    </row>
    <row r="55" customFormat="false" ht="18" hidden="false" customHeight="true" outlineLevel="0" collapsed="false">
      <c r="B55" s="24"/>
      <c r="C55" s="24"/>
      <c r="D55" s="24"/>
      <c r="E55" s="25"/>
      <c r="F55" s="26"/>
      <c r="G55" s="27"/>
      <c r="H55" s="28"/>
      <c r="I55" s="29" t="str">
        <f aca="false">IF(OR(B55="",N(E55)=0,G55=""),"",G55/(E55*IF(N(H55)=0,1,H55)))</f>
        <v/>
      </c>
      <c r="J55" s="30"/>
    </row>
    <row r="56" customFormat="false" ht="18" hidden="false" customHeight="true" outlineLevel="0" collapsed="false">
      <c r="B56" s="24"/>
      <c r="C56" s="24"/>
      <c r="D56" s="24"/>
      <c r="E56" s="25"/>
      <c r="F56" s="26"/>
      <c r="G56" s="27"/>
      <c r="H56" s="28"/>
      <c r="I56" s="29" t="str">
        <f aca="false">IF(OR(B56="",N(E56)=0,G56=""),"",G56/(E56*IF(N(H56)=0,1,H56)))</f>
        <v/>
      </c>
      <c r="J56" s="30"/>
    </row>
    <row r="57" customFormat="false" ht="18" hidden="false" customHeight="true" outlineLevel="0" collapsed="false">
      <c r="B57" s="24"/>
      <c r="C57" s="24"/>
      <c r="D57" s="24"/>
      <c r="E57" s="25"/>
      <c r="F57" s="26"/>
      <c r="G57" s="27"/>
      <c r="H57" s="28"/>
      <c r="I57" s="29" t="str">
        <f aca="false">IF(OR(B57="",N(E57)=0,G57=""),"",G57/(E57*IF(N(H57)=0,1,H57)))</f>
        <v/>
      </c>
      <c r="J57" s="30"/>
    </row>
    <row r="58" customFormat="false" ht="18" hidden="false" customHeight="true" outlineLevel="0" collapsed="false">
      <c r="B58" s="24"/>
      <c r="C58" s="24"/>
      <c r="D58" s="24"/>
      <c r="E58" s="25"/>
      <c r="F58" s="26"/>
      <c r="G58" s="27"/>
      <c r="H58" s="28"/>
      <c r="I58" s="29" t="str">
        <f aca="false">IF(OR(B58="",N(E58)=0,G58=""),"",G58/(E58*IF(N(H58)=0,1,H58)))</f>
        <v/>
      </c>
      <c r="J58" s="30"/>
    </row>
    <row r="59" customFormat="false" ht="18" hidden="false" customHeight="true" outlineLevel="0" collapsed="false">
      <c r="B59" s="24"/>
      <c r="C59" s="24"/>
      <c r="D59" s="24"/>
      <c r="E59" s="25"/>
      <c r="F59" s="26"/>
      <c r="G59" s="27"/>
      <c r="H59" s="28"/>
      <c r="I59" s="29" t="str">
        <f aca="false">IF(OR(B59="",N(E59)=0,G59=""),"",G59/(E59*IF(N(H59)=0,1,H59)))</f>
        <v/>
      </c>
      <c r="J59" s="30"/>
    </row>
    <row r="60" customFormat="false" ht="18" hidden="false" customHeight="true" outlineLevel="0" collapsed="false">
      <c r="B60" s="24"/>
      <c r="C60" s="24"/>
      <c r="D60" s="24"/>
      <c r="E60" s="25"/>
      <c r="F60" s="26"/>
      <c r="G60" s="27"/>
      <c r="H60" s="28"/>
      <c r="I60" s="29" t="str">
        <f aca="false">IF(OR(B60="",N(E60)=0,G60=""),"",G60/(E60*IF(N(H60)=0,1,H60)))</f>
        <v/>
      </c>
      <c r="J60" s="30"/>
    </row>
    <row r="61" customFormat="false" ht="18" hidden="false" customHeight="true" outlineLevel="0" collapsed="false">
      <c r="B61" s="24"/>
      <c r="C61" s="24"/>
      <c r="D61" s="24"/>
      <c r="E61" s="25"/>
      <c r="F61" s="26"/>
      <c r="G61" s="27"/>
      <c r="H61" s="28"/>
      <c r="I61" s="29" t="str">
        <f aca="false">IF(OR(B61="",N(E61)=0,G61=""),"",G61/(E61*IF(N(H61)=0,1,H61)))</f>
        <v/>
      </c>
      <c r="J61" s="30"/>
    </row>
    <row r="62" customFormat="false" ht="18" hidden="false" customHeight="true" outlineLevel="0" collapsed="false">
      <c r="B62" s="24"/>
      <c r="C62" s="24"/>
      <c r="D62" s="24"/>
      <c r="E62" s="25"/>
      <c r="F62" s="26"/>
      <c r="G62" s="27"/>
      <c r="H62" s="28"/>
      <c r="I62" s="29" t="str">
        <f aca="false">IF(OR(B62="",N(E62)=0,G62=""),"",G62/(E62*IF(N(H62)=0,1,H62)))</f>
        <v/>
      </c>
      <c r="J62" s="30"/>
    </row>
    <row r="63" customFormat="false" ht="18" hidden="false" customHeight="true" outlineLevel="0" collapsed="false">
      <c r="B63" s="24"/>
      <c r="C63" s="24"/>
      <c r="D63" s="24"/>
      <c r="E63" s="25"/>
      <c r="F63" s="26"/>
      <c r="G63" s="27"/>
      <c r="H63" s="28"/>
      <c r="I63" s="29" t="str">
        <f aca="false">IF(OR(B63="",N(E63)=0,G63=""),"",G63/(E63*IF(N(H63)=0,1,H63)))</f>
        <v/>
      </c>
      <c r="J63" s="30"/>
    </row>
    <row r="64" customFormat="false" ht="18" hidden="false" customHeight="true" outlineLevel="0" collapsed="false">
      <c r="B64" s="24"/>
      <c r="C64" s="24"/>
      <c r="D64" s="24"/>
      <c r="E64" s="25"/>
      <c r="F64" s="26"/>
      <c r="G64" s="27"/>
      <c r="H64" s="28"/>
      <c r="I64" s="29" t="str">
        <f aca="false">IF(OR(B64="",N(E64)=0,G64=""),"",G64/(E64*IF(N(H64)=0,1,H64)))</f>
        <v/>
      </c>
      <c r="J64" s="30"/>
    </row>
    <row r="65" customFormat="false" ht="18" hidden="false" customHeight="true" outlineLevel="0" collapsed="false">
      <c r="B65" s="24"/>
      <c r="C65" s="24"/>
      <c r="D65" s="24"/>
      <c r="E65" s="25"/>
      <c r="F65" s="26"/>
      <c r="G65" s="27"/>
      <c r="H65" s="28"/>
      <c r="I65" s="29" t="str">
        <f aca="false">IF(OR(B65="",N(E65)=0,G65=""),"",G65/(E65*IF(N(H65)=0,1,H65)))</f>
        <v/>
      </c>
      <c r="J65" s="30"/>
    </row>
    <row r="66" customFormat="false" ht="18" hidden="false" customHeight="true" outlineLevel="0" collapsed="false">
      <c r="B66" s="24"/>
      <c r="C66" s="24"/>
      <c r="D66" s="24"/>
      <c r="E66" s="25"/>
      <c r="F66" s="26"/>
      <c r="G66" s="27"/>
      <c r="H66" s="28"/>
      <c r="I66" s="29" t="str">
        <f aca="false">IF(OR(B66="",N(E66)=0,G66=""),"",G66/(E66*IF(N(H66)=0,1,H66)))</f>
        <v/>
      </c>
      <c r="J66" s="30"/>
    </row>
    <row r="67" customFormat="false" ht="18" hidden="false" customHeight="true" outlineLevel="0" collapsed="false">
      <c r="B67" s="24"/>
      <c r="C67" s="24"/>
      <c r="D67" s="24"/>
      <c r="E67" s="25"/>
      <c r="F67" s="26"/>
      <c r="G67" s="27"/>
      <c r="H67" s="28"/>
      <c r="I67" s="29" t="str">
        <f aca="false">IF(OR(B67="",N(E67)=0,G67=""),"",G67/(E67*IF(N(H67)=0,1,H67)))</f>
        <v/>
      </c>
      <c r="J67" s="30"/>
    </row>
    <row r="68" customFormat="false" ht="18" hidden="false" customHeight="true" outlineLevel="0" collapsed="false">
      <c r="B68" s="24"/>
      <c r="C68" s="24"/>
      <c r="D68" s="24"/>
      <c r="E68" s="25"/>
      <c r="F68" s="26"/>
      <c r="G68" s="27"/>
      <c r="H68" s="28"/>
      <c r="I68" s="29" t="str">
        <f aca="false">IF(OR(B68="",N(E68)=0,G68=""),"",G68/(E68*IF(N(H68)=0,1,H68)))</f>
        <v/>
      </c>
      <c r="J68" s="30"/>
    </row>
    <row r="69" customFormat="false" ht="18" hidden="false" customHeight="true" outlineLevel="0" collapsed="false">
      <c r="B69" s="24"/>
      <c r="C69" s="24"/>
      <c r="D69" s="24"/>
      <c r="E69" s="25"/>
      <c r="F69" s="26"/>
      <c r="G69" s="27"/>
      <c r="H69" s="28"/>
      <c r="I69" s="29" t="str">
        <f aca="false">IF(OR(B69="",N(E69)=0,G69=""),"",G69/(E69*IF(N(H69)=0,1,H69)))</f>
        <v/>
      </c>
      <c r="J69" s="30"/>
    </row>
    <row r="70" customFormat="false" ht="18" hidden="false" customHeight="true" outlineLevel="0" collapsed="false">
      <c r="B70" s="24"/>
      <c r="C70" s="24"/>
      <c r="D70" s="24"/>
      <c r="E70" s="25"/>
      <c r="F70" s="26"/>
      <c r="G70" s="27"/>
      <c r="H70" s="28"/>
      <c r="I70" s="29" t="str">
        <f aca="false">IF(OR(B70="",N(E70)=0,G70=""),"",G70/(E70*IF(N(H70)=0,1,H70)))</f>
        <v/>
      </c>
      <c r="J70" s="30"/>
    </row>
    <row r="71" customFormat="false" ht="18" hidden="false" customHeight="true" outlineLevel="0" collapsed="false">
      <c r="B71" s="24"/>
      <c r="C71" s="24"/>
      <c r="D71" s="24"/>
      <c r="E71" s="25"/>
      <c r="F71" s="26"/>
      <c r="G71" s="27"/>
      <c r="H71" s="28"/>
      <c r="I71" s="29" t="str">
        <f aca="false">IF(OR(B71="",N(E71)=0,G71=""),"",G71/(E71*IF(N(H71)=0,1,H71)))</f>
        <v/>
      </c>
      <c r="J71" s="30"/>
    </row>
    <row r="72" customFormat="false" ht="18" hidden="false" customHeight="true" outlineLevel="0" collapsed="false">
      <c r="B72" s="24"/>
      <c r="C72" s="24"/>
      <c r="D72" s="24"/>
      <c r="E72" s="25"/>
      <c r="F72" s="26"/>
      <c r="G72" s="27"/>
      <c r="H72" s="28"/>
      <c r="I72" s="29" t="str">
        <f aca="false">IF(OR(B72="",N(E72)=0,G72=""),"",G72/(E72*IF(N(H72)=0,1,H72)))</f>
        <v/>
      </c>
      <c r="J72" s="30"/>
    </row>
    <row r="73" customFormat="false" ht="18" hidden="false" customHeight="true" outlineLevel="0" collapsed="false">
      <c r="B73" s="24"/>
      <c r="C73" s="24"/>
      <c r="D73" s="24"/>
      <c r="E73" s="25"/>
      <c r="F73" s="26"/>
      <c r="G73" s="27"/>
      <c r="H73" s="28"/>
      <c r="I73" s="29" t="str">
        <f aca="false">IF(OR(B73="",N(E73)=0,G73=""),"",G73/(E73*IF(N(H73)=0,1,H73)))</f>
        <v/>
      </c>
      <c r="J73" s="30"/>
    </row>
    <row r="74" customFormat="false" ht="18" hidden="false" customHeight="true" outlineLevel="0" collapsed="false">
      <c r="B74" s="24"/>
      <c r="C74" s="24"/>
      <c r="D74" s="24"/>
      <c r="E74" s="25"/>
      <c r="F74" s="26"/>
      <c r="G74" s="27"/>
      <c r="H74" s="28"/>
      <c r="I74" s="29" t="str">
        <f aca="false">IF(OR(B74="",N(E74)=0,G74=""),"",G74/(E74*IF(N(H74)=0,1,H74)))</f>
        <v/>
      </c>
      <c r="J74" s="30"/>
    </row>
    <row r="75" customFormat="false" ht="18" hidden="false" customHeight="true" outlineLevel="0" collapsed="false">
      <c r="B75" s="24"/>
      <c r="C75" s="24"/>
      <c r="D75" s="24"/>
      <c r="E75" s="25"/>
      <c r="F75" s="26"/>
      <c r="G75" s="27"/>
      <c r="H75" s="28"/>
      <c r="I75" s="29" t="str">
        <f aca="false">IF(OR(B75="",N(E75)=0,G75=""),"",G75/(E75*IF(N(H75)=0,1,H75)))</f>
        <v/>
      </c>
      <c r="J75" s="30"/>
    </row>
    <row r="76" customFormat="false" ht="18" hidden="false" customHeight="true" outlineLevel="0" collapsed="false">
      <c r="B76" s="24"/>
      <c r="C76" s="24"/>
      <c r="D76" s="24"/>
      <c r="E76" s="25"/>
      <c r="F76" s="26"/>
      <c r="G76" s="27"/>
      <c r="H76" s="28"/>
      <c r="I76" s="29" t="str">
        <f aca="false">IF(OR(B76="",N(E76)=0,G76=""),"",G76/(E76*IF(N(H76)=0,1,H76)))</f>
        <v/>
      </c>
      <c r="J76" s="30"/>
    </row>
    <row r="77" customFormat="false" ht="18" hidden="false" customHeight="true" outlineLevel="0" collapsed="false">
      <c r="B77" s="24"/>
      <c r="C77" s="24"/>
      <c r="D77" s="24"/>
      <c r="E77" s="25"/>
      <c r="F77" s="26"/>
      <c r="G77" s="27"/>
      <c r="H77" s="28"/>
      <c r="I77" s="29" t="str">
        <f aca="false">IF(OR(B77="",N(E77)=0,G77=""),"",G77/(E77*IF(N(H77)=0,1,H77)))</f>
        <v/>
      </c>
      <c r="J77" s="30"/>
    </row>
    <row r="78" customFormat="false" ht="18" hidden="false" customHeight="true" outlineLevel="0" collapsed="false">
      <c r="B78" s="24"/>
      <c r="C78" s="24"/>
      <c r="D78" s="24"/>
      <c r="E78" s="25"/>
      <c r="F78" s="26"/>
      <c r="G78" s="27"/>
      <c r="H78" s="28"/>
      <c r="I78" s="29" t="str">
        <f aca="false">IF(OR(B78="",N(E78)=0,G78=""),"",G78/(E78*IF(N(H78)=0,1,H78)))</f>
        <v/>
      </c>
      <c r="J78" s="30"/>
    </row>
    <row r="79" customFormat="false" ht="18" hidden="false" customHeight="true" outlineLevel="0" collapsed="false">
      <c r="B79" s="24"/>
      <c r="C79" s="24"/>
      <c r="D79" s="24"/>
      <c r="E79" s="25"/>
      <c r="F79" s="26"/>
      <c r="G79" s="27"/>
      <c r="H79" s="28"/>
      <c r="I79" s="29" t="str">
        <f aca="false">IF(OR(B79="",N(E79)=0,G79=""),"",G79/(E79*IF(N(H79)=0,1,H79)))</f>
        <v/>
      </c>
      <c r="J79" s="30"/>
    </row>
    <row r="80" customFormat="false" ht="18" hidden="false" customHeight="true" outlineLevel="0" collapsed="false">
      <c r="B80" s="24"/>
      <c r="C80" s="24"/>
      <c r="D80" s="24"/>
      <c r="E80" s="25"/>
      <c r="F80" s="26"/>
      <c r="G80" s="27"/>
      <c r="H80" s="28"/>
      <c r="I80" s="29" t="str">
        <f aca="false">IF(OR(B80="",N(E80)=0,G80=""),"",G80/(E80*IF(N(H80)=0,1,H80)))</f>
        <v/>
      </c>
      <c r="J80" s="30"/>
    </row>
    <row r="81" customFormat="false" ht="18" hidden="false" customHeight="true" outlineLevel="0" collapsed="false">
      <c r="B81" s="24"/>
      <c r="C81" s="24"/>
      <c r="D81" s="24"/>
      <c r="E81" s="25"/>
      <c r="F81" s="26"/>
      <c r="G81" s="27"/>
      <c r="H81" s="28"/>
      <c r="I81" s="29" t="str">
        <f aca="false">IF(OR(B81="",N(E81)=0,G81=""),"",G81/(E81*IF(N(H81)=0,1,H81)))</f>
        <v/>
      </c>
      <c r="J81" s="30"/>
    </row>
    <row r="82" customFormat="false" ht="18" hidden="false" customHeight="true" outlineLevel="0" collapsed="false">
      <c r="B82" s="24"/>
      <c r="C82" s="24"/>
      <c r="D82" s="24"/>
      <c r="E82" s="25"/>
      <c r="F82" s="26"/>
      <c r="G82" s="27"/>
      <c r="H82" s="28"/>
      <c r="I82" s="29" t="str">
        <f aca="false">IF(OR(B82="",N(E82)=0,G82=""),"",G82/(E82*IF(N(H82)=0,1,H82)))</f>
        <v/>
      </c>
      <c r="J82" s="30"/>
    </row>
    <row r="83" customFormat="false" ht="18" hidden="false" customHeight="true" outlineLevel="0" collapsed="false">
      <c r="B83" s="24"/>
      <c r="C83" s="24"/>
      <c r="D83" s="24"/>
      <c r="E83" s="25"/>
      <c r="F83" s="26"/>
      <c r="G83" s="27"/>
      <c r="H83" s="28"/>
      <c r="I83" s="29" t="str">
        <f aca="false">IF(OR(B83="",N(E83)=0,G83=""),"",G83/(E83*IF(N(H83)=0,1,H83)))</f>
        <v/>
      </c>
      <c r="J83" s="30"/>
    </row>
    <row r="84" customFormat="false" ht="18" hidden="false" customHeight="true" outlineLevel="0" collapsed="false">
      <c r="B84" s="24"/>
      <c r="C84" s="24"/>
      <c r="D84" s="24"/>
      <c r="E84" s="25"/>
      <c r="F84" s="26"/>
      <c r="G84" s="27"/>
      <c r="H84" s="28"/>
      <c r="I84" s="29" t="str">
        <f aca="false">IF(OR(B84="",N(E84)=0,G84=""),"",G84/(E84*IF(N(H84)=0,1,H84)))</f>
        <v/>
      </c>
      <c r="J84" s="30"/>
    </row>
    <row r="85" customFormat="false" ht="18" hidden="false" customHeight="true" outlineLevel="0" collapsed="false">
      <c r="B85" s="24"/>
      <c r="C85" s="24"/>
      <c r="D85" s="24"/>
      <c r="E85" s="25"/>
      <c r="F85" s="26"/>
      <c r="G85" s="27"/>
      <c r="H85" s="28"/>
      <c r="I85" s="29" t="str">
        <f aca="false">IF(OR(B85="",N(E85)=0,G85=""),"",G85/(E85*IF(N(H85)=0,1,H85)))</f>
        <v/>
      </c>
      <c r="J85" s="30"/>
    </row>
    <row r="86" customFormat="false" ht="18" hidden="false" customHeight="true" outlineLevel="0" collapsed="false">
      <c r="B86" s="24"/>
      <c r="C86" s="24"/>
      <c r="D86" s="24"/>
      <c r="E86" s="25"/>
      <c r="F86" s="26"/>
      <c r="G86" s="27"/>
      <c r="H86" s="28"/>
      <c r="I86" s="29" t="str">
        <f aca="false">IF(OR(B86="",N(E86)=0,G86=""),"",G86/(E86*IF(N(H86)=0,1,H86)))</f>
        <v/>
      </c>
      <c r="J86" s="30"/>
    </row>
    <row r="87" customFormat="false" ht="18" hidden="false" customHeight="true" outlineLevel="0" collapsed="false">
      <c r="B87" s="24"/>
      <c r="C87" s="24"/>
      <c r="D87" s="24"/>
      <c r="E87" s="25"/>
      <c r="F87" s="26"/>
      <c r="G87" s="27"/>
      <c r="H87" s="28"/>
      <c r="I87" s="29" t="str">
        <f aca="false">IF(OR(B87="",N(E87)=0,G87=""),"",G87/(E87*IF(N(H87)=0,1,H87)))</f>
        <v/>
      </c>
      <c r="J87" s="30"/>
    </row>
    <row r="88" customFormat="false" ht="18" hidden="false" customHeight="true" outlineLevel="0" collapsed="false">
      <c r="B88" s="24"/>
      <c r="C88" s="24"/>
      <c r="D88" s="24"/>
      <c r="E88" s="25"/>
      <c r="F88" s="26"/>
      <c r="G88" s="27"/>
      <c r="H88" s="28"/>
      <c r="I88" s="29" t="str">
        <f aca="false">IF(OR(B88="",N(E88)=0,G88=""),"",G88/(E88*IF(N(H88)=0,1,H88)))</f>
        <v/>
      </c>
      <c r="J88" s="30"/>
    </row>
    <row r="89" customFormat="false" ht="18" hidden="false" customHeight="true" outlineLevel="0" collapsed="false">
      <c r="B89" s="24"/>
      <c r="C89" s="24"/>
      <c r="D89" s="24"/>
      <c r="E89" s="25"/>
      <c r="F89" s="26"/>
      <c r="G89" s="27"/>
      <c r="H89" s="28"/>
      <c r="I89" s="29" t="str">
        <f aca="false">IF(OR(B89="",N(E89)=0,G89=""),"",G89/(E89*IF(N(H89)=0,1,H89)))</f>
        <v/>
      </c>
      <c r="J89" s="30"/>
    </row>
    <row r="90" customFormat="false" ht="18" hidden="false" customHeight="true" outlineLevel="0" collapsed="false">
      <c r="B90" s="24"/>
      <c r="C90" s="24"/>
      <c r="D90" s="24"/>
      <c r="E90" s="25"/>
      <c r="F90" s="26"/>
      <c r="G90" s="27"/>
      <c r="H90" s="28"/>
      <c r="I90" s="29" t="str">
        <f aca="false">IF(OR(B90="",N(E90)=0,G90=""),"",G90/(E90*IF(N(H90)=0,1,H90)))</f>
        <v/>
      </c>
      <c r="J90" s="30"/>
    </row>
    <row r="91" customFormat="false" ht="18" hidden="false" customHeight="true" outlineLevel="0" collapsed="false">
      <c r="B91" s="24"/>
      <c r="C91" s="24"/>
      <c r="D91" s="24"/>
      <c r="E91" s="25"/>
      <c r="F91" s="26"/>
      <c r="G91" s="27"/>
      <c r="H91" s="28"/>
      <c r="I91" s="29" t="str">
        <f aca="false">IF(OR(B91="",N(E91)=0,G91=""),"",G91/(E91*IF(N(H91)=0,1,H91)))</f>
        <v/>
      </c>
      <c r="J91" s="30"/>
    </row>
    <row r="92" customFormat="false" ht="18" hidden="false" customHeight="true" outlineLevel="0" collapsed="false">
      <c r="B92" s="24"/>
      <c r="C92" s="24"/>
      <c r="D92" s="24"/>
      <c r="E92" s="25"/>
      <c r="F92" s="26"/>
      <c r="G92" s="27"/>
      <c r="H92" s="28"/>
      <c r="I92" s="29" t="str">
        <f aca="false">IF(OR(B92="",N(E92)=0,G92=""),"",G92/(E92*IF(N(H92)=0,1,H92)))</f>
        <v/>
      </c>
      <c r="J92" s="30"/>
    </row>
    <row r="93" customFormat="false" ht="18" hidden="false" customHeight="true" outlineLevel="0" collapsed="false">
      <c r="B93" s="24"/>
      <c r="C93" s="24"/>
      <c r="D93" s="24"/>
      <c r="E93" s="25"/>
      <c r="F93" s="26"/>
      <c r="G93" s="27"/>
      <c r="H93" s="28"/>
      <c r="I93" s="29" t="str">
        <f aca="false">IF(OR(B93="",N(E93)=0,G93=""),"",G93/(E93*IF(N(H93)=0,1,H93)))</f>
        <v/>
      </c>
      <c r="J93" s="30"/>
    </row>
    <row r="94" customFormat="false" ht="18" hidden="false" customHeight="true" outlineLevel="0" collapsed="false">
      <c r="B94" s="24"/>
      <c r="C94" s="24"/>
      <c r="D94" s="24"/>
      <c r="E94" s="25"/>
      <c r="F94" s="26"/>
      <c r="G94" s="27"/>
      <c r="H94" s="28"/>
      <c r="I94" s="29" t="str">
        <f aca="false">IF(OR(B94="",N(E94)=0,G94=""),"",G94/(E94*IF(N(H94)=0,1,H94)))</f>
        <v/>
      </c>
      <c r="J94" s="30"/>
    </row>
    <row r="95" customFormat="false" ht="18" hidden="false" customHeight="true" outlineLevel="0" collapsed="false">
      <c r="B95" s="24"/>
      <c r="C95" s="24"/>
      <c r="D95" s="24"/>
      <c r="E95" s="25"/>
      <c r="F95" s="26"/>
      <c r="G95" s="27"/>
      <c r="H95" s="28"/>
      <c r="I95" s="29" t="str">
        <f aca="false">IF(OR(B95="",N(E95)=0,G95=""),"",G95/(E95*IF(N(H95)=0,1,H95)))</f>
        <v/>
      </c>
      <c r="J95" s="30"/>
    </row>
    <row r="96" customFormat="false" ht="18" hidden="false" customHeight="true" outlineLevel="0" collapsed="false">
      <c r="B96" s="24"/>
      <c r="C96" s="24"/>
      <c r="D96" s="24"/>
      <c r="E96" s="25"/>
      <c r="F96" s="26"/>
      <c r="G96" s="27"/>
      <c r="H96" s="28"/>
      <c r="I96" s="29" t="str">
        <f aca="false">IF(OR(B96="",N(E96)=0,G96=""),"",G96/(E96*IF(N(H96)=0,1,H96)))</f>
        <v/>
      </c>
      <c r="J96" s="30"/>
    </row>
    <row r="97" customFormat="false" ht="18" hidden="false" customHeight="true" outlineLevel="0" collapsed="false">
      <c r="B97" s="24"/>
      <c r="C97" s="24"/>
      <c r="D97" s="24"/>
      <c r="E97" s="25"/>
      <c r="F97" s="26"/>
      <c r="G97" s="27"/>
      <c r="H97" s="28"/>
      <c r="I97" s="29" t="str">
        <f aca="false">IF(OR(B97="",N(E97)=0,G97=""),"",G97/(E97*IF(N(H97)=0,1,H97)))</f>
        <v/>
      </c>
      <c r="J97" s="30"/>
    </row>
    <row r="98" customFormat="false" ht="18" hidden="false" customHeight="true" outlineLevel="0" collapsed="false">
      <c r="B98" s="24"/>
      <c r="C98" s="24"/>
      <c r="D98" s="24"/>
      <c r="E98" s="25"/>
      <c r="F98" s="26"/>
      <c r="G98" s="27"/>
      <c r="H98" s="28"/>
      <c r="I98" s="29" t="str">
        <f aca="false">IF(OR(B98="",N(E98)=0,G98=""),"",G98/(E98*IF(N(H98)=0,1,H98)))</f>
        <v/>
      </c>
      <c r="J98" s="30"/>
    </row>
    <row r="99" customFormat="false" ht="18" hidden="false" customHeight="true" outlineLevel="0" collapsed="false">
      <c r="B99" s="24"/>
      <c r="C99" s="24"/>
      <c r="D99" s="24"/>
      <c r="E99" s="25"/>
      <c r="F99" s="26"/>
      <c r="G99" s="27"/>
      <c r="H99" s="28"/>
      <c r="I99" s="29" t="str">
        <f aca="false">IF(OR(B99="",N(E99)=0,G99=""),"",G99/(E99*IF(N(H99)=0,1,H99)))</f>
        <v/>
      </c>
      <c r="J99" s="30"/>
    </row>
    <row r="100" customFormat="false" ht="18" hidden="false" customHeight="true" outlineLevel="0" collapsed="false">
      <c r="B100" s="24"/>
      <c r="C100" s="24"/>
      <c r="D100" s="24"/>
      <c r="E100" s="25"/>
      <c r="F100" s="26"/>
      <c r="G100" s="27"/>
      <c r="H100" s="28"/>
      <c r="I100" s="29" t="str">
        <f aca="false">IF(OR(B100="",N(E100)=0,G100=""),"",G100/(E100*IF(N(H100)=0,1,H100)))</f>
        <v/>
      </c>
      <c r="J100" s="30"/>
    </row>
    <row r="101" customFormat="false" ht="18" hidden="false" customHeight="true" outlineLevel="0" collapsed="false">
      <c r="B101" s="24"/>
      <c r="C101" s="24"/>
      <c r="D101" s="24"/>
      <c r="E101" s="25"/>
      <c r="F101" s="26"/>
      <c r="G101" s="27"/>
      <c r="H101" s="28"/>
      <c r="I101" s="29" t="str">
        <f aca="false">IF(OR(B101="",N(E101)=0,G101=""),"",G101/(E101*IF(N(H101)=0,1,H101)))</f>
        <v/>
      </c>
      <c r="J101" s="30"/>
    </row>
    <row r="102" customFormat="false" ht="18" hidden="false" customHeight="true" outlineLevel="0" collapsed="false">
      <c r="B102" s="24"/>
      <c r="C102" s="24"/>
      <c r="D102" s="24"/>
      <c r="E102" s="25"/>
      <c r="F102" s="26"/>
      <c r="G102" s="27"/>
      <c r="H102" s="28"/>
      <c r="I102" s="29" t="str">
        <f aca="false">IF(OR(B102="",N(E102)=0,G102=""),"",G102/(E102*IF(N(H102)=0,1,H102)))</f>
        <v/>
      </c>
      <c r="J102" s="30"/>
    </row>
    <row r="103" customFormat="false" ht="18" hidden="false" customHeight="true" outlineLevel="0" collapsed="false">
      <c r="B103" s="24"/>
      <c r="C103" s="24"/>
      <c r="D103" s="24"/>
      <c r="E103" s="25"/>
      <c r="F103" s="26"/>
      <c r="G103" s="27"/>
      <c r="H103" s="28"/>
      <c r="I103" s="29" t="str">
        <f aca="false">IF(OR(B103="",N(E103)=0,G103=""),"",G103/(E103*IF(N(H103)=0,1,H103)))</f>
        <v/>
      </c>
      <c r="J103" s="30"/>
    </row>
    <row r="104" customFormat="false" ht="18" hidden="false" customHeight="true" outlineLevel="0" collapsed="false">
      <c r="B104" s="24"/>
      <c r="C104" s="24"/>
      <c r="D104" s="24"/>
      <c r="E104" s="25"/>
      <c r="F104" s="26"/>
      <c r="G104" s="27"/>
      <c r="H104" s="28"/>
      <c r="I104" s="29" t="str">
        <f aca="false">IF(OR(B104="",N(E104)=0,G104=""),"",G104/(E104*IF(N(H104)=0,1,H104)))</f>
        <v/>
      </c>
      <c r="J104" s="30"/>
    </row>
    <row r="105" customFormat="false" ht="18" hidden="false" customHeight="true" outlineLevel="0" collapsed="false">
      <c r="B105" s="24"/>
      <c r="C105" s="24"/>
      <c r="D105" s="24"/>
      <c r="E105" s="25"/>
      <c r="F105" s="26"/>
      <c r="G105" s="27"/>
      <c r="H105" s="28"/>
      <c r="I105" s="29" t="str">
        <f aca="false">IF(OR(B105="",N(E105)=0,G105=""),"",G105/(E105*IF(N(H105)=0,1,H105)))</f>
        <v/>
      </c>
      <c r="J105" s="30"/>
    </row>
    <row r="106" customFormat="false" ht="18" hidden="false" customHeight="true" outlineLevel="0" collapsed="false">
      <c r="B106" s="24"/>
      <c r="C106" s="24"/>
      <c r="D106" s="24"/>
      <c r="E106" s="25"/>
      <c r="F106" s="26"/>
      <c r="G106" s="27"/>
      <c r="H106" s="28"/>
      <c r="I106" s="29" t="str">
        <f aca="false">IF(OR(B106="",N(E106)=0,G106=""),"",G106/(E106*IF(N(H106)=0,1,H106)))</f>
        <v/>
      </c>
      <c r="J106" s="30"/>
    </row>
    <row r="107" customFormat="false" ht="18" hidden="false" customHeight="true" outlineLevel="0" collapsed="false">
      <c r="B107" s="24"/>
      <c r="C107" s="24"/>
      <c r="D107" s="24"/>
      <c r="E107" s="25"/>
      <c r="F107" s="26"/>
      <c r="G107" s="27"/>
      <c r="H107" s="28"/>
      <c r="I107" s="29" t="str">
        <f aca="false">IF(OR(B107="",N(E107)=0,G107=""),"",G107/(E107*IF(N(H107)=0,1,H107)))</f>
        <v/>
      </c>
      <c r="J107" s="30"/>
    </row>
    <row r="108" customFormat="false" ht="18" hidden="false" customHeight="true" outlineLevel="0" collapsed="false">
      <c r="B108" s="24"/>
      <c r="C108" s="24"/>
      <c r="D108" s="24"/>
      <c r="E108" s="25"/>
      <c r="F108" s="26"/>
      <c r="G108" s="27"/>
      <c r="H108" s="28"/>
      <c r="I108" s="29" t="str">
        <f aca="false">IF(OR(B108="",N(E108)=0,G108=""),"",G108/(E108*IF(N(H108)=0,1,H108)))</f>
        <v/>
      </c>
      <c r="J108" s="30"/>
    </row>
    <row r="109" customFormat="false" ht="18" hidden="false" customHeight="true" outlineLevel="0" collapsed="false">
      <c r="B109" s="24"/>
      <c r="C109" s="24"/>
      <c r="D109" s="24"/>
      <c r="E109" s="25"/>
      <c r="F109" s="26"/>
      <c r="G109" s="27"/>
      <c r="H109" s="28"/>
      <c r="I109" s="29" t="str">
        <f aca="false">IF(OR(B109="",N(E109)=0,G109=""),"",G109/(E109*IF(N(H109)=0,1,H109)))</f>
        <v/>
      </c>
      <c r="J109" s="30"/>
    </row>
    <row r="110" customFormat="false" ht="18" hidden="false" customHeight="true" outlineLevel="0" collapsed="false">
      <c r="B110" s="24"/>
      <c r="C110" s="24"/>
      <c r="D110" s="24"/>
      <c r="E110" s="25"/>
      <c r="F110" s="26"/>
      <c r="G110" s="27"/>
      <c r="H110" s="28"/>
      <c r="I110" s="29" t="str">
        <f aca="false">IF(OR(B110="",N(E110)=0,G110=""),"",G110/(E110*IF(N(H110)=0,1,H110)))</f>
        <v/>
      </c>
      <c r="J110" s="30"/>
    </row>
    <row r="111" customFormat="false" ht="18" hidden="false" customHeight="true" outlineLevel="0" collapsed="false">
      <c r="B111" s="24"/>
      <c r="C111" s="24"/>
      <c r="D111" s="24"/>
      <c r="E111" s="25"/>
      <c r="F111" s="26"/>
      <c r="G111" s="27"/>
      <c r="H111" s="28"/>
      <c r="I111" s="29" t="str">
        <f aca="false">IF(OR(B111="",N(E111)=0,G111=""),"",G111/(E111*IF(N(H111)=0,1,H111)))</f>
        <v/>
      </c>
      <c r="J111" s="30"/>
    </row>
    <row r="112" customFormat="false" ht="18" hidden="false" customHeight="true" outlineLevel="0" collapsed="false">
      <c r="B112" s="24"/>
      <c r="C112" s="24"/>
      <c r="D112" s="24"/>
      <c r="E112" s="25"/>
      <c r="F112" s="26"/>
      <c r="G112" s="27"/>
      <c r="H112" s="28"/>
      <c r="I112" s="29" t="str">
        <f aca="false">IF(OR(B112="",N(E112)=0,G112=""),"",G112/(E112*IF(N(H112)=0,1,H112)))</f>
        <v/>
      </c>
      <c r="J112" s="30"/>
    </row>
    <row r="113" customFormat="false" ht="18" hidden="false" customHeight="true" outlineLevel="0" collapsed="false">
      <c r="B113" s="24"/>
      <c r="C113" s="24"/>
      <c r="D113" s="24"/>
      <c r="E113" s="25"/>
      <c r="F113" s="26"/>
      <c r="G113" s="27"/>
      <c r="H113" s="28"/>
      <c r="I113" s="29" t="str">
        <f aca="false">IF(OR(B113="",N(E113)=0,G113=""),"",G113/(E113*IF(N(H113)=0,1,H113)))</f>
        <v/>
      </c>
      <c r="J113" s="30"/>
    </row>
    <row r="114" customFormat="false" ht="18" hidden="false" customHeight="true" outlineLevel="0" collapsed="false">
      <c r="B114" s="24"/>
      <c r="C114" s="24"/>
      <c r="D114" s="24"/>
      <c r="E114" s="25"/>
      <c r="F114" s="26"/>
      <c r="G114" s="27"/>
      <c r="H114" s="28"/>
      <c r="I114" s="29" t="str">
        <f aca="false">IF(OR(B114="",N(E114)=0,G114=""),"",G114/(E114*IF(N(H114)=0,1,H114)))</f>
        <v/>
      </c>
      <c r="J114" s="30"/>
    </row>
    <row r="115" customFormat="false" ht="18" hidden="false" customHeight="true" outlineLevel="0" collapsed="false">
      <c r="B115" s="24"/>
      <c r="C115" s="24"/>
      <c r="D115" s="24"/>
      <c r="E115" s="25"/>
      <c r="F115" s="26"/>
      <c r="G115" s="27"/>
      <c r="H115" s="28"/>
      <c r="I115" s="29" t="str">
        <f aca="false">IF(OR(B115="",N(E115)=0,G115=""),"",G115/(E115*IF(N(H115)=0,1,H115)))</f>
        <v/>
      </c>
      <c r="J115" s="30"/>
    </row>
    <row r="116" customFormat="false" ht="18" hidden="false" customHeight="true" outlineLevel="0" collapsed="false">
      <c r="B116" s="24"/>
      <c r="C116" s="24"/>
      <c r="D116" s="24"/>
      <c r="E116" s="25"/>
      <c r="F116" s="26"/>
      <c r="G116" s="27"/>
      <c r="H116" s="28"/>
      <c r="I116" s="29" t="str">
        <f aca="false">IF(OR(B116="",N(E116)=0,G116=""),"",G116/(E116*IF(N(H116)=0,1,H116)))</f>
        <v/>
      </c>
      <c r="J116" s="30"/>
    </row>
    <row r="117" customFormat="false" ht="18" hidden="false" customHeight="true" outlineLevel="0" collapsed="false">
      <c r="B117" s="24"/>
      <c r="C117" s="24"/>
      <c r="D117" s="24"/>
      <c r="E117" s="25"/>
      <c r="F117" s="26"/>
      <c r="G117" s="27"/>
      <c r="H117" s="28"/>
      <c r="I117" s="29" t="str">
        <f aca="false">IF(OR(B117="",N(E117)=0,G117=""),"",G117/(E117*IF(N(H117)=0,1,H117)))</f>
        <v/>
      </c>
      <c r="J117" s="30"/>
    </row>
    <row r="118" customFormat="false" ht="18" hidden="false" customHeight="true" outlineLevel="0" collapsed="false">
      <c r="B118" s="24"/>
      <c r="C118" s="24"/>
      <c r="D118" s="24"/>
      <c r="E118" s="25"/>
      <c r="F118" s="26"/>
      <c r="G118" s="27"/>
      <c r="H118" s="28"/>
      <c r="I118" s="29" t="str">
        <f aca="false">IF(OR(B118="",N(E118)=0,G118=""),"",G118/(E118*IF(N(H118)=0,1,H118)))</f>
        <v/>
      </c>
      <c r="J118" s="30"/>
    </row>
    <row r="119" customFormat="false" ht="18" hidden="false" customHeight="true" outlineLevel="0" collapsed="false">
      <c r="B119" s="24"/>
      <c r="C119" s="24"/>
      <c r="D119" s="24"/>
      <c r="E119" s="25"/>
      <c r="F119" s="26"/>
      <c r="G119" s="27"/>
      <c r="H119" s="28"/>
      <c r="I119" s="29" t="str">
        <f aca="false">IF(OR(B119="",N(E119)=0,G119=""),"",G119/(E119*IF(N(H119)=0,1,H119)))</f>
        <v/>
      </c>
      <c r="J119" s="30"/>
    </row>
    <row r="120" customFormat="false" ht="18" hidden="false" customHeight="true" outlineLevel="0" collapsed="false">
      <c r="B120" s="24"/>
      <c r="C120" s="24"/>
      <c r="D120" s="24"/>
      <c r="E120" s="25"/>
      <c r="F120" s="26"/>
      <c r="G120" s="27"/>
      <c r="H120" s="28"/>
      <c r="I120" s="29" t="str">
        <f aca="false">IF(OR(B120="",N(E120)=0,G120=""),"",G120/(E120*IF(N(H120)=0,1,H120)))</f>
        <v/>
      </c>
      <c r="J120" s="30"/>
    </row>
    <row r="121" customFormat="false" ht="18" hidden="false" customHeight="true" outlineLevel="0" collapsed="false">
      <c r="B121" s="24"/>
      <c r="C121" s="24"/>
      <c r="D121" s="24"/>
      <c r="E121" s="25"/>
      <c r="F121" s="26"/>
      <c r="G121" s="27"/>
      <c r="H121" s="28"/>
      <c r="I121" s="29" t="str">
        <f aca="false">IF(OR(B121="",N(E121)=0,G121=""),"",G121/(E121*IF(N(H121)=0,1,H121)))</f>
        <v/>
      </c>
      <c r="J121" s="30"/>
    </row>
    <row r="122" customFormat="false" ht="18" hidden="false" customHeight="true" outlineLevel="0" collapsed="false">
      <c r="B122" s="24"/>
      <c r="C122" s="24"/>
      <c r="D122" s="24"/>
      <c r="E122" s="25"/>
      <c r="F122" s="26"/>
      <c r="G122" s="27"/>
      <c r="H122" s="28"/>
      <c r="I122" s="29" t="str">
        <f aca="false">IF(OR(B122="",N(E122)=0,G122=""),"",G122/(E122*IF(N(H122)=0,1,H122)))</f>
        <v/>
      </c>
      <c r="J122" s="30"/>
    </row>
    <row r="123" customFormat="false" ht="18" hidden="false" customHeight="true" outlineLevel="0" collapsed="false">
      <c r="B123" s="24"/>
      <c r="C123" s="24"/>
      <c r="D123" s="24"/>
      <c r="E123" s="25"/>
      <c r="F123" s="26"/>
      <c r="G123" s="27"/>
      <c r="H123" s="28"/>
      <c r="I123" s="29" t="str">
        <f aca="false">IF(OR(B123="",N(E123)=0,G123=""),"",G123/(E123*IF(N(H123)=0,1,H123)))</f>
        <v/>
      </c>
      <c r="J123" s="30"/>
    </row>
    <row r="124" customFormat="false" ht="18" hidden="false" customHeight="true" outlineLevel="0" collapsed="false">
      <c r="B124" s="24"/>
      <c r="C124" s="24"/>
      <c r="D124" s="24"/>
      <c r="E124" s="25"/>
      <c r="F124" s="26"/>
      <c r="G124" s="27"/>
      <c r="H124" s="28"/>
      <c r="I124" s="29" t="str">
        <f aca="false">IF(OR(B124="",N(E124)=0,G124=""),"",G124/(E124*IF(N(H124)=0,1,H124)))</f>
        <v/>
      </c>
      <c r="J124" s="30"/>
    </row>
    <row r="125" customFormat="false" ht="18" hidden="false" customHeight="true" outlineLevel="0" collapsed="false">
      <c r="B125" s="24"/>
      <c r="C125" s="24"/>
      <c r="D125" s="24"/>
      <c r="E125" s="25"/>
      <c r="F125" s="26"/>
      <c r="G125" s="27"/>
      <c r="H125" s="28"/>
      <c r="I125" s="29" t="str">
        <f aca="false">IF(OR(B125="",N(E125)=0,G125=""),"",G125/(E125*IF(N(H125)=0,1,H125)))</f>
        <v/>
      </c>
      <c r="J125" s="30"/>
    </row>
    <row r="126" customFormat="false" ht="18" hidden="false" customHeight="true" outlineLevel="0" collapsed="false">
      <c r="B126" s="24"/>
      <c r="C126" s="24"/>
      <c r="D126" s="24"/>
      <c r="E126" s="25"/>
      <c r="F126" s="26"/>
      <c r="G126" s="27"/>
      <c r="H126" s="28"/>
      <c r="I126" s="29" t="str">
        <f aca="false">IF(OR(B126="",N(E126)=0,G126=""),"",G126/(E126*IF(N(H126)=0,1,H126)))</f>
        <v/>
      </c>
      <c r="J126" s="30"/>
    </row>
    <row r="127" customFormat="false" ht="18" hidden="false" customHeight="true" outlineLevel="0" collapsed="false">
      <c r="B127" s="24"/>
      <c r="C127" s="24"/>
      <c r="D127" s="24"/>
      <c r="E127" s="25"/>
      <c r="F127" s="26"/>
      <c r="G127" s="27"/>
      <c r="H127" s="28"/>
      <c r="I127" s="29" t="str">
        <f aca="false">IF(OR(B127="",N(E127)=0,G127=""),"",G127/(E127*IF(N(H127)=0,1,H127)))</f>
        <v/>
      </c>
      <c r="J127" s="30"/>
    </row>
    <row r="128" customFormat="false" ht="18" hidden="false" customHeight="true" outlineLevel="0" collapsed="false">
      <c r="B128" s="24"/>
      <c r="C128" s="24"/>
      <c r="D128" s="24"/>
      <c r="E128" s="25"/>
      <c r="F128" s="26"/>
      <c r="G128" s="27"/>
      <c r="H128" s="28"/>
      <c r="I128" s="29" t="str">
        <f aca="false">IF(OR(B128="",N(E128)=0,G128=""),"",G128/(E128*IF(N(H128)=0,1,H128)))</f>
        <v/>
      </c>
      <c r="J128" s="30"/>
    </row>
    <row r="129" customFormat="false" ht="18" hidden="false" customHeight="true" outlineLevel="0" collapsed="false">
      <c r="B129" s="24"/>
      <c r="C129" s="24"/>
      <c r="D129" s="24"/>
      <c r="E129" s="25"/>
      <c r="F129" s="26"/>
      <c r="G129" s="27"/>
      <c r="H129" s="28"/>
      <c r="I129" s="29" t="str">
        <f aca="false">IF(OR(B129="",N(E129)=0,G129=""),"",G129/(E129*IF(N(H129)=0,1,H129)))</f>
        <v/>
      </c>
      <c r="J129" s="30"/>
    </row>
    <row r="130" customFormat="false" ht="18" hidden="false" customHeight="true" outlineLevel="0" collapsed="false">
      <c r="B130" s="24"/>
      <c r="C130" s="24"/>
      <c r="D130" s="24"/>
      <c r="E130" s="25"/>
      <c r="F130" s="26"/>
      <c r="G130" s="27"/>
      <c r="H130" s="28"/>
      <c r="I130" s="29" t="str">
        <f aca="false">IF(OR(B130="",N(E130)=0,G130=""),"",G130/(E130*IF(N(H130)=0,1,H130)))</f>
        <v/>
      </c>
      <c r="J130" s="30"/>
    </row>
    <row r="131" customFormat="false" ht="18" hidden="false" customHeight="true" outlineLevel="0" collapsed="false">
      <c r="B131" s="24"/>
      <c r="C131" s="24"/>
      <c r="D131" s="24"/>
      <c r="E131" s="25"/>
      <c r="F131" s="26"/>
      <c r="G131" s="27"/>
      <c r="H131" s="28"/>
      <c r="I131" s="29" t="str">
        <f aca="false">IF(OR(B131="",N(E131)=0,G131=""),"",G131/(E131*IF(N(H131)=0,1,H131)))</f>
        <v/>
      </c>
      <c r="J131" s="30"/>
    </row>
    <row r="132" customFormat="false" ht="18" hidden="false" customHeight="true" outlineLevel="0" collapsed="false">
      <c r="B132" s="24"/>
      <c r="C132" s="24"/>
      <c r="D132" s="24"/>
      <c r="E132" s="25"/>
      <c r="F132" s="26"/>
      <c r="G132" s="27"/>
      <c r="H132" s="28"/>
      <c r="I132" s="29" t="str">
        <f aca="false">IF(OR(B132="",N(E132)=0,G132=""),"",G132/(E132*IF(N(H132)=0,1,H132)))</f>
        <v/>
      </c>
      <c r="J132" s="30"/>
    </row>
    <row r="133" customFormat="false" ht="18" hidden="false" customHeight="true" outlineLevel="0" collapsed="false">
      <c r="B133" s="24"/>
      <c r="C133" s="24"/>
      <c r="D133" s="24"/>
      <c r="E133" s="25"/>
      <c r="F133" s="26"/>
      <c r="G133" s="27"/>
      <c r="H133" s="28"/>
      <c r="I133" s="29" t="str">
        <f aca="false">IF(OR(B133="",N(E133)=0,G133=""),"",G133/(E133*IF(N(H133)=0,1,H133)))</f>
        <v/>
      </c>
      <c r="J133" s="30"/>
    </row>
    <row r="134" customFormat="false" ht="18" hidden="false" customHeight="true" outlineLevel="0" collapsed="false">
      <c r="B134" s="24"/>
      <c r="C134" s="24"/>
      <c r="D134" s="24"/>
      <c r="E134" s="25"/>
      <c r="F134" s="26"/>
      <c r="G134" s="27"/>
      <c r="H134" s="28"/>
      <c r="I134" s="29" t="str">
        <f aca="false">IF(OR(B134="",N(E134)=0,G134=""),"",G134/(E134*IF(N(H134)=0,1,H134)))</f>
        <v/>
      </c>
      <c r="J134" s="30"/>
    </row>
    <row r="135" customFormat="false" ht="18" hidden="false" customHeight="true" outlineLevel="0" collapsed="false">
      <c r="B135" s="24"/>
      <c r="C135" s="24"/>
      <c r="D135" s="24"/>
      <c r="E135" s="25"/>
      <c r="F135" s="26"/>
      <c r="G135" s="27"/>
      <c r="H135" s="28"/>
      <c r="I135" s="29" t="str">
        <f aca="false">IF(OR(B135="",N(E135)=0,G135=""),"",G135/(E135*IF(N(H135)=0,1,H135)))</f>
        <v/>
      </c>
      <c r="J135" s="30"/>
    </row>
    <row r="136" customFormat="false" ht="18" hidden="false" customHeight="true" outlineLevel="0" collapsed="false">
      <c r="B136" s="24"/>
      <c r="C136" s="24"/>
      <c r="D136" s="24"/>
      <c r="E136" s="25"/>
      <c r="F136" s="26"/>
      <c r="G136" s="27"/>
      <c r="H136" s="28"/>
      <c r="I136" s="29" t="str">
        <f aca="false">IF(OR(B136="",N(E136)=0,G136=""),"",G136/(E136*IF(N(H136)=0,1,H136)))</f>
        <v/>
      </c>
      <c r="J136" s="30"/>
    </row>
    <row r="137" customFormat="false" ht="18" hidden="false" customHeight="true" outlineLevel="0" collapsed="false">
      <c r="B137" s="24"/>
      <c r="C137" s="24"/>
      <c r="D137" s="24"/>
      <c r="E137" s="25"/>
      <c r="F137" s="26"/>
      <c r="G137" s="27"/>
      <c r="H137" s="28"/>
      <c r="I137" s="29" t="str">
        <f aca="false">IF(OR(B137="",N(E137)=0,G137=""),"",G137/(E137*IF(N(H137)=0,1,H137)))</f>
        <v/>
      </c>
      <c r="J137" s="30"/>
    </row>
    <row r="138" customFormat="false" ht="18" hidden="false" customHeight="true" outlineLevel="0" collapsed="false">
      <c r="B138" s="24"/>
      <c r="C138" s="24"/>
      <c r="D138" s="24"/>
      <c r="E138" s="25"/>
      <c r="F138" s="26"/>
      <c r="G138" s="27"/>
      <c r="H138" s="28"/>
      <c r="I138" s="29" t="str">
        <f aca="false">IF(OR(B138="",N(E138)=0,G138=""),"",G138/(E138*IF(N(H138)=0,1,H138)))</f>
        <v/>
      </c>
      <c r="J138" s="30"/>
    </row>
    <row r="139" customFormat="false" ht="18" hidden="false" customHeight="true" outlineLevel="0" collapsed="false">
      <c r="B139" s="24"/>
      <c r="C139" s="24"/>
      <c r="D139" s="24"/>
      <c r="E139" s="25"/>
      <c r="F139" s="26"/>
      <c r="G139" s="27"/>
      <c r="H139" s="28"/>
      <c r="I139" s="29" t="str">
        <f aca="false">IF(OR(B139="",N(E139)=0,G139=""),"",G139/(E139*IF(N(H139)=0,1,H139)))</f>
        <v/>
      </c>
      <c r="J139" s="30"/>
    </row>
    <row r="140" customFormat="false" ht="18" hidden="false" customHeight="true" outlineLevel="0" collapsed="false">
      <c r="B140" s="24"/>
      <c r="C140" s="24"/>
      <c r="D140" s="24"/>
      <c r="E140" s="25"/>
      <c r="F140" s="26"/>
      <c r="G140" s="27"/>
      <c r="H140" s="28"/>
      <c r="I140" s="29" t="str">
        <f aca="false">IF(OR(B140="",N(E140)=0,G140=""),"",G140/(E140*IF(N(H140)=0,1,H140)))</f>
        <v/>
      </c>
      <c r="J140" s="30"/>
    </row>
    <row r="141" customFormat="false" ht="18" hidden="false" customHeight="true" outlineLevel="0" collapsed="false">
      <c r="B141" s="24"/>
      <c r="C141" s="24"/>
      <c r="D141" s="24"/>
      <c r="E141" s="25"/>
      <c r="F141" s="26"/>
      <c r="G141" s="27"/>
      <c r="H141" s="28"/>
      <c r="I141" s="29" t="str">
        <f aca="false">IF(OR(B141="",N(E141)=0,G141=""),"",G141/(E141*IF(N(H141)=0,1,H141)))</f>
        <v/>
      </c>
      <c r="J141" s="30"/>
    </row>
    <row r="142" customFormat="false" ht="18" hidden="false" customHeight="true" outlineLevel="0" collapsed="false">
      <c r="B142" s="24"/>
      <c r="C142" s="24"/>
      <c r="D142" s="24"/>
      <c r="E142" s="25"/>
      <c r="F142" s="26"/>
      <c r="G142" s="27"/>
      <c r="H142" s="28"/>
      <c r="I142" s="29" t="str">
        <f aca="false">IF(OR(B142="",N(E142)=0,G142=""),"",G142/(E142*IF(N(H142)=0,1,H142)))</f>
        <v/>
      </c>
      <c r="J142" s="30"/>
    </row>
    <row r="143" customFormat="false" ht="18" hidden="false" customHeight="true" outlineLevel="0" collapsed="false">
      <c r="B143" s="24"/>
      <c r="C143" s="24"/>
      <c r="D143" s="24"/>
      <c r="E143" s="25"/>
      <c r="F143" s="26"/>
      <c r="G143" s="27"/>
      <c r="H143" s="28"/>
      <c r="I143" s="29" t="str">
        <f aca="false">IF(OR(B143="",N(E143)=0,G143=""),"",G143/(E143*IF(N(H143)=0,1,H143)))</f>
        <v/>
      </c>
      <c r="J143" s="30"/>
    </row>
    <row r="144" customFormat="false" ht="18" hidden="false" customHeight="true" outlineLevel="0" collapsed="false">
      <c r="B144" s="24"/>
      <c r="C144" s="24"/>
      <c r="D144" s="24"/>
      <c r="E144" s="25"/>
      <c r="F144" s="26"/>
      <c r="G144" s="27"/>
      <c r="H144" s="28"/>
      <c r="I144" s="29" t="str">
        <f aca="false">IF(OR(B144="",N(E144)=0,G144=""),"",G144/(E144*IF(N(H144)=0,1,H144)))</f>
        <v/>
      </c>
      <c r="J144" s="30"/>
    </row>
    <row r="145" customFormat="false" ht="18" hidden="false" customHeight="true" outlineLevel="0" collapsed="false">
      <c r="B145" s="24"/>
      <c r="C145" s="24"/>
      <c r="D145" s="24"/>
      <c r="E145" s="25"/>
      <c r="F145" s="26"/>
      <c r="G145" s="27"/>
      <c r="H145" s="28"/>
      <c r="I145" s="29" t="str">
        <f aca="false">IF(OR(B145="",N(E145)=0,G145=""),"",G145/(E145*IF(N(H145)=0,1,H145)))</f>
        <v/>
      </c>
      <c r="J145" s="30"/>
    </row>
    <row r="146" customFormat="false" ht="18" hidden="false" customHeight="true" outlineLevel="0" collapsed="false">
      <c r="B146" s="24"/>
      <c r="C146" s="24"/>
      <c r="D146" s="24"/>
      <c r="E146" s="25"/>
      <c r="F146" s="26"/>
      <c r="G146" s="27"/>
      <c r="H146" s="28"/>
      <c r="I146" s="29" t="str">
        <f aca="false">IF(OR(B146="",N(E146)=0,G146=""),"",G146/(E146*IF(N(H146)=0,1,H146)))</f>
        <v/>
      </c>
      <c r="J146" s="30"/>
    </row>
    <row r="147" customFormat="false" ht="18" hidden="false" customHeight="true" outlineLevel="0" collapsed="false">
      <c r="B147" s="24"/>
      <c r="C147" s="24"/>
      <c r="D147" s="24"/>
      <c r="E147" s="25"/>
      <c r="F147" s="26"/>
      <c r="G147" s="27"/>
      <c r="H147" s="28"/>
      <c r="I147" s="29" t="str">
        <f aca="false">IF(OR(B147="",N(E147)=0,G147=""),"",G147/(E147*IF(N(H147)=0,1,H147)))</f>
        <v/>
      </c>
      <c r="J147" s="30"/>
    </row>
    <row r="148" customFormat="false" ht="18" hidden="false" customHeight="true" outlineLevel="0" collapsed="false">
      <c r="B148" s="24"/>
      <c r="C148" s="24"/>
      <c r="D148" s="24"/>
      <c r="E148" s="25"/>
      <c r="F148" s="26"/>
      <c r="G148" s="27"/>
      <c r="H148" s="28"/>
      <c r="I148" s="29" t="str">
        <f aca="false">IF(OR(B148="",N(E148)=0,G148=""),"",G148/(E148*IF(N(H148)=0,1,H148)))</f>
        <v/>
      </c>
      <c r="J148" s="30"/>
    </row>
    <row r="149" customFormat="false" ht="18" hidden="false" customHeight="true" outlineLevel="0" collapsed="false">
      <c r="B149" s="24"/>
      <c r="C149" s="24"/>
      <c r="D149" s="24"/>
      <c r="E149" s="25"/>
      <c r="F149" s="26"/>
      <c r="G149" s="27"/>
      <c r="H149" s="28"/>
      <c r="I149" s="29" t="str">
        <f aca="false">IF(OR(B149="",N(E149)=0,G149=""),"",G149/(E149*IF(N(H149)=0,1,H149)))</f>
        <v/>
      </c>
      <c r="J149" s="30"/>
    </row>
    <row r="150" customFormat="false" ht="18" hidden="false" customHeight="true" outlineLevel="0" collapsed="false">
      <c r="B150" s="24"/>
      <c r="C150" s="24"/>
      <c r="D150" s="24"/>
      <c r="E150" s="25"/>
      <c r="F150" s="26"/>
      <c r="G150" s="27"/>
      <c r="H150" s="28"/>
      <c r="I150" s="29" t="str">
        <f aca="false">IF(OR(B150="",N(E150)=0,G150=""),"",G150/(E150*IF(N(H150)=0,1,H150)))</f>
        <v/>
      </c>
      <c r="J150" s="30"/>
    </row>
    <row r="151" customFormat="false" ht="18" hidden="false" customHeight="true" outlineLevel="0" collapsed="false">
      <c r="B151" s="24"/>
      <c r="C151" s="24"/>
      <c r="D151" s="24"/>
      <c r="E151" s="25"/>
      <c r="F151" s="26"/>
      <c r="G151" s="27"/>
      <c r="H151" s="28"/>
      <c r="I151" s="29" t="str">
        <f aca="false">IF(OR(B151="",N(E151)=0,G151=""),"",G151/(E151*IF(N(H151)=0,1,H151)))</f>
        <v/>
      </c>
      <c r="J151" s="30"/>
    </row>
    <row r="152" customFormat="false" ht="18" hidden="false" customHeight="true" outlineLevel="0" collapsed="false">
      <c r="B152" s="24"/>
      <c r="C152" s="24"/>
      <c r="D152" s="24"/>
      <c r="E152" s="25"/>
      <c r="F152" s="26"/>
      <c r="G152" s="27"/>
      <c r="H152" s="28"/>
      <c r="I152" s="29" t="str">
        <f aca="false">IF(OR(B152="",N(E152)=0,G152=""),"",G152/(E152*IF(N(H152)=0,1,H152)))</f>
        <v/>
      </c>
      <c r="J152" s="30"/>
    </row>
    <row r="153" customFormat="false" ht="18" hidden="false" customHeight="true" outlineLevel="0" collapsed="false">
      <c r="B153" s="24"/>
      <c r="C153" s="24"/>
      <c r="D153" s="24"/>
      <c r="E153" s="25"/>
      <c r="F153" s="26"/>
      <c r="G153" s="27"/>
      <c r="H153" s="28"/>
      <c r="I153" s="29" t="str">
        <f aca="false">IF(OR(B153="",N(E153)=0,G153=""),"",G153/(E153*IF(N(H153)=0,1,H153)))</f>
        <v/>
      </c>
      <c r="J153" s="30"/>
    </row>
    <row r="154" customFormat="false" ht="18" hidden="false" customHeight="true" outlineLevel="0" collapsed="false">
      <c r="B154" s="24"/>
      <c r="C154" s="24"/>
      <c r="D154" s="24"/>
      <c r="E154" s="25"/>
      <c r="F154" s="26"/>
      <c r="G154" s="27"/>
      <c r="H154" s="28"/>
      <c r="I154" s="29" t="str">
        <f aca="false">IF(OR(B154="",N(E154)=0,G154=""),"",G154/(E154*IF(N(H154)=0,1,H154)))</f>
        <v/>
      </c>
      <c r="J154" s="30"/>
    </row>
    <row r="155" customFormat="false" ht="18" hidden="false" customHeight="true" outlineLevel="0" collapsed="false">
      <c r="B155" s="24"/>
      <c r="C155" s="24"/>
      <c r="D155" s="24"/>
      <c r="E155" s="25"/>
      <c r="F155" s="26"/>
      <c r="G155" s="27"/>
      <c r="H155" s="28"/>
      <c r="I155" s="29" t="str">
        <f aca="false">IF(OR(B155="",N(E155)=0,G155=""),"",G155/(E155*IF(N(H155)=0,1,H155)))</f>
        <v/>
      </c>
      <c r="J155" s="30"/>
    </row>
    <row r="156" customFormat="false" ht="18" hidden="false" customHeight="true" outlineLevel="0" collapsed="false">
      <c r="B156" s="24"/>
      <c r="C156" s="24"/>
      <c r="D156" s="24"/>
      <c r="E156" s="25"/>
      <c r="F156" s="26"/>
      <c r="G156" s="27"/>
      <c r="H156" s="28"/>
      <c r="I156" s="29" t="str">
        <f aca="false">IF(OR(B156="",N(E156)=0,G156=""),"",G156/(E156*IF(N(H156)=0,1,H156)))</f>
        <v/>
      </c>
      <c r="J156" s="30"/>
    </row>
    <row r="157" customFormat="false" ht="18" hidden="false" customHeight="true" outlineLevel="0" collapsed="false">
      <c r="B157" s="24"/>
      <c r="C157" s="24"/>
      <c r="D157" s="24"/>
      <c r="E157" s="25"/>
      <c r="F157" s="26"/>
      <c r="G157" s="27"/>
      <c r="H157" s="28"/>
      <c r="I157" s="29" t="str">
        <f aca="false">IF(OR(B157="",N(E157)=0,G157=""),"",G157/(E157*IF(N(H157)=0,1,H157)))</f>
        <v/>
      </c>
      <c r="J157" s="30"/>
    </row>
    <row r="158" customFormat="false" ht="18" hidden="false" customHeight="true" outlineLevel="0" collapsed="false">
      <c r="B158" s="24"/>
      <c r="C158" s="24"/>
      <c r="D158" s="24"/>
      <c r="E158" s="25"/>
      <c r="F158" s="26"/>
      <c r="G158" s="27"/>
      <c r="H158" s="28"/>
      <c r="I158" s="29" t="str">
        <f aca="false">IF(OR(B158="",N(E158)=0,G158=""),"",G158/(E158*IF(N(H158)=0,1,H158)))</f>
        <v/>
      </c>
      <c r="J158" s="30"/>
    </row>
    <row r="159" customFormat="false" ht="18" hidden="false" customHeight="true" outlineLevel="0" collapsed="false">
      <c r="B159" s="24"/>
      <c r="C159" s="24"/>
      <c r="D159" s="24"/>
      <c r="E159" s="25"/>
      <c r="F159" s="26"/>
      <c r="G159" s="27"/>
      <c r="H159" s="28"/>
      <c r="I159" s="29" t="str">
        <f aca="false">IF(OR(B159="",N(E159)=0,G159=""),"",G159/(E159*IF(N(H159)=0,1,H159)))</f>
        <v/>
      </c>
      <c r="J159" s="30"/>
    </row>
    <row r="160" customFormat="false" ht="18" hidden="false" customHeight="true" outlineLevel="0" collapsed="false">
      <c r="B160" s="24"/>
      <c r="C160" s="24"/>
      <c r="D160" s="24"/>
      <c r="E160" s="25"/>
      <c r="F160" s="26"/>
      <c r="G160" s="27"/>
      <c r="H160" s="28"/>
      <c r="I160" s="29" t="str">
        <f aca="false">IF(OR(B160="",N(E160)=0,G160=""),"",G160/(E160*IF(N(H160)=0,1,H160)))</f>
        <v/>
      </c>
      <c r="J160" s="30"/>
    </row>
    <row r="161" customFormat="false" ht="18" hidden="false" customHeight="true" outlineLevel="0" collapsed="false">
      <c r="B161" s="24"/>
      <c r="C161" s="24"/>
      <c r="D161" s="24"/>
      <c r="E161" s="25"/>
      <c r="F161" s="26"/>
      <c r="G161" s="27"/>
      <c r="H161" s="28"/>
      <c r="I161" s="29" t="str">
        <f aca="false">IF(OR(B161="",N(E161)=0,G161=""),"",G161/(E161*IF(N(H161)=0,1,H161)))</f>
        <v/>
      </c>
      <c r="J161" s="30"/>
    </row>
    <row r="162" customFormat="false" ht="18" hidden="false" customHeight="true" outlineLevel="0" collapsed="false">
      <c r="B162" s="24"/>
      <c r="C162" s="24"/>
      <c r="D162" s="24"/>
      <c r="E162" s="25"/>
      <c r="F162" s="26"/>
      <c r="G162" s="27"/>
      <c r="H162" s="28"/>
      <c r="I162" s="29" t="str">
        <f aca="false">IF(OR(B162="",N(E162)=0,G162=""),"",G162/(E162*IF(N(H162)=0,1,H162)))</f>
        <v/>
      </c>
      <c r="J162" s="30"/>
    </row>
    <row r="163" customFormat="false" ht="18" hidden="false" customHeight="true" outlineLevel="0" collapsed="false">
      <c r="B163" s="24"/>
      <c r="C163" s="24"/>
      <c r="D163" s="24"/>
      <c r="E163" s="25"/>
      <c r="F163" s="26"/>
      <c r="G163" s="27"/>
      <c r="H163" s="28"/>
      <c r="I163" s="29" t="str">
        <f aca="false">IF(OR(B163="",N(E163)=0,G163=""),"",G163/(E163*IF(N(H163)=0,1,H163)))</f>
        <v/>
      </c>
      <c r="J163" s="30"/>
    </row>
    <row r="164" customFormat="false" ht="18" hidden="false" customHeight="true" outlineLevel="0" collapsed="false">
      <c r="B164" s="24"/>
      <c r="C164" s="24"/>
      <c r="D164" s="24"/>
      <c r="E164" s="25"/>
      <c r="F164" s="26"/>
      <c r="G164" s="27"/>
      <c r="H164" s="28"/>
      <c r="I164" s="29" t="str">
        <f aca="false">IF(OR(B164="",N(E164)=0,G164=""),"",G164/(E164*IF(N(H164)=0,1,H164)))</f>
        <v/>
      </c>
      <c r="J164" s="30"/>
    </row>
    <row r="165" customFormat="false" ht="18" hidden="false" customHeight="true" outlineLevel="0" collapsed="false">
      <c r="B165" s="24"/>
      <c r="C165" s="24"/>
      <c r="D165" s="24"/>
      <c r="E165" s="25"/>
      <c r="F165" s="26"/>
      <c r="G165" s="27"/>
      <c r="H165" s="28"/>
      <c r="I165" s="29" t="str">
        <f aca="false">IF(OR(B165="",N(E165)=0,G165=""),"",G165/(E165*IF(N(H165)=0,1,H165)))</f>
        <v/>
      </c>
      <c r="J165" s="30"/>
    </row>
    <row r="166" customFormat="false" ht="18" hidden="false" customHeight="true" outlineLevel="0" collapsed="false">
      <c r="B166" s="24"/>
      <c r="C166" s="24"/>
      <c r="D166" s="24"/>
      <c r="E166" s="25"/>
      <c r="F166" s="26"/>
      <c r="G166" s="27"/>
      <c r="H166" s="28"/>
      <c r="I166" s="29" t="str">
        <f aca="false">IF(OR(B166="",N(E166)=0,G166=""),"",G166/(E166*IF(N(H166)=0,1,H166)))</f>
        <v/>
      </c>
      <c r="J166" s="30"/>
    </row>
    <row r="167" customFormat="false" ht="18" hidden="false" customHeight="true" outlineLevel="0" collapsed="false">
      <c r="B167" s="24"/>
      <c r="C167" s="24"/>
      <c r="D167" s="24"/>
      <c r="E167" s="25"/>
      <c r="F167" s="26"/>
      <c r="G167" s="27"/>
      <c r="H167" s="28"/>
      <c r="I167" s="29" t="str">
        <f aca="false">IF(OR(B167="",N(E167)=0,G167=""),"",G167/(E167*IF(N(H167)=0,1,H167)))</f>
        <v/>
      </c>
      <c r="J167" s="30"/>
    </row>
    <row r="168" customFormat="false" ht="18" hidden="false" customHeight="true" outlineLevel="0" collapsed="false">
      <c r="B168" s="24"/>
      <c r="C168" s="24"/>
      <c r="D168" s="24"/>
      <c r="E168" s="25"/>
      <c r="F168" s="26"/>
      <c r="G168" s="27"/>
      <c r="H168" s="28"/>
      <c r="I168" s="29" t="str">
        <f aca="false">IF(OR(B168="",N(E168)=0,G168=""),"",G168/(E168*IF(N(H168)=0,1,H168)))</f>
        <v/>
      </c>
      <c r="J168" s="30"/>
    </row>
    <row r="169" customFormat="false" ht="18" hidden="false" customHeight="true" outlineLevel="0" collapsed="false">
      <c r="B169" s="24"/>
      <c r="C169" s="24"/>
      <c r="D169" s="24"/>
      <c r="E169" s="25"/>
      <c r="F169" s="26"/>
      <c r="G169" s="27"/>
      <c r="H169" s="28"/>
      <c r="I169" s="29" t="str">
        <f aca="false">IF(OR(B169="",N(E169)=0,G169=""),"",G169/(E169*IF(N(H169)=0,1,H169)))</f>
        <v/>
      </c>
      <c r="J169" s="30"/>
    </row>
    <row r="170" customFormat="false" ht="18" hidden="false" customHeight="true" outlineLevel="0" collapsed="false">
      <c r="B170" s="24"/>
      <c r="C170" s="24"/>
      <c r="D170" s="24"/>
      <c r="E170" s="25"/>
      <c r="F170" s="26"/>
      <c r="G170" s="27"/>
      <c r="H170" s="28"/>
      <c r="I170" s="29" t="str">
        <f aca="false">IF(OR(B170="",N(E170)=0,G170=""),"",G170/(E170*IF(N(H170)=0,1,H170)))</f>
        <v/>
      </c>
      <c r="J170" s="30"/>
    </row>
    <row r="171" customFormat="false" ht="18" hidden="false" customHeight="true" outlineLevel="0" collapsed="false">
      <c r="B171" s="24"/>
      <c r="C171" s="24"/>
      <c r="D171" s="24"/>
      <c r="E171" s="25"/>
      <c r="F171" s="26"/>
      <c r="G171" s="27"/>
      <c r="H171" s="28"/>
      <c r="I171" s="29" t="str">
        <f aca="false">IF(OR(B171="",N(E171)=0,G171=""),"",G171/(E171*IF(N(H171)=0,1,H171)))</f>
        <v/>
      </c>
      <c r="J171" s="30"/>
    </row>
    <row r="172" customFormat="false" ht="18" hidden="false" customHeight="true" outlineLevel="0" collapsed="false">
      <c r="B172" s="24"/>
      <c r="C172" s="24"/>
      <c r="D172" s="24"/>
      <c r="E172" s="25"/>
      <c r="F172" s="26"/>
      <c r="G172" s="27"/>
      <c r="H172" s="28"/>
      <c r="I172" s="29" t="str">
        <f aca="false">IF(OR(B172="",N(E172)=0,G172=""),"",G172/(E172*IF(N(H172)=0,1,H172)))</f>
        <v/>
      </c>
      <c r="J172" s="30"/>
    </row>
    <row r="173" customFormat="false" ht="18" hidden="false" customHeight="true" outlineLevel="0" collapsed="false">
      <c r="B173" s="24"/>
      <c r="C173" s="24"/>
      <c r="D173" s="24"/>
      <c r="E173" s="25"/>
      <c r="F173" s="26"/>
      <c r="G173" s="27"/>
      <c r="H173" s="28"/>
      <c r="I173" s="29" t="str">
        <f aca="false">IF(OR(B173="",N(E173)=0,G173=""),"",G173/(E173*IF(N(H173)=0,1,H173)))</f>
        <v/>
      </c>
      <c r="J173" s="30"/>
    </row>
    <row r="174" customFormat="false" ht="18" hidden="false" customHeight="true" outlineLevel="0" collapsed="false">
      <c r="B174" s="24"/>
      <c r="C174" s="24"/>
      <c r="D174" s="24"/>
      <c r="E174" s="25"/>
      <c r="F174" s="26"/>
      <c r="G174" s="27"/>
      <c r="H174" s="28"/>
      <c r="I174" s="29" t="str">
        <f aca="false">IF(OR(B174="",N(E174)=0,G174=""),"",G174/(E174*IF(N(H174)=0,1,H174)))</f>
        <v/>
      </c>
      <c r="J174" s="30"/>
    </row>
    <row r="175" customFormat="false" ht="18" hidden="false" customHeight="true" outlineLevel="0" collapsed="false">
      <c r="B175" s="24"/>
      <c r="C175" s="24"/>
      <c r="D175" s="24"/>
      <c r="E175" s="25"/>
      <c r="F175" s="26"/>
      <c r="G175" s="27"/>
      <c r="H175" s="28"/>
      <c r="I175" s="29" t="str">
        <f aca="false">IF(OR(B175="",N(E175)=0,G175=""),"",G175/(E175*IF(N(H175)=0,1,H175)))</f>
        <v/>
      </c>
      <c r="J175" s="30"/>
    </row>
    <row r="176" customFormat="false" ht="18" hidden="false" customHeight="true" outlineLevel="0" collapsed="false">
      <c r="B176" s="24"/>
      <c r="C176" s="24"/>
      <c r="D176" s="24"/>
      <c r="E176" s="25"/>
      <c r="F176" s="26"/>
      <c r="G176" s="27"/>
      <c r="H176" s="28"/>
      <c r="I176" s="29" t="str">
        <f aca="false">IF(OR(B176="",N(E176)=0,G176=""),"",G176/(E176*IF(N(H176)=0,1,H176)))</f>
        <v/>
      </c>
      <c r="J176" s="30"/>
    </row>
    <row r="177" customFormat="false" ht="18" hidden="false" customHeight="true" outlineLevel="0" collapsed="false">
      <c r="B177" s="24"/>
      <c r="C177" s="24"/>
      <c r="D177" s="24"/>
      <c r="E177" s="25"/>
      <c r="F177" s="26"/>
      <c r="G177" s="27"/>
      <c r="H177" s="28"/>
      <c r="I177" s="29" t="str">
        <f aca="false">IF(OR(B177="",N(E177)=0,G177=""),"",G177/(E177*IF(N(H177)=0,1,H177)))</f>
        <v/>
      </c>
      <c r="J177" s="30"/>
    </row>
    <row r="178" customFormat="false" ht="18" hidden="false" customHeight="true" outlineLevel="0" collapsed="false">
      <c r="B178" s="24"/>
      <c r="C178" s="24"/>
      <c r="D178" s="24"/>
      <c r="E178" s="25"/>
      <c r="F178" s="26"/>
      <c r="G178" s="27"/>
      <c r="H178" s="28"/>
      <c r="I178" s="29" t="str">
        <f aca="false">IF(OR(B178="",N(E178)=0,G178=""),"",G178/(E178*IF(N(H178)=0,1,H178)))</f>
        <v/>
      </c>
      <c r="J178" s="30"/>
    </row>
    <row r="179" customFormat="false" ht="18" hidden="false" customHeight="true" outlineLevel="0" collapsed="false">
      <c r="B179" s="24"/>
      <c r="C179" s="24"/>
      <c r="D179" s="24"/>
      <c r="E179" s="25"/>
      <c r="F179" s="26"/>
      <c r="G179" s="27"/>
      <c r="H179" s="28"/>
      <c r="I179" s="29" t="str">
        <f aca="false">IF(OR(B179="",N(E179)=0,G179=""),"",G179/(E179*IF(N(H179)=0,1,H179)))</f>
        <v/>
      </c>
      <c r="J179" s="30"/>
    </row>
    <row r="180" customFormat="false" ht="18" hidden="false" customHeight="true" outlineLevel="0" collapsed="false">
      <c r="B180" s="24"/>
      <c r="C180" s="24"/>
      <c r="D180" s="24"/>
      <c r="E180" s="25"/>
      <c r="F180" s="26"/>
      <c r="G180" s="27"/>
      <c r="H180" s="28"/>
      <c r="I180" s="29" t="str">
        <f aca="false">IF(OR(B180="",N(E180)=0,G180=""),"",G180/(E180*IF(N(H180)=0,1,H180)))</f>
        <v/>
      </c>
      <c r="J180" s="30"/>
    </row>
    <row r="181" customFormat="false" ht="18" hidden="false" customHeight="true" outlineLevel="0" collapsed="false">
      <c r="B181" s="24"/>
      <c r="C181" s="24"/>
      <c r="D181" s="24"/>
      <c r="E181" s="25"/>
      <c r="F181" s="26"/>
      <c r="G181" s="27"/>
      <c r="H181" s="28"/>
      <c r="I181" s="29" t="str">
        <f aca="false">IF(OR(B181="",N(E181)=0,G181=""),"",G181/(E181*IF(N(H181)=0,1,H181)))</f>
        <v/>
      </c>
      <c r="J181" s="30"/>
    </row>
    <row r="182" customFormat="false" ht="18" hidden="false" customHeight="true" outlineLevel="0" collapsed="false">
      <c r="B182" s="24"/>
      <c r="C182" s="24"/>
      <c r="D182" s="24"/>
      <c r="E182" s="25"/>
      <c r="F182" s="26"/>
      <c r="G182" s="27"/>
      <c r="H182" s="28"/>
      <c r="I182" s="29" t="str">
        <f aca="false">IF(OR(B182="",N(E182)=0,G182=""),"",G182/(E182*IF(N(H182)=0,1,H182)))</f>
        <v/>
      </c>
      <c r="J182" s="30"/>
    </row>
    <row r="183" customFormat="false" ht="18" hidden="false" customHeight="true" outlineLevel="0" collapsed="false">
      <c r="B183" s="24"/>
      <c r="C183" s="24"/>
      <c r="D183" s="24"/>
      <c r="E183" s="25"/>
      <c r="F183" s="26"/>
      <c r="G183" s="27"/>
      <c r="H183" s="28"/>
      <c r="I183" s="29" t="str">
        <f aca="false">IF(OR(B183="",N(E183)=0,G183=""),"",G183/(E183*IF(N(H183)=0,1,H183)))</f>
        <v/>
      </c>
      <c r="J183" s="30"/>
    </row>
    <row r="184" customFormat="false" ht="18" hidden="false" customHeight="true" outlineLevel="0" collapsed="false">
      <c r="B184" s="24"/>
      <c r="C184" s="24"/>
      <c r="D184" s="24"/>
      <c r="E184" s="25"/>
      <c r="F184" s="26"/>
      <c r="G184" s="27"/>
      <c r="H184" s="28"/>
      <c r="I184" s="29" t="str">
        <f aca="false">IF(OR(B184="",N(E184)=0,G184=""),"",G184/(E184*IF(N(H184)=0,1,H184)))</f>
        <v/>
      </c>
      <c r="J184" s="30"/>
    </row>
    <row r="185" customFormat="false" ht="18" hidden="false" customHeight="true" outlineLevel="0" collapsed="false">
      <c r="B185" s="24"/>
      <c r="C185" s="24"/>
      <c r="D185" s="24"/>
      <c r="E185" s="25"/>
      <c r="F185" s="26"/>
      <c r="G185" s="27"/>
      <c r="H185" s="28"/>
      <c r="I185" s="29" t="str">
        <f aca="false">IF(OR(B185="",N(E185)=0,G185=""),"",G185/(E185*IF(N(H185)=0,1,H185)))</f>
        <v/>
      </c>
      <c r="J185" s="30"/>
    </row>
    <row r="186" customFormat="false" ht="18" hidden="false" customHeight="true" outlineLevel="0" collapsed="false">
      <c r="B186" s="24"/>
      <c r="C186" s="24"/>
      <c r="D186" s="24"/>
      <c r="E186" s="25"/>
      <c r="F186" s="26"/>
      <c r="G186" s="27"/>
      <c r="H186" s="28"/>
      <c r="I186" s="29" t="str">
        <f aca="false">IF(OR(B186="",N(E186)=0,G186=""),"",G186/(E186*IF(N(H186)=0,1,H186)))</f>
        <v/>
      </c>
      <c r="J186" s="30"/>
    </row>
    <row r="187" customFormat="false" ht="18" hidden="false" customHeight="true" outlineLevel="0" collapsed="false">
      <c r="B187" s="24"/>
      <c r="C187" s="24"/>
      <c r="D187" s="24"/>
      <c r="E187" s="25"/>
      <c r="F187" s="26"/>
      <c r="G187" s="27"/>
      <c r="H187" s="28"/>
      <c r="I187" s="29" t="str">
        <f aca="false">IF(OR(B187="",N(E187)=0,G187=""),"",G187/(E187*IF(N(H187)=0,1,H187)))</f>
        <v/>
      </c>
      <c r="J187" s="30"/>
    </row>
    <row r="188" customFormat="false" ht="18" hidden="false" customHeight="true" outlineLevel="0" collapsed="false">
      <c r="B188" s="24"/>
      <c r="C188" s="24"/>
      <c r="D188" s="24"/>
      <c r="E188" s="25"/>
      <c r="F188" s="26"/>
      <c r="G188" s="27"/>
      <c r="H188" s="28"/>
      <c r="I188" s="29" t="str">
        <f aca="false">IF(OR(B188="",N(E188)=0,G188=""),"",G188/(E188*IF(N(H188)=0,1,H188)))</f>
        <v/>
      </c>
      <c r="J188" s="30"/>
    </row>
    <row r="189" customFormat="false" ht="18" hidden="false" customHeight="true" outlineLevel="0" collapsed="false">
      <c r="B189" s="24"/>
      <c r="C189" s="24"/>
      <c r="D189" s="24"/>
      <c r="E189" s="25"/>
      <c r="F189" s="26"/>
      <c r="G189" s="27"/>
      <c r="H189" s="28"/>
      <c r="I189" s="29" t="str">
        <f aca="false">IF(OR(B189="",N(E189)=0,G189=""),"",G189/(E189*IF(N(H189)=0,1,H189)))</f>
        <v/>
      </c>
      <c r="J189" s="30"/>
    </row>
    <row r="190" customFormat="false" ht="18" hidden="false" customHeight="true" outlineLevel="0" collapsed="false">
      <c r="B190" s="24"/>
      <c r="C190" s="24"/>
      <c r="D190" s="24"/>
      <c r="E190" s="25"/>
      <c r="F190" s="26"/>
      <c r="G190" s="27"/>
      <c r="H190" s="28"/>
      <c r="I190" s="29" t="str">
        <f aca="false">IF(OR(B190="",N(E190)=0,G190=""),"",G190/(E190*IF(N(H190)=0,1,H190)))</f>
        <v/>
      </c>
      <c r="J190" s="30"/>
    </row>
    <row r="191" customFormat="false" ht="18" hidden="false" customHeight="true" outlineLevel="0" collapsed="false">
      <c r="B191" s="24"/>
      <c r="C191" s="24"/>
      <c r="D191" s="24"/>
      <c r="E191" s="25"/>
      <c r="F191" s="26"/>
      <c r="G191" s="27"/>
      <c r="H191" s="28"/>
      <c r="I191" s="29" t="str">
        <f aca="false">IF(OR(B191="",N(E191)=0,G191=""),"",G191/(E191*IF(N(H191)=0,1,H191)))</f>
        <v/>
      </c>
      <c r="J191" s="30"/>
    </row>
    <row r="192" customFormat="false" ht="18" hidden="false" customHeight="true" outlineLevel="0" collapsed="false">
      <c r="B192" s="24"/>
      <c r="C192" s="24"/>
      <c r="D192" s="24"/>
      <c r="E192" s="25"/>
      <c r="F192" s="26"/>
      <c r="G192" s="27"/>
      <c r="H192" s="28"/>
      <c r="I192" s="29" t="str">
        <f aca="false">IF(OR(B192="",N(E192)=0,G192=""),"",G192/(E192*IF(N(H192)=0,1,H192)))</f>
        <v/>
      </c>
      <c r="J192" s="30"/>
    </row>
    <row r="193" customFormat="false" ht="18" hidden="false" customHeight="true" outlineLevel="0" collapsed="false">
      <c r="B193" s="24"/>
      <c r="C193" s="24"/>
      <c r="D193" s="24"/>
      <c r="E193" s="25"/>
      <c r="F193" s="26"/>
      <c r="G193" s="27"/>
      <c r="H193" s="28"/>
      <c r="I193" s="29" t="str">
        <f aca="false">IF(OR(B193="",N(E193)=0,G193=""),"",G193/(E193*IF(N(H193)=0,1,H193)))</f>
        <v/>
      </c>
      <c r="J193" s="30"/>
    </row>
    <row r="194" customFormat="false" ht="18" hidden="false" customHeight="true" outlineLevel="0" collapsed="false">
      <c r="B194" s="24"/>
      <c r="C194" s="24"/>
      <c r="D194" s="24"/>
      <c r="E194" s="25"/>
      <c r="F194" s="26"/>
      <c r="G194" s="27"/>
      <c r="H194" s="28"/>
      <c r="I194" s="29" t="str">
        <f aca="false">IF(OR(B194="",N(E194)=0,G194=""),"",G194/(E194*IF(N(H194)=0,1,H194)))</f>
        <v/>
      </c>
      <c r="J194" s="30"/>
    </row>
    <row r="195" customFormat="false" ht="18" hidden="false" customHeight="true" outlineLevel="0" collapsed="false">
      <c r="B195" s="24"/>
      <c r="C195" s="24"/>
      <c r="D195" s="24"/>
      <c r="E195" s="25"/>
      <c r="F195" s="26"/>
      <c r="G195" s="27"/>
      <c r="H195" s="28"/>
      <c r="I195" s="29" t="str">
        <f aca="false">IF(OR(B195="",N(E195)=0,G195=""),"",G195/(E195*IF(N(H195)=0,1,H195)))</f>
        <v/>
      </c>
      <c r="J195" s="30"/>
    </row>
    <row r="196" customFormat="false" ht="18" hidden="false" customHeight="true" outlineLevel="0" collapsed="false">
      <c r="B196" s="24"/>
      <c r="C196" s="24"/>
      <c r="D196" s="24"/>
      <c r="E196" s="25"/>
      <c r="F196" s="26"/>
      <c r="G196" s="27"/>
      <c r="H196" s="28"/>
      <c r="I196" s="29" t="str">
        <f aca="false">IF(OR(B196="",N(E196)=0,G196=""),"",G196/(E196*IF(N(H196)=0,1,H196)))</f>
        <v/>
      </c>
      <c r="J196" s="30"/>
    </row>
    <row r="197" customFormat="false" ht="18" hidden="false" customHeight="true" outlineLevel="0" collapsed="false">
      <c r="B197" s="24"/>
      <c r="C197" s="24"/>
      <c r="D197" s="24"/>
      <c r="E197" s="25"/>
      <c r="F197" s="26"/>
      <c r="G197" s="27"/>
      <c r="H197" s="28"/>
      <c r="I197" s="29" t="str">
        <f aca="false">IF(OR(B197="",N(E197)=0,G197=""),"",G197/(E197*IF(N(H197)=0,1,H197)))</f>
        <v/>
      </c>
      <c r="J197" s="30"/>
    </row>
    <row r="198" customFormat="false" ht="18" hidden="false" customHeight="true" outlineLevel="0" collapsed="false">
      <c r="B198" s="24"/>
      <c r="C198" s="24"/>
      <c r="D198" s="24"/>
      <c r="E198" s="25"/>
      <c r="F198" s="26"/>
      <c r="G198" s="27"/>
      <c r="H198" s="28"/>
      <c r="I198" s="29" t="str">
        <f aca="false">IF(OR(B198="",N(E198)=0,G198=""),"",G198/(E198*IF(N(H198)=0,1,H198)))</f>
        <v/>
      </c>
      <c r="J198" s="30"/>
    </row>
    <row r="199" customFormat="false" ht="18" hidden="false" customHeight="true" outlineLevel="0" collapsed="false">
      <c r="B199" s="24"/>
      <c r="C199" s="24"/>
      <c r="D199" s="24"/>
      <c r="E199" s="25"/>
      <c r="F199" s="26"/>
      <c r="G199" s="27"/>
      <c r="H199" s="28"/>
      <c r="I199" s="29" t="str">
        <f aca="false">IF(OR(B199="",N(E199)=0,G199=""),"",G199/(E199*IF(N(H199)=0,1,H199)))</f>
        <v/>
      </c>
      <c r="J199" s="30"/>
    </row>
    <row r="200" customFormat="false" ht="18" hidden="false" customHeight="true" outlineLevel="0" collapsed="false">
      <c r="B200" s="24"/>
      <c r="C200" s="24"/>
      <c r="D200" s="24"/>
      <c r="E200" s="25"/>
      <c r="F200" s="26"/>
      <c r="G200" s="27"/>
      <c r="H200" s="28"/>
      <c r="I200" s="29" t="str">
        <f aca="false">IF(OR(B200="",N(E200)=0,G200=""),"",G200/(E200*IF(N(H200)=0,1,H200)))</f>
        <v/>
      </c>
      <c r="J200" s="30"/>
    </row>
    <row r="201" customFormat="false" ht="18" hidden="false" customHeight="true" outlineLevel="0" collapsed="false">
      <c r="B201" s="24"/>
      <c r="C201" s="24"/>
      <c r="D201" s="24"/>
      <c r="E201" s="25"/>
      <c r="F201" s="26"/>
      <c r="G201" s="27"/>
      <c r="H201" s="28"/>
      <c r="I201" s="29" t="str">
        <f aca="false">IF(OR(B201="",N(E201)=0,G201=""),"",G201/(E201*IF(N(H201)=0,1,H201)))</f>
        <v/>
      </c>
      <c r="J201" s="30"/>
    </row>
    <row r="202" customFormat="false" ht="18" hidden="false" customHeight="true" outlineLevel="0" collapsed="false">
      <c r="B202" s="24"/>
      <c r="C202" s="24"/>
      <c r="D202" s="24"/>
      <c r="E202" s="25"/>
      <c r="F202" s="26"/>
      <c r="G202" s="27"/>
      <c r="H202" s="28"/>
      <c r="I202" s="29" t="str">
        <f aca="false">IF(OR(B202="",N(E202)=0,G202=""),"",G202/(E202*IF(N(H202)=0,1,H202)))</f>
        <v/>
      </c>
      <c r="J202" s="30"/>
    </row>
    <row r="203" customFormat="false" ht="18" hidden="false" customHeight="true" outlineLevel="0" collapsed="false">
      <c r="B203" s="24"/>
      <c r="C203" s="24"/>
      <c r="D203" s="24"/>
      <c r="E203" s="25"/>
      <c r="F203" s="26"/>
      <c r="G203" s="27"/>
      <c r="H203" s="28"/>
      <c r="I203" s="29" t="str">
        <f aca="false">IF(OR(B203="",N(E203)=0,G203=""),"",G203/(E203*IF(N(H203)=0,1,H203)))</f>
        <v/>
      </c>
      <c r="J203" s="30"/>
    </row>
    <row r="204" customFormat="false" ht="18" hidden="false" customHeight="true" outlineLevel="0" collapsed="false">
      <c r="B204" s="24"/>
      <c r="C204" s="24"/>
      <c r="D204" s="24"/>
      <c r="E204" s="25"/>
      <c r="F204" s="26"/>
      <c r="G204" s="27"/>
      <c r="H204" s="28"/>
      <c r="I204" s="29" t="str">
        <f aca="false">IF(OR(B204="",N(E204)=0,G204=""),"",G204/(E204*IF(N(H204)=0,1,H204)))</f>
        <v/>
      </c>
      <c r="J204" s="30"/>
    </row>
    <row r="205" customFormat="false" ht="18" hidden="false" customHeight="true" outlineLevel="0" collapsed="false">
      <c r="B205" s="24"/>
      <c r="C205" s="24"/>
      <c r="D205" s="24"/>
      <c r="E205" s="25"/>
      <c r="F205" s="26"/>
      <c r="G205" s="27"/>
      <c r="H205" s="28"/>
      <c r="I205" s="29" t="str">
        <f aca="false">IF(OR(B205="",N(E205)=0,G205=""),"",G205/(E205*IF(N(H205)=0,1,H205)))</f>
        <v/>
      </c>
      <c r="J205" s="30"/>
    </row>
  </sheetData>
  <dataValidations count="4">
    <dataValidation allowBlank="true" errorStyle="stop" operator="between" showDropDown="false" showErrorMessage="false" showInputMessage="false" sqref="C6:C205" type="list">
      <formula1>"Produce,Herbs,Meat,Poultry,Seafood,Dairy,Dry Goods,Canned,Oil &amp; Vinegar,Bakery,Frozen,Beverage,Other"</formula1>
      <formula2>0</formula2>
    </dataValidation>
    <dataValidation allowBlank="true" error="Use g, ml or pc only. 1 kg = 1,000 g." errorStyle="stop" operator="between" showDropDown="false" showErrorMessage="false" showInputMessage="false" sqref="F6:F205" type="list">
      <formula1>"g,ml,pc"</formula1>
      <formula2>0</formula2>
    </dataValidation>
    <dataValidation allowBlank="true" error="Yield is between 1% and 100%." errorStyle="stop" operator="between" showDropDown="false" showErrorMessage="false" showInputMessage="false" sqref="H6:H205" type="decimal">
      <formula1>0.01</formula1>
      <formula2>1</formula2>
    </dataValidation>
    <dataValidation allowBlank="true" error="Pack size must be more than 0." errorStyle="stop" operator="greaterThan" showDropDown="false" showErrorMessage="false" showInputMessage="false" sqref="E6:E205" type="decimal">
      <formula1>0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8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88</v>
      </c>
      <c r="C2" s="2"/>
      <c r="D2" s="2"/>
      <c r="E2" s="2"/>
      <c r="F2" s="2"/>
      <c r="G2" s="2"/>
    </row>
    <row r="3" customFormat="false" ht="25.5" hidden="false" customHeight="true" outlineLevel="0" collapsed="false">
      <c r="B3" s="20" t="s">
        <v>89</v>
      </c>
    </row>
    <row r="4" customFormat="false" ht="15" hidden="false" customHeight="false" outlineLevel="0" collapsed="false">
      <c r="B4" s="21" t="s">
        <v>90</v>
      </c>
    </row>
    <row r="5" customFormat="false" ht="15" hidden="false" customHeight="false" outlineLevel="0" collapsed="false">
      <c r="B5" s="21" t="s">
        <v>91</v>
      </c>
    </row>
    <row r="7" customFormat="false" ht="21.75" hidden="false" customHeight="true" outlineLevel="0" collapsed="false">
      <c r="B7" s="1" t="s">
        <v>92</v>
      </c>
      <c r="C7" s="2"/>
      <c r="D7" s="2"/>
      <c r="E7" s="2"/>
      <c r="F7" s="2"/>
      <c r="G7" s="2"/>
    </row>
    <row r="8" customFormat="false" ht="19.5" hidden="false" customHeight="true" outlineLevel="0" collapsed="false">
      <c r="B8" s="31" t="s">
        <v>93</v>
      </c>
      <c r="C8" s="32" t="s">
        <v>94</v>
      </c>
      <c r="D8" s="32"/>
      <c r="E8" s="33" t="s">
        <v>95</v>
      </c>
      <c r="F8" s="33"/>
      <c r="G8" s="34" t="n">
        <v>10</v>
      </c>
    </row>
    <row r="9" customFormat="false" ht="19.5" hidden="false" customHeight="true" outlineLevel="0" collapsed="false">
      <c r="E9" s="33" t="s">
        <v>96</v>
      </c>
      <c r="F9" s="33"/>
      <c r="G9" s="9" t="s">
        <v>83</v>
      </c>
    </row>
    <row r="10" customFormat="false" ht="21.75" hidden="false" customHeight="true" outlineLevel="0" collapsed="false">
      <c r="B10" s="35" t="s">
        <v>97</v>
      </c>
      <c r="C10" s="36" t="s">
        <v>54</v>
      </c>
      <c r="D10" s="35" t="s">
        <v>98</v>
      </c>
      <c r="E10" s="35" t="s">
        <v>58</v>
      </c>
      <c r="F10" s="37" t="str">
        <f aca="false">"Unit Cost ("&amp;CURRENCY&amp;")"</f>
        <v>Unit Cost ($)</v>
      </c>
      <c r="G10" s="37" t="str">
        <f aca="false">"Cost ("&amp;CURRENCY&amp;")"</f>
        <v>Cost ($)</v>
      </c>
    </row>
    <row r="11" customFormat="false" ht="18.75" hidden="false" customHeight="true" outlineLevel="0" collapsed="false">
      <c r="B11" s="38" t="n">
        <v>1</v>
      </c>
      <c r="C11" s="24" t="s">
        <v>60</v>
      </c>
      <c r="D11" s="39" t="n">
        <v>1500</v>
      </c>
      <c r="E11" s="40" t="str">
        <f aca="false">IF(C11="","",IFERROR(INDEX(Ingredients!$F$6:$F$205,MATCH(C11,Ingredients!$B$6:$B$205,0)),""))</f>
        <v>g</v>
      </c>
      <c r="F11" s="29" t="n">
        <f aca="false">IF(C11="","",IFERROR(INDEX(Ingredients!$I$6:$I$205,MATCH(C11,Ingredients!$B$6:$B$205,0)),""))</f>
        <v>0.0012</v>
      </c>
      <c r="G11" s="41" t="n">
        <f aca="false">IF(OR(C11="",D11="",F11=""),"",D11*F11)</f>
        <v>1.8</v>
      </c>
    </row>
    <row r="12" customFormat="false" ht="18.75" hidden="false" customHeight="true" outlineLevel="0" collapsed="false">
      <c r="B12" s="38" t="n">
        <v>2</v>
      </c>
      <c r="C12" s="24" t="s">
        <v>71</v>
      </c>
      <c r="D12" s="39" t="n">
        <v>975</v>
      </c>
      <c r="E12" s="40" t="str">
        <f aca="false">IF(C12="","",IFERROR(INDEX(Ingredients!$F$6:$F$205,MATCH(C12,Ingredients!$B$6:$B$205,0)),""))</f>
        <v>ml</v>
      </c>
      <c r="F12" s="29" t="n">
        <f aca="false">IF(C12="","",IFERROR(INDEX(Ingredients!$I$6:$I$205,MATCH(C12,Ingredients!$B$6:$B$205,0)),""))</f>
        <v>0</v>
      </c>
      <c r="G12" s="41" t="n">
        <f aca="false">IF(OR(C12="",D12="",F12=""),"",D12*F12)</f>
        <v>0</v>
      </c>
    </row>
    <row r="13" customFormat="false" ht="18.75" hidden="false" customHeight="true" outlineLevel="0" collapsed="false">
      <c r="B13" s="38" t="n">
        <v>3</v>
      </c>
      <c r="C13" s="24" t="s">
        <v>65</v>
      </c>
      <c r="D13" s="39" t="n">
        <v>45</v>
      </c>
      <c r="E13" s="40" t="str">
        <f aca="false">IF(C13="","",IFERROR(INDEX(Ingredients!$F$6:$F$205,MATCH(C13,Ingredients!$B$6:$B$205,0)),""))</f>
        <v>g</v>
      </c>
      <c r="F13" s="29" t="n">
        <f aca="false">IF(C13="","",IFERROR(INDEX(Ingredients!$I$6:$I$205,MATCH(C13,Ingredients!$B$6:$B$205,0)),""))</f>
        <v>0.001</v>
      </c>
      <c r="G13" s="41" t="n">
        <f aca="false">IF(OR(C13="",D13="",F13=""),"",D13*F13)</f>
        <v>0.045</v>
      </c>
    </row>
    <row r="14" customFormat="false" ht="18.75" hidden="false" customHeight="true" outlineLevel="0" collapsed="false">
      <c r="B14" s="38" t="n">
        <v>4</v>
      </c>
      <c r="C14" s="24" t="s">
        <v>64</v>
      </c>
      <c r="D14" s="39" t="n">
        <v>4</v>
      </c>
      <c r="E14" s="40" t="str">
        <f aca="false">IF(C14="","",IFERROR(INDEX(Ingredients!$F$6:$F$205,MATCH(C14,Ingredients!$B$6:$B$205,0)),""))</f>
        <v>g</v>
      </c>
      <c r="F14" s="29" t="n">
        <f aca="false">IF(C14="","",IFERROR(INDEX(Ingredients!$I$6:$I$205,MATCH(C14,Ingredients!$B$6:$B$205,0)),""))</f>
        <v>0.02</v>
      </c>
      <c r="G14" s="41" t="n">
        <f aca="false">IF(OR(C14="",D14="",F14=""),"",D14*F14)</f>
        <v>0.08</v>
      </c>
    </row>
    <row r="15" customFormat="false" ht="18.75" hidden="false" customHeight="true" outlineLevel="0" collapsed="false">
      <c r="B15" s="38" t="n">
        <v>5</v>
      </c>
      <c r="C15" s="24" t="s">
        <v>68</v>
      </c>
      <c r="D15" s="39" t="n">
        <v>30</v>
      </c>
      <c r="E15" s="40" t="str">
        <f aca="false">IF(C15="","",IFERROR(INDEX(Ingredients!$F$6:$F$205,MATCH(C15,Ingredients!$B$6:$B$205,0)),""))</f>
        <v>ml</v>
      </c>
      <c r="F15" s="29" t="n">
        <f aca="false">IF(C15="","",IFERROR(INDEX(Ingredients!$I$6:$I$205,MATCH(C15,Ingredients!$B$6:$B$205,0)),""))</f>
        <v>0.01</v>
      </c>
      <c r="G15" s="41" t="n">
        <f aca="false">IF(OR(C15="",D15="",F15=""),"",D15*F15)</f>
        <v>0.3</v>
      </c>
    </row>
    <row r="16" customFormat="false" ht="18.75" hidden="false" customHeight="true" outlineLevel="0" collapsed="false">
      <c r="B16" s="38" t="n">
        <v>6</v>
      </c>
      <c r="C16" s="24"/>
      <c r="D16" s="39"/>
      <c r="E16" s="40" t="str">
        <f aca="false">IF(C16="","",IFERROR(INDEX(Ingredients!$F$6:$F$205,MATCH(C16,Ingredients!$B$6:$B$205,0)),""))</f>
        <v/>
      </c>
      <c r="F16" s="29" t="str">
        <f aca="false">IF(C16="","",IFERROR(INDEX(Ingredients!$I$6:$I$205,MATCH(C16,Ingredients!$B$6:$B$205,0)),""))</f>
        <v/>
      </c>
      <c r="G16" s="41" t="str">
        <f aca="false">IF(OR(C16="",D16="",F16=""),"",D16*F16)</f>
        <v/>
      </c>
    </row>
    <row r="17" customFormat="false" ht="18.75" hidden="false" customHeight="true" outlineLevel="0" collapsed="false">
      <c r="B17" s="38" t="n">
        <v>7</v>
      </c>
      <c r="C17" s="24"/>
      <c r="D17" s="39"/>
      <c r="E17" s="40" t="str">
        <f aca="false">IF(C17="","",IFERROR(INDEX(Ingredients!$F$6:$F$205,MATCH(C17,Ingredients!$B$6:$B$205,0)),""))</f>
        <v/>
      </c>
      <c r="F17" s="29" t="str">
        <f aca="false">IF(C17="","",IFERROR(INDEX(Ingredients!$I$6:$I$205,MATCH(C17,Ingredients!$B$6:$B$205,0)),""))</f>
        <v/>
      </c>
      <c r="G17" s="41" t="str">
        <f aca="false">IF(OR(C17="",D17="",F17=""),"",D17*F17)</f>
        <v/>
      </c>
    </row>
    <row r="18" customFormat="false" ht="18.75" hidden="false" customHeight="true" outlineLevel="0" collapsed="false">
      <c r="B18" s="38" t="n">
        <v>8</v>
      </c>
      <c r="C18" s="24"/>
      <c r="D18" s="39"/>
      <c r="E18" s="40" t="str">
        <f aca="false">IF(C18="","",IFERROR(INDEX(Ingredients!$F$6:$F$205,MATCH(C18,Ingredients!$B$6:$B$205,0)),""))</f>
        <v/>
      </c>
      <c r="F18" s="29" t="str">
        <f aca="false">IF(C18="","",IFERROR(INDEX(Ingredients!$I$6:$I$205,MATCH(C18,Ingredients!$B$6:$B$205,0)),""))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9</v>
      </c>
      <c r="C19" s="24"/>
      <c r="D19" s="39"/>
      <c r="E19" s="40" t="str">
        <f aca="false">IF(C19="","",IFERROR(INDEX(Ingredients!$F$6:$F$205,MATCH(C19,Ingredients!$B$6:$B$205,0)),""))</f>
        <v/>
      </c>
      <c r="F19" s="29" t="str">
        <f aca="false">IF(C19="","",IFERROR(INDEX(Ingredients!$I$6:$I$205,MATCH(C19,Ingredients!$B$6:$B$205,0)),""))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10</v>
      </c>
      <c r="C20" s="24"/>
      <c r="D20" s="39"/>
      <c r="E20" s="40" t="str">
        <f aca="false">IF(C20="","",IFERROR(INDEX(Ingredients!$F$6:$F$205,MATCH(C20,Ingredients!$B$6:$B$205,0)),""))</f>
        <v/>
      </c>
      <c r="F20" s="29" t="str">
        <f aca="false">IF(C20="","",IFERROR(INDEX(Ingredients!$I$6:$I$205,MATCH(C20,Ingredients!$B$6:$B$205,0)),""))</f>
        <v/>
      </c>
      <c r="G20" s="41" t="str">
        <f aca="false">IF(OR(C20="",D20="",F20=""),"",D20*F20)</f>
        <v/>
      </c>
    </row>
    <row r="21" customFormat="false" ht="19.5" hidden="false" customHeight="true" outlineLevel="0" collapsed="false">
      <c r="B21" s="42"/>
      <c r="C21" s="43" t="s">
        <v>99</v>
      </c>
      <c r="D21" s="42"/>
      <c r="E21" s="42"/>
      <c r="F21" s="42"/>
      <c r="G21" s="44" t="n">
        <f aca="false">SUM(G11:G20)</f>
        <v>2.225</v>
      </c>
    </row>
    <row r="22" customFormat="false" ht="19.5" hidden="false" customHeight="true" outlineLevel="0" collapsed="false">
      <c r="C22" s="45" t="str">
        <f aca="false">"Cost per "&amp;IF(G9="","unit",G9)</f>
        <v>Cost per pc</v>
      </c>
      <c r="G22" s="46" t="n">
        <f aca="false">IF(OR(N(G8)=0,G21=0),"",G21/G8)</f>
        <v>0.2225</v>
      </c>
    </row>
    <row r="25" customFormat="false" ht="21.75" hidden="false" customHeight="true" outlineLevel="0" collapsed="false">
      <c r="B25" s="1" t="s">
        <v>100</v>
      </c>
      <c r="C25" s="2"/>
      <c r="D25" s="2"/>
      <c r="E25" s="2"/>
      <c r="F25" s="2"/>
      <c r="G25" s="2"/>
    </row>
    <row r="26" customFormat="false" ht="19.5" hidden="false" customHeight="true" outlineLevel="0" collapsed="false">
      <c r="B26" s="31" t="s">
        <v>93</v>
      </c>
      <c r="C26" s="32" t="s">
        <v>101</v>
      </c>
      <c r="D26" s="32"/>
      <c r="E26" s="33" t="s">
        <v>95</v>
      </c>
      <c r="F26" s="33"/>
      <c r="G26" s="34" t="n">
        <v>2500</v>
      </c>
    </row>
    <row r="27" customFormat="false" ht="19.5" hidden="false" customHeight="true" outlineLevel="0" collapsed="false">
      <c r="E27" s="33" t="s">
        <v>96</v>
      </c>
      <c r="F27" s="33"/>
      <c r="G27" s="9" t="s">
        <v>63</v>
      </c>
    </row>
    <row r="28" customFormat="false" ht="21.75" hidden="false" customHeight="true" outlineLevel="0" collapsed="false">
      <c r="B28" s="35" t="s">
        <v>97</v>
      </c>
      <c r="C28" s="36" t="s">
        <v>54</v>
      </c>
      <c r="D28" s="35" t="s">
        <v>98</v>
      </c>
      <c r="E28" s="35" t="s">
        <v>58</v>
      </c>
      <c r="F28" s="37" t="str">
        <f aca="false">"Unit Cost ("&amp;CURRENCY&amp;")"</f>
        <v>Unit Cost ($)</v>
      </c>
      <c r="G28" s="37" t="str">
        <f aca="false">"Cost ("&amp;CURRENCY&amp;")"</f>
        <v>Cost ($)</v>
      </c>
    </row>
    <row r="29" customFormat="false" ht="18.75" hidden="false" customHeight="true" outlineLevel="0" collapsed="false">
      <c r="B29" s="38" t="n">
        <v>1</v>
      </c>
      <c r="C29" s="24" t="s">
        <v>73</v>
      </c>
      <c r="D29" s="39" t="n">
        <v>2550</v>
      </c>
      <c r="E29" s="40" t="str">
        <f aca="false">IF(C29="","",IFERROR(INDEX(Ingredients!$F$6:$F$205,MATCH(C29,Ingredients!$B$6:$B$205,0)),""))</f>
        <v>g</v>
      </c>
      <c r="F29" s="29" t="n">
        <f aca="false">IF(C29="","",IFERROR(INDEX(Ingredients!$I$6:$I$205,MATCH(C29,Ingredients!$B$6:$B$205,0)),""))</f>
        <v>0.00352941176470588</v>
      </c>
      <c r="G29" s="41" t="n">
        <f aca="false">IF(OR(C29="",D29="",F29=""),"",D29*F29)</f>
        <v>9</v>
      </c>
    </row>
    <row r="30" customFormat="false" ht="18.75" hidden="false" customHeight="true" outlineLevel="0" collapsed="false">
      <c r="B30" s="38" t="n">
        <v>2</v>
      </c>
      <c r="C30" s="24" t="s">
        <v>68</v>
      </c>
      <c r="D30" s="39" t="n">
        <v>50</v>
      </c>
      <c r="E30" s="40" t="str">
        <f aca="false">IF(C30="","",IFERROR(INDEX(Ingredients!$F$6:$F$205,MATCH(C30,Ingredients!$B$6:$B$205,0)),""))</f>
        <v>ml</v>
      </c>
      <c r="F30" s="29" t="n">
        <f aca="false">IF(C30="","",IFERROR(INDEX(Ingredients!$I$6:$I$205,MATCH(C30,Ingredients!$B$6:$B$205,0)),""))</f>
        <v>0.01</v>
      </c>
      <c r="G30" s="41" t="n">
        <f aca="false">IF(OR(C30="",D30="",F30=""),"",D30*F30)</f>
        <v>0.5</v>
      </c>
    </row>
    <row r="31" customFormat="false" ht="18.75" hidden="false" customHeight="true" outlineLevel="0" collapsed="false">
      <c r="B31" s="38" t="n">
        <v>3</v>
      </c>
      <c r="C31" s="24" t="s">
        <v>75</v>
      </c>
      <c r="D31" s="39" t="n">
        <v>15</v>
      </c>
      <c r="E31" s="40" t="str">
        <f aca="false">IF(C31="","",IFERROR(INDEX(Ingredients!$F$6:$F$205,MATCH(C31,Ingredients!$B$6:$B$205,0)),""))</f>
        <v>g</v>
      </c>
      <c r="F31" s="29" t="n">
        <f aca="false">IF(C31="","",IFERROR(INDEX(Ingredients!$I$6:$I$205,MATCH(C31,Ingredients!$B$6:$B$205,0)),""))</f>
        <v>0.00705882352941177</v>
      </c>
      <c r="G31" s="41" t="n">
        <f aca="false">IF(OR(C31="",D31="",F31=""),"",D31*F31)</f>
        <v>0.105882352941176</v>
      </c>
    </row>
    <row r="32" customFormat="false" ht="18.75" hidden="false" customHeight="true" outlineLevel="0" collapsed="false">
      <c r="B32" s="38" t="n">
        <v>4</v>
      </c>
      <c r="C32" s="24" t="s">
        <v>65</v>
      </c>
      <c r="D32" s="39" t="n">
        <v>15</v>
      </c>
      <c r="E32" s="40" t="str">
        <f aca="false">IF(C32="","",IFERROR(INDEX(Ingredients!$F$6:$F$205,MATCH(C32,Ingredients!$B$6:$B$205,0)),""))</f>
        <v>g</v>
      </c>
      <c r="F32" s="29" t="n">
        <f aca="false">IF(C32="","",IFERROR(INDEX(Ingredients!$I$6:$I$205,MATCH(C32,Ingredients!$B$6:$B$205,0)),""))</f>
        <v>0.001</v>
      </c>
      <c r="G32" s="41" t="n">
        <f aca="false">IF(OR(C32="",D32="",F32=""),"",D32*F32)</f>
        <v>0.015</v>
      </c>
    </row>
    <row r="33" customFormat="false" ht="18.75" hidden="false" customHeight="true" outlineLevel="0" collapsed="false">
      <c r="B33" s="38" t="n">
        <v>5</v>
      </c>
      <c r="C33" s="24" t="s">
        <v>77</v>
      </c>
      <c r="D33" s="39" t="n">
        <v>10</v>
      </c>
      <c r="E33" s="40" t="str">
        <f aca="false">IF(C33="","",IFERROR(INDEX(Ingredients!$F$6:$F$205,MATCH(C33,Ingredients!$B$6:$B$205,0)),""))</f>
        <v>g</v>
      </c>
      <c r="F33" s="29" t="n">
        <f aca="false">IF(C33="","",IFERROR(INDEX(Ingredients!$I$6:$I$205,MATCH(C33,Ingredients!$B$6:$B$205,0)),""))</f>
        <v>0.06</v>
      </c>
      <c r="G33" s="41" t="n">
        <f aca="false">IF(OR(C33="",D33="",F33=""),"",D33*F33)</f>
        <v>0.6</v>
      </c>
    </row>
    <row r="34" customFormat="false" ht="18.75" hidden="false" customHeight="true" outlineLevel="0" collapsed="false">
      <c r="B34" s="38" t="n">
        <v>6</v>
      </c>
      <c r="C34" s="24" t="s">
        <v>66</v>
      </c>
      <c r="D34" s="39" t="n">
        <v>5</v>
      </c>
      <c r="E34" s="40" t="str">
        <f aca="false">IF(C34="","",IFERROR(INDEX(Ingredients!$F$6:$F$205,MATCH(C34,Ingredients!$B$6:$B$205,0)),""))</f>
        <v>g</v>
      </c>
      <c r="F34" s="29" t="n">
        <f aca="false">IF(C34="","",IFERROR(INDEX(Ingredients!$I$6:$I$205,MATCH(C34,Ingredients!$B$6:$B$205,0)),""))</f>
        <v>0.002</v>
      </c>
      <c r="G34" s="41" t="n">
        <f aca="false">IF(OR(C34="",D34="",F34=""),"",D34*F34)</f>
        <v>0.01</v>
      </c>
    </row>
    <row r="35" customFormat="false" ht="18.75" hidden="false" customHeight="true" outlineLevel="0" collapsed="false">
      <c r="B35" s="38" t="n">
        <v>7</v>
      </c>
      <c r="C35" s="24"/>
      <c r="D35" s="39"/>
      <c r="E35" s="40" t="str">
        <f aca="false">IF(C35="","",IFERROR(INDEX(Ingredients!$F$6:$F$205,MATCH(C35,Ingredients!$B$6:$B$205,0)),""))</f>
        <v/>
      </c>
      <c r="F35" s="29" t="str">
        <f aca="false">IF(C35="","",IFERROR(INDEX(Ingredients!$I$6:$I$205,MATCH(C35,Ingredients!$B$6:$B$205,0)),""))</f>
        <v/>
      </c>
      <c r="G35" s="41" t="str">
        <f aca="false">IF(OR(C35="",D35="",F35=""),"",D35*F35)</f>
        <v/>
      </c>
    </row>
    <row r="36" customFormat="false" ht="18.75" hidden="false" customHeight="true" outlineLevel="0" collapsed="false">
      <c r="B36" s="38" t="n">
        <v>8</v>
      </c>
      <c r="C36" s="24"/>
      <c r="D36" s="39"/>
      <c r="E36" s="40" t="str">
        <f aca="false">IF(C36="","",IFERROR(INDEX(Ingredients!$F$6:$F$205,MATCH(C36,Ingredients!$B$6:$B$205,0)),""))</f>
        <v/>
      </c>
      <c r="F36" s="29" t="str">
        <f aca="false">IF(C36="","",IFERROR(INDEX(Ingredients!$I$6:$I$205,MATCH(C36,Ingredients!$B$6:$B$205,0)),""))</f>
        <v/>
      </c>
      <c r="G36" s="41" t="str">
        <f aca="false">IF(OR(C36="",D36="",F36=""),"",D36*F36)</f>
        <v/>
      </c>
    </row>
    <row r="37" customFormat="false" ht="18.75" hidden="false" customHeight="true" outlineLevel="0" collapsed="false">
      <c r="B37" s="38" t="n">
        <v>9</v>
      </c>
      <c r="C37" s="24"/>
      <c r="D37" s="39"/>
      <c r="E37" s="40" t="str">
        <f aca="false">IF(C37="","",IFERROR(INDEX(Ingredients!$F$6:$F$205,MATCH(C37,Ingredients!$B$6:$B$205,0)),""))</f>
        <v/>
      </c>
      <c r="F37" s="29" t="str">
        <f aca="false">IF(C37="","",IFERROR(INDEX(Ingredients!$I$6:$I$205,MATCH(C37,Ingredients!$B$6:$B$205,0)),""))</f>
        <v/>
      </c>
      <c r="G37" s="41" t="str">
        <f aca="false">IF(OR(C37="",D37="",F37=""),"",D37*F37)</f>
        <v/>
      </c>
    </row>
    <row r="38" customFormat="false" ht="18.75" hidden="false" customHeight="true" outlineLevel="0" collapsed="false">
      <c r="B38" s="38" t="n">
        <v>10</v>
      </c>
      <c r="C38" s="24"/>
      <c r="D38" s="39"/>
      <c r="E38" s="40" t="str">
        <f aca="false">IF(C38="","",IFERROR(INDEX(Ingredients!$F$6:$F$205,MATCH(C38,Ingredients!$B$6:$B$205,0)),""))</f>
        <v/>
      </c>
      <c r="F38" s="29" t="str">
        <f aca="false">IF(C38="","",IFERROR(INDEX(Ingredients!$I$6:$I$205,MATCH(C38,Ingredients!$B$6:$B$205,0)),""))</f>
        <v/>
      </c>
      <c r="G38" s="41" t="str">
        <f aca="false">IF(OR(C38="",D38="",F38=""),"",D38*F38)</f>
        <v/>
      </c>
    </row>
    <row r="39" customFormat="false" ht="19.5" hidden="false" customHeight="true" outlineLevel="0" collapsed="false">
      <c r="B39" s="42"/>
      <c r="C39" s="43" t="s">
        <v>99</v>
      </c>
      <c r="D39" s="42"/>
      <c r="E39" s="42"/>
      <c r="F39" s="42"/>
      <c r="G39" s="44" t="n">
        <f aca="false">SUM(G29:G38)</f>
        <v>10.2308823529412</v>
      </c>
    </row>
    <row r="40" customFormat="false" ht="19.5" hidden="false" customHeight="true" outlineLevel="0" collapsed="false">
      <c r="C40" s="45" t="str">
        <f aca="false">"Cost per "&amp;IF(G27="","unit",G27)</f>
        <v>Cost per g</v>
      </c>
      <c r="G40" s="46" t="n">
        <f aca="false">IF(OR(N(G26)=0,G39=0),"",G39/G26)</f>
        <v>0.00409235294117647</v>
      </c>
    </row>
    <row r="43" customFormat="false" ht="21.75" hidden="false" customHeight="true" outlineLevel="0" collapsed="false">
      <c r="B43" s="1" t="s">
        <v>102</v>
      </c>
      <c r="C43" s="2"/>
      <c r="D43" s="2"/>
      <c r="E43" s="2"/>
      <c r="F43" s="2"/>
      <c r="G43" s="2"/>
    </row>
    <row r="44" customFormat="false" ht="19.5" hidden="false" customHeight="true" outlineLevel="0" collapsed="false">
      <c r="B44" s="31" t="s">
        <v>93</v>
      </c>
      <c r="C44" s="32"/>
      <c r="D44" s="32"/>
      <c r="E44" s="33" t="s">
        <v>95</v>
      </c>
      <c r="F44" s="33"/>
      <c r="G44" s="34"/>
    </row>
    <row r="45" customFormat="false" ht="19.5" hidden="false" customHeight="true" outlineLevel="0" collapsed="false">
      <c r="E45" s="33" t="s">
        <v>96</v>
      </c>
      <c r="F45" s="33"/>
      <c r="G45" s="9"/>
    </row>
    <row r="46" customFormat="false" ht="21.75" hidden="false" customHeight="true" outlineLevel="0" collapsed="false">
      <c r="B46" s="35" t="s">
        <v>97</v>
      </c>
      <c r="C46" s="36" t="s">
        <v>54</v>
      </c>
      <c r="D46" s="35" t="s">
        <v>98</v>
      </c>
      <c r="E46" s="35" t="s">
        <v>58</v>
      </c>
      <c r="F46" s="37" t="str">
        <f aca="false">"Unit Cost ("&amp;CURRENCY&amp;")"</f>
        <v>Unit Cost ($)</v>
      </c>
      <c r="G46" s="37" t="str">
        <f aca="false">"Cost ("&amp;CURRENCY&amp;")"</f>
        <v>Cost ($)</v>
      </c>
    </row>
    <row r="47" customFormat="false" ht="18.75" hidden="false" customHeight="true" outlineLevel="0" collapsed="false">
      <c r="B47" s="38" t="n">
        <v>1</v>
      </c>
      <c r="C47" s="24"/>
      <c r="D47" s="39"/>
      <c r="E47" s="40" t="str">
        <f aca="false">IF(C47="","",IFERROR(INDEX(Ingredients!$F$6:$F$205,MATCH(C47,Ingredients!$B$6:$B$205,0)),""))</f>
        <v/>
      </c>
      <c r="F47" s="29" t="str">
        <f aca="false">IF(C47="","",IFERROR(INDEX(Ingredients!$I$6:$I$205,MATCH(C47,Ingredients!$B$6:$B$205,0)),""))</f>
        <v/>
      </c>
      <c r="G47" s="41" t="str">
        <f aca="false">IF(OR(C47="",D47="",F47=""),"",D47*F47)</f>
        <v/>
      </c>
    </row>
    <row r="48" customFormat="false" ht="18.75" hidden="false" customHeight="true" outlineLevel="0" collapsed="false">
      <c r="B48" s="38" t="n">
        <v>2</v>
      </c>
      <c r="C48" s="24"/>
      <c r="D48" s="39"/>
      <c r="E48" s="40" t="str">
        <f aca="false">IF(C48="","",IFERROR(INDEX(Ingredients!$F$6:$F$205,MATCH(C48,Ingredients!$B$6:$B$205,0)),""))</f>
        <v/>
      </c>
      <c r="F48" s="29" t="str">
        <f aca="false">IF(C48="","",IFERROR(INDEX(Ingredients!$I$6:$I$205,MATCH(C48,Ingredients!$B$6:$B$205,0)),""))</f>
        <v/>
      </c>
      <c r="G48" s="41" t="str">
        <f aca="false">IF(OR(C48="",D48="",F48=""),"",D48*F48)</f>
        <v/>
      </c>
    </row>
    <row r="49" customFormat="false" ht="18.75" hidden="false" customHeight="true" outlineLevel="0" collapsed="false">
      <c r="B49" s="38" t="n">
        <v>3</v>
      </c>
      <c r="C49" s="24"/>
      <c r="D49" s="39"/>
      <c r="E49" s="40" t="str">
        <f aca="false">IF(C49="","",IFERROR(INDEX(Ingredients!$F$6:$F$205,MATCH(C49,Ingredients!$B$6:$B$205,0)),""))</f>
        <v/>
      </c>
      <c r="F49" s="29" t="str">
        <f aca="false">IF(C49="","",IFERROR(INDEX(Ingredients!$I$6:$I$205,MATCH(C49,Ingredients!$B$6:$B$205,0)),""))</f>
        <v/>
      </c>
      <c r="G49" s="41" t="str">
        <f aca="false">IF(OR(C49="",D49="",F49=""),"",D49*F49)</f>
        <v/>
      </c>
    </row>
    <row r="50" customFormat="false" ht="18.75" hidden="false" customHeight="true" outlineLevel="0" collapsed="false">
      <c r="B50" s="38" t="n">
        <v>4</v>
      </c>
      <c r="C50" s="24"/>
      <c r="D50" s="39"/>
      <c r="E50" s="40" t="str">
        <f aca="false">IF(C50="","",IFERROR(INDEX(Ingredients!$F$6:$F$205,MATCH(C50,Ingredients!$B$6:$B$205,0)),""))</f>
        <v/>
      </c>
      <c r="F50" s="29" t="str">
        <f aca="false">IF(C50="","",IFERROR(INDEX(Ingredients!$I$6:$I$205,MATCH(C50,Ingredients!$B$6:$B$205,0)),""))</f>
        <v/>
      </c>
      <c r="G50" s="41" t="str">
        <f aca="false">IF(OR(C50="",D50="",F50=""),"",D50*F50)</f>
        <v/>
      </c>
    </row>
    <row r="51" customFormat="false" ht="18.75" hidden="false" customHeight="true" outlineLevel="0" collapsed="false">
      <c r="B51" s="38" t="n">
        <v>5</v>
      </c>
      <c r="C51" s="24"/>
      <c r="D51" s="39"/>
      <c r="E51" s="40" t="str">
        <f aca="false">IF(C51="","",IFERROR(INDEX(Ingredients!$F$6:$F$205,MATCH(C51,Ingredients!$B$6:$B$205,0)),""))</f>
        <v/>
      </c>
      <c r="F51" s="29" t="str">
        <f aca="false">IF(C51="","",IFERROR(INDEX(Ingredients!$I$6:$I$205,MATCH(C51,Ingredients!$B$6:$B$205,0)),""))</f>
        <v/>
      </c>
      <c r="G51" s="41" t="str">
        <f aca="false">IF(OR(C51="",D51="",F51=""),"",D51*F51)</f>
        <v/>
      </c>
    </row>
    <row r="52" customFormat="false" ht="18.75" hidden="false" customHeight="true" outlineLevel="0" collapsed="false">
      <c r="B52" s="38" t="n">
        <v>6</v>
      </c>
      <c r="C52" s="24"/>
      <c r="D52" s="39"/>
      <c r="E52" s="40" t="str">
        <f aca="false">IF(C52="","",IFERROR(INDEX(Ingredients!$F$6:$F$205,MATCH(C52,Ingredients!$B$6:$B$205,0)),""))</f>
        <v/>
      </c>
      <c r="F52" s="29" t="str">
        <f aca="false">IF(C52="","",IFERROR(INDEX(Ingredients!$I$6:$I$205,MATCH(C52,Ingredients!$B$6:$B$205,0)),""))</f>
        <v/>
      </c>
      <c r="G52" s="41" t="str">
        <f aca="false">IF(OR(C52="",D52="",F52=""),"",D52*F52)</f>
        <v/>
      </c>
    </row>
    <row r="53" customFormat="false" ht="18.75" hidden="false" customHeight="true" outlineLevel="0" collapsed="false">
      <c r="B53" s="38" t="n">
        <v>7</v>
      </c>
      <c r="C53" s="24"/>
      <c r="D53" s="39"/>
      <c r="E53" s="40" t="str">
        <f aca="false">IF(C53="","",IFERROR(INDEX(Ingredients!$F$6:$F$205,MATCH(C53,Ingredients!$B$6:$B$205,0)),""))</f>
        <v/>
      </c>
      <c r="F53" s="29" t="str">
        <f aca="false">IF(C53="","",IFERROR(INDEX(Ingredients!$I$6:$I$205,MATCH(C53,Ingredients!$B$6:$B$205,0)),""))</f>
        <v/>
      </c>
      <c r="G53" s="41" t="str">
        <f aca="false">IF(OR(C53="",D53="",F53=""),"",D53*F53)</f>
        <v/>
      </c>
    </row>
    <row r="54" customFormat="false" ht="18.75" hidden="false" customHeight="true" outlineLevel="0" collapsed="false">
      <c r="B54" s="38" t="n">
        <v>8</v>
      </c>
      <c r="C54" s="24"/>
      <c r="D54" s="39"/>
      <c r="E54" s="40" t="str">
        <f aca="false">IF(C54="","",IFERROR(INDEX(Ingredients!$F$6:$F$205,MATCH(C54,Ingredients!$B$6:$B$205,0)),""))</f>
        <v/>
      </c>
      <c r="F54" s="29" t="str">
        <f aca="false">IF(C54="","",IFERROR(INDEX(Ingredients!$I$6:$I$205,MATCH(C54,Ingredients!$B$6:$B$205,0)),""))</f>
        <v/>
      </c>
      <c r="G54" s="41" t="str">
        <f aca="false">IF(OR(C54="",D54="",F54=""),"",D54*F54)</f>
        <v/>
      </c>
    </row>
    <row r="55" customFormat="false" ht="18.75" hidden="false" customHeight="true" outlineLevel="0" collapsed="false">
      <c r="B55" s="38" t="n">
        <v>9</v>
      </c>
      <c r="C55" s="24"/>
      <c r="D55" s="39"/>
      <c r="E55" s="40" t="str">
        <f aca="false">IF(C55="","",IFERROR(INDEX(Ingredients!$F$6:$F$205,MATCH(C55,Ingredients!$B$6:$B$205,0)),""))</f>
        <v/>
      </c>
      <c r="F55" s="29" t="str">
        <f aca="false">IF(C55="","",IFERROR(INDEX(Ingredients!$I$6:$I$205,MATCH(C55,Ingredients!$B$6:$B$205,0)),""))</f>
        <v/>
      </c>
      <c r="G55" s="41" t="str">
        <f aca="false">IF(OR(C55="",D55="",F55=""),"",D55*F55)</f>
        <v/>
      </c>
    </row>
    <row r="56" customFormat="false" ht="18.75" hidden="false" customHeight="true" outlineLevel="0" collapsed="false">
      <c r="B56" s="38" t="n">
        <v>10</v>
      </c>
      <c r="C56" s="24"/>
      <c r="D56" s="39"/>
      <c r="E56" s="40" t="str">
        <f aca="false">IF(C56="","",IFERROR(INDEX(Ingredients!$F$6:$F$205,MATCH(C56,Ingredients!$B$6:$B$205,0)),""))</f>
        <v/>
      </c>
      <c r="F56" s="29" t="str">
        <f aca="false">IF(C56="","",IFERROR(INDEX(Ingredients!$I$6:$I$205,MATCH(C56,Ingredients!$B$6:$B$205,0)),""))</f>
        <v/>
      </c>
      <c r="G56" s="41" t="str">
        <f aca="false">IF(OR(C56="",D56="",F56=""),"",D56*F56)</f>
        <v/>
      </c>
    </row>
    <row r="57" customFormat="false" ht="19.5" hidden="false" customHeight="true" outlineLevel="0" collapsed="false">
      <c r="B57" s="42"/>
      <c r="C57" s="43" t="s">
        <v>99</v>
      </c>
      <c r="D57" s="42"/>
      <c r="E57" s="42"/>
      <c r="F57" s="42"/>
      <c r="G57" s="44" t="n">
        <f aca="false">SUM(G47:G56)</f>
        <v>0</v>
      </c>
    </row>
    <row r="58" customFormat="false" ht="19.5" hidden="false" customHeight="true" outlineLevel="0" collapsed="false">
      <c r="C58" s="45" t="str">
        <f aca="false">"Cost per "&amp;IF(G45="","unit",G45)</f>
        <v>Cost per unit</v>
      </c>
      <c r="G58" s="46" t="str">
        <f aca="false">IF(OR(N(G44)=0,G57=0),"",G57/G44)</f>
        <v/>
      </c>
    </row>
    <row r="61" customFormat="false" ht="21.75" hidden="false" customHeight="true" outlineLevel="0" collapsed="false">
      <c r="B61" s="1" t="s">
        <v>103</v>
      </c>
      <c r="C61" s="2"/>
      <c r="D61" s="2"/>
      <c r="E61" s="2"/>
      <c r="F61" s="2"/>
      <c r="G61" s="2"/>
    </row>
    <row r="62" customFormat="false" ht="19.5" hidden="false" customHeight="true" outlineLevel="0" collapsed="false">
      <c r="B62" s="31" t="s">
        <v>93</v>
      </c>
      <c r="C62" s="32"/>
      <c r="D62" s="32"/>
      <c r="E62" s="33" t="s">
        <v>95</v>
      </c>
      <c r="F62" s="33"/>
      <c r="G62" s="34"/>
    </row>
    <row r="63" customFormat="false" ht="19.5" hidden="false" customHeight="true" outlineLevel="0" collapsed="false">
      <c r="E63" s="33" t="s">
        <v>96</v>
      </c>
      <c r="F63" s="33"/>
      <c r="G63" s="9"/>
    </row>
    <row r="64" customFormat="false" ht="21.75" hidden="false" customHeight="true" outlineLevel="0" collapsed="false">
      <c r="B64" s="35" t="s">
        <v>97</v>
      </c>
      <c r="C64" s="36" t="s">
        <v>54</v>
      </c>
      <c r="D64" s="35" t="s">
        <v>98</v>
      </c>
      <c r="E64" s="35" t="s">
        <v>58</v>
      </c>
      <c r="F64" s="37" t="str">
        <f aca="false">"Unit Cost ("&amp;CURRENCY&amp;")"</f>
        <v>Unit Cost ($)</v>
      </c>
      <c r="G64" s="37" t="str">
        <f aca="false">"Cost ("&amp;CURRENCY&amp;")"</f>
        <v>Cost ($)</v>
      </c>
    </row>
    <row r="65" customFormat="false" ht="18.75" hidden="false" customHeight="true" outlineLevel="0" collapsed="false">
      <c r="B65" s="38" t="n">
        <v>1</v>
      </c>
      <c r="C65" s="24"/>
      <c r="D65" s="39"/>
      <c r="E65" s="40" t="str">
        <f aca="false">IF(C65="","",IFERROR(INDEX(Ingredients!$F$6:$F$205,MATCH(C65,Ingredients!$B$6:$B$205,0)),""))</f>
        <v/>
      </c>
      <c r="F65" s="29" t="str">
        <f aca="false">IF(C65="","",IFERROR(INDEX(Ingredients!$I$6:$I$205,MATCH(C65,Ingredients!$B$6:$B$205,0)),""))</f>
        <v/>
      </c>
      <c r="G65" s="41" t="str">
        <f aca="false">IF(OR(C65="",D65="",F65=""),"",D65*F65)</f>
        <v/>
      </c>
    </row>
    <row r="66" customFormat="false" ht="18.75" hidden="false" customHeight="true" outlineLevel="0" collapsed="false">
      <c r="B66" s="38" t="n">
        <v>2</v>
      </c>
      <c r="C66" s="24"/>
      <c r="D66" s="39"/>
      <c r="E66" s="40" t="str">
        <f aca="false">IF(C66="","",IFERROR(INDEX(Ingredients!$F$6:$F$205,MATCH(C66,Ingredients!$B$6:$B$205,0)),""))</f>
        <v/>
      </c>
      <c r="F66" s="29" t="str">
        <f aca="false">IF(C66="","",IFERROR(INDEX(Ingredients!$I$6:$I$205,MATCH(C66,Ingredients!$B$6:$B$205,0)),""))</f>
        <v/>
      </c>
      <c r="G66" s="41" t="str">
        <f aca="false">IF(OR(C66="",D66="",F66=""),"",D66*F66)</f>
        <v/>
      </c>
    </row>
    <row r="67" customFormat="false" ht="18.75" hidden="false" customHeight="true" outlineLevel="0" collapsed="false">
      <c r="B67" s="38" t="n">
        <v>3</v>
      </c>
      <c r="C67" s="24"/>
      <c r="D67" s="39"/>
      <c r="E67" s="40" t="str">
        <f aca="false">IF(C67="","",IFERROR(INDEX(Ingredients!$F$6:$F$205,MATCH(C67,Ingredients!$B$6:$B$205,0)),""))</f>
        <v/>
      </c>
      <c r="F67" s="29" t="str">
        <f aca="false">IF(C67="","",IFERROR(INDEX(Ingredients!$I$6:$I$205,MATCH(C67,Ingredients!$B$6:$B$205,0)),""))</f>
        <v/>
      </c>
      <c r="G67" s="41" t="str">
        <f aca="false">IF(OR(C67="",D67="",F67=""),"",D67*F67)</f>
        <v/>
      </c>
    </row>
    <row r="68" customFormat="false" ht="18.75" hidden="false" customHeight="true" outlineLevel="0" collapsed="false">
      <c r="B68" s="38" t="n">
        <v>4</v>
      </c>
      <c r="C68" s="24"/>
      <c r="D68" s="39"/>
      <c r="E68" s="40" t="str">
        <f aca="false">IF(C68="","",IFERROR(INDEX(Ingredients!$F$6:$F$205,MATCH(C68,Ingredients!$B$6:$B$205,0)),""))</f>
        <v/>
      </c>
      <c r="F68" s="29" t="str">
        <f aca="false">IF(C68="","",IFERROR(INDEX(Ingredients!$I$6:$I$205,MATCH(C68,Ingredients!$B$6:$B$205,0)),""))</f>
        <v/>
      </c>
      <c r="G68" s="41" t="str">
        <f aca="false">IF(OR(C68="",D68="",F68=""),"",D68*F68)</f>
        <v/>
      </c>
    </row>
    <row r="69" customFormat="false" ht="18.75" hidden="false" customHeight="true" outlineLevel="0" collapsed="false">
      <c r="B69" s="38" t="n">
        <v>5</v>
      </c>
      <c r="C69" s="24"/>
      <c r="D69" s="39"/>
      <c r="E69" s="40" t="str">
        <f aca="false">IF(C69="","",IFERROR(INDEX(Ingredients!$F$6:$F$205,MATCH(C69,Ingredients!$B$6:$B$205,0)),""))</f>
        <v/>
      </c>
      <c r="F69" s="29" t="str">
        <f aca="false">IF(C69="","",IFERROR(INDEX(Ingredients!$I$6:$I$205,MATCH(C69,Ingredients!$B$6:$B$205,0)),""))</f>
        <v/>
      </c>
      <c r="G69" s="41" t="str">
        <f aca="false">IF(OR(C69="",D69="",F69=""),"",D69*F69)</f>
        <v/>
      </c>
    </row>
    <row r="70" customFormat="false" ht="18.75" hidden="false" customHeight="true" outlineLevel="0" collapsed="false">
      <c r="B70" s="38" t="n">
        <v>6</v>
      </c>
      <c r="C70" s="24"/>
      <c r="D70" s="39"/>
      <c r="E70" s="40" t="str">
        <f aca="false">IF(C70="","",IFERROR(INDEX(Ingredients!$F$6:$F$205,MATCH(C70,Ingredients!$B$6:$B$205,0)),""))</f>
        <v/>
      </c>
      <c r="F70" s="29" t="str">
        <f aca="false">IF(C70="","",IFERROR(INDEX(Ingredients!$I$6:$I$205,MATCH(C70,Ingredients!$B$6:$B$205,0)),""))</f>
        <v/>
      </c>
      <c r="G70" s="41" t="str">
        <f aca="false">IF(OR(C70="",D70="",F70=""),"",D70*F70)</f>
        <v/>
      </c>
    </row>
    <row r="71" customFormat="false" ht="18.75" hidden="false" customHeight="true" outlineLevel="0" collapsed="false">
      <c r="B71" s="38" t="n">
        <v>7</v>
      </c>
      <c r="C71" s="24"/>
      <c r="D71" s="39"/>
      <c r="E71" s="40" t="str">
        <f aca="false">IF(C71="","",IFERROR(INDEX(Ingredients!$F$6:$F$205,MATCH(C71,Ingredients!$B$6:$B$205,0)),""))</f>
        <v/>
      </c>
      <c r="F71" s="29" t="str">
        <f aca="false">IF(C71="","",IFERROR(INDEX(Ingredients!$I$6:$I$205,MATCH(C71,Ingredients!$B$6:$B$205,0)),""))</f>
        <v/>
      </c>
      <c r="G71" s="41" t="str">
        <f aca="false">IF(OR(C71="",D71="",F71=""),"",D71*F71)</f>
        <v/>
      </c>
    </row>
    <row r="72" customFormat="false" ht="18.75" hidden="false" customHeight="true" outlineLevel="0" collapsed="false">
      <c r="B72" s="38" t="n">
        <v>8</v>
      </c>
      <c r="C72" s="24"/>
      <c r="D72" s="39"/>
      <c r="E72" s="40" t="str">
        <f aca="false">IF(C72="","",IFERROR(INDEX(Ingredients!$F$6:$F$205,MATCH(C72,Ingredients!$B$6:$B$205,0)),""))</f>
        <v/>
      </c>
      <c r="F72" s="29" t="str">
        <f aca="false">IF(C72="","",IFERROR(INDEX(Ingredients!$I$6:$I$205,MATCH(C72,Ingredients!$B$6:$B$205,0)),""))</f>
        <v/>
      </c>
      <c r="G72" s="41" t="str">
        <f aca="false">IF(OR(C72="",D72="",F72=""),"",D72*F72)</f>
        <v/>
      </c>
    </row>
    <row r="73" customFormat="false" ht="18.75" hidden="false" customHeight="true" outlineLevel="0" collapsed="false">
      <c r="B73" s="38" t="n">
        <v>9</v>
      </c>
      <c r="C73" s="24"/>
      <c r="D73" s="39"/>
      <c r="E73" s="40" t="str">
        <f aca="false">IF(C73="","",IFERROR(INDEX(Ingredients!$F$6:$F$205,MATCH(C73,Ingredients!$B$6:$B$205,0)),""))</f>
        <v/>
      </c>
      <c r="F73" s="29" t="str">
        <f aca="false">IF(C73="","",IFERROR(INDEX(Ingredients!$I$6:$I$205,MATCH(C73,Ingredients!$B$6:$B$205,0)),""))</f>
        <v/>
      </c>
      <c r="G73" s="41" t="str">
        <f aca="false">IF(OR(C73="",D73="",F73=""),"",D73*F73)</f>
        <v/>
      </c>
    </row>
    <row r="74" customFormat="false" ht="18.75" hidden="false" customHeight="true" outlineLevel="0" collapsed="false">
      <c r="B74" s="38" t="n">
        <v>10</v>
      </c>
      <c r="C74" s="24"/>
      <c r="D74" s="39"/>
      <c r="E74" s="40" t="str">
        <f aca="false">IF(C74="","",IFERROR(INDEX(Ingredients!$F$6:$F$205,MATCH(C74,Ingredients!$B$6:$B$205,0)),""))</f>
        <v/>
      </c>
      <c r="F74" s="29" t="str">
        <f aca="false">IF(C74="","",IFERROR(INDEX(Ingredients!$I$6:$I$205,MATCH(C74,Ingredients!$B$6:$B$205,0)),""))</f>
        <v/>
      </c>
      <c r="G74" s="41" t="str">
        <f aca="false">IF(OR(C74="",D74="",F74=""),"",D74*F74)</f>
        <v/>
      </c>
    </row>
    <row r="75" customFormat="false" ht="19.5" hidden="false" customHeight="true" outlineLevel="0" collapsed="false">
      <c r="B75" s="42"/>
      <c r="C75" s="43" t="s">
        <v>99</v>
      </c>
      <c r="D75" s="42"/>
      <c r="E75" s="42"/>
      <c r="F75" s="42"/>
      <c r="G75" s="44" t="n">
        <f aca="false">SUM(G65:G74)</f>
        <v>0</v>
      </c>
    </row>
    <row r="76" customFormat="false" ht="19.5" hidden="false" customHeight="true" outlineLevel="0" collapsed="false">
      <c r="C76" s="45" t="str">
        <f aca="false">"Cost per "&amp;IF(G63="","unit",G63)</f>
        <v>Cost per unit</v>
      </c>
      <c r="G76" s="46" t="str">
        <f aca="false">IF(OR(N(G62)=0,G75=0),"",G75/G62)</f>
        <v/>
      </c>
    </row>
    <row r="79" customFormat="false" ht="21.75" hidden="false" customHeight="true" outlineLevel="0" collapsed="false">
      <c r="B79" s="1" t="s">
        <v>104</v>
      </c>
      <c r="C79" s="2"/>
      <c r="D79" s="2"/>
      <c r="E79" s="2"/>
      <c r="F79" s="2"/>
      <c r="G79" s="2"/>
    </row>
    <row r="80" customFormat="false" ht="19.5" hidden="false" customHeight="true" outlineLevel="0" collapsed="false">
      <c r="B80" s="31" t="s">
        <v>93</v>
      </c>
      <c r="C80" s="32"/>
      <c r="D80" s="32"/>
      <c r="E80" s="33" t="s">
        <v>95</v>
      </c>
      <c r="F80" s="33"/>
      <c r="G80" s="34"/>
    </row>
    <row r="81" customFormat="false" ht="19.5" hidden="false" customHeight="true" outlineLevel="0" collapsed="false">
      <c r="E81" s="33" t="s">
        <v>96</v>
      </c>
      <c r="F81" s="33"/>
      <c r="G81" s="9"/>
    </row>
    <row r="82" customFormat="false" ht="21.75" hidden="false" customHeight="true" outlineLevel="0" collapsed="false">
      <c r="B82" s="35" t="s">
        <v>97</v>
      </c>
      <c r="C82" s="36" t="s">
        <v>54</v>
      </c>
      <c r="D82" s="35" t="s">
        <v>98</v>
      </c>
      <c r="E82" s="35" t="s">
        <v>58</v>
      </c>
      <c r="F82" s="37" t="str">
        <f aca="false">"Unit Cost ("&amp;CURRENCY&amp;")"</f>
        <v>Unit Cost ($)</v>
      </c>
      <c r="G82" s="37" t="str">
        <f aca="false">"Cost ("&amp;CURRENCY&amp;")"</f>
        <v>Cost ($)</v>
      </c>
    </row>
    <row r="83" customFormat="false" ht="18.75" hidden="false" customHeight="true" outlineLevel="0" collapsed="false">
      <c r="B83" s="38" t="n">
        <v>1</v>
      </c>
      <c r="C83" s="24"/>
      <c r="D83" s="39"/>
      <c r="E83" s="40" t="str">
        <f aca="false">IF(C83="","",IFERROR(INDEX(Ingredients!$F$6:$F$205,MATCH(C83,Ingredients!$B$6:$B$205,0)),""))</f>
        <v/>
      </c>
      <c r="F83" s="29" t="str">
        <f aca="false">IF(C83="","",IFERROR(INDEX(Ingredients!$I$6:$I$205,MATCH(C83,Ingredients!$B$6:$B$205,0)),""))</f>
        <v/>
      </c>
      <c r="G83" s="41" t="str">
        <f aca="false">IF(OR(C83="",D83="",F83=""),"",D83*F83)</f>
        <v/>
      </c>
    </row>
    <row r="84" customFormat="false" ht="18.75" hidden="false" customHeight="true" outlineLevel="0" collapsed="false">
      <c r="B84" s="38" t="n">
        <v>2</v>
      </c>
      <c r="C84" s="24"/>
      <c r="D84" s="39"/>
      <c r="E84" s="40" t="str">
        <f aca="false">IF(C84="","",IFERROR(INDEX(Ingredients!$F$6:$F$205,MATCH(C84,Ingredients!$B$6:$B$205,0)),""))</f>
        <v/>
      </c>
      <c r="F84" s="29" t="str">
        <f aca="false">IF(C84="","",IFERROR(INDEX(Ingredients!$I$6:$I$205,MATCH(C84,Ingredients!$B$6:$B$205,0)),""))</f>
        <v/>
      </c>
      <c r="G84" s="41" t="str">
        <f aca="false">IF(OR(C84="",D84="",F84=""),"",D84*F84)</f>
        <v/>
      </c>
    </row>
    <row r="85" customFormat="false" ht="18.75" hidden="false" customHeight="true" outlineLevel="0" collapsed="false">
      <c r="B85" s="38" t="n">
        <v>3</v>
      </c>
      <c r="C85" s="24"/>
      <c r="D85" s="39"/>
      <c r="E85" s="40" t="str">
        <f aca="false">IF(C85="","",IFERROR(INDEX(Ingredients!$F$6:$F$205,MATCH(C85,Ingredients!$B$6:$B$205,0)),""))</f>
        <v/>
      </c>
      <c r="F85" s="29" t="str">
        <f aca="false">IF(C85="","",IFERROR(INDEX(Ingredients!$I$6:$I$205,MATCH(C85,Ingredients!$B$6:$B$205,0)),""))</f>
        <v/>
      </c>
      <c r="G85" s="41" t="str">
        <f aca="false">IF(OR(C85="",D85="",F85=""),"",D85*F85)</f>
        <v/>
      </c>
    </row>
    <row r="86" customFormat="false" ht="18.75" hidden="false" customHeight="true" outlineLevel="0" collapsed="false">
      <c r="B86" s="38" t="n">
        <v>4</v>
      </c>
      <c r="C86" s="24"/>
      <c r="D86" s="39"/>
      <c r="E86" s="40" t="str">
        <f aca="false">IF(C86="","",IFERROR(INDEX(Ingredients!$F$6:$F$205,MATCH(C86,Ingredients!$B$6:$B$205,0)),""))</f>
        <v/>
      </c>
      <c r="F86" s="29" t="str">
        <f aca="false">IF(C86="","",IFERROR(INDEX(Ingredients!$I$6:$I$205,MATCH(C86,Ingredients!$B$6:$B$205,0)),""))</f>
        <v/>
      </c>
      <c r="G86" s="41" t="str">
        <f aca="false">IF(OR(C86="",D86="",F86=""),"",D86*F86)</f>
        <v/>
      </c>
    </row>
    <row r="87" customFormat="false" ht="18.75" hidden="false" customHeight="true" outlineLevel="0" collapsed="false">
      <c r="B87" s="38" t="n">
        <v>5</v>
      </c>
      <c r="C87" s="24"/>
      <c r="D87" s="39"/>
      <c r="E87" s="40" t="str">
        <f aca="false">IF(C87="","",IFERROR(INDEX(Ingredients!$F$6:$F$205,MATCH(C87,Ingredients!$B$6:$B$205,0)),""))</f>
        <v/>
      </c>
      <c r="F87" s="29" t="str">
        <f aca="false">IF(C87="","",IFERROR(INDEX(Ingredients!$I$6:$I$205,MATCH(C87,Ingredients!$B$6:$B$205,0)),""))</f>
        <v/>
      </c>
      <c r="G87" s="41" t="str">
        <f aca="false">IF(OR(C87="",D87="",F87=""),"",D87*F87)</f>
        <v/>
      </c>
    </row>
    <row r="88" customFormat="false" ht="18.75" hidden="false" customHeight="true" outlineLevel="0" collapsed="false">
      <c r="B88" s="38" t="n">
        <v>6</v>
      </c>
      <c r="C88" s="24"/>
      <c r="D88" s="39"/>
      <c r="E88" s="40" t="str">
        <f aca="false">IF(C88="","",IFERROR(INDEX(Ingredients!$F$6:$F$205,MATCH(C88,Ingredients!$B$6:$B$205,0)),""))</f>
        <v/>
      </c>
      <c r="F88" s="29" t="str">
        <f aca="false">IF(C88="","",IFERROR(INDEX(Ingredients!$I$6:$I$205,MATCH(C88,Ingredients!$B$6:$B$205,0)),""))</f>
        <v/>
      </c>
      <c r="G88" s="41" t="str">
        <f aca="false">IF(OR(C88="",D88="",F88=""),"",D88*F88)</f>
        <v/>
      </c>
    </row>
    <row r="89" customFormat="false" ht="18.75" hidden="false" customHeight="true" outlineLevel="0" collapsed="false">
      <c r="B89" s="38" t="n">
        <v>7</v>
      </c>
      <c r="C89" s="24"/>
      <c r="D89" s="39"/>
      <c r="E89" s="40" t="str">
        <f aca="false">IF(C89="","",IFERROR(INDEX(Ingredients!$F$6:$F$205,MATCH(C89,Ingredients!$B$6:$B$205,0)),""))</f>
        <v/>
      </c>
      <c r="F89" s="29" t="str">
        <f aca="false">IF(C89="","",IFERROR(INDEX(Ingredients!$I$6:$I$205,MATCH(C89,Ingredients!$B$6:$B$205,0)),""))</f>
        <v/>
      </c>
      <c r="G89" s="41" t="str">
        <f aca="false">IF(OR(C89="",D89="",F89=""),"",D89*F89)</f>
        <v/>
      </c>
    </row>
    <row r="90" customFormat="false" ht="18.75" hidden="false" customHeight="true" outlineLevel="0" collapsed="false">
      <c r="B90" s="38" t="n">
        <v>8</v>
      </c>
      <c r="C90" s="24"/>
      <c r="D90" s="39"/>
      <c r="E90" s="40" t="str">
        <f aca="false">IF(C90="","",IFERROR(INDEX(Ingredients!$F$6:$F$205,MATCH(C90,Ingredients!$B$6:$B$205,0)),""))</f>
        <v/>
      </c>
      <c r="F90" s="29" t="str">
        <f aca="false">IF(C90="","",IFERROR(INDEX(Ingredients!$I$6:$I$205,MATCH(C90,Ingredients!$B$6:$B$205,0)),""))</f>
        <v/>
      </c>
      <c r="G90" s="41" t="str">
        <f aca="false">IF(OR(C90="",D90="",F90=""),"",D90*F90)</f>
        <v/>
      </c>
    </row>
    <row r="91" customFormat="false" ht="18.75" hidden="false" customHeight="true" outlineLevel="0" collapsed="false">
      <c r="B91" s="38" t="n">
        <v>9</v>
      </c>
      <c r="C91" s="24"/>
      <c r="D91" s="39"/>
      <c r="E91" s="40" t="str">
        <f aca="false">IF(C91="","",IFERROR(INDEX(Ingredients!$F$6:$F$205,MATCH(C91,Ingredients!$B$6:$B$205,0)),""))</f>
        <v/>
      </c>
      <c r="F91" s="29" t="str">
        <f aca="false">IF(C91="","",IFERROR(INDEX(Ingredients!$I$6:$I$205,MATCH(C91,Ingredients!$B$6:$B$205,0)),""))</f>
        <v/>
      </c>
      <c r="G91" s="41" t="str">
        <f aca="false">IF(OR(C91="",D91="",F91=""),"",D91*F91)</f>
        <v/>
      </c>
    </row>
    <row r="92" customFormat="false" ht="18.75" hidden="false" customHeight="true" outlineLevel="0" collapsed="false">
      <c r="B92" s="38" t="n">
        <v>10</v>
      </c>
      <c r="C92" s="24"/>
      <c r="D92" s="39"/>
      <c r="E92" s="40" t="str">
        <f aca="false">IF(C92="","",IFERROR(INDEX(Ingredients!$F$6:$F$205,MATCH(C92,Ingredients!$B$6:$B$205,0)),""))</f>
        <v/>
      </c>
      <c r="F92" s="29" t="str">
        <f aca="false">IF(C92="","",IFERROR(INDEX(Ingredients!$I$6:$I$205,MATCH(C92,Ingredients!$B$6:$B$205,0)),""))</f>
        <v/>
      </c>
      <c r="G92" s="41" t="str">
        <f aca="false">IF(OR(C92="",D92="",F92=""),"",D92*F92)</f>
        <v/>
      </c>
    </row>
    <row r="93" customFormat="false" ht="19.5" hidden="false" customHeight="true" outlineLevel="0" collapsed="false">
      <c r="B93" s="42"/>
      <c r="C93" s="43" t="s">
        <v>99</v>
      </c>
      <c r="D93" s="42"/>
      <c r="E93" s="42"/>
      <c r="F93" s="42"/>
      <c r="G93" s="44" t="n">
        <f aca="false">SUM(G83:G92)</f>
        <v>0</v>
      </c>
    </row>
    <row r="94" customFormat="false" ht="19.5" hidden="false" customHeight="true" outlineLevel="0" collapsed="false">
      <c r="C94" s="45" t="str">
        <f aca="false">"Cost per "&amp;IF(G81="","unit",G81)</f>
        <v>Cost per unit</v>
      </c>
      <c r="G94" s="46" t="str">
        <f aca="false">IF(OR(N(G80)=0,G93=0),"",G93/G80)</f>
        <v/>
      </c>
    </row>
    <row r="97" customFormat="false" ht="21.75" hidden="false" customHeight="true" outlineLevel="0" collapsed="false">
      <c r="B97" s="1" t="s">
        <v>105</v>
      </c>
      <c r="C97" s="2"/>
      <c r="D97" s="2"/>
      <c r="E97" s="2"/>
      <c r="F97" s="2"/>
      <c r="G97" s="2"/>
    </row>
    <row r="98" customFormat="false" ht="19.5" hidden="false" customHeight="true" outlineLevel="0" collapsed="false">
      <c r="B98" s="31" t="s">
        <v>93</v>
      </c>
      <c r="C98" s="32"/>
      <c r="D98" s="32"/>
      <c r="E98" s="33" t="s">
        <v>95</v>
      </c>
      <c r="F98" s="33"/>
      <c r="G98" s="34"/>
    </row>
    <row r="99" customFormat="false" ht="19.5" hidden="false" customHeight="true" outlineLevel="0" collapsed="false">
      <c r="E99" s="33" t="s">
        <v>96</v>
      </c>
      <c r="F99" s="33"/>
      <c r="G99" s="9"/>
    </row>
    <row r="100" customFormat="false" ht="21.75" hidden="false" customHeight="true" outlineLevel="0" collapsed="false">
      <c r="B100" s="35" t="s">
        <v>97</v>
      </c>
      <c r="C100" s="36" t="s">
        <v>54</v>
      </c>
      <c r="D100" s="35" t="s">
        <v>98</v>
      </c>
      <c r="E100" s="35" t="s">
        <v>58</v>
      </c>
      <c r="F100" s="37" t="str">
        <f aca="false">"Unit Cost ("&amp;CURRENCY&amp;")"</f>
        <v>Unit Cost ($)</v>
      </c>
      <c r="G100" s="37" t="str">
        <f aca="false">"Cost ("&amp;CURRENCY&amp;")"</f>
        <v>Cost ($)</v>
      </c>
    </row>
    <row r="101" customFormat="false" ht="18.75" hidden="false" customHeight="true" outlineLevel="0" collapsed="false">
      <c r="B101" s="38" t="n">
        <v>1</v>
      </c>
      <c r="C101" s="24"/>
      <c r="D101" s="39"/>
      <c r="E101" s="40" t="str">
        <f aca="false">IF(C101="","",IFERROR(INDEX(Ingredients!$F$6:$F$205,MATCH(C101,Ingredients!$B$6:$B$205,0)),""))</f>
        <v/>
      </c>
      <c r="F101" s="29" t="str">
        <f aca="false">IF(C101="","",IFERROR(INDEX(Ingredients!$I$6:$I$205,MATCH(C101,Ingredients!$B$6:$B$205,0)),""))</f>
        <v/>
      </c>
      <c r="G101" s="41" t="str">
        <f aca="false">IF(OR(C101="",D101="",F101=""),"",D101*F101)</f>
        <v/>
      </c>
    </row>
    <row r="102" customFormat="false" ht="18.75" hidden="false" customHeight="true" outlineLevel="0" collapsed="false">
      <c r="B102" s="38" t="n">
        <v>2</v>
      </c>
      <c r="C102" s="24"/>
      <c r="D102" s="39"/>
      <c r="E102" s="40" t="str">
        <f aca="false">IF(C102="","",IFERROR(INDEX(Ingredients!$F$6:$F$205,MATCH(C102,Ingredients!$B$6:$B$205,0)),""))</f>
        <v/>
      </c>
      <c r="F102" s="29" t="str">
        <f aca="false">IF(C102="","",IFERROR(INDEX(Ingredients!$I$6:$I$205,MATCH(C102,Ingredients!$B$6:$B$205,0)),""))</f>
        <v/>
      </c>
      <c r="G102" s="41" t="str">
        <f aca="false">IF(OR(C102="",D102="",F102=""),"",D102*F102)</f>
        <v/>
      </c>
    </row>
    <row r="103" customFormat="false" ht="18.75" hidden="false" customHeight="true" outlineLevel="0" collapsed="false">
      <c r="B103" s="38" t="n">
        <v>3</v>
      </c>
      <c r="C103" s="24"/>
      <c r="D103" s="39"/>
      <c r="E103" s="40" t="str">
        <f aca="false">IF(C103="","",IFERROR(INDEX(Ingredients!$F$6:$F$205,MATCH(C103,Ingredients!$B$6:$B$205,0)),""))</f>
        <v/>
      </c>
      <c r="F103" s="29" t="str">
        <f aca="false">IF(C103="","",IFERROR(INDEX(Ingredients!$I$6:$I$205,MATCH(C103,Ingredients!$B$6:$B$205,0)),""))</f>
        <v/>
      </c>
      <c r="G103" s="41" t="str">
        <f aca="false">IF(OR(C103="",D103="",F103=""),"",D103*F103)</f>
        <v/>
      </c>
    </row>
    <row r="104" customFormat="false" ht="18.75" hidden="false" customHeight="true" outlineLevel="0" collapsed="false">
      <c r="B104" s="38" t="n">
        <v>4</v>
      </c>
      <c r="C104" s="24"/>
      <c r="D104" s="39"/>
      <c r="E104" s="40" t="str">
        <f aca="false">IF(C104="","",IFERROR(INDEX(Ingredients!$F$6:$F$205,MATCH(C104,Ingredients!$B$6:$B$205,0)),""))</f>
        <v/>
      </c>
      <c r="F104" s="29" t="str">
        <f aca="false">IF(C104="","",IFERROR(INDEX(Ingredients!$I$6:$I$205,MATCH(C104,Ingredients!$B$6:$B$205,0)),""))</f>
        <v/>
      </c>
      <c r="G104" s="41" t="str">
        <f aca="false">IF(OR(C104="",D104="",F104=""),"",D104*F104)</f>
        <v/>
      </c>
    </row>
    <row r="105" customFormat="false" ht="18.75" hidden="false" customHeight="true" outlineLevel="0" collapsed="false">
      <c r="B105" s="38" t="n">
        <v>5</v>
      </c>
      <c r="C105" s="24"/>
      <c r="D105" s="39"/>
      <c r="E105" s="40" t="str">
        <f aca="false">IF(C105="","",IFERROR(INDEX(Ingredients!$F$6:$F$205,MATCH(C105,Ingredients!$B$6:$B$205,0)),""))</f>
        <v/>
      </c>
      <c r="F105" s="29" t="str">
        <f aca="false">IF(C105="","",IFERROR(INDEX(Ingredients!$I$6:$I$205,MATCH(C105,Ingredients!$B$6:$B$205,0)),""))</f>
        <v/>
      </c>
      <c r="G105" s="41" t="str">
        <f aca="false">IF(OR(C105="",D105="",F105=""),"",D105*F105)</f>
        <v/>
      </c>
    </row>
    <row r="106" customFormat="false" ht="18.75" hidden="false" customHeight="true" outlineLevel="0" collapsed="false">
      <c r="B106" s="38" t="n">
        <v>6</v>
      </c>
      <c r="C106" s="24"/>
      <c r="D106" s="39"/>
      <c r="E106" s="40" t="str">
        <f aca="false">IF(C106="","",IFERROR(INDEX(Ingredients!$F$6:$F$205,MATCH(C106,Ingredients!$B$6:$B$205,0)),""))</f>
        <v/>
      </c>
      <c r="F106" s="29" t="str">
        <f aca="false">IF(C106="","",IFERROR(INDEX(Ingredients!$I$6:$I$205,MATCH(C106,Ingredients!$B$6:$B$205,0)),""))</f>
        <v/>
      </c>
      <c r="G106" s="41" t="str">
        <f aca="false">IF(OR(C106="",D106="",F106=""),"",D106*F106)</f>
        <v/>
      </c>
    </row>
    <row r="107" customFormat="false" ht="18.75" hidden="false" customHeight="true" outlineLevel="0" collapsed="false">
      <c r="B107" s="38" t="n">
        <v>7</v>
      </c>
      <c r="C107" s="24"/>
      <c r="D107" s="39"/>
      <c r="E107" s="40" t="str">
        <f aca="false">IF(C107="","",IFERROR(INDEX(Ingredients!$F$6:$F$205,MATCH(C107,Ingredients!$B$6:$B$205,0)),""))</f>
        <v/>
      </c>
      <c r="F107" s="29" t="str">
        <f aca="false">IF(C107="","",IFERROR(INDEX(Ingredients!$I$6:$I$205,MATCH(C107,Ingredients!$B$6:$B$205,0)),""))</f>
        <v/>
      </c>
      <c r="G107" s="41" t="str">
        <f aca="false">IF(OR(C107="",D107="",F107=""),"",D107*F107)</f>
        <v/>
      </c>
    </row>
    <row r="108" customFormat="false" ht="18.75" hidden="false" customHeight="true" outlineLevel="0" collapsed="false">
      <c r="B108" s="38" t="n">
        <v>8</v>
      </c>
      <c r="C108" s="24"/>
      <c r="D108" s="39"/>
      <c r="E108" s="40" t="str">
        <f aca="false">IF(C108="","",IFERROR(INDEX(Ingredients!$F$6:$F$205,MATCH(C108,Ingredients!$B$6:$B$205,0)),""))</f>
        <v/>
      </c>
      <c r="F108" s="29" t="str">
        <f aca="false">IF(C108="","",IFERROR(INDEX(Ingredients!$I$6:$I$205,MATCH(C108,Ingredients!$B$6:$B$205,0)),""))</f>
        <v/>
      </c>
      <c r="G108" s="41" t="str">
        <f aca="false">IF(OR(C108="",D108="",F108=""),"",D108*F108)</f>
        <v/>
      </c>
    </row>
    <row r="109" customFormat="false" ht="18.75" hidden="false" customHeight="true" outlineLevel="0" collapsed="false">
      <c r="B109" s="38" t="n">
        <v>9</v>
      </c>
      <c r="C109" s="24"/>
      <c r="D109" s="39"/>
      <c r="E109" s="40" t="str">
        <f aca="false">IF(C109="","",IFERROR(INDEX(Ingredients!$F$6:$F$205,MATCH(C109,Ingredients!$B$6:$B$205,0)),""))</f>
        <v/>
      </c>
      <c r="F109" s="29" t="str">
        <f aca="false">IF(C109="","",IFERROR(INDEX(Ingredients!$I$6:$I$205,MATCH(C109,Ingredients!$B$6:$B$205,0)),""))</f>
        <v/>
      </c>
      <c r="G109" s="41" t="str">
        <f aca="false">IF(OR(C109="",D109="",F109=""),"",D109*F109)</f>
        <v/>
      </c>
    </row>
    <row r="110" customFormat="false" ht="18.75" hidden="false" customHeight="true" outlineLevel="0" collapsed="false">
      <c r="B110" s="38" t="n">
        <v>10</v>
      </c>
      <c r="C110" s="24"/>
      <c r="D110" s="39"/>
      <c r="E110" s="40" t="str">
        <f aca="false">IF(C110="","",IFERROR(INDEX(Ingredients!$F$6:$F$205,MATCH(C110,Ingredients!$B$6:$B$205,0)),""))</f>
        <v/>
      </c>
      <c r="F110" s="29" t="str">
        <f aca="false">IF(C110="","",IFERROR(INDEX(Ingredients!$I$6:$I$205,MATCH(C110,Ingredients!$B$6:$B$205,0)),""))</f>
        <v/>
      </c>
      <c r="G110" s="41" t="str">
        <f aca="false">IF(OR(C110="",D110="",F110=""),"",D110*F110)</f>
        <v/>
      </c>
    </row>
    <row r="111" customFormat="false" ht="19.5" hidden="false" customHeight="true" outlineLevel="0" collapsed="false">
      <c r="B111" s="42"/>
      <c r="C111" s="43" t="s">
        <v>99</v>
      </c>
      <c r="D111" s="42"/>
      <c r="E111" s="42"/>
      <c r="F111" s="42"/>
      <c r="G111" s="44" t="n">
        <f aca="false">SUM(G101:G110)</f>
        <v>0</v>
      </c>
    </row>
    <row r="112" customFormat="false" ht="19.5" hidden="false" customHeight="true" outlineLevel="0" collapsed="false">
      <c r="C112" s="45" t="str">
        <f aca="false">"Cost per "&amp;IF(G99="","unit",G99)</f>
        <v>Cost per unit</v>
      </c>
      <c r="G112" s="46" t="str">
        <f aca="false">IF(OR(N(G98)=0,G111=0),"",G111/G98)</f>
        <v/>
      </c>
    </row>
    <row r="115" customFormat="false" ht="21.75" hidden="false" customHeight="true" outlineLevel="0" collapsed="false">
      <c r="B115" s="1" t="s">
        <v>106</v>
      </c>
      <c r="C115" s="2"/>
      <c r="D115" s="2"/>
      <c r="E115" s="2"/>
      <c r="F115" s="2"/>
      <c r="G115" s="2"/>
    </row>
    <row r="116" customFormat="false" ht="19.5" hidden="false" customHeight="true" outlineLevel="0" collapsed="false">
      <c r="B116" s="31" t="s">
        <v>93</v>
      </c>
      <c r="C116" s="32"/>
      <c r="D116" s="32"/>
      <c r="E116" s="33" t="s">
        <v>95</v>
      </c>
      <c r="F116" s="33"/>
      <c r="G116" s="34"/>
    </row>
    <row r="117" customFormat="false" ht="19.5" hidden="false" customHeight="true" outlineLevel="0" collapsed="false">
      <c r="E117" s="33" t="s">
        <v>96</v>
      </c>
      <c r="F117" s="33"/>
      <c r="G117" s="9"/>
    </row>
    <row r="118" customFormat="false" ht="21.75" hidden="false" customHeight="true" outlineLevel="0" collapsed="false">
      <c r="B118" s="35" t="s">
        <v>97</v>
      </c>
      <c r="C118" s="36" t="s">
        <v>54</v>
      </c>
      <c r="D118" s="35" t="s">
        <v>98</v>
      </c>
      <c r="E118" s="35" t="s">
        <v>58</v>
      </c>
      <c r="F118" s="37" t="str">
        <f aca="false">"Unit Cost ("&amp;CURRENCY&amp;")"</f>
        <v>Unit Cost ($)</v>
      </c>
      <c r="G118" s="37" t="str">
        <f aca="false">"Cost ("&amp;CURRENCY&amp;")"</f>
        <v>Cost ($)</v>
      </c>
    </row>
    <row r="119" customFormat="false" ht="18.75" hidden="false" customHeight="true" outlineLevel="0" collapsed="false">
      <c r="B119" s="38" t="n">
        <v>1</v>
      </c>
      <c r="C119" s="24"/>
      <c r="D119" s="39"/>
      <c r="E119" s="40" t="str">
        <f aca="false">IF(C119="","",IFERROR(INDEX(Ingredients!$F$6:$F$205,MATCH(C119,Ingredients!$B$6:$B$205,0)),""))</f>
        <v/>
      </c>
      <c r="F119" s="29" t="str">
        <f aca="false">IF(C119="","",IFERROR(INDEX(Ingredients!$I$6:$I$205,MATCH(C119,Ingredients!$B$6:$B$205,0)),""))</f>
        <v/>
      </c>
      <c r="G119" s="41" t="str">
        <f aca="false">IF(OR(C119="",D119="",F119=""),"",D119*F119)</f>
        <v/>
      </c>
    </row>
    <row r="120" customFormat="false" ht="18.75" hidden="false" customHeight="true" outlineLevel="0" collapsed="false">
      <c r="B120" s="38" t="n">
        <v>2</v>
      </c>
      <c r="C120" s="24"/>
      <c r="D120" s="39"/>
      <c r="E120" s="40" t="str">
        <f aca="false">IF(C120="","",IFERROR(INDEX(Ingredients!$F$6:$F$205,MATCH(C120,Ingredients!$B$6:$B$205,0)),""))</f>
        <v/>
      </c>
      <c r="F120" s="29" t="str">
        <f aca="false">IF(C120="","",IFERROR(INDEX(Ingredients!$I$6:$I$205,MATCH(C120,Ingredients!$B$6:$B$205,0)),""))</f>
        <v/>
      </c>
      <c r="G120" s="41" t="str">
        <f aca="false">IF(OR(C120="",D120="",F120=""),"",D120*F120)</f>
        <v/>
      </c>
    </row>
    <row r="121" customFormat="false" ht="18.75" hidden="false" customHeight="true" outlineLevel="0" collapsed="false">
      <c r="B121" s="38" t="n">
        <v>3</v>
      </c>
      <c r="C121" s="24"/>
      <c r="D121" s="39"/>
      <c r="E121" s="40" t="str">
        <f aca="false">IF(C121="","",IFERROR(INDEX(Ingredients!$F$6:$F$205,MATCH(C121,Ingredients!$B$6:$B$205,0)),""))</f>
        <v/>
      </c>
      <c r="F121" s="29" t="str">
        <f aca="false">IF(C121="","",IFERROR(INDEX(Ingredients!$I$6:$I$205,MATCH(C121,Ingredients!$B$6:$B$205,0)),""))</f>
        <v/>
      </c>
      <c r="G121" s="41" t="str">
        <f aca="false">IF(OR(C121="",D121="",F121=""),"",D121*F121)</f>
        <v/>
      </c>
    </row>
    <row r="122" customFormat="false" ht="18.75" hidden="false" customHeight="true" outlineLevel="0" collapsed="false">
      <c r="B122" s="38" t="n">
        <v>4</v>
      </c>
      <c r="C122" s="24"/>
      <c r="D122" s="39"/>
      <c r="E122" s="40" t="str">
        <f aca="false">IF(C122="","",IFERROR(INDEX(Ingredients!$F$6:$F$205,MATCH(C122,Ingredients!$B$6:$B$205,0)),""))</f>
        <v/>
      </c>
      <c r="F122" s="29" t="str">
        <f aca="false">IF(C122="","",IFERROR(INDEX(Ingredients!$I$6:$I$205,MATCH(C122,Ingredients!$B$6:$B$205,0)),""))</f>
        <v/>
      </c>
      <c r="G122" s="41" t="str">
        <f aca="false">IF(OR(C122="",D122="",F122=""),"",D122*F122)</f>
        <v/>
      </c>
    </row>
    <row r="123" customFormat="false" ht="18.75" hidden="false" customHeight="true" outlineLevel="0" collapsed="false">
      <c r="B123" s="38" t="n">
        <v>5</v>
      </c>
      <c r="C123" s="24"/>
      <c r="D123" s="39"/>
      <c r="E123" s="40" t="str">
        <f aca="false">IF(C123="","",IFERROR(INDEX(Ingredients!$F$6:$F$205,MATCH(C123,Ingredients!$B$6:$B$205,0)),""))</f>
        <v/>
      </c>
      <c r="F123" s="29" t="str">
        <f aca="false">IF(C123="","",IFERROR(INDEX(Ingredients!$I$6:$I$205,MATCH(C123,Ingredients!$B$6:$B$205,0)),""))</f>
        <v/>
      </c>
      <c r="G123" s="41" t="str">
        <f aca="false">IF(OR(C123="",D123="",F123=""),"",D123*F123)</f>
        <v/>
      </c>
    </row>
    <row r="124" customFormat="false" ht="18.75" hidden="false" customHeight="true" outlineLevel="0" collapsed="false">
      <c r="B124" s="38" t="n">
        <v>6</v>
      </c>
      <c r="C124" s="24"/>
      <c r="D124" s="39"/>
      <c r="E124" s="40" t="str">
        <f aca="false">IF(C124="","",IFERROR(INDEX(Ingredients!$F$6:$F$205,MATCH(C124,Ingredients!$B$6:$B$205,0)),""))</f>
        <v/>
      </c>
      <c r="F124" s="29" t="str">
        <f aca="false">IF(C124="","",IFERROR(INDEX(Ingredients!$I$6:$I$205,MATCH(C124,Ingredients!$B$6:$B$205,0)),""))</f>
        <v/>
      </c>
      <c r="G124" s="41" t="str">
        <f aca="false">IF(OR(C124="",D124="",F124=""),"",D124*F124)</f>
        <v/>
      </c>
    </row>
    <row r="125" customFormat="false" ht="18.75" hidden="false" customHeight="true" outlineLevel="0" collapsed="false">
      <c r="B125" s="38" t="n">
        <v>7</v>
      </c>
      <c r="C125" s="24"/>
      <c r="D125" s="39"/>
      <c r="E125" s="40" t="str">
        <f aca="false">IF(C125="","",IFERROR(INDEX(Ingredients!$F$6:$F$205,MATCH(C125,Ingredients!$B$6:$B$205,0)),""))</f>
        <v/>
      </c>
      <c r="F125" s="29" t="str">
        <f aca="false">IF(C125="","",IFERROR(INDEX(Ingredients!$I$6:$I$205,MATCH(C125,Ingredients!$B$6:$B$205,0)),""))</f>
        <v/>
      </c>
      <c r="G125" s="41" t="str">
        <f aca="false">IF(OR(C125="",D125="",F125=""),"",D125*F125)</f>
        <v/>
      </c>
    </row>
    <row r="126" customFormat="false" ht="18.75" hidden="false" customHeight="true" outlineLevel="0" collapsed="false">
      <c r="B126" s="38" t="n">
        <v>8</v>
      </c>
      <c r="C126" s="24"/>
      <c r="D126" s="39"/>
      <c r="E126" s="40" t="str">
        <f aca="false">IF(C126="","",IFERROR(INDEX(Ingredients!$F$6:$F$205,MATCH(C126,Ingredients!$B$6:$B$205,0)),""))</f>
        <v/>
      </c>
      <c r="F126" s="29" t="str">
        <f aca="false">IF(C126="","",IFERROR(INDEX(Ingredients!$I$6:$I$205,MATCH(C126,Ingredients!$B$6:$B$205,0)),""))</f>
        <v/>
      </c>
      <c r="G126" s="41" t="str">
        <f aca="false">IF(OR(C126="",D126="",F126=""),"",D126*F126)</f>
        <v/>
      </c>
    </row>
    <row r="127" customFormat="false" ht="18.75" hidden="false" customHeight="true" outlineLevel="0" collapsed="false">
      <c r="B127" s="38" t="n">
        <v>9</v>
      </c>
      <c r="C127" s="24"/>
      <c r="D127" s="39"/>
      <c r="E127" s="40" t="str">
        <f aca="false">IF(C127="","",IFERROR(INDEX(Ingredients!$F$6:$F$205,MATCH(C127,Ingredients!$B$6:$B$205,0)),""))</f>
        <v/>
      </c>
      <c r="F127" s="29" t="str">
        <f aca="false">IF(C127="","",IFERROR(INDEX(Ingredients!$I$6:$I$205,MATCH(C127,Ingredients!$B$6:$B$205,0)),""))</f>
        <v/>
      </c>
      <c r="G127" s="41" t="str">
        <f aca="false">IF(OR(C127="",D127="",F127=""),"",D127*F127)</f>
        <v/>
      </c>
    </row>
    <row r="128" customFormat="false" ht="18.75" hidden="false" customHeight="true" outlineLevel="0" collapsed="false">
      <c r="B128" s="38" t="n">
        <v>10</v>
      </c>
      <c r="C128" s="24"/>
      <c r="D128" s="39"/>
      <c r="E128" s="40" t="str">
        <f aca="false">IF(C128="","",IFERROR(INDEX(Ingredients!$F$6:$F$205,MATCH(C128,Ingredients!$B$6:$B$205,0)),""))</f>
        <v/>
      </c>
      <c r="F128" s="29" t="str">
        <f aca="false">IF(C128="","",IFERROR(INDEX(Ingredients!$I$6:$I$205,MATCH(C128,Ingredients!$B$6:$B$205,0)),""))</f>
        <v/>
      </c>
      <c r="G128" s="41" t="str">
        <f aca="false">IF(OR(C128="",D128="",F128=""),"",D128*F128)</f>
        <v/>
      </c>
    </row>
    <row r="129" customFormat="false" ht="19.5" hidden="false" customHeight="true" outlineLevel="0" collapsed="false">
      <c r="B129" s="42"/>
      <c r="C129" s="43" t="s">
        <v>99</v>
      </c>
      <c r="D129" s="42"/>
      <c r="E129" s="42"/>
      <c r="F129" s="42"/>
      <c r="G129" s="44" t="n">
        <f aca="false">SUM(G119:G128)</f>
        <v>0</v>
      </c>
    </row>
    <row r="130" customFormat="false" ht="19.5" hidden="false" customHeight="true" outlineLevel="0" collapsed="false">
      <c r="C130" s="45" t="str">
        <f aca="false">"Cost per "&amp;IF(G117="","unit",G117)</f>
        <v>Cost per unit</v>
      </c>
      <c r="G130" s="46" t="str">
        <f aca="false">IF(OR(N(G116)=0,G129=0),"",G129/G116)</f>
        <v/>
      </c>
    </row>
    <row r="133" customFormat="false" ht="21.75" hidden="false" customHeight="true" outlineLevel="0" collapsed="false">
      <c r="B133" s="1" t="s">
        <v>107</v>
      </c>
      <c r="C133" s="2"/>
      <c r="D133" s="2"/>
      <c r="E133" s="2"/>
      <c r="F133" s="2"/>
      <c r="G133" s="2"/>
    </row>
    <row r="134" customFormat="false" ht="19.5" hidden="false" customHeight="true" outlineLevel="0" collapsed="false">
      <c r="B134" s="31" t="s">
        <v>93</v>
      </c>
      <c r="C134" s="32"/>
      <c r="D134" s="32"/>
      <c r="E134" s="33" t="s">
        <v>95</v>
      </c>
      <c r="F134" s="33"/>
      <c r="G134" s="34"/>
    </row>
    <row r="135" customFormat="false" ht="19.5" hidden="false" customHeight="true" outlineLevel="0" collapsed="false">
      <c r="E135" s="33" t="s">
        <v>96</v>
      </c>
      <c r="F135" s="33"/>
      <c r="G135" s="9"/>
    </row>
    <row r="136" customFormat="false" ht="21.75" hidden="false" customHeight="true" outlineLevel="0" collapsed="false">
      <c r="B136" s="35" t="s">
        <v>97</v>
      </c>
      <c r="C136" s="36" t="s">
        <v>54</v>
      </c>
      <c r="D136" s="35" t="s">
        <v>98</v>
      </c>
      <c r="E136" s="35" t="s">
        <v>58</v>
      </c>
      <c r="F136" s="37" t="str">
        <f aca="false">"Unit Cost ("&amp;CURRENCY&amp;")"</f>
        <v>Unit Cost ($)</v>
      </c>
      <c r="G136" s="37" t="str">
        <f aca="false">"Cost ("&amp;CURRENCY&amp;")"</f>
        <v>Cost ($)</v>
      </c>
    </row>
    <row r="137" customFormat="false" ht="18.75" hidden="false" customHeight="true" outlineLevel="0" collapsed="false">
      <c r="B137" s="38" t="n">
        <v>1</v>
      </c>
      <c r="C137" s="24"/>
      <c r="D137" s="39"/>
      <c r="E137" s="40" t="str">
        <f aca="false">IF(C137="","",IFERROR(INDEX(Ingredients!$F$6:$F$205,MATCH(C137,Ingredients!$B$6:$B$205,0)),""))</f>
        <v/>
      </c>
      <c r="F137" s="29" t="str">
        <f aca="false">IF(C137="","",IFERROR(INDEX(Ingredients!$I$6:$I$205,MATCH(C137,Ingredients!$B$6:$B$205,0)),""))</f>
        <v/>
      </c>
      <c r="G137" s="41" t="str">
        <f aca="false">IF(OR(C137="",D137="",F137=""),"",D137*F137)</f>
        <v/>
      </c>
    </row>
    <row r="138" customFormat="false" ht="18.75" hidden="false" customHeight="true" outlineLevel="0" collapsed="false">
      <c r="B138" s="38" t="n">
        <v>2</v>
      </c>
      <c r="C138" s="24"/>
      <c r="D138" s="39"/>
      <c r="E138" s="40" t="str">
        <f aca="false">IF(C138="","",IFERROR(INDEX(Ingredients!$F$6:$F$205,MATCH(C138,Ingredients!$B$6:$B$205,0)),""))</f>
        <v/>
      </c>
      <c r="F138" s="29" t="str">
        <f aca="false">IF(C138="","",IFERROR(INDEX(Ingredients!$I$6:$I$205,MATCH(C138,Ingredients!$B$6:$B$205,0)),""))</f>
        <v/>
      </c>
      <c r="G138" s="41" t="str">
        <f aca="false">IF(OR(C138="",D138="",F138=""),"",D138*F138)</f>
        <v/>
      </c>
    </row>
    <row r="139" customFormat="false" ht="18.75" hidden="false" customHeight="true" outlineLevel="0" collapsed="false">
      <c r="B139" s="38" t="n">
        <v>3</v>
      </c>
      <c r="C139" s="24"/>
      <c r="D139" s="39"/>
      <c r="E139" s="40" t="str">
        <f aca="false">IF(C139="","",IFERROR(INDEX(Ingredients!$F$6:$F$205,MATCH(C139,Ingredients!$B$6:$B$205,0)),""))</f>
        <v/>
      </c>
      <c r="F139" s="29" t="str">
        <f aca="false">IF(C139="","",IFERROR(INDEX(Ingredients!$I$6:$I$205,MATCH(C139,Ingredients!$B$6:$B$205,0)),""))</f>
        <v/>
      </c>
      <c r="G139" s="41" t="str">
        <f aca="false">IF(OR(C139="",D139="",F139=""),"",D139*F139)</f>
        <v/>
      </c>
    </row>
    <row r="140" customFormat="false" ht="18.75" hidden="false" customHeight="true" outlineLevel="0" collapsed="false">
      <c r="B140" s="38" t="n">
        <v>4</v>
      </c>
      <c r="C140" s="24"/>
      <c r="D140" s="39"/>
      <c r="E140" s="40" t="str">
        <f aca="false">IF(C140="","",IFERROR(INDEX(Ingredients!$F$6:$F$205,MATCH(C140,Ingredients!$B$6:$B$205,0)),""))</f>
        <v/>
      </c>
      <c r="F140" s="29" t="str">
        <f aca="false">IF(C140="","",IFERROR(INDEX(Ingredients!$I$6:$I$205,MATCH(C140,Ingredients!$B$6:$B$205,0)),""))</f>
        <v/>
      </c>
      <c r="G140" s="41" t="str">
        <f aca="false">IF(OR(C140="",D140="",F140=""),"",D140*F140)</f>
        <v/>
      </c>
    </row>
    <row r="141" customFormat="false" ht="18.75" hidden="false" customHeight="true" outlineLevel="0" collapsed="false">
      <c r="B141" s="38" t="n">
        <v>5</v>
      </c>
      <c r="C141" s="24"/>
      <c r="D141" s="39"/>
      <c r="E141" s="40" t="str">
        <f aca="false">IF(C141="","",IFERROR(INDEX(Ingredients!$F$6:$F$205,MATCH(C141,Ingredients!$B$6:$B$205,0)),""))</f>
        <v/>
      </c>
      <c r="F141" s="29" t="str">
        <f aca="false">IF(C141="","",IFERROR(INDEX(Ingredients!$I$6:$I$205,MATCH(C141,Ingredients!$B$6:$B$205,0)),""))</f>
        <v/>
      </c>
      <c r="G141" s="41" t="str">
        <f aca="false">IF(OR(C141="",D141="",F141=""),"",D141*F141)</f>
        <v/>
      </c>
    </row>
    <row r="142" customFormat="false" ht="18.75" hidden="false" customHeight="true" outlineLevel="0" collapsed="false">
      <c r="B142" s="38" t="n">
        <v>6</v>
      </c>
      <c r="C142" s="24"/>
      <c r="D142" s="39"/>
      <c r="E142" s="40" t="str">
        <f aca="false">IF(C142="","",IFERROR(INDEX(Ingredients!$F$6:$F$205,MATCH(C142,Ingredients!$B$6:$B$205,0)),""))</f>
        <v/>
      </c>
      <c r="F142" s="29" t="str">
        <f aca="false">IF(C142="","",IFERROR(INDEX(Ingredients!$I$6:$I$205,MATCH(C142,Ingredients!$B$6:$B$205,0)),""))</f>
        <v/>
      </c>
      <c r="G142" s="41" t="str">
        <f aca="false">IF(OR(C142="",D142="",F142=""),"",D142*F142)</f>
        <v/>
      </c>
    </row>
    <row r="143" customFormat="false" ht="18.75" hidden="false" customHeight="true" outlineLevel="0" collapsed="false">
      <c r="B143" s="38" t="n">
        <v>7</v>
      </c>
      <c r="C143" s="24"/>
      <c r="D143" s="39"/>
      <c r="E143" s="40" t="str">
        <f aca="false">IF(C143="","",IFERROR(INDEX(Ingredients!$F$6:$F$205,MATCH(C143,Ingredients!$B$6:$B$205,0)),""))</f>
        <v/>
      </c>
      <c r="F143" s="29" t="str">
        <f aca="false">IF(C143="","",IFERROR(INDEX(Ingredients!$I$6:$I$205,MATCH(C143,Ingredients!$B$6:$B$205,0)),""))</f>
        <v/>
      </c>
      <c r="G143" s="41" t="str">
        <f aca="false">IF(OR(C143="",D143="",F143=""),"",D143*F143)</f>
        <v/>
      </c>
    </row>
    <row r="144" customFormat="false" ht="18.75" hidden="false" customHeight="true" outlineLevel="0" collapsed="false">
      <c r="B144" s="38" t="n">
        <v>8</v>
      </c>
      <c r="C144" s="24"/>
      <c r="D144" s="39"/>
      <c r="E144" s="40" t="str">
        <f aca="false">IF(C144="","",IFERROR(INDEX(Ingredients!$F$6:$F$205,MATCH(C144,Ingredients!$B$6:$B$205,0)),""))</f>
        <v/>
      </c>
      <c r="F144" s="29" t="str">
        <f aca="false">IF(C144="","",IFERROR(INDEX(Ingredients!$I$6:$I$205,MATCH(C144,Ingredients!$B$6:$B$205,0)),""))</f>
        <v/>
      </c>
      <c r="G144" s="41" t="str">
        <f aca="false">IF(OR(C144="",D144="",F144=""),"",D144*F144)</f>
        <v/>
      </c>
    </row>
    <row r="145" customFormat="false" ht="18.75" hidden="false" customHeight="true" outlineLevel="0" collapsed="false">
      <c r="B145" s="38" t="n">
        <v>9</v>
      </c>
      <c r="C145" s="24"/>
      <c r="D145" s="39"/>
      <c r="E145" s="40" t="str">
        <f aca="false">IF(C145="","",IFERROR(INDEX(Ingredients!$F$6:$F$205,MATCH(C145,Ingredients!$B$6:$B$205,0)),""))</f>
        <v/>
      </c>
      <c r="F145" s="29" t="str">
        <f aca="false">IF(C145="","",IFERROR(INDEX(Ingredients!$I$6:$I$205,MATCH(C145,Ingredients!$B$6:$B$205,0)),""))</f>
        <v/>
      </c>
      <c r="G145" s="41" t="str">
        <f aca="false">IF(OR(C145="",D145="",F145=""),"",D145*F145)</f>
        <v/>
      </c>
    </row>
    <row r="146" customFormat="false" ht="18.75" hidden="false" customHeight="true" outlineLevel="0" collapsed="false">
      <c r="B146" s="38" t="n">
        <v>10</v>
      </c>
      <c r="C146" s="24"/>
      <c r="D146" s="39"/>
      <c r="E146" s="40" t="str">
        <f aca="false">IF(C146="","",IFERROR(INDEX(Ingredients!$F$6:$F$205,MATCH(C146,Ingredients!$B$6:$B$205,0)),""))</f>
        <v/>
      </c>
      <c r="F146" s="29" t="str">
        <f aca="false">IF(C146="","",IFERROR(INDEX(Ingredients!$I$6:$I$205,MATCH(C146,Ingredients!$B$6:$B$205,0)),""))</f>
        <v/>
      </c>
      <c r="G146" s="41" t="str">
        <f aca="false">IF(OR(C146="",D146="",F146=""),"",D146*F146)</f>
        <v/>
      </c>
    </row>
    <row r="147" customFormat="false" ht="19.5" hidden="false" customHeight="true" outlineLevel="0" collapsed="false">
      <c r="B147" s="42"/>
      <c r="C147" s="43" t="s">
        <v>99</v>
      </c>
      <c r="D147" s="42"/>
      <c r="E147" s="42"/>
      <c r="F147" s="42"/>
      <c r="G147" s="44" t="n">
        <f aca="false">SUM(G137:G146)</f>
        <v>0</v>
      </c>
    </row>
    <row r="148" customFormat="false" ht="19.5" hidden="false" customHeight="true" outlineLevel="0" collapsed="false">
      <c r="C148" s="45" t="str">
        <f aca="false">"Cost per "&amp;IF(G135="","unit",G135)</f>
        <v>Cost per unit</v>
      </c>
      <c r="G148" s="46" t="str">
        <f aca="false">IF(OR(N(G134)=0,G147=0),"",G147/G134)</f>
        <v/>
      </c>
    </row>
    <row r="151" customFormat="false" ht="21.75" hidden="false" customHeight="true" outlineLevel="0" collapsed="false">
      <c r="B151" s="1" t="s">
        <v>108</v>
      </c>
      <c r="C151" s="2"/>
      <c r="D151" s="2"/>
      <c r="E151" s="2"/>
      <c r="F151" s="2"/>
      <c r="G151" s="2"/>
    </row>
    <row r="152" customFormat="false" ht="19.5" hidden="false" customHeight="true" outlineLevel="0" collapsed="false">
      <c r="B152" s="31" t="s">
        <v>93</v>
      </c>
      <c r="C152" s="32"/>
      <c r="D152" s="32"/>
      <c r="E152" s="33" t="s">
        <v>95</v>
      </c>
      <c r="F152" s="33"/>
      <c r="G152" s="34"/>
    </row>
    <row r="153" customFormat="false" ht="19.5" hidden="false" customHeight="true" outlineLevel="0" collapsed="false">
      <c r="E153" s="33" t="s">
        <v>96</v>
      </c>
      <c r="F153" s="33"/>
      <c r="G153" s="9"/>
    </row>
    <row r="154" customFormat="false" ht="21.75" hidden="false" customHeight="true" outlineLevel="0" collapsed="false">
      <c r="B154" s="35" t="s">
        <v>97</v>
      </c>
      <c r="C154" s="36" t="s">
        <v>54</v>
      </c>
      <c r="D154" s="35" t="s">
        <v>98</v>
      </c>
      <c r="E154" s="35" t="s">
        <v>58</v>
      </c>
      <c r="F154" s="37" t="str">
        <f aca="false">"Unit Cost ("&amp;CURRENCY&amp;")"</f>
        <v>Unit Cost ($)</v>
      </c>
      <c r="G154" s="37" t="str">
        <f aca="false">"Cost ("&amp;CURRENCY&amp;")"</f>
        <v>Cost ($)</v>
      </c>
    </row>
    <row r="155" customFormat="false" ht="18.75" hidden="false" customHeight="true" outlineLevel="0" collapsed="false">
      <c r="B155" s="38" t="n">
        <v>1</v>
      </c>
      <c r="C155" s="24"/>
      <c r="D155" s="39"/>
      <c r="E155" s="40" t="str">
        <f aca="false">IF(C155="","",IFERROR(INDEX(Ingredients!$F$6:$F$205,MATCH(C155,Ingredients!$B$6:$B$205,0)),""))</f>
        <v/>
      </c>
      <c r="F155" s="29" t="str">
        <f aca="false">IF(C155="","",IFERROR(INDEX(Ingredients!$I$6:$I$205,MATCH(C155,Ingredients!$B$6:$B$205,0)),""))</f>
        <v/>
      </c>
      <c r="G155" s="41" t="str">
        <f aca="false">IF(OR(C155="",D155="",F155=""),"",D155*F155)</f>
        <v/>
      </c>
    </row>
    <row r="156" customFormat="false" ht="18.75" hidden="false" customHeight="true" outlineLevel="0" collapsed="false">
      <c r="B156" s="38" t="n">
        <v>2</v>
      </c>
      <c r="C156" s="24"/>
      <c r="D156" s="39"/>
      <c r="E156" s="40" t="str">
        <f aca="false">IF(C156="","",IFERROR(INDEX(Ingredients!$F$6:$F$205,MATCH(C156,Ingredients!$B$6:$B$205,0)),""))</f>
        <v/>
      </c>
      <c r="F156" s="29" t="str">
        <f aca="false">IF(C156="","",IFERROR(INDEX(Ingredients!$I$6:$I$205,MATCH(C156,Ingredients!$B$6:$B$205,0)),""))</f>
        <v/>
      </c>
      <c r="G156" s="41" t="str">
        <f aca="false">IF(OR(C156="",D156="",F156=""),"",D156*F156)</f>
        <v/>
      </c>
    </row>
    <row r="157" customFormat="false" ht="18.75" hidden="false" customHeight="true" outlineLevel="0" collapsed="false">
      <c r="B157" s="38" t="n">
        <v>3</v>
      </c>
      <c r="C157" s="24"/>
      <c r="D157" s="39"/>
      <c r="E157" s="40" t="str">
        <f aca="false">IF(C157="","",IFERROR(INDEX(Ingredients!$F$6:$F$205,MATCH(C157,Ingredients!$B$6:$B$205,0)),""))</f>
        <v/>
      </c>
      <c r="F157" s="29" t="str">
        <f aca="false">IF(C157="","",IFERROR(INDEX(Ingredients!$I$6:$I$205,MATCH(C157,Ingredients!$B$6:$B$205,0)),""))</f>
        <v/>
      </c>
      <c r="G157" s="41" t="str">
        <f aca="false">IF(OR(C157="",D157="",F157=""),"",D157*F157)</f>
        <v/>
      </c>
    </row>
    <row r="158" customFormat="false" ht="18.75" hidden="false" customHeight="true" outlineLevel="0" collapsed="false">
      <c r="B158" s="38" t="n">
        <v>4</v>
      </c>
      <c r="C158" s="24"/>
      <c r="D158" s="39"/>
      <c r="E158" s="40" t="str">
        <f aca="false">IF(C158="","",IFERROR(INDEX(Ingredients!$F$6:$F$205,MATCH(C158,Ingredients!$B$6:$B$205,0)),""))</f>
        <v/>
      </c>
      <c r="F158" s="29" t="str">
        <f aca="false">IF(C158="","",IFERROR(INDEX(Ingredients!$I$6:$I$205,MATCH(C158,Ingredients!$B$6:$B$205,0)),""))</f>
        <v/>
      </c>
      <c r="G158" s="41" t="str">
        <f aca="false">IF(OR(C158="",D158="",F158=""),"",D158*F158)</f>
        <v/>
      </c>
    </row>
    <row r="159" customFormat="false" ht="18.75" hidden="false" customHeight="true" outlineLevel="0" collapsed="false">
      <c r="B159" s="38" t="n">
        <v>5</v>
      </c>
      <c r="C159" s="24"/>
      <c r="D159" s="39"/>
      <c r="E159" s="40" t="str">
        <f aca="false">IF(C159="","",IFERROR(INDEX(Ingredients!$F$6:$F$205,MATCH(C159,Ingredients!$B$6:$B$205,0)),""))</f>
        <v/>
      </c>
      <c r="F159" s="29" t="str">
        <f aca="false">IF(C159="","",IFERROR(INDEX(Ingredients!$I$6:$I$205,MATCH(C159,Ingredients!$B$6:$B$205,0)),""))</f>
        <v/>
      </c>
      <c r="G159" s="41" t="str">
        <f aca="false">IF(OR(C159="",D159="",F159=""),"",D159*F159)</f>
        <v/>
      </c>
    </row>
    <row r="160" customFormat="false" ht="18.75" hidden="false" customHeight="true" outlineLevel="0" collapsed="false">
      <c r="B160" s="38" t="n">
        <v>6</v>
      </c>
      <c r="C160" s="24"/>
      <c r="D160" s="39"/>
      <c r="E160" s="40" t="str">
        <f aca="false">IF(C160="","",IFERROR(INDEX(Ingredients!$F$6:$F$205,MATCH(C160,Ingredients!$B$6:$B$205,0)),""))</f>
        <v/>
      </c>
      <c r="F160" s="29" t="str">
        <f aca="false">IF(C160="","",IFERROR(INDEX(Ingredients!$I$6:$I$205,MATCH(C160,Ingredients!$B$6:$B$205,0)),""))</f>
        <v/>
      </c>
      <c r="G160" s="41" t="str">
        <f aca="false">IF(OR(C160="",D160="",F160=""),"",D160*F160)</f>
        <v/>
      </c>
    </row>
    <row r="161" customFormat="false" ht="18.75" hidden="false" customHeight="true" outlineLevel="0" collapsed="false">
      <c r="B161" s="38" t="n">
        <v>7</v>
      </c>
      <c r="C161" s="24"/>
      <c r="D161" s="39"/>
      <c r="E161" s="40" t="str">
        <f aca="false">IF(C161="","",IFERROR(INDEX(Ingredients!$F$6:$F$205,MATCH(C161,Ingredients!$B$6:$B$205,0)),""))</f>
        <v/>
      </c>
      <c r="F161" s="29" t="str">
        <f aca="false">IF(C161="","",IFERROR(INDEX(Ingredients!$I$6:$I$205,MATCH(C161,Ingredients!$B$6:$B$205,0)),""))</f>
        <v/>
      </c>
      <c r="G161" s="41" t="str">
        <f aca="false">IF(OR(C161="",D161="",F161=""),"",D161*F161)</f>
        <v/>
      </c>
    </row>
    <row r="162" customFormat="false" ht="18.75" hidden="false" customHeight="true" outlineLevel="0" collapsed="false">
      <c r="B162" s="38" t="n">
        <v>8</v>
      </c>
      <c r="C162" s="24"/>
      <c r="D162" s="39"/>
      <c r="E162" s="40" t="str">
        <f aca="false">IF(C162="","",IFERROR(INDEX(Ingredients!$F$6:$F$205,MATCH(C162,Ingredients!$B$6:$B$205,0)),""))</f>
        <v/>
      </c>
      <c r="F162" s="29" t="str">
        <f aca="false">IF(C162="","",IFERROR(INDEX(Ingredients!$I$6:$I$205,MATCH(C162,Ingredients!$B$6:$B$205,0)),""))</f>
        <v/>
      </c>
      <c r="G162" s="41" t="str">
        <f aca="false">IF(OR(C162="",D162="",F162=""),"",D162*F162)</f>
        <v/>
      </c>
    </row>
    <row r="163" customFormat="false" ht="18.75" hidden="false" customHeight="true" outlineLevel="0" collapsed="false">
      <c r="B163" s="38" t="n">
        <v>9</v>
      </c>
      <c r="C163" s="24"/>
      <c r="D163" s="39"/>
      <c r="E163" s="40" t="str">
        <f aca="false">IF(C163="","",IFERROR(INDEX(Ingredients!$F$6:$F$205,MATCH(C163,Ingredients!$B$6:$B$205,0)),""))</f>
        <v/>
      </c>
      <c r="F163" s="29" t="str">
        <f aca="false">IF(C163="","",IFERROR(INDEX(Ingredients!$I$6:$I$205,MATCH(C163,Ingredients!$B$6:$B$205,0)),""))</f>
        <v/>
      </c>
      <c r="G163" s="41" t="str">
        <f aca="false">IF(OR(C163="",D163="",F163=""),"",D163*F163)</f>
        <v/>
      </c>
    </row>
    <row r="164" customFormat="false" ht="18.75" hidden="false" customHeight="true" outlineLevel="0" collapsed="false">
      <c r="B164" s="38" t="n">
        <v>10</v>
      </c>
      <c r="C164" s="24"/>
      <c r="D164" s="39"/>
      <c r="E164" s="40" t="str">
        <f aca="false">IF(C164="","",IFERROR(INDEX(Ingredients!$F$6:$F$205,MATCH(C164,Ingredients!$B$6:$B$205,0)),""))</f>
        <v/>
      </c>
      <c r="F164" s="29" t="str">
        <f aca="false">IF(C164="","",IFERROR(INDEX(Ingredients!$I$6:$I$205,MATCH(C164,Ingredients!$B$6:$B$205,0)),""))</f>
        <v/>
      </c>
      <c r="G164" s="41" t="str">
        <f aca="false">IF(OR(C164="",D164="",F164=""),"",D164*F164)</f>
        <v/>
      </c>
    </row>
    <row r="165" customFormat="false" ht="19.5" hidden="false" customHeight="true" outlineLevel="0" collapsed="false">
      <c r="B165" s="42"/>
      <c r="C165" s="43" t="s">
        <v>99</v>
      </c>
      <c r="D165" s="42"/>
      <c r="E165" s="42"/>
      <c r="F165" s="42"/>
      <c r="G165" s="44" t="n">
        <f aca="false">SUM(G155:G164)</f>
        <v>0</v>
      </c>
    </row>
    <row r="166" customFormat="false" ht="19.5" hidden="false" customHeight="true" outlineLevel="0" collapsed="false">
      <c r="C166" s="45" t="str">
        <f aca="false">"Cost per "&amp;IF(G153="","unit",G153)</f>
        <v>Cost per unit</v>
      </c>
      <c r="G166" s="46" t="str">
        <f aca="false">IF(OR(N(G152)=0,G165=0),"",G165/G152)</f>
        <v/>
      </c>
    </row>
    <row r="169" customFormat="false" ht="21.75" hidden="false" customHeight="true" outlineLevel="0" collapsed="false">
      <c r="B169" s="1" t="s">
        <v>109</v>
      </c>
      <c r="C169" s="2"/>
      <c r="D169" s="2"/>
      <c r="E169" s="2"/>
      <c r="F169" s="2"/>
      <c r="G169" s="2"/>
    </row>
    <row r="170" customFormat="false" ht="19.5" hidden="false" customHeight="true" outlineLevel="0" collapsed="false">
      <c r="B170" s="31" t="s">
        <v>93</v>
      </c>
      <c r="C170" s="32"/>
      <c r="D170" s="32"/>
      <c r="E170" s="33" t="s">
        <v>95</v>
      </c>
      <c r="F170" s="33"/>
      <c r="G170" s="34"/>
    </row>
    <row r="171" customFormat="false" ht="19.5" hidden="false" customHeight="true" outlineLevel="0" collapsed="false">
      <c r="E171" s="33" t="s">
        <v>96</v>
      </c>
      <c r="F171" s="33"/>
      <c r="G171" s="9"/>
    </row>
    <row r="172" customFormat="false" ht="21.75" hidden="false" customHeight="true" outlineLevel="0" collapsed="false">
      <c r="B172" s="35" t="s">
        <v>97</v>
      </c>
      <c r="C172" s="36" t="s">
        <v>54</v>
      </c>
      <c r="D172" s="35" t="s">
        <v>98</v>
      </c>
      <c r="E172" s="35" t="s">
        <v>58</v>
      </c>
      <c r="F172" s="37" t="str">
        <f aca="false">"Unit Cost ("&amp;CURRENCY&amp;")"</f>
        <v>Unit Cost ($)</v>
      </c>
      <c r="G172" s="37" t="str">
        <f aca="false">"Cost ("&amp;CURRENCY&amp;")"</f>
        <v>Cost ($)</v>
      </c>
    </row>
    <row r="173" customFormat="false" ht="18.75" hidden="false" customHeight="true" outlineLevel="0" collapsed="false">
      <c r="B173" s="38" t="n">
        <v>1</v>
      </c>
      <c r="C173" s="24"/>
      <c r="D173" s="39"/>
      <c r="E173" s="40" t="str">
        <f aca="false">IF(C173="","",IFERROR(INDEX(Ingredients!$F$6:$F$205,MATCH(C173,Ingredients!$B$6:$B$205,0)),""))</f>
        <v/>
      </c>
      <c r="F173" s="29" t="str">
        <f aca="false">IF(C173="","",IFERROR(INDEX(Ingredients!$I$6:$I$205,MATCH(C173,Ingredients!$B$6:$B$205,0)),""))</f>
        <v/>
      </c>
      <c r="G173" s="41" t="str">
        <f aca="false">IF(OR(C173="",D173="",F173=""),"",D173*F173)</f>
        <v/>
      </c>
    </row>
    <row r="174" customFormat="false" ht="18.75" hidden="false" customHeight="true" outlineLevel="0" collapsed="false">
      <c r="B174" s="38" t="n">
        <v>2</v>
      </c>
      <c r="C174" s="24"/>
      <c r="D174" s="39"/>
      <c r="E174" s="40" t="str">
        <f aca="false">IF(C174="","",IFERROR(INDEX(Ingredients!$F$6:$F$205,MATCH(C174,Ingredients!$B$6:$B$205,0)),""))</f>
        <v/>
      </c>
      <c r="F174" s="29" t="str">
        <f aca="false">IF(C174="","",IFERROR(INDEX(Ingredients!$I$6:$I$205,MATCH(C174,Ingredients!$B$6:$B$205,0)),""))</f>
        <v/>
      </c>
      <c r="G174" s="41" t="str">
        <f aca="false">IF(OR(C174="",D174="",F174=""),"",D174*F174)</f>
        <v/>
      </c>
    </row>
    <row r="175" customFormat="false" ht="18.75" hidden="false" customHeight="true" outlineLevel="0" collapsed="false">
      <c r="B175" s="38" t="n">
        <v>3</v>
      </c>
      <c r="C175" s="24"/>
      <c r="D175" s="39"/>
      <c r="E175" s="40" t="str">
        <f aca="false">IF(C175="","",IFERROR(INDEX(Ingredients!$F$6:$F$205,MATCH(C175,Ingredients!$B$6:$B$205,0)),""))</f>
        <v/>
      </c>
      <c r="F175" s="29" t="str">
        <f aca="false">IF(C175="","",IFERROR(INDEX(Ingredients!$I$6:$I$205,MATCH(C175,Ingredients!$B$6:$B$205,0)),""))</f>
        <v/>
      </c>
      <c r="G175" s="41" t="str">
        <f aca="false">IF(OR(C175="",D175="",F175=""),"",D175*F175)</f>
        <v/>
      </c>
    </row>
    <row r="176" customFormat="false" ht="18.75" hidden="false" customHeight="true" outlineLevel="0" collapsed="false">
      <c r="B176" s="38" t="n">
        <v>4</v>
      </c>
      <c r="C176" s="24"/>
      <c r="D176" s="39"/>
      <c r="E176" s="40" t="str">
        <f aca="false">IF(C176="","",IFERROR(INDEX(Ingredients!$F$6:$F$205,MATCH(C176,Ingredients!$B$6:$B$205,0)),""))</f>
        <v/>
      </c>
      <c r="F176" s="29" t="str">
        <f aca="false">IF(C176="","",IFERROR(INDEX(Ingredients!$I$6:$I$205,MATCH(C176,Ingredients!$B$6:$B$205,0)),""))</f>
        <v/>
      </c>
      <c r="G176" s="41" t="str">
        <f aca="false">IF(OR(C176="",D176="",F176=""),"",D176*F176)</f>
        <v/>
      </c>
    </row>
    <row r="177" customFormat="false" ht="18.75" hidden="false" customHeight="true" outlineLevel="0" collapsed="false">
      <c r="B177" s="38" t="n">
        <v>5</v>
      </c>
      <c r="C177" s="24"/>
      <c r="D177" s="39"/>
      <c r="E177" s="40" t="str">
        <f aca="false">IF(C177="","",IFERROR(INDEX(Ingredients!$F$6:$F$205,MATCH(C177,Ingredients!$B$6:$B$205,0)),""))</f>
        <v/>
      </c>
      <c r="F177" s="29" t="str">
        <f aca="false">IF(C177="","",IFERROR(INDEX(Ingredients!$I$6:$I$205,MATCH(C177,Ingredients!$B$6:$B$205,0)),""))</f>
        <v/>
      </c>
      <c r="G177" s="41" t="str">
        <f aca="false">IF(OR(C177="",D177="",F177=""),"",D177*F177)</f>
        <v/>
      </c>
    </row>
    <row r="178" customFormat="false" ht="18.75" hidden="false" customHeight="true" outlineLevel="0" collapsed="false">
      <c r="B178" s="38" t="n">
        <v>6</v>
      </c>
      <c r="C178" s="24"/>
      <c r="D178" s="39"/>
      <c r="E178" s="40" t="str">
        <f aca="false">IF(C178="","",IFERROR(INDEX(Ingredients!$F$6:$F$205,MATCH(C178,Ingredients!$B$6:$B$205,0)),""))</f>
        <v/>
      </c>
      <c r="F178" s="29" t="str">
        <f aca="false">IF(C178="","",IFERROR(INDEX(Ingredients!$I$6:$I$205,MATCH(C178,Ingredients!$B$6:$B$205,0)),""))</f>
        <v/>
      </c>
      <c r="G178" s="41" t="str">
        <f aca="false">IF(OR(C178="",D178="",F178=""),"",D178*F178)</f>
        <v/>
      </c>
    </row>
    <row r="179" customFormat="false" ht="18.75" hidden="false" customHeight="true" outlineLevel="0" collapsed="false">
      <c r="B179" s="38" t="n">
        <v>7</v>
      </c>
      <c r="C179" s="24"/>
      <c r="D179" s="39"/>
      <c r="E179" s="40" t="str">
        <f aca="false">IF(C179="","",IFERROR(INDEX(Ingredients!$F$6:$F$205,MATCH(C179,Ingredients!$B$6:$B$205,0)),""))</f>
        <v/>
      </c>
      <c r="F179" s="29" t="str">
        <f aca="false">IF(C179="","",IFERROR(INDEX(Ingredients!$I$6:$I$205,MATCH(C179,Ingredients!$B$6:$B$205,0)),""))</f>
        <v/>
      </c>
      <c r="G179" s="41" t="str">
        <f aca="false">IF(OR(C179="",D179="",F179=""),"",D179*F179)</f>
        <v/>
      </c>
    </row>
    <row r="180" customFormat="false" ht="18.75" hidden="false" customHeight="true" outlineLevel="0" collapsed="false">
      <c r="B180" s="38" t="n">
        <v>8</v>
      </c>
      <c r="C180" s="24"/>
      <c r="D180" s="39"/>
      <c r="E180" s="40" t="str">
        <f aca="false">IF(C180="","",IFERROR(INDEX(Ingredients!$F$6:$F$205,MATCH(C180,Ingredients!$B$6:$B$205,0)),""))</f>
        <v/>
      </c>
      <c r="F180" s="29" t="str">
        <f aca="false">IF(C180="","",IFERROR(INDEX(Ingredients!$I$6:$I$205,MATCH(C180,Ingredients!$B$6:$B$205,0)),""))</f>
        <v/>
      </c>
      <c r="G180" s="41" t="str">
        <f aca="false">IF(OR(C180="",D180="",F180=""),"",D180*F180)</f>
        <v/>
      </c>
    </row>
    <row r="181" customFormat="false" ht="18.75" hidden="false" customHeight="true" outlineLevel="0" collapsed="false">
      <c r="B181" s="38" t="n">
        <v>9</v>
      </c>
      <c r="C181" s="24"/>
      <c r="D181" s="39"/>
      <c r="E181" s="40" t="str">
        <f aca="false">IF(C181="","",IFERROR(INDEX(Ingredients!$F$6:$F$205,MATCH(C181,Ingredients!$B$6:$B$205,0)),""))</f>
        <v/>
      </c>
      <c r="F181" s="29" t="str">
        <f aca="false">IF(C181="","",IFERROR(INDEX(Ingredients!$I$6:$I$205,MATCH(C181,Ingredients!$B$6:$B$205,0)),""))</f>
        <v/>
      </c>
      <c r="G181" s="41" t="str">
        <f aca="false">IF(OR(C181="",D181="",F181=""),"",D181*F181)</f>
        <v/>
      </c>
    </row>
    <row r="182" customFormat="false" ht="18.75" hidden="false" customHeight="true" outlineLevel="0" collapsed="false">
      <c r="B182" s="38" t="n">
        <v>10</v>
      </c>
      <c r="C182" s="24"/>
      <c r="D182" s="39"/>
      <c r="E182" s="40" t="str">
        <f aca="false">IF(C182="","",IFERROR(INDEX(Ingredients!$F$6:$F$205,MATCH(C182,Ingredients!$B$6:$B$205,0)),""))</f>
        <v/>
      </c>
      <c r="F182" s="29" t="str">
        <f aca="false">IF(C182="","",IFERROR(INDEX(Ingredients!$I$6:$I$205,MATCH(C182,Ingredients!$B$6:$B$205,0)),""))</f>
        <v/>
      </c>
      <c r="G182" s="41" t="str">
        <f aca="false">IF(OR(C182="",D182="",F182=""),"",D182*F182)</f>
        <v/>
      </c>
    </row>
    <row r="183" customFormat="false" ht="19.5" hidden="false" customHeight="true" outlineLevel="0" collapsed="false">
      <c r="B183" s="42"/>
      <c r="C183" s="43" t="s">
        <v>99</v>
      </c>
      <c r="D183" s="42"/>
      <c r="E183" s="42"/>
      <c r="F183" s="42"/>
      <c r="G183" s="44" t="n">
        <f aca="false">SUM(G173:G182)</f>
        <v>0</v>
      </c>
    </row>
    <row r="184" customFormat="false" ht="19.5" hidden="false" customHeight="true" outlineLevel="0" collapsed="false">
      <c r="C184" s="45" t="str">
        <f aca="false">"Cost per "&amp;IF(G171="","unit",G171)</f>
        <v>Cost per unit</v>
      </c>
      <c r="G184" s="46" t="str">
        <f aca="false">IF(OR(N(G170)=0,G183=0),"",G183/G170)</f>
        <v/>
      </c>
    </row>
  </sheetData>
  <sheetProtection sheet="true"/>
  <mergeCells count="30">
    <mergeCell ref="C8:D8"/>
    <mergeCell ref="E8:F8"/>
    <mergeCell ref="E9:F9"/>
    <mergeCell ref="C26:D26"/>
    <mergeCell ref="E26:F26"/>
    <mergeCell ref="E27:F27"/>
    <mergeCell ref="C44:D44"/>
    <mergeCell ref="E44:F44"/>
    <mergeCell ref="E45:F45"/>
    <mergeCell ref="C62:D62"/>
    <mergeCell ref="E62:F62"/>
    <mergeCell ref="E63:F63"/>
    <mergeCell ref="C80:D80"/>
    <mergeCell ref="E80:F80"/>
    <mergeCell ref="E81:F81"/>
    <mergeCell ref="C98:D98"/>
    <mergeCell ref="E98:F98"/>
    <mergeCell ref="E99:F99"/>
    <mergeCell ref="C116:D116"/>
    <mergeCell ref="E116:F116"/>
    <mergeCell ref="E117:F117"/>
    <mergeCell ref="C134:D134"/>
    <mergeCell ref="E134:F134"/>
    <mergeCell ref="E135:F135"/>
    <mergeCell ref="C152:D152"/>
    <mergeCell ref="E152:F152"/>
    <mergeCell ref="E153:F153"/>
    <mergeCell ref="C170:D170"/>
    <mergeCell ref="E170:F170"/>
    <mergeCell ref="E171:F171"/>
  </mergeCells>
  <dataValidations count="21">
    <dataValidation allowBlank="true" errorStyle="stop" operator="between" showDropDown="false" showErrorMessage="false" showInputMessage="false" sqref="G9" type="list">
      <formula1>"g,ml,pc"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1:C20" type="list">
      <formula1>Lists!$B$2:$B$201</formula1>
      <formula2>0</formula2>
    </dataValidation>
    <dataValidation allowBlank="true" error="Quantity must be more than 0." errorStyle="stop" operator="greaterThan" showDropDown="false" showErrorMessage="false" showInputMessage="false" sqref="D11:D20 D29:D38 D47:D56 D65:D74 D83:D92 D101:D110 D119:D128 D137:D146 D155:D164 D173:D182" type="decimal">
      <formula1>0</formula1>
      <formula2>0</formula2>
    </dataValidation>
    <dataValidation allowBlank="true" errorStyle="stop" operator="between" showDropDown="false" showErrorMessage="false" showInputMessage="false" sqref="G27" type="list">
      <formula1>"g,ml,pc"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29:C38" type="list">
      <formula1>Lists!$B$2:$B$201</formula1>
      <formula2>0</formula2>
    </dataValidation>
    <dataValidation allowBlank="true" errorStyle="stop" operator="between" showDropDown="false" showErrorMessage="false" showInputMessage="false" sqref="G45" type="list">
      <formula1>"g,ml,pc"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47:C56" type="list">
      <formula1>Lists!$B$2:$B$201</formula1>
      <formula2>0</formula2>
    </dataValidation>
    <dataValidation allowBlank="true" errorStyle="stop" operator="between" showDropDown="false" showErrorMessage="false" showInputMessage="false" sqref="G63" type="list">
      <formula1>"g,ml,pc"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65:C74" type="list">
      <formula1>Lists!$B$2:$B$201</formula1>
      <formula2>0</formula2>
    </dataValidation>
    <dataValidation allowBlank="true" errorStyle="stop" operator="between" showDropDown="false" showErrorMessage="false" showInputMessage="false" sqref="G81" type="list">
      <formula1>"g,ml,pc"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83:C92" type="list">
      <formula1>Lists!$B$2:$B$201</formula1>
      <formula2>0</formula2>
    </dataValidation>
    <dataValidation allowBlank="true" errorStyle="stop" operator="between" showDropDown="false" showErrorMessage="false" showInputMessage="false" sqref="G99" type="list">
      <formula1>"g,ml,pc"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01:C110" type="list">
      <formula1>Lists!$B$2:$B$201</formula1>
      <formula2>0</formula2>
    </dataValidation>
    <dataValidation allowBlank="true" errorStyle="stop" operator="between" showDropDown="false" showErrorMessage="false" showInputMessage="false" sqref="G117" type="list">
      <formula1>"g,ml,pc"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19:C128" type="list">
      <formula1>Lists!$B$2:$B$201</formula1>
      <formula2>0</formula2>
    </dataValidation>
    <dataValidation allowBlank="true" errorStyle="stop" operator="between" showDropDown="false" showErrorMessage="false" showInputMessage="false" sqref="G135" type="list">
      <formula1>"g,ml,pc"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37:C146" type="list">
      <formula1>Lists!$B$2:$B$201</formula1>
      <formula2>0</formula2>
    </dataValidation>
    <dataValidation allowBlank="true" errorStyle="stop" operator="between" showDropDown="false" showErrorMessage="false" showInputMessage="false" sqref="G153" type="list">
      <formula1>"g,ml,pc"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55:C164" type="list">
      <formula1>Lists!$B$2:$B$201</formula1>
      <formula2>0</formula2>
    </dataValidation>
    <dataValidation allowBlank="true" errorStyle="stop" operator="between" showDropDown="false" showErrorMessage="false" showInputMessage="false" sqref="G171" type="list">
      <formula1>"g,ml,pc"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73:C182" type="list">
      <formula1>Lists!$B$2:$B$201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  <rowBreaks count="4" manualBreakCount="4">
    <brk id="42" man="true" max="16383" min="0"/>
    <brk id="78" man="true" max="16383" min="0"/>
    <brk id="114" man="true" max="16383" min="0"/>
    <brk id="150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"/>
    <col collapsed="false" customWidth="true" hidden="false" outlineLevel="0" max="3" min="3" style="0" width="28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9" min="9" style="0" width="14"/>
    <col collapsed="false" customWidth="true" hidden="false" outlineLevel="0" max="10" min="10" style="0" width="13"/>
  </cols>
  <sheetData>
    <row r="2" customFormat="false" ht="21.75" hidden="false" customHeight="true" outlineLevel="0" collapsed="false">
      <c r="B2" s="1" t="s">
        <v>110</v>
      </c>
      <c r="C2" s="2"/>
      <c r="D2" s="2"/>
      <c r="E2" s="2"/>
      <c r="F2" s="2"/>
      <c r="G2" s="2"/>
      <c r="H2" s="2"/>
      <c r="I2" s="2"/>
      <c r="J2" s="2"/>
    </row>
    <row r="3" customFormat="false" ht="25.5" hidden="false" customHeight="true" outlineLevel="0" collapsed="false">
      <c r="B3" s="20" t="s">
        <v>111</v>
      </c>
    </row>
    <row r="4" customFormat="false" ht="15" hidden="false" customHeight="false" outlineLevel="0" collapsed="false">
      <c r="B4" s="21" t="str">
        <f aca="false">"All recipes on one page. Target food cost: "&amp;TEXT(TARGET_FC,"0%")&amp;". Nothing to type here."</f>
        <v>All recipes on one page. Target food cost: 28%. Nothing to type here.</v>
      </c>
    </row>
    <row r="6" customFormat="false" ht="30" hidden="false" customHeight="true" outlineLevel="0" collapsed="false">
      <c r="B6" s="22" t="s">
        <v>112</v>
      </c>
      <c r="C6" s="22" t="s">
        <v>113</v>
      </c>
      <c r="D6" s="22" t="s">
        <v>55</v>
      </c>
      <c r="E6" s="23" t="s">
        <v>34</v>
      </c>
      <c r="F6" s="23" t="str">
        <f aca="false">"Cost / Portion ("&amp;CURRENCY&amp;")"</f>
        <v>Cost / Portion ($)</v>
      </c>
      <c r="G6" s="23" t="str">
        <f aca="false">"Menu Price ("&amp;CURRENCY&amp;")"</f>
        <v>Menu Price ($)</v>
      </c>
      <c r="H6" s="23" t="s">
        <v>114</v>
      </c>
      <c r="I6" s="23" t="s">
        <v>115</v>
      </c>
      <c r="J6" s="23" t="str">
        <f aca="false">"Suggested ("&amp;CURRENCY&amp;")"</f>
        <v>Suggested ($)</v>
      </c>
    </row>
    <row r="7" customFormat="false" ht="18" hidden="false" customHeight="true" outlineLevel="0" collapsed="false">
      <c r="B7" s="47" t="s">
        <v>116</v>
      </c>
      <c r="C7" s="48" t="str">
        <f aca="false">IF('Recipe 01'!D7="","",'Recipe 01'!D7)</f>
        <v>Margherita Pizza</v>
      </c>
      <c r="D7" s="48" t="str">
        <f aca="false">IF(C7="","",IF('Recipe 01'!D8="","",'Recipe 01'!D8))</f>
        <v>Pizza</v>
      </c>
      <c r="E7" s="49" t="n">
        <f aca="false">IF(C7="","",'Recipe 01'!D9)</f>
        <v>1</v>
      </c>
      <c r="F7" s="50" t="n">
        <f aca="false">IF(C7="","",'Recipe 01'!B14)</f>
        <v>3.14988823529412</v>
      </c>
      <c r="G7" s="50" t="n">
        <f aca="false">IF(C7="","",IF('Recipe 01'!D10="","",'Recipe 01'!D10))</f>
        <v>14</v>
      </c>
      <c r="H7" s="51" t="n">
        <f aca="false">IF(C7="","",'Recipe 01'!D14)</f>
        <v>0.236241617647059</v>
      </c>
      <c r="I7" s="52" t="str">
        <f aca="false">IF(H7="","",IF(H7&gt;TARGET_FC,"Above target","On target"))</f>
        <v>On target</v>
      </c>
      <c r="J7" s="50" t="n">
        <f aca="false">IF(C7="","",'Recipe 01'!F14)</f>
        <v>11.8120808823529</v>
      </c>
    </row>
    <row r="8" customFormat="false" ht="18" hidden="false" customHeight="true" outlineLevel="0" collapsed="false">
      <c r="B8" s="47" t="s">
        <v>117</v>
      </c>
      <c r="C8" s="48" t="str">
        <f aca="false">IF('Recipe 02'!D7="","",'Recipe 02'!D7)</f>
        <v/>
      </c>
      <c r="D8" s="48" t="str">
        <f aca="false">IF(C8="","",IF('Recipe 02'!D8="","",'Recipe 02'!D8))</f>
        <v/>
      </c>
      <c r="E8" s="49" t="str">
        <f aca="false">IF(C8="","",'Recipe 02'!D9)</f>
        <v/>
      </c>
      <c r="F8" s="50" t="str">
        <f aca="false">IF(C8="","",'Recipe 02'!B14)</f>
        <v/>
      </c>
      <c r="G8" s="50" t="str">
        <f aca="false">IF(C8="","",IF('Recipe 02'!D10="","",'Recipe 02'!D10))</f>
        <v/>
      </c>
      <c r="H8" s="51" t="str">
        <f aca="false">IF(C8="","",'Recipe 02'!D14)</f>
        <v/>
      </c>
      <c r="I8" s="52" t="str">
        <f aca="false">IF(H8="","",IF(H8&gt;TARGET_FC,"Above target","On target"))</f>
        <v/>
      </c>
      <c r="J8" s="50" t="str">
        <f aca="false">IF(C8="","",'Recipe 02'!F14)</f>
        <v/>
      </c>
    </row>
    <row r="9" customFormat="false" ht="18" hidden="false" customHeight="true" outlineLevel="0" collapsed="false">
      <c r="B9" s="47" t="s">
        <v>118</v>
      </c>
      <c r="C9" s="48" t="str">
        <f aca="false">IF('Recipe 03'!D7="","",'Recipe 03'!D7)</f>
        <v/>
      </c>
      <c r="D9" s="48" t="str">
        <f aca="false">IF(C9="","",IF('Recipe 03'!D8="","",'Recipe 03'!D8))</f>
        <v/>
      </c>
      <c r="E9" s="49" t="str">
        <f aca="false">IF(C9="","",'Recipe 03'!D9)</f>
        <v/>
      </c>
      <c r="F9" s="50" t="str">
        <f aca="false">IF(C9="","",'Recipe 03'!B14)</f>
        <v/>
      </c>
      <c r="G9" s="50" t="str">
        <f aca="false">IF(C9="","",IF('Recipe 03'!D10="","",'Recipe 03'!D10))</f>
        <v/>
      </c>
      <c r="H9" s="51" t="str">
        <f aca="false">IF(C9="","",'Recipe 03'!D14)</f>
        <v/>
      </c>
      <c r="I9" s="52" t="str">
        <f aca="false">IF(H9="","",IF(H9&gt;TARGET_FC,"Above target","On target"))</f>
        <v/>
      </c>
      <c r="J9" s="50" t="str">
        <f aca="false">IF(C9="","",'Recipe 03'!F14)</f>
        <v/>
      </c>
    </row>
    <row r="10" customFormat="false" ht="18" hidden="false" customHeight="true" outlineLevel="0" collapsed="false">
      <c r="B10" s="47" t="s">
        <v>119</v>
      </c>
      <c r="C10" s="48" t="str">
        <f aca="false">IF('Recipe 04'!D7="","",'Recipe 04'!D7)</f>
        <v/>
      </c>
      <c r="D10" s="48" t="str">
        <f aca="false">IF(C10="","",IF('Recipe 04'!D8="","",'Recipe 04'!D8))</f>
        <v/>
      </c>
      <c r="E10" s="49" t="str">
        <f aca="false">IF(C10="","",'Recipe 04'!D9)</f>
        <v/>
      </c>
      <c r="F10" s="50" t="str">
        <f aca="false">IF(C10="","",'Recipe 04'!B14)</f>
        <v/>
      </c>
      <c r="G10" s="50" t="str">
        <f aca="false">IF(C10="","",IF('Recipe 04'!D10="","",'Recipe 04'!D10))</f>
        <v/>
      </c>
      <c r="H10" s="51" t="str">
        <f aca="false">IF(C10="","",'Recipe 04'!D14)</f>
        <v/>
      </c>
      <c r="I10" s="52" t="str">
        <f aca="false">IF(H10="","",IF(H10&gt;TARGET_FC,"Above target","On target"))</f>
        <v/>
      </c>
      <c r="J10" s="50" t="str">
        <f aca="false">IF(C10="","",'Recipe 04'!F14)</f>
        <v/>
      </c>
    </row>
    <row r="11" customFormat="false" ht="18" hidden="false" customHeight="true" outlineLevel="0" collapsed="false">
      <c r="B11" s="47" t="s">
        <v>120</v>
      </c>
      <c r="C11" s="48" t="str">
        <f aca="false">IF('Recipe 05'!D7="","",'Recipe 05'!D7)</f>
        <v/>
      </c>
      <c r="D11" s="48" t="str">
        <f aca="false">IF(C11="","",IF('Recipe 05'!D8="","",'Recipe 05'!D8))</f>
        <v/>
      </c>
      <c r="E11" s="49" t="str">
        <f aca="false">IF(C11="","",'Recipe 05'!D9)</f>
        <v/>
      </c>
      <c r="F11" s="50" t="str">
        <f aca="false">IF(C11="","",'Recipe 05'!B14)</f>
        <v/>
      </c>
      <c r="G11" s="50" t="str">
        <f aca="false">IF(C11="","",IF('Recipe 05'!D10="","",'Recipe 05'!D10))</f>
        <v/>
      </c>
      <c r="H11" s="51" t="str">
        <f aca="false">IF(C11="","",'Recipe 05'!D14)</f>
        <v/>
      </c>
      <c r="I11" s="52" t="str">
        <f aca="false">IF(H11="","",IF(H11&gt;TARGET_FC,"Above target","On target"))</f>
        <v/>
      </c>
      <c r="J11" s="50" t="str">
        <f aca="false">IF(C11="","",'Recipe 05'!F14)</f>
        <v/>
      </c>
    </row>
    <row r="12" customFormat="false" ht="18" hidden="false" customHeight="true" outlineLevel="0" collapsed="false">
      <c r="B12" s="47" t="s">
        <v>121</v>
      </c>
      <c r="C12" s="48" t="str">
        <f aca="false">IF('Recipe 06'!D7="","",'Recipe 06'!D7)</f>
        <v/>
      </c>
      <c r="D12" s="48" t="str">
        <f aca="false">IF(C12="","",IF('Recipe 06'!D8="","",'Recipe 06'!D8))</f>
        <v/>
      </c>
      <c r="E12" s="49" t="str">
        <f aca="false">IF(C12="","",'Recipe 06'!D9)</f>
        <v/>
      </c>
      <c r="F12" s="50" t="str">
        <f aca="false">IF(C12="","",'Recipe 06'!B14)</f>
        <v/>
      </c>
      <c r="G12" s="50" t="str">
        <f aca="false">IF(C12="","",IF('Recipe 06'!D10="","",'Recipe 06'!D10))</f>
        <v/>
      </c>
      <c r="H12" s="51" t="str">
        <f aca="false">IF(C12="","",'Recipe 06'!D14)</f>
        <v/>
      </c>
      <c r="I12" s="52" t="str">
        <f aca="false">IF(H12="","",IF(H12&gt;TARGET_FC,"Above target","On target"))</f>
        <v/>
      </c>
      <c r="J12" s="50" t="str">
        <f aca="false">IF(C12="","",'Recipe 06'!F14)</f>
        <v/>
      </c>
    </row>
    <row r="13" customFormat="false" ht="18" hidden="false" customHeight="true" outlineLevel="0" collapsed="false">
      <c r="B13" s="47" t="s">
        <v>122</v>
      </c>
      <c r="C13" s="48" t="str">
        <f aca="false">IF('Recipe 07'!D7="","",'Recipe 07'!D7)</f>
        <v/>
      </c>
      <c r="D13" s="48" t="str">
        <f aca="false">IF(C13="","",IF('Recipe 07'!D8="","",'Recipe 07'!D8))</f>
        <v/>
      </c>
      <c r="E13" s="49" t="str">
        <f aca="false">IF(C13="","",'Recipe 07'!D9)</f>
        <v/>
      </c>
      <c r="F13" s="50" t="str">
        <f aca="false">IF(C13="","",'Recipe 07'!B14)</f>
        <v/>
      </c>
      <c r="G13" s="50" t="str">
        <f aca="false">IF(C13="","",IF('Recipe 07'!D10="","",'Recipe 07'!D10))</f>
        <v/>
      </c>
      <c r="H13" s="51" t="str">
        <f aca="false">IF(C13="","",'Recipe 07'!D14)</f>
        <v/>
      </c>
      <c r="I13" s="52" t="str">
        <f aca="false">IF(H13="","",IF(H13&gt;TARGET_FC,"Above target","On target"))</f>
        <v/>
      </c>
      <c r="J13" s="50" t="str">
        <f aca="false">IF(C13="","",'Recipe 07'!F14)</f>
        <v/>
      </c>
    </row>
    <row r="14" customFormat="false" ht="18" hidden="false" customHeight="true" outlineLevel="0" collapsed="false">
      <c r="B14" s="47" t="s">
        <v>123</v>
      </c>
      <c r="C14" s="48" t="str">
        <f aca="false">IF('Recipe 08'!D7="","",'Recipe 08'!D7)</f>
        <v/>
      </c>
      <c r="D14" s="48" t="str">
        <f aca="false">IF(C14="","",IF('Recipe 08'!D8="","",'Recipe 08'!D8))</f>
        <v/>
      </c>
      <c r="E14" s="49" t="str">
        <f aca="false">IF(C14="","",'Recipe 08'!D9)</f>
        <v/>
      </c>
      <c r="F14" s="50" t="str">
        <f aca="false">IF(C14="","",'Recipe 08'!B14)</f>
        <v/>
      </c>
      <c r="G14" s="50" t="str">
        <f aca="false">IF(C14="","",IF('Recipe 08'!D10="","",'Recipe 08'!D10))</f>
        <v/>
      </c>
      <c r="H14" s="51" t="str">
        <f aca="false">IF(C14="","",'Recipe 08'!D14)</f>
        <v/>
      </c>
      <c r="I14" s="52" t="str">
        <f aca="false">IF(H14="","",IF(H14&gt;TARGET_FC,"Above target","On target"))</f>
        <v/>
      </c>
      <c r="J14" s="50" t="str">
        <f aca="false">IF(C14="","",'Recipe 08'!F14)</f>
        <v/>
      </c>
    </row>
    <row r="15" customFormat="false" ht="18" hidden="false" customHeight="true" outlineLevel="0" collapsed="false">
      <c r="B15" s="47" t="s">
        <v>124</v>
      </c>
      <c r="C15" s="48" t="str">
        <f aca="false">IF('Recipe 09'!D7="","",'Recipe 09'!D7)</f>
        <v/>
      </c>
      <c r="D15" s="48" t="str">
        <f aca="false">IF(C15="","",IF('Recipe 09'!D8="","",'Recipe 09'!D8))</f>
        <v/>
      </c>
      <c r="E15" s="49" t="str">
        <f aca="false">IF(C15="","",'Recipe 09'!D9)</f>
        <v/>
      </c>
      <c r="F15" s="50" t="str">
        <f aca="false">IF(C15="","",'Recipe 09'!B14)</f>
        <v/>
      </c>
      <c r="G15" s="50" t="str">
        <f aca="false">IF(C15="","",IF('Recipe 09'!D10="","",'Recipe 09'!D10))</f>
        <v/>
      </c>
      <c r="H15" s="51" t="str">
        <f aca="false">IF(C15="","",'Recipe 09'!D14)</f>
        <v/>
      </c>
      <c r="I15" s="52" t="str">
        <f aca="false">IF(H15="","",IF(H15&gt;TARGET_FC,"Above target","On target"))</f>
        <v/>
      </c>
      <c r="J15" s="50" t="str">
        <f aca="false">IF(C15="","",'Recipe 09'!F14)</f>
        <v/>
      </c>
    </row>
    <row r="16" customFormat="false" ht="18" hidden="false" customHeight="true" outlineLevel="0" collapsed="false">
      <c r="B16" s="47" t="s">
        <v>125</v>
      </c>
      <c r="C16" s="48" t="str">
        <f aca="false">IF('Recipe 10'!D7="","",'Recipe 10'!D7)</f>
        <v/>
      </c>
      <c r="D16" s="48" t="str">
        <f aca="false">IF(C16="","",IF('Recipe 10'!D8="","",'Recipe 10'!D8))</f>
        <v/>
      </c>
      <c r="E16" s="49" t="str">
        <f aca="false">IF(C16="","",'Recipe 10'!D9)</f>
        <v/>
      </c>
      <c r="F16" s="50" t="str">
        <f aca="false">IF(C16="","",'Recipe 10'!B14)</f>
        <v/>
      </c>
      <c r="G16" s="50" t="str">
        <f aca="false">IF(C16="","",IF('Recipe 10'!D10="","",'Recipe 10'!D10))</f>
        <v/>
      </c>
      <c r="H16" s="51" t="str">
        <f aca="false">IF(C16="","",'Recipe 10'!D14)</f>
        <v/>
      </c>
      <c r="I16" s="52" t="str">
        <f aca="false">IF(H16="","",IF(H16&gt;TARGET_FC,"Above target","On target"))</f>
        <v/>
      </c>
      <c r="J16" s="50" t="str">
        <f aca="false">IF(C16="","",'Recipe 10'!F14)</f>
        <v/>
      </c>
    </row>
    <row r="17" customFormat="false" ht="18" hidden="false" customHeight="true" outlineLevel="0" collapsed="false">
      <c r="B17" s="47" t="s">
        <v>126</v>
      </c>
      <c r="C17" s="48" t="str">
        <f aca="false">IF('Recipe 11'!D7="","",'Recipe 11'!D7)</f>
        <v/>
      </c>
      <c r="D17" s="48" t="str">
        <f aca="false">IF(C17="","",IF('Recipe 11'!D8="","",'Recipe 11'!D8))</f>
        <v/>
      </c>
      <c r="E17" s="49" t="str">
        <f aca="false">IF(C17="","",'Recipe 11'!D9)</f>
        <v/>
      </c>
      <c r="F17" s="50" t="str">
        <f aca="false">IF(C17="","",'Recipe 11'!B14)</f>
        <v/>
      </c>
      <c r="G17" s="50" t="str">
        <f aca="false">IF(C17="","",IF('Recipe 11'!D10="","",'Recipe 11'!D10))</f>
        <v/>
      </c>
      <c r="H17" s="51" t="str">
        <f aca="false">IF(C17="","",'Recipe 11'!D14)</f>
        <v/>
      </c>
      <c r="I17" s="52" t="str">
        <f aca="false">IF(H17="","",IF(H17&gt;TARGET_FC,"Above target","On target"))</f>
        <v/>
      </c>
      <c r="J17" s="50" t="str">
        <f aca="false">IF(C17="","",'Recipe 11'!F14)</f>
        <v/>
      </c>
    </row>
    <row r="18" customFormat="false" ht="18" hidden="false" customHeight="true" outlineLevel="0" collapsed="false">
      <c r="B18" s="47" t="s">
        <v>127</v>
      </c>
      <c r="C18" s="48" t="str">
        <f aca="false">IF('Recipe 12'!D7="","",'Recipe 12'!D7)</f>
        <v/>
      </c>
      <c r="D18" s="48" t="str">
        <f aca="false">IF(C18="","",IF('Recipe 12'!D8="","",'Recipe 12'!D8))</f>
        <v/>
      </c>
      <c r="E18" s="49" t="str">
        <f aca="false">IF(C18="","",'Recipe 12'!D9)</f>
        <v/>
      </c>
      <c r="F18" s="50" t="str">
        <f aca="false">IF(C18="","",'Recipe 12'!B14)</f>
        <v/>
      </c>
      <c r="G18" s="50" t="str">
        <f aca="false">IF(C18="","",IF('Recipe 12'!D10="","",'Recipe 12'!D10))</f>
        <v/>
      </c>
      <c r="H18" s="51" t="str">
        <f aca="false">IF(C18="","",'Recipe 12'!D14)</f>
        <v/>
      </c>
      <c r="I18" s="52" t="str">
        <f aca="false">IF(H18="","",IF(H18&gt;TARGET_FC,"Above target","On target"))</f>
        <v/>
      </c>
      <c r="J18" s="50" t="str">
        <f aca="false">IF(C18="","",'Recipe 12'!F14)</f>
        <v/>
      </c>
    </row>
    <row r="19" customFormat="false" ht="18" hidden="false" customHeight="true" outlineLevel="0" collapsed="false">
      <c r="B19" s="47" t="s">
        <v>128</v>
      </c>
      <c r="C19" s="48" t="str">
        <f aca="false">IF('Recipe 13'!D7="","",'Recipe 13'!D7)</f>
        <v/>
      </c>
      <c r="D19" s="48" t="str">
        <f aca="false">IF(C19="","",IF('Recipe 13'!D8="","",'Recipe 13'!D8))</f>
        <v/>
      </c>
      <c r="E19" s="49" t="str">
        <f aca="false">IF(C19="","",'Recipe 13'!D9)</f>
        <v/>
      </c>
      <c r="F19" s="50" t="str">
        <f aca="false">IF(C19="","",'Recipe 13'!B14)</f>
        <v/>
      </c>
      <c r="G19" s="50" t="str">
        <f aca="false">IF(C19="","",IF('Recipe 13'!D10="","",'Recipe 13'!D10))</f>
        <v/>
      </c>
      <c r="H19" s="51" t="str">
        <f aca="false">IF(C19="","",'Recipe 13'!D14)</f>
        <v/>
      </c>
      <c r="I19" s="52" t="str">
        <f aca="false">IF(H19="","",IF(H19&gt;TARGET_FC,"Above target","On target"))</f>
        <v/>
      </c>
      <c r="J19" s="50" t="str">
        <f aca="false">IF(C19="","",'Recipe 13'!F14)</f>
        <v/>
      </c>
    </row>
    <row r="20" customFormat="false" ht="18" hidden="false" customHeight="true" outlineLevel="0" collapsed="false">
      <c r="B20" s="47" t="s">
        <v>129</v>
      </c>
      <c r="C20" s="48" t="str">
        <f aca="false">IF('Recipe 14'!D7="","",'Recipe 14'!D7)</f>
        <v/>
      </c>
      <c r="D20" s="48" t="str">
        <f aca="false">IF(C20="","",IF('Recipe 14'!D8="","",'Recipe 14'!D8))</f>
        <v/>
      </c>
      <c r="E20" s="49" t="str">
        <f aca="false">IF(C20="","",'Recipe 14'!D9)</f>
        <v/>
      </c>
      <c r="F20" s="50" t="str">
        <f aca="false">IF(C20="","",'Recipe 14'!B14)</f>
        <v/>
      </c>
      <c r="G20" s="50" t="str">
        <f aca="false">IF(C20="","",IF('Recipe 14'!D10="","",'Recipe 14'!D10))</f>
        <v/>
      </c>
      <c r="H20" s="51" t="str">
        <f aca="false">IF(C20="","",'Recipe 14'!D14)</f>
        <v/>
      </c>
      <c r="I20" s="52" t="str">
        <f aca="false">IF(H20="","",IF(H20&gt;TARGET_FC,"Above target","On target"))</f>
        <v/>
      </c>
      <c r="J20" s="50" t="str">
        <f aca="false">IF(C20="","",'Recipe 14'!F14)</f>
        <v/>
      </c>
    </row>
    <row r="21" customFormat="false" ht="18" hidden="false" customHeight="true" outlineLevel="0" collapsed="false">
      <c r="B21" s="47" t="s">
        <v>130</v>
      </c>
      <c r="C21" s="48" t="str">
        <f aca="false">IF('Recipe 15'!D7="","",'Recipe 15'!D7)</f>
        <v/>
      </c>
      <c r="D21" s="48" t="str">
        <f aca="false">IF(C21="","",IF('Recipe 15'!D8="","",'Recipe 15'!D8))</f>
        <v/>
      </c>
      <c r="E21" s="49" t="str">
        <f aca="false">IF(C21="","",'Recipe 15'!D9)</f>
        <v/>
      </c>
      <c r="F21" s="50" t="str">
        <f aca="false">IF(C21="","",'Recipe 15'!B14)</f>
        <v/>
      </c>
      <c r="G21" s="50" t="str">
        <f aca="false">IF(C21="","",IF('Recipe 15'!D10="","",'Recipe 15'!D10))</f>
        <v/>
      </c>
      <c r="H21" s="51" t="str">
        <f aca="false">IF(C21="","",'Recipe 15'!D14)</f>
        <v/>
      </c>
      <c r="I21" s="52" t="str">
        <f aca="false">IF(H21="","",IF(H21&gt;TARGET_FC,"Above target","On target"))</f>
        <v/>
      </c>
      <c r="J21" s="50" t="str">
        <f aca="false">IF(C21="","",'Recipe 15'!F14)</f>
        <v/>
      </c>
    </row>
    <row r="22" customFormat="false" ht="18" hidden="false" customHeight="true" outlineLevel="0" collapsed="false">
      <c r="B22" s="47" t="s">
        <v>131</v>
      </c>
      <c r="C22" s="48" t="str">
        <f aca="false">IF('Recipe 16'!D7="","",'Recipe 16'!D7)</f>
        <v/>
      </c>
      <c r="D22" s="48" t="str">
        <f aca="false">IF(C22="","",IF('Recipe 16'!D8="","",'Recipe 16'!D8))</f>
        <v/>
      </c>
      <c r="E22" s="49" t="str">
        <f aca="false">IF(C22="","",'Recipe 16'!D9)</f>
        <v/>
      </c>
      <c r="F22" s="50" t="str">
        <f aca="false">IF(C22="","",'Recipe 16'!B14)</f>
        <v/>
      </c>
      <c r="G22" s="50" t="str">
        <f aca="false">IF(C22="","",IF('Recipe 16'!D10="","",'Recipe 16'!D10))</f>
        <v/>
      </c>
      <c r="H22" s="51" t="str">
        <f aca="false">IF(C22="","",'Recipe 16'!D14)</f>
        <v/>
      </c>
      <c r="I22" s="52" t="str">
        <f aca="false">IF(H22="","",IF(H22&gt;TARGET_FC,"Above target","On target"))</f>
        <v/>
      </c>
      <c r="J22" s="50" t="str">
        <f aca="false">IF(C22="","",'Recipe 16'!F14)</f>
        <v/>
      </c>
    </row>
    <row r="23" customFormat="false" ht="18" hidden="false" customHeight="true" outlineLevel="0" collapsed="false">
      <c r="B23" s="47" t="s">
        <v>132</v>
      </c>
      <c r="C23" s="48" t="str">
        <f aca="false">IF('Recipe 17'!D7="","",'Recipe 17'!D7)</f>
        <v/>
      </c>
      <c r="D23" s="48" t="str">
        <f aca="false">IF(C23="","",IF('Recipe 17'!D8="","",'Recipe 17'!D8))</f>
        <v/>
      </c>
      <c r="E23" s="49" t="str">
        <f aca="false">IF(C23="","",'Recipe 17'!D9)</f>
        <v/>
      </c>
      <c r="F23" s="50" t="str">
        <f aca="false">IF(C23="","",'Recipe 17'!B14)</f>
        <v/>
      </c>
      <c r="G23" s="50" t="str">
        <f aca="false">IF(C23="","",IF('Recipe 17'!D10="","",'Recipe 17'!D10))</f>
        <v/>
      </c>
      <c r="H23" s="51" t="str">
        <f aca="false">IF(C23="","",'Recipe 17'!D14)</f>
        <v/>
      </c>
      <c r="I23" s="52" t="str">
        <f aca="false">IF(H23="","",IF(H23&gt;TARGET_FC,"Above target","On target"))</f>
        <v/>
      </c>
      <c r="J23" s="50" t="str">
        <f aca="false">IF(C23="","",'Recipe 17'!F14)</f>
        <v/>
      </c>
    </row>
    <row r="24" customFormat="false" ht="18" hidden="false" customHeight="true" outlineLevel="0" collapsed="false">
      <c r="B24" s="47" t="s">
        <v>133</v>
      </c>
      <c r="C24" s="48" t="str">
        <f aca="false">IF('Recipe 18'!D7="","",'Recipe 18'!D7)</f>
        <v/>
      </c>
      <c r="D24" s="48" t="str">
        <f aca="false">IF(C24="","",IF('Recipe 18'!D8="","",'Recipe 18'!D8))</f>
        <v/>
      </c>
      <c r="E24" s="49" t="str">
        <f aca="false">IF(C24="","",'Recipe 18'!D9)</f>
        <v/>
      </c>
      <c r="F24" s="50" t="str">
        <f aca="false">IF(C24="","",'Recipe 18'!B14)</f>
        <v/>
      </c>
      <c r="G24" s="50" t="str">
        <f aca="false">IF(C24="","",IF('Recipe 18'!D10="","",'Recipe 18'!D10))</f>
        <v/>
      </c>
      <c r="H24" s="51" t="str">
        <f aca="false">IF(C24="","",'Recipe 18'!D14)</f>
        <v/>
      </c>
      <c r="I24" s="52" t="str">
        <f aca="false">IF(H24="","",IF(H24&gt;TARGET_FC,"Above target","On target"))</f>
        <v/>
      </c>
      <c r="J24" s="50" t="str">
        <f aca="false">IF(C24="","",'Recipe 18'!F14)</f>
        <v/>
      </c>
    </row>
    <row r="25" customFormat="false" ht="18" hidden="false" customHeight="true" outlineLevel="0" collapsed="false">
      <c r="B25" s="47" t="s">
        <v>134</v>
      </c>
      <c r="C25" s="48" t="str">
        <f aca="false">IF('Recipe 19'!D7="","",'Recipe 19'!D7)</f>
        <v/>
      </c>
      <c r="D25" s="48" t="str">
        <f aca="false">IF(C25="","",IF('Recipe 19'!D8="","",'Recipe 19'!D8))</f>
        <v/>
      </c>
      <c r="E25" s="49" t="str">
        <f aca="false">IF(C25="","",'Recipe 19'!D9)</f>
        <v/>
      </c>
      <c r="F25" s="50" t="str">
        <f aca="false">IF(C25="","",'Recipe 19'!B14)</f>
        <v/>
      </c>
      <c r="G25" s="50" t="str">
        <f aca="false">IF(C25="","",IF('Recipe 19'!D10="","",'Recipe 19'!D10))</f>
        <v/>
      </c>
      <c r="H25" s="51" t="str">
        <f aca="false">IF(C25="","",'Recipe 19'!D14)</f>
        <v/>
      </c>
      <c r="I25" s="52" t="str">
        <f aca="false">IF(H25="","",IF(H25&gt;TARGET_FC,"Above target","On target"))</f>
        <v/>
      </c>
      <c r="J25" s="50" t="str">
        <f aca="false">IF(C25="","",'Recipe 19'!F14)</f>
        <v/>
      </c>
    </row>
    <row r="26" customFormat="false" ht="18" hidden="false" customHeight="true" outlineLevel="0" collapsed="false">
      <c r="B26" s="47" t="s">
        <v>135</v>
      </c>
      <c r="C26" s="48" t="str">
        <f aca="false">IF('Recipe 20'!D7="","",'Recipe 20'!D7)</f>
        <v/>
      </c>
      <c r="D26" s="48" t="str">
        <f aca="false">IF(C26="","",IF('Recipe 20'!D8="","",'Recipe 20'!D8))</f>
        <v/>
      </c>
      <c r="E26" s="49" t="str">
        <f aca="false">IF(C26="","",'Recipe 20'!D9)</f>
        <v/>
      </c>
      <c r="F26" s="50" t="str">
        <f aca="false">IF(C26="","",'Recipe 20'!B14)</f>
        <v/>
      </c>
      <c r="G26" s="50" t="str">
        <f aca="false">IF(C26="","",IF('Recipe 20'!D10="","",'Recipe 20'!D10))</f>
        <v/>
      </c>
      <c r="H26" s="51" t="str">
        <f aca="false">IF(C26="","",'Recipe 20'!D14)</f>
        <v/>
      </c>
      <c r="I26" s="52" t="str">
        <f aca="false">IF(H26="","",IF(H26&gt;TARGET_FC,"Above target","On target"))</f>
        <v/>
      </c>
      <c r="J26" s="50" t="str">
        <f aca="false">IF(C26="","",'Recipe 20'!F14)</f>
        <v/>
      </c>
    </row>
    <row r="27" customFormat="false" ht="18" hidden="false" customHeight="true" outlineLevel="0" collapsed="false">
      <c r="B27" s="47" t="s">
        <v>136</v>
      </c>
      <c r="C27" s="48" t="str">
        <f aca="false">IF('Recipe 21'!D7="","",'Recipe 21'!D7)</f>
        <v/>
      </c>
      <c r="D27" s="48" t="str">
        <f aca="false">IF(C27="","",IF('Recipe 21'!D8="","",'Recipe 21'!D8))</f>
        <v/>
      </c>
      <c r="E27" s="49" t="str">
        <f aca="false">IF(C27="","",'Recipe 21'!D9)</f>
        <v/>
      </c>
      <c r="F27" s="50" t="str">
        <f aca="false">IF(C27="","",'Recipe 21'!B14)</f>
        <v/>
      </c>
      <c r="G27" s="50" t="str">
        <f aca="false">IF(C27="","",IF('Recipe 21'!D10="","",'Recipe 21'!D10))</f>
        <v/>
      </c>
      <c r="H27" s="51" t="str">
        <f aca="false">IF(C27="","",'Recipe 21'!D14)</f>
        <v/>
      </c>
      <c r="I27" s="52" t="str">
        <f aca="false">IF(H27="","",IF(H27&gt;TARGET_FC,"Above target","On target"))</f>
        <v/>
      </c>
      <c r="J27" s="50" t="str">
        <f aca="false">IF(C27="","",'Recipe 21'!F14)</f>
        <v/>
      </c>
    </row>
    <row r="28" customFormat="false" ht="18" hidden="false" customHeight="true" outlineLevel="0" collapsed="false">
      <c r="B28" s="47" t="s">
        <v>137</v>
      </c>
      <c r="C28" s="48" t="str">
        <f aca="false">IF('Recipe 22'!D7="","",'Recipe 22'!D7)</f>
        <v/>
      </c>
      <c r="D28" s="48" t="str">
        <f aca="false">IF(C28="","",IF('Recipe 22'!D8="","",'Recipe 22'!D8))</f>
        <v/>
      </c>
      <c r="E28" s="49" t="str">
        <f aca="false">IF(C28="","",'Recipe 22'!D9)</f>
        <v/>
      </c>
      <c r="F28" s="50" t="str">
        <f aca="false">IF(C28="","",'Recipe 22'!B14)</f>
        <v/>
      </c>
      <c r="G28" s="50" t="str">
        <f aca="false">IF(C28="","",IF('Recipe 22'!D10="","",'Recipe 22'!D10))</f>
        <v/>
      </c>
      <c r="H28" s="51" t="str">
        <f aca="false">IF(C28="","",'Recipe 22'!D14)</f>
        <v/>
      </c>
      <c r="I28" s="52" t="str">
        <f aca="false">IF(H28="","",IF(H28&gt;TARGET_FC,"Above target","On target"))</f>
        <v/>
      </c>
      <c r="J28" s="50" t="str">
        <f aca="false">IF(C28="","",'Recipe 22'!F14)</f>
        <v/>
      </c>
    </row>
    <row r="29" customFormat="false" ht="18" hidden="false" customHeight="true" outlineLevel="0" collapsed="false">
      <c r="B29" s="47" t="s">
        <v>138</v>
      </c>
      <c r="C29" s="48" t="str">
        <f aca="false">IF('Recipe 23'!D7="","",'Recipe 23'!D7)</f>
        <v/>
      </c>
      <c r="D29" s="48" t="str">
        <f aca="false">IF(C29="","",IF('Recipe 23'!D8="","",'Recipe 23'!D8))</f>
        <v/>
      </c>
      <c r="E29" s="49" t="str">
        <f aca="false">IF(C29="","",'Recipe 23'!D9)</f>
        <v/>
      </c>
      <c r="F29" s="50" t="str">
        <f aca="false">IF(C29="","",'Recipe 23'!B14)</f>
        <v/>
      </c>
      <c r="G29" s="50" t="str">
        <f aca="false">IF(C29="","",IF('Recipe 23'!D10="","",'Recipe 23'!D10))</f>
        <v/>
      </c>
      <c r="H29" s="51" t="str">
        <f aca="false">IF(C29="","",'Recipe 23'!D14)</f>
        <v/>
      </c>
      <c r="I29" s="52" t="str">
        <f aca="false">IF(H29="","",IF(H29&gt;TARGET_FC,"Above target","On target"))</f>
        <v/>
      </c>
      <c r="J29" s="50" t="str">
        <f aca="false">IF(C29="","",'Recipe 23'!F14)</f>
        <v/>
      </c>
    </row>
    <row r="30" customFormat="false" ht="18" hidden="false" customHeight="true" outlineLevel="0" collapsed="false">
      <c r="B30" s="47" t="s">
        <v>139</v>
      </c>
      <c r="C30" s="48" t="str">
        <f aca="false">IF('Recipe 24'!D7="","",'Recipe 24'!D7)</f>
        <v/>
      </c>
      <c r="D30" s="48" t="str">
        <f aca="false">IF(C30="","",IF('Recipe 24'!D8="","",'Recipe 24'!D8))</f>
        <v/>
      </c>
      <c r="E30" s="49" t="str">
        <f aca="false">IF(C30="","",'Recipe 24'!D9)</f>
        <v/>
      </c>
      <c r="F30" s="50" t="str">
        <f aca="false">IF(C30="","",'Recipe 24'!B14)</f>
        <v/>
      </c>
      <c r="G30" s="50" t="str">
        <f aca="false">IF(C30="","",IF('Recipe 24'!D10="","",'Recipe 24'!D10))</f>
        <v/>
      </c>
      <c r="H30" s="51" t="str">
        <f aca="false">IF(C30="","",'Recipe 24'!D14)</f>
        <v/>
      </c>
      <c r="I30" s="52" t="str">
        <f aca="false">IF(H30="","",IF(H30&gt;TARGET_FC,"Above target","On target"))</f>
        <v/>
      </c>
      <c r="J30" s="50" t="str">
        <f aca="false">IF(C30="","",'Recipe 24'!F14)</f>
        <v/>
      </c>
    </row>
    <row r="31" customFormat="false" ht="18" hidden="false" customHeight="true" outlineLevel="0" collapsed="false">
      <c r="B31" s="47" t="s">
        <v>140</v>
      </c>
      <c r="C31" s="48" t="str">
        <f aca="false">IF('Recipe 25'!D7="","",'Recipe 25'!D7)</f>
        <v/>
      </c>
      <c r="D31" s="48" t="str">
        <f aca="false">IF(C31="","",IF('Recipe 25'!D8="","",'Recipe 25'!D8))</f>
        <v/>
      </c>
      <c r="E31" s="49" t="str">
        <f aca="false">IF(C31="","",'Recipe 25'!D9)</f>
        <v/>
      </c>
      <c r="F31" s="50" t="str">
        <f aca="false">IF(C31="","",'Recipe 25'!B14)</f>
        <v/>
      </c>
      <c r="G31" s="50" t="str">
        <f aca="false">IF(C31="","",IF('Recipe 25'!D10="","",'Recipe 25'!D10))</f>
        <v/>
      </c>
      <c r="H31" s="51" t="str">
        <f aca="false">IF(C31="","",'Recipe 25'!D14)</f>
        <v/>
      </c>
      <c r="I31" s="52" t="str">
        <f aca="false">IF(H31="","",IF(H31&gt;TARGET_FC,"Above target","On target"))</f>
        <v/>
      </c>
      <c r="J31" s="50" t="str">
        <f aca="false">IF(C31="","",'Recipe 25'!F14)</f>
        <v/>
      </c>
    </row>
    <row r="32" customFormat="false" ht="18" hidden="false" customHeight="true" outlineLevel="0" collapsed="false">
      <c r="B32" s="47" t="s">
        <v>141</v>
      </c>
      <c r="C32" s="48" t="str">
        <f aca="false">IF('Recipe 26'!D7="","",'Recipe 26'!D7)</f>
        <v/>
      </c>
      <c r="D32" s="48" t="str">
        <f aca="false">IF(C32="","",IF('Recipe 26'!D8="","",'Recipe 26'!D8))</f>
        <v/>
      </c>
      <c r="E32" s="49" t="str">
        <f aca="false">IF(C32="","",'Recipe 26'!D9)</f>
        <v/>
      </c>
      <c r="F32" s="50" t="str">
        <f aca="false">IF(C32="","",'Recipe 26'!B14)</f>
        <v/>
      </c>
      <c r="G32" s="50" t="str">
        <f aca="false">IF(C32="","",IF('Recipe 26'!D10="","",'Recipe 26'!D10))</f>
        <v/>
      </c>
      <c r="H32" s="51" t="str">
        <f aca="false">IF(C32="","",'Recipe 26'!D14)</f>
        <v/>
      </c>
      <c r="I32" s="52" t="str">
        <f aca="false">IF(H32="","",IF(H32&gt;TARGET_FC,"Above target","On target"))</f>
        <v/>
      </c>
      <c r="J32" s="50" t="str">
        <f aca="false">IF(C32="","",'Recipe 26'!F14)</f>
        <v/>
      </c>
    </row>
    <row r="33" customFormat="false" ht="18" hidden="false" customHeight="true" outlineLevel="0" collapsed="false">
      <c r="B33" s="47" t="s">
        <v>142</v>
      </c>
      <c r="C33" s="48" t="str">
        <f aca="false">IF('Recipe 27'!D7="","",'Recipe 27'!D7)</f>
        <v/>
      </c>
      <c r="D33" s="48" t="str">
        <f aca="false">IF(C33="","",IF('Recipe 27'!D8="","",'Recipe 27'!D8))</f>
        <v/>
      </c>
      <c r="E33" s="49" t="str">
        <f aca="false">IF(C33="","",'Recipe 27'!D9)</f>
        <v/>
      </c>
      <c r="F33" s="50" t="str">
        <f aca="false">IF(C33="","",'Recipe 27'!B14)</f>
        <v/>
      </c>
      <c r="G33" s="50" t="str">
        <f aca="false">IF(C33="","",IF('Recipe 27'!D10="","",'Recipe 27'!D10))</f>
        <v/>
      </c>
      <c r="H33" s="51" t="str">
        <f aca="false">IF(C33="","",'Recipe 27'!D14)</f>
        <v/>
      </c>
      <c r="I33" s="52" t="str">
        <f aca="false">IF(H33="","",IF(H33&gt;TARGET_FC,"Above target","On target"))</f>
        <v/>
      </c>
      <c r="J33" s="50" t="str">
        <f aca="false">IF(C33="","",'Recipe 27'!F14)</f>
        <v/>
      </c>
    </row>
    <row r="34" customFormat="false" ht="18" hidden="false" customHeight="true" outlineLevel="0" collapsed="false">
      <c r="B34" s="47" t="s">
        <v>143</v>
      </c>
      <c r="C34" s="48" t="str">
        <f aca="false">IF('Recipe 28'!D7="","",'Recipe 28'!D7)</f>
        <v/>
      </c>
      <c r="D34" s="48" t="str">
        <f aca="false">IF(C34="","",IF('Recipe 28'!D8="","",'Recipe 28'!D8))</f>
        <v/>
      </c>
      <c r="E34" s="49" t="str">
        <f aca="false">IF(C34="","",'Recipe 28'!D9)</f>
        <v/>
      </c>
      <c r="F34" s="50" t="str">
        <f aca="false">IF(C34="","",'Recipe 28'!B14)</f>
        <v/>
      </c>
      <c r="G34" s="50" t="str">
        <f aca="false">IF(C34="","",IF('Recipe 28'!D10="","",'Recipe 28'!D10))</f>
        <v/>
      </c>
      <c r="H34" s="51" t="str">
        <f aca="false">IF(C34="","",'Recipe 28'!D14)</f>
        <v/>
      </c>
      <c r="I34" s="52" t="str">
        <f aca="false">IF(H34="","",IF(H34&gt;TARGET_FC,"Above target","On target"))</f>
        <v/>
      </c>
      <c r="J34" s="50" t="str">
        <f aca="false">IF(C34="","",'Recipe 28'!F14)</f>
        <v/>
      </c>
    </row>
    <row r="35" customFormat="false" ht="18" hidden="false" customHeight="true" outlineLevel="0" collapsed="false">
      <c r="B35" s="47" t="s">
        <v>144</v>
      </c>
      <c r="C35" s="48" t="str">
        <f aca="false">IF('Recipe 29'!D7="","",'Recipe 29'!D7)</f>
        <v/>
      </c>
      <c r="D35" s="48" t="str">
        <f aca="false">IF(C35="","",IF('Recipe 29'!D8="","",'Recipe 29'!D8))</f>
        <v/>
      </c>
      <c r="E35" s="49" t="str">
        <f aca="false">IF(C35="","",'Recipe 29'!D9)</f>
        <v/>
      </c>
      <c r="F35" s="50" t="str">
        <f aca="false">IF(C35="","",'Recipe 29'!B14)</f>
        <v/>
      </c>
      <c r="G35" s="50" t="str">
        <f aca="false">IF(C35="","",IF('Recipe 29'!D10="","",'Recipe 29'!D10))</f>
        <v/>
      </c>
      <c r="H35" s="51" t="str">
        <f aca="false">IF(C35="","",'Recipe 29'!D14)</f>
        <v/>
      </c>
      <c r="I35" s="52" t="str">
        <f aca="false">IF(H35="","",IF(H35&gt;TARGET_FC,"Above target","On target"))</f>
        <v/>
      </c>
      <c r="J35" s="50" t="str">
        <f aca="false">IF(C35="","",'Recipe 29'!F14)</f>
        <v/>
      </c>
    </row>
    <row r="36" customFormat="false" ht="18" hidden="false" customHeight="true" outlineLevel="0" collapsed="false">
      <c r="B36" s="47" t="s">
        <v>145</v>
      </c>
      <c r="C36" s="48" t="str">
        <f aca="false">IF('Recipe 30'!D7="","",'Recipe 30'!D7)</f>
        <v/>
      </c>
      <c r="D36" s="48" t="str">
        <f aca="false">IF(C36="","",IF('Recipe 30'!D8="","",'Recipe 30'!D8))</f>
        <v/>
      </c>
      <c r="E36" s="49" t="str">
        <f aca="false">IF(C36="","",'Recipe 30'!D9)</f>
        <v/>
      </c>
      <c r="F36" s="50" t="str">
        <f aca="false">IF(C36="","",'Recipe 30'!B14)</f>
        <v/>
      </c>
      <c r="G36" s="50" t="str">
        <f aca="false">IF(C36="","",IF('Recipe 30'!D10="","",'Recipe 30'!D10))</f>
        <v/>
      </c>
      <c r="H36" s="51" t="str">
        <f aca="false">IF(C36="","",'Recipe 30'!D14)</f>
        <v/>
      </c>
      <c r="I36" s="52" t="str">
        <f aca="false">IF(H36="","",IF(H36&gt;TARGET_FC,"Above target","On target"))</f>
        <v/>
      </c>
      <c r="J36" s="50" t="str">
        <f aca="false">IF(C36="","",'Recipe 30'!F14)</f>
        <v/>
      </c>
    </row>
    <row r="38" customFormat="false" ht="15" hidden="false" customHeight="false" outlineLevel="0" collapsed="false">
      <c r="B38" s="42"/>
      <c r="C38" s="43" t="s">
        <v>146</v>
      </c>
      <c r="D38" s="42"/>
      <c r="E38" s="42"/>
      <c r="F38" s="42"/>
      <c r="G38" s="42"/>
      <c r="H38" s="53" t="n">
        <f aca="false">IFERROR(AVERAGE(H7:H36),"")</f>
        <v>0.236241617647059</v>
      </c>
      <c r="I38" s="42"/>
      <c r="J38" s="42"/>
    </row>
    <row r="39" customFormat="false" ht="15" hidden="false" customHeight="false" outlineLevel="0" collapsed="false">
      <c r="C39" s="8" t="s">
        <v>147</v>
      </c>
      <c r="H39" s="54" t="n">
        <f aca="false">COUNTIF(I7:I36,"Above target")</f>
        <v>0</v>
      </c>
    </row>
    <row r="41" customFormat="false" ht="15" hidden="false" customHeight="false" outlineLevel="0" collapsed="false">
      <c r="B41" s="19" t="s">
        <v>148</v>
      </c>
    </row>
  </sheetData>
  <sheetProtection sheet="true"/>
  <conditionalFormatting sqref="I7:I36">
    <cfRule type="cellIs" priority="2" operator="equal" aboveAverage="0" equalAverage="0" bottom="0" percent="0" rank="0" text="" dxfId="0">
      <formula>"Above target"</formula>
    </cfRule>
  </conditionalFormatting>
  <hyperlinks>
    <hyperlink ref="B7" r:id="rId1" location="'Recipe%2001'!A1" display="Recipe 01"/>
    <hyperlink ref="B8" r:id="rId2" location="'Recipe%2002'!A1" display="Recipe 02"/>
    <hyperlink ref="B9" r:id="rId3" location="'Recipe%2003'!A1" display="Recipe 03"/>
    <hyperlink ref="B10" r:id="rId4" location="'Recipe%2004'!A1" display="Recipe 04"/>
    <hyperlink ref="B11" r:id="rId5" location="'Recipe%2005'!A1" display="Recipe 05"/>
    <hyperlink ref="B12" r:id="rId6" location="'Recipe%2006'!A1" display="Recipe 06"/>
    <hyperlink ref="B13" r:id="rId7" location="'Recipe%2007'!A1" display="Recipe 07"/>
    <hyperlink ref="B14" r:id="rId8" location="'Recipe%2008'!A1" display="Recipe 08"/>
    <hyperlink ref="B15" r:id="rId9" location="'Recipe%2009'!A1" display="Recipe 09"/>
    <hyperlink ref="B16" r:id="rId10" location="'Recipe%2010'!A1" display="Recipe 10"/>
    <hyperlink ref="B17" r:id="rId11" location="'Recipe%2011'!A1" display="Recipe 11"/>
    <hyperlink ref="B18" r:id="rId12" location="'Recipe%2012'!A1" display="Recipe 12"/>
    <hyperlink ref="B19" r:id="rId13" location="'Recipe%2013'!A1" display="Recipe 13"/>
    <hyperlink ref="B20" r:id="rId14" location="'Recipe%2014'!A1" display="Recipe 14"/>
    <hyperlink ref="B21" r:id="rId15" location="'Recipe%2015'!A1" display="Recipe 15"/>
    <hyperlink ref="B22" r:id="rId16" location="'Recipe%2016'!A1" display="Recipe 16"/>
    <hyperlink ref="B23" r:id="rId17" location="'Recipe%2017'!A1" display="Recipe 17"/>
    <hyperlink ref="B24" r:id="rId18" location="'Recipe%2018'!A1" display="Recipe 18"/>
    <hyperlink ref="B25" r:id="rId19" location="'Recipe%2019'!A1" display="Recipe 19"/>
    <hyperlink ref="B26" r:id="rId20" location="'Recipe%2020'!A1" display="Recipe 20"/>
    <hyperlink ref="B27" r:id="rId21" location="'Recipe%2021'!A1" display="Recipe 21"/>
    <hyperlink ref="B28" r:id="rId22" location="'Recipe%2022'!A1" display="Recipe 22"/>
    <hyperlink ref="B29" r:id="rId23" location="'Recipe%2023'!A1" display="Recipe 23"/>
    <hyperlink ref="B30" r:id="rId24" location="'Recipe%2024'!A1" display="Recipe 24"/>
    <hyperlink ref="B31" r:id="rId25" location="'Recipe%2025'!A1" display="Recipe 25"/>
    <hyperlink ref="B32" r:id="rId26" location="'Recipe%2026'!A1" display="Recipe 26"/>
    <hyperlink ref="B33" r:id="rId27" location="'Recipe%2027'!A1" display="Recipe 27"/>
    <hyperlink ref="B34" r:id="rId28" location="'Recipe%2028'!A1" display="Recipe 28"/>
    <hyperlink ref="B35" r:id="rId29" location="'Recipe%2029'!A1" display="Recipe 29"/>
    <hyperlink ref="B36" r:id="rId30" location="'Recipe%2030'!A1" display="Recipe 30"/>
  </hyperlink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150</v>
      </c>
    </row>
    <row r="4" customFormat="false" ht="30" hidden="false" customHeight="true" outlineLevel="0" collapsed="false">
      <c r="B4" s="55" t="str">
        <f aca="false">IF(D7="","New Recipe",D7)</f>
        <v>Margherita Pizza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Pizza   ·   Makes 1 portion(s)</v>
      </c>
    </row>
    <row r="7" customFormat="false" ht="19.5" hidden="false" customHeight="true" outlineLevel="0" collapsed="false">
      <c r="B7" s="56" t="s">
        <v>151</v>
      </c>
      <c r="C7" s="56"/>
      <c r="D7" s="57" t="s">
        <v>152</v>
      </c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 t="s">
        <v>153</v>
      </c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 t="n">
        <v>14</v>
      </c>
      <c r="E10" s="60" t="str">
        <f aca="false">IF(VAT_INCL="Yes","Net price (VAT out)","Net price")</f>
        <v>Net price (VAT out)</v>
      </c>
      <c r="F10" s="60"/>
      <c r="G10" s="41" t="n">
        <f aca="false">IF(D10="","",IF(VAT_INCL="Yes",D10/(1+VAT_RATE),D10))</f>
        <v>13.3333333333333</v>
      </c>
    </row>
    <row r="11" customFormat="false" ht="19.5" hidden="false" customHeight="true" outlineLevel="0" collapsed="false">
      <c r="B11" s="56" t="s">
        <v>155</v>
      </c>
      <c r="C11" s="56"/>
      <c r="D11" s="30" t="n">
        <v>46312</v>
      </c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3.14988823529412</v>
      </c>
      <c r="C14" s="62"/>
      <c r="D14" s="63" t="n">
        <f aca="false">IF(OR(B14="",N(G10)=0),"",B14/G10)</f>
        <v>0.236241617647059</v>
      </c>
      <c r="E14" s="63"/>
      <c r="F14" s="62" t="n">
        <f aca="false">IF(OR(B14="",N(TARGET_FC)=0),"",B14/TARGET_FC*IF(VAT_INCL="Yes",1+VAT_RATE,1))</f>
        <v>11.8120808823529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3.15</v>
      </c>
      <c r="C15" s="64"/>
      <c r="D15" s="64" t="str">
        <f aca="false">IF(D14="","Target "&amp;TEXT(TARGET_FC,"0%"),IF(D14&gt;TARGET_FC,"Above target of ","On target of ")&amp;TEXT(TARGET_FC,"0%"))</f>
        <v>On target of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 t="s">
        <v>94</v>
      </c>
      <c r="D18" s="39" t="n">
        <v>1</v>
      </c>
      <c r="E18" s="40" t="str">
        <f aca="false">IF(C18="","",IFERROR(INDEX(Ingredients!$F$6:$F$205,MATCH(C18,Ingredients!$B$6:$B$205,0)),IFERROR(INDEX(Lists!$L$2:$L$11,MATCH(C18,Lists!$J$2:$J$11,0)),"")))</f>
        <v>pc</v>
      </c>
      <c r="F18" s="29" t="n">
        <f aca="false">IF(C18="","",IFERROR(INDEX(Ingredients!$I$6:$I$205,MATCH(C18,Ingredients!$B$6:$B$205,0)),IFERROR(INDEX(Lists!$M$2:$M$11,MATCH(C18,Lists!$J$2:$J$11,0)),"")))</f>
        <v>0.2225</v>
      </c>
      <c r="G18" s="41" t="n">
        <f aca="false">IF(OR(C18="",D18="",F18=""),"",D18*F18)</f>
        <v>0.2225</v>
      </c>
    </row>
    <row r="19" customFormat="false" ht="18.75" hidden="false" customHeight="true" outlineLevel="0" collapsed="false">
      <c r="B19" s="38" t="n">
        <v>2</v>
      </c>
      <c r="C19" s="24" t="s">
        <v>101</v>
      </c>
      <c r="D19" s="39" t="n">
        <v>80</v>
      </c>
      <c r="E19" s="40" t="str">
        <f aca="false">IF(C19="","",IFERROR(INDEX(Ingredients!$F$6:$F$205,MATCH(C19,Ingredients!$B$6:$B$205,0)),IFERROR(INDEX(Lists!$L$2:$L$11,MATCH(C19,Lists!$J$2:$J$11,0)),"")))</f>
        <v>g</v>
      </c>
      <c r="F19" s="29" t="n">
        <f aca="false">IF(C19="","",IFERROR(INDEX(Ingredients!$I$6:$I$205,MATCH(C19,Ingredients!$B$6:$B$205,0)),IFERROR(INDEX(Lists!$M$2:$M$11,MATCH(C19,Lists!$J$2:$J$11,0)),"")))</f>
        <v>0.00409235294117647</v>
      </c>
      <c r="G19" s="41" t="n">
        <f aca="false">IF(OR(C19="",D19="",F19=""),"",D19*F19)</f>
        <v>0.327388235294118</v>
      </c>
    </row>
    <row r="20" customFormat="false" ht="18.75" hidden="false" customHeight="true" outlineLevel="0" collapsed="false">
      <c r="B20" s="38" t="n">
        <v>3</v>
      </c>
      <c r="C20" s="24" t="s">
        <v>79</v>
      </c>
      <c r="D20" s="39" t="n">
        <v>150</v>
      </c>
      <c r="E20" s="40" t="str">
        <f aca="false">IF(C20="","",IFERROR(INDEX(Ingredients!$F$6:$F$205,MATCH(C20,Ingredients!$B$6:$B$205,0)),IFERROR(INDEX(Lists!$L$2:$L$11,MATCH(C20,Lists!$J$2:$J$11,0)),"")))</f>
        <v>g</v>
      </c>
      <c r="F20" s="29" t="n">
        <f aca="false">IF(C20="","",IFERROR(INDEX(Ingredients!$I$6:$I$205,MATCH(C20,Ingredients!$B$6:$B$205,0)),IFERROR(INDEX(Lists!$M$2:$M$11,MATCH(C20,Lists!$J$2:$J$11,0)),"")))</f>
        <v>0.015</v>
      </c>
      <c r="G20" s="41" t="n">
        <f aca="false">IF(OR(C20="",D20="",F20=""),"",D20*F20)</f>
        <v>2.25</v>
      </c>
    </row>
    <row r="21" customFormat="false" ht="18.75" hidden="false" customHeight="true" outlineLevel="0" collapsed="false">
      <c r="B21" s="38" t="n">
        <v>4</v>
      </c>
      <c r="C21" s="24" t="s">
        <v>77</v>
      </c>
      <c r="D21" s="39" t="n">
        <v>5</v>
      </c>
      <c r="E21" s="40" t="str">
        <f aca="false">IF(C21="","",IFERROR(INDEX(Ingredients!$F$6:$F$205,MATCH(C21,Ingredients!$B$6:$B$205,0)),IFERROR(INDEX(Lists!$L$2:$L$11,MATCH(C21,Lists!$J$2:$J$11,0)),"")))</f>
        <v>g</v>
      </c>
      <c r="F21" s="29" t="n">
        <f aca="false">IF(C21="","",IFERROR(INDEX(Ingredients!$I$6:$I$205,MATCH(C21,Ingredients!$B$6:$B$205,0)),IFERROR(INDEX(Lists!$M$2:$M$11,MATCH(C21,Lists!$J$2:$J$11,0)),"")))</f>
        <v>0.06</v>
      </c>
      <c r="G21" s="41" t="n">
        <f aca="false">IF(OR(C21="",D21="",F21=""),"",D21*F21)</f>
        <v>0.3</v>
      </c>
    </row>
    <row r="22" customFormat="false" ht="18.75" hidden="false" customHeight="true" outlineLevel="0" collapsed="false">
      <c r="B22" s="38" t="n">
        <v>5</v>
      </c>
      <c r="C22" s="24" t="s">
        <v>68</v>
      </c>
      <c r="D22" s="39" t="n">
        <v>5</v>
      </c>
      <c r="E22" s="40" t="str">
        <f aca="false">IF(C22="","",IFERROR(INDEX(Ingredients!$F$6:$F$205,MATCH(C22,Ingredients!$B$6:$B$205,0)),IFERROR(INDEX(Lists!$L$2:$L$11,MATCH(C22,Lists!$J$2:$J$11,0)),"")))</f>
        <v>ml</v>
      </c>
      <c r="F22" s="29" t="n">
        <f aca="false">IF(C22="","",IFERROR(INDEX(Ingredients!$I$6:$I$205,MATCH(C22,Ingredients!$B$6:$B$205,0)),IFERROR(INDEX(Lists!$M$2:$M$11,MATCH(C22,Lists!$J$2:$J$11,0)),"")))</f>
        <v>0.01</v>
      </c>
      <c r="G22" s="41" t="n">
        <f aca="false">IF(OR(C22="",D22="",F22=""),"",D22*F22)</f>
        <v>0.05</v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3.14988823529412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3.14988823529412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true" outlineLevel="0" collapsed="false">
      <c r="B37" s="66" t="s">
        <v>159</v>
      </c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161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162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163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164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165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166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167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168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169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170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171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172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173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174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175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176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177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178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179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180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181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182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183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184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185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186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187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188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7" min="6" style="0" width="14"/>
  </cols>
  <sheetData>
    <row r="2" customFormat="false" ht="21.75" hidden="false" customHeight="true" outlineLevel="0" collapsed="false">
      <c r="B2" s="1" t="s">
        <v>149</v>
      </c>
      <c r="C2" s="2"/>
      <c r="D2" s="2"/>
      <c r="E2" s="2"/>
      <c r="F2" s="2"/>
      <c r="G2" s="3" t="s">
        <v>189</v>
      </c>
    </row>
    <row r="4" customFormat="false" ht="30" hidden="false" customHeight="true" outlineLevel="0" collapsed="false">
      <c r="B4" s="55" t="str">
        <f aca="false">IF(D7="","New Recipe",D7)</f>
        <v>New Recipe</v>
      </c>
    </row>
    <row r="5" customFormat="false" ht="15" hidden="false" customHeight="false" outlineLevel="0" collapsed="false">
      <c r="B5" s="5" t="str">
        <f aca="false">IF(D8="","",D8&amp;"   ·   ")&amp;"Makes "&amp;IF(D9="","-",D9)&amp;" portion(s)"</f>
        <v>Makes 1 portion(s)</v>
      </c>
    </row>
    <row r="7" customFormat="false" ht="19.5" hidden="false" customHeight="true" outlineLevel="0" collapsed="false">
      <c r="B7" s="56" t="s">
        <v>151</v>
      </c>
      <c r="C7" s="56"/>
      <c r="D7" s="57"/>
      <c r="E7" s="57"/>
      <c r="F7" s="57"/>
      <c r="G7" s="57"/>
    </row>
    <row r="8" customFormat="false" ht="19.5" hidden="false" customHeight="true" outlineLevel="0" collapsed="false">
      <c r="B8" s="56" t="s">
        <v>55</v>
      </c>
      <c r="C8" s="56"/>
      <c r="D8" s="58"/>
      <c r="E8" s="58"/>
      <c r="F8" s="58"/>
      <c r="G8" s="58"/>
    </row>
    <row r="9" customFormat="false" ht="19.5" hidden="false" customHeight="true" outlineLevel="0" collapsed="false">
      <c r="B9" s="56" t="s">
        <v>34</v>
      </c>
      <c r="C9" s="56"/>
      <c r="D9" s="34" t="n">
        <v>1</v>
      </c>
      <c r="E9" s="10" t="s">
        <v>154</v>
      </c>
    </row>
    <row r="10" customFormat="false" ht="19.5" hidden="false" customHeight="true" outlineLevel="0" collapsed="false">
      <c r="B10" s="56" t="str">
        <f aca="false">"Menu Price ("&amp;CURRENCY&amp;")"</f>
        <v>Menu Price ($)</v>
      </c>
      <c r="C10" s="56"/>
      <c r="D10" s="59"/>
      <c r="E10" s="60" t="str">
        <f aca="false">IF(VAT_INCL="Yes","Net price (VAT out)","Net price")</f>
        <v>Net price (VAT out)</v>
      </c>
      <c r="F10" s="60"/>
      <c r="G10" s="41" t="str">
        <f aca="false">IF(D10="","",IF(VAT_INCL="Yes",D10/(1+VAT_RATE),D10))</f>
        <v/>
      </c>
    </row>
    <row r="11" customFormat="false" ht="19.5" hidden="false" customHeight="true" outlineLevel="0" collapsed="false">
      <c r="B11" s="56" t="s">
        <v>155</v>
      </c>
      <c r="C11" s="56"/>
      <c r="D11" s="30"/>
    </row>
    <row r="13" customFormat="false" ht="19.5" hidden="false" customHeight="true" outlineLevel="0" collapsed="false">
      <c r="B13" s="61" t="str">
        <f aca="false">"Cost per Portion ("&amp;CURRENCY&amp;")"</f>
        <v>Cost per Portion ($)</v>
      </c>
      <c r="C13" s="61"/>
      <c r="D13" s="61" t="str">
        <f aca="false">"Food Cost %"</f>
        <v>Food Cost %</v>
      </c>
      <c r="E13" s="61"/>
      <c r="F13" s="61" t="str">
        <f aca="false">"Suggested Price ("&amp;CURRENCY&amp;")"</f>
        <v>Suggested Price ($)</v>
      </c>
      <c r="G13" s="61"/>
    </row>
    <row r="14" customFormat="false" ht="31.5" hidden="false" customHeight="true" outlineLevel="0" collapsed="false">
      <c r="B14" s="62" t="n">
        <f aca="false">G34</f>
        <v>0</v>
      </c>
      <c r="C14" s="62"/>
      <c r="D14" s="63" t="str">
        <f aca="false">IF(OR(B14="",N(G10)=0),"",B14/G10)</f>
        <v/>
      </c>
      <c r="E14" s="63"/>
      <c r="F14" s="62" t="n">
        <f aca="false">IF(OR(B14="",N(TARGET_FC)=0),"",B14/TARGET_FC*IF(VAT_INCL="Yes",1+VAT_RATE,1))</f>
        <v>0</v>
      </c>
      <c r="G14" s="62"/>
    </row>
    <row r="15" customFormat="false" ht="18" hidden="false" customHeight="true" outlineLevel="0" collapsed="false">
      <c r="B15" s="64" t="str">
        <f aca="false">"Total recipe cost "&amp;TEXT(G33,"#,##0.00")</f>
        <v>Total recipe cost 0.00</v>
      </c>
      <c r="C15" s="64"/>
      <c r="D15" s="64" t="str">
        <f aca="false">IF(D14="","Target "&amp;TEXT(TARGET_FC,"0%"),IF(D14&gt;TARGET_FC,"Above target of ","On target of ")&amp;TEXT(TARGET_FC,"0%"))</f>
        <v>Target 28%</v>
      </c>
      <c r="E15" s="64"/>
      <c r="F15" s="64" t="str">
        <f aca="false">"Menu price at "&amp;TEXT(TARGET_FC,"0%")&amp;IF(VAT_INCL="Yes",", VAT in","")</f>
        <v>Menu price at 28%, VAT in</v>
      </c>
      <c r="G15" s="64"/>
    </row>
    <row r="17" customFormat="false" ht="21.75" hidden="false" customHeight="true" outlineLevel="0" collapsed="false">
      <c r="B17" s="35" t="s">
        <v>97</v>
      </c>
      <c r="C17" s="36" t="s">
        <v>156</v>
      </c>
      <c r="D17" s="35" t="s">
        <v>98</v>
      </c>
      <c r="E17" s="35" t="s">
        <v>58</v>
      </c>
      <c r="F17" s="37" t="str">
        <f aca="false">"Unit Cost ("&amp;CURRENCY&amp;")"</f>
        <v>Unit Cost ($)</v>
      </c>
      <c r="G17" s="37" t="str">
        <f aca="false">"Cost ("&amp;CURRENCY&amp;")"</f>
        <v>Cost ($)</v>
      </c>
    </row>
    <row r="18" customFormat="false" ht="18.75" hidden="false" customHeight="true" outlineLevel="0" collapsed="false">
      <c r="B18" s="38" t="n">
        <v>1</v>
      </c>
      <c r="C18" s="24"/>
      <c r="D18" s="39"/>
      <c r="E18" s="40" t="str">
        <f aca="false">IF(C18="","",IFERROR(INDEX(Ingredients!$F$6:$F$205,MATCH(C18,Ingredients!$B$6:$B$205,0)),IFERROR(INDEX(Lists!$L$2:$L$11,MATCH(C18,Lists!$J$2:$J$11,0)),"")))</f>
        <v/>
      </c>
      <c r="F18" s="29" t="str">
        <f aca="false">IF(C18="","",IFERROR(INDEX(Ingredients!$I$6:$I$205,MATCH(C18,Ingredients!$B$6:$B$205,0)),IFERROR(INDEX(Lists!$M$2:$M$11,MATCH(C18,Lists!$J$2:$J$11,0)),"")))</f>
        <v/>
      </c>
      <c r="G18" s="41" t="str">
        <f aca="false">IF(OR(C18="",D18="",F18=""),"",D18*F18)</f>
        <v/>
      </c>
    </row>
    <row r="19" customFormat="false" ht="18.75" hidden="false" customHeight="true" outlineLevel="0" collapsed="false">
      <c r="B19" s="38" t="n">
        <v>2</v>
      </c>
      <c r="C19" s="24"/>
      <c r="D19" s="39"/>
      <c r="E19" s="40" t="str">
        <f aca="false">IF(C19="","",IFERROR(INDEX(Ingredients!$F$6:$F$205,MATCH(C19,Ingredients!$B$6:$B$205,0)),IFERROR(INDEX(Lists!$L$2:$L$11,MATCH(C19,Lists!$J$2:$J$11,0)),"")))</f>
        <v/>
      </c>
      <c r="F19" s="29" t="str">
        <f aca="false">IF(C19="","",IFERROR(INDEX(Ingredients!$I$6:$I$205,MATCH(C19,Ingredients!$B$6:$B$205,0)),IFERROR(INDEX(Lists!$M$2:$M$11,MATCH(C19,Lists!$J$2:$J$11,0)),"")))</f>
        <v/>
      </c>
      <c r="G19" s="41" t="str">
        <f aca="false">IF(OR(C19="",D19="",F19=""),"",D19*F19)</f>
        <v/>
      </c>
    </row>
    <row r="20" customFormat="false" ht="18.75" hidden="false" customHeight="true" outlineLevel="0" collapsed="false">
      <c r="B20" s="38" t="n">
        <v>3</v>
      </c>
      <c r="C20" s="24"/>
      <c r="D20" s="39"/>
      <c r="E20" s="40" t="str">
        <f aca="false">IF(C20="","",IFERROR(INDEX(Ingredients!$F$6:$F$205,MATCH(C20,Ingredients!$B$6:$B$205,0)),IFERROR(INDEX(Lists!$L$2:$L$11,MATCH(C20,Lists!$J$2:$J$11,0)),"")))</f>
        <v/>
      </c>
      <c r="F20" s="29" t="str">
        <f aca="false">IF(C20="","",IFERROR(INDEX(Ingredients!$I$6:$I$205,MATCH(C20,Ingredients!$B$6:$B$205,0)),IFERROR(INDEX(Lists!$M$2:$M$11,MATCH(C20,Lists!$J$2:$J$11,0)),"")))</f>
        <v/>
      </c>
      <c r="G20" s="41" t="str">
        <f aca="false">IF(OR(C20="",D20="",F20=""),"",D20*F20)</f>
        <v/>
      </c>
    </row>
    <row r="21" customFormat="false" ht="18.75" hidden="false" customHeight="true" outlineLevel="0" collapsed="false">
      <c r="B21" s="38" t="n">
        <v>4</v>
      </c>
      <c r="C21" s="24"/>
      <c r="D21" s="39"/>
      <c r="E21" s="40" t="str">
        <f aca="false">IF(C21="","",IFERROR(INDEX(Ingredients!$F$6:$F$205,MATCH(C21,Ingredients!$B$6:$B$205,0)),IFERROR(INDEX(Lists!$L$2:$L$11,MATCH(C21,Lists!$J$2:$J$11,0)),"")))</f>
        <v/>
      </c>
      <c r="F21" s="29" t="str">
        <f aca="false">IF(C21="","",IFERROR(INDEX(Ingredients!$I$6:$I$205,MATCH(C21,Ingredients!$B$6:$B$205,0)),IFERROR(INDEX(Lists!$M$2:$M$11,MATCH(C21,Lists!$J$2:$J$11,0)),"")))</f>
        <v/>
      </c>
      <c r="G21" s="41" t="str">
        <f aca="false">IF(OR(C21="",D21="",F21=""),"",D21*F21)</f>
        <v/>
      </c>
    </row>
    <row r="22" customFormat="false" ht="18.75" hidden="false" customHeight="true" outlineLevel="0" collapsed="false">
      <c r="B22" s="38" t="n">
        <v>5</v>
      </c>
      <c r="C22" s="24"/>
      <c r="D22" s="39"/>
      <c r="E22" s="40" t="str">
        <f aca="false">IF(C22="","",IFERROR(INDEX(Ingredients!$F$6:$F$205,MATCH(C22,Ingredients!$B$6:$B$205,0)),IFERROR(INDEX(Lists!$L$2:$L$11,MATCH(C22,Lists!$J$2:$J$11,0)),"")))</f>
        <v/>
      </c>
      <c r="F22" s="29" t="str">
        <f aca="false">IF(C22="","",IFERROR(INDEX(Ingredients!$I$6:$I$205,MATCH(C22,Ingredients!$B$6:$B$205,0)),IFERROR(INDEX(Lists!$M$2:$M$11,MATCH(C22,Lists!$J$2:$J$11,0)),"")))</f>
        <v/>
      </c>
      <c r="G22" s="41" t="str">
        <f aca="false">IF(OR(C22="",D22="",F22=""),"",D22*F22)</f>
        <v/>
      </c>
    </row>
    <row r="23" customFormat="false" ht="18.75" hidden="false" customHeight="true" outlineLevel="0" collapsed="false">
      <c r="B23" s="38" t="n">
        <v>6</v>
      </c>
      <c r="C23" s="24"/>
      <c r="D23" s="39"/>
      <c r="E23" s="40" t="str">
        <f aca="false">IF(C23="","",IFERROR(INDEX(Ingredients!$F$6:$F$205,MATCH(C23,Ingredients!$B$6:$B$205,0)),IFERROR(INDEX(Lists!$L$2:$L$11,MATCH(C23,Lists!$J$2:$J$11,0)),"")))</f>
        <v/>
      </c>
      <c r="F23" s="29" t="str">
        <f aca="false">IF(C23="","",IFERROR(INDEX(Ingredients!$I$6:$I$205,MATCH(C23,Ingredients!$B$6:$B$205,0)),IFERROR(INDEX(Lists!$M$2:$M$11,MATCH(C23,Lists!$J$2:$J$11,0)),"")))</f>
        <v/>
      </c>
      <c r="G23" s="41" t="str">
        <f aca="false">IF(OR(C23="",D23="",F23=""),"",D23*F23)</f>
        <v/>
      </c>
    </row>
    <row r="24" customFormat="false" ht="18.75" hidden="false" customHeight="true" outlineLevel="0" collapsed="false">
      <c r="B24" s="38" t="n">
        <v>7</v>
      </c>
      <c r="C24" s="24"/>
      <c r="D24" s="39"/>
      <c r="E24" s="40" t="str">
        <f aca="false">IF(C24="","",IFERROR(INDEX(Ingredients!$F$6:$F$205,MATCH(C24,Ingredients!$B$6:$B$205,0)),IFERROR(INDEX(Lists!$L$2:$L$11,MATCH(C24,Lists!$J$2:$J$11,0)),"")))</f>
        <v/>
      </c>
      <c r="F24" s="29" t="str">
        <f aca="false">IF(C24="","",IFERROR(INDEX(Ingredients!$I$6:$I$205,MATCH(C24,Ingredients!$B$6:$B$205,0)),IFERROR(INDEX(Lists!$M$2:$M$11,MATCH(C24,Lists!$J$2:$J$11,0)),"")))</f>
        <v/>
      </c>
      <c r="G24" s="41" t="str">
        <f aca="false">IF(OR(C24="",D24="",F24=""),"",D24*F24)</f>
        <v/>
      </c>
    </row>
    <row r="25" customFormat="false" ht="18.75" hidden="false" customHeight="true" outlineLevel="0" collapsed="false">
      <c r="B25" s="38" t="n">
        <v>8</v>
      </c>
      <c r="C25" s="24"/>
      <c r="D25" s="39"/>
      <c r="E25" s="40" t="str">
        <f aca="false">IF(C25="","",IFERROR(INDEX(Ingredients!$F$6:$F$205,MATCH(C25,Ingredients!$B$6:$B$205,0)),IFERROR(INDEX(Lists!$L$2:$L$11,MATCH(C25,Lists!$J$2:$J$11,0)),"")))</f>
        <v/>
      </c>
      <c r="F25" s="29" t="str">
        <f aca="false">IF(C25="","",IFERROR(INDEX(Ingredients!$I$6:$I$205,MATCH(C25,Ingredients!$B$6:$B$205,0)),IFERROR(INDEX(Lists!$M$2:$M$11,MATCH(C25,Lists!$J$2:$J$11,0)),"")))</f>
        <v/>
      </c>
      <c r="G25" s="41" t="str">
        <f aca="false">IF(OR(C25="",D25="",F25=""),"",D25*F25)</f>
        <v/>
      </c>
    </row>
    <row r="26" customFormat="false" ht="18.75" hidden="false" customHeight="true" outlineLevel="0" collapsed="false">
      <c r="B26" s="38" t="n">
        <v>9</v>
      </c>
      <c r="C26" s="24"/>
      <c r="D26" s="39"/>
      <c r="E26" s="40" t="str">
        <f aca="false">IF(C26="","",IFERROR(INDEX(Ingredients!$F$6:$F$205,MATCH(C26,Ingredients!$B$6:$B$205,0)),IFERROR(INDEX(Lists!$L$2:$L$11,MATCH(C26,Lists!$J$2:$J$11,0)),"")))</f>
        <v/>
      </c>
      <c r="F26" s="29" t="str">
        <f aca="false">IF(C26="","",IFERROR(INDEX(Ingredients!$I$6:$I$205,MATCH(C26,Ingredients!$B$6:$B$205,0)),IFERROR(INDEX(Lists!$M$2:$M$11,MATCH(C26,Lists!$J$2:$J$11,0)),"")))</f>
        <v/>
      </c>
      <c r="G26" s="41" t="str">
        <f aca="false">IF(OR(C26="",D26="",F26=""),"",D26*F26)</f>
        <v/>
      </c>
    </row>
    <row r="27" customFormat="false" ht="18.75" hidden="false" customHeight="true" outlineLevel="0" collapsed="false">
      <c r="B27" s="38" t="n">
        <v>10</v>
      </c>
      <c r="C27" s="24"/>
      <c r="D27" s="39"/>
      <c r="E27" s="40" t="str">
        <f aca="false">IF(C27="","",IFERROR(INDEX(Ingredients!$F$6:$F$205,MATCH(C27,Ingredients!$B$6:$B$205,0)),IFERROR(INDEX(Lists!$L$2:$L$11,MATCH(C27,Lists!$J$2:$J$11,0)),"")))</f>
        <v/>
      </c>
      <c r="F27" s="29" t="str">
        <f aca="false">IF(C27="","",IFERROR(INDEX(Ingredients!$I$6:$I$205,MATCH(C27,Ingredients!$B$6:$B$205,0)),IFERROR(INDEX(Lists!$M$2:$M$11,MATCH(C27,Lists!$J$2:$J$11,0)),"")))</f>
        <v/>
      </c>
      <c r="G27" s="41" t="str">
        <f aca="false">IF(OR(C27="",D27="",F27=""),"",D27*F27)</f>
        <v/>
      </c>
    </row>
    <row r="28" customFormat="false" ht="18.75" hidden="false" customHeight="true" outlineLevel="0" collapsed="false">
      <c r="B28" s="38" t="n">
        <v>11</v>
      </c>
      <c r="C28" s="24"/>
      <c r="D28" s="39"/>
      <c r="E28" s="40" t="str">
        <f aca="false">IF(C28="","",IFERROR(INDEX(Ingredients!$F$6:$F$205,MATCH(C28,Ingredients!$B$6:$B$205,0)),IFERROR(INDEX(Lists!$L$2:$L$11,MATCH(C28,Lists!$J$2:$J$11,0)),"")))</f>
        <v/>
      </c>
      <c r="F28" s="29" t="str">
        <f aca="false">IF(C28="","",IFERROR(INDEX(Ingredients!$I$6:$I$205,MATCH(C28,Ingredients!$B$6:$B$205,0)),IFERROR(INDEX(Lists!$M$2:$M$11,MATCH(C28,Lists!$J$2:$J$11,0)),"")))</f>
        <v/>
      </c>
      <c r="G28" s="41" t="str">
        <f aca="false">IF(OR(C28="",D28="",F28=""),"",D28*F28)</f>
        <v/>
      </c>
    </row>
    <row r="29" customFormat="false" ht="18.75" hidden="false" customHeight="true" outlineLevel="0" collapsed="false">
      <c r="B29" s="38" t="n">
        <v>12</v>
      </c>
      <c r="C29" s="24"/>
      <c r="D29" s="39"/>
      <c r="E29" s="40" t="str">
        <f aca="false">IF(C29="","",IFERROR(INDEX(Ingredients!$F$6:$F$205,MATCH(C29,Ingredients!$B$6:$B$205,0)),IFERROR(INDEX(Lists!$L$2:$L$11,MATCH(C29,Lists!$J$2:$J$11,0)),"")))</f>
        <v/>
      </c>
      <c r="F29" s="29" t="str">
        <f aca="false">IF(C29="","",IFERROR(INDEX(Ingredients!$I$6:$I$205,MATCH(C29,Ingredients!$B$6:$B$205,0)),IFERROR(INDEX(Lists!$M$2:$M$11,MATCH(C29,Lists!$J$2:$J$11,0)),"")))</f>
        <v/>
      </c>
      <c r="G29" s="41" t="str">
        <f aca="false">IF(OR(C29="",D29="",F29=""),"",D29*F29)</f>
        <v/>
      </c>
    </row>
    <row r="30" customFormat="false" ht="18.75" hidden="false" customHeight="true" outlineLevel="0" collapsed="false">
      <c r="B30" s="38" t="n">
        <v>13</v>
      </c>
      <c r="C30" s="24"/>
      <c r="D30" s="39"/>
      <c r="E30" s="40" t="str">
        <f aca="false">IF(C30="","",IFERROR(INDEX(Ingredients!$F$6:$F$205,MATCH(C30,Ingredients!$B$6:$B$205,0)),IFERROR(INDEX(Lists!$L$2:$L$11,MATCH(C30,Lists!$J$2:$J$11,0)),"")))</f>
        <v/>
      </c>
      <c r="F30" s="29" t="str">
        <f aca="false">IF(C30="","",IFERROR(INDEX(Ingredients!$I$6:$I$205,MATCH(C30,Ingredients!$B$6:$B$205,0)),IFERROR(INDEX(Lists!$M$2:$M$11,MATCH(C30,Lists!$J$2:$J$11,0)),"")))</f>
        <v/>
      </c>
      <c r="G30" s="41" t="str">
        <f aca="false">IF(OR(C30="",D30="",F30=""),"",D30*F30)</f>
        <v/>
      </c>
    </row>
    <row r="31" customFormat="false" ht="18.75" hidden="false" customHeight="true" outlineLevel="0" collapsed="false">
      <c r="B31" s="38" t="n">
        <v>14</v>
      </c>
      <c r="C31" s="24"/>
      <c r="D31" s="39"/>
      <c r="E31" s="40" t="str">
        <f aca="false">IF(C31="","",IFERROR(INDEX(Ingredients!$F$6:$F$205,MATCH(C31,Ingredients!$B$6:$B$205,0)),IFERROR(INDEX(Lists!$L$2:$L$11,MATCH(C31,Lists!$J$2:$J$11,0)),"")))</f>
        <v/>
      </c>
      <c r="F31" s="29" t="str">
        <f aca="false">IF(C31="","",IFERROR(INDEX(Ingredients!$I$6:$I$205,MATCH(C31,Ingredients!$B$6:$B$205,0)),IFERROR(INDEX(Lists!$M$2:$M$11,MATCH(C31,Lists!$J$2:$J$11,0)),"")))</f>
        <v/>
      </c>
      <c r="G31" s="41" t="str">
        <f aca="false">IF(OR(C31="",D31="",F31=""),"",D31*F31)</f>
        <v/>
      </c>
    </row>
    <row r="32" customFormat="false" ht="18.75" hidden="false" customHeight="true" outlineLevel="0" collapsed="false">
      <c r="B32" s="38" t="n">
        <v>15</v>
      </c>
      <c r="C32" s="24"/>
      <c r="D32" s="39"/>
      <c r="E32" s="40" t="str">
        <f aca="false">IF(C32="","",IFERROR(INDEX(Ingredients!$F$6:$F$205,MATCH(C32,Ingredients!$B$6:$B$205,0)),IFERROR(INDEX(Lists!$L$2:$L$11,MATCH(C32,Lists!$J$2:$J$11,0)),"")))</f>
        <v/>
      </c>
      <c r="F32" s="29" t="str">
        <f aca="false">IF(C32="","",IFERROR(INDEX(Ingredients!$I$6:$I$205,MATCH(C32,Ingredients!$B$6:$B$205,0)),IFERROR(INDEX(Lists!$M$2:$M$11,MATCH(C32,Lists!$J$2:$J$11,0)),"")))</f>
        <v/>
      </c>
      <c r="G32" s="41" t="str">
        <f aca="false">IF(OR(C32="",D32="",F32=""),"",D32*F32)</f>
        <v/>
      </c>
    </row>
    <row r="33" customFormat="false" ht="19.5" hidden="false" customHeight="true" outlineLevel="0" collapsed="false">
      <c r="B33" s="42"/>
      <c r="C33" s="43" t="s">
        <v>157</v>
      </c>
      <c r="D33" s="42"/>
      <c r="E33" s="42"/>
      <c r="F33" s="42"/>
      <c r="G33" s="44" t="n">
        <f aca="false">SUM(G18:G32)</f>
        <v>0</v>
      </c>
    </row>
    <row r="34" customFormat="false" ht="19.5" hidden="false" customHeight="true" outlineLevel="0" collapsed="false">
      <c r="C34" s="45" t="str">
        <f aca="false">"Cost per Portion  (÷ "&amp;IF(D9="","-",D9)&amp;")"</f>
        <v>Cost per Portion  (÷ 1)</v>
      </c>
      <c r="G34" s="65" t="n">
        <f aca="false">IF(N(D9)=0,"",G33/D9)</f>
        <v>0</v>
      </c>
    </row>
    <row r="36" customFormat="false" ht="19.5" hidden="false" customHeight="true" outlineLevel="0" collapsed="false">
      <c r="B36" s="6" t="s">
        <v>158</v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66"/>
      <c r="C37" s="66"/>
      <c r="D37" s="66"/>
      <c r="E37" s="66"/>
      <c r="F37" s="66"/>
      <c r="G37" s="66"/>
    </row>
    <row r="38" customFormat="false" ht="15" hidden="false" customHeight="false" outlineLevel="0" collapsed="false">
      <c r="B38" s="66"/>
      <c r="C38" s="66"/>
      <c r="D38" s="66"/>
      <c r="E38" s="66"/>
      <c r="F38" s="66"/>
      <c r="G38" s="66"/>
    </row>
    <row r="39" customFormat="false" ht="15" hidden="false" customHeight="false" outlineLevel="0" collapsed="false">
      <c r="B39" s="66"/>
      <c r="C39" s="66"/>
      <c r="D39" s="66"/>
      <c r="E39" s="66"/>
      <c r="F39" s="66"/>
      <c r="G39" s="66"/>
    </row>
    <row r="40" customFormat="false" ht="15" hidden="false" customHeight="false" outlineLevel="0" collapsed="false">
      <c r="B40" s="66"/>
      <c r="C40" s="66"/>
      <c r="D40" s="66"/>
      <c r="E40" s="66"/>
      <c r="F40" s="66"/>
      <c r="G40" s="66"/>
    </row>
    <row r="41" customFormat="false" ht="15" hidden="false" customHeight="false" outlineLevel="0" collapsed="false">
      <c r="B41" s="66"/>
      <c r="C41" s="66"/>
      <c r="D41" s="66"/>
      <c r="E41" s="66"/>
      <c r="F41" s="66"/>
      <c r="G41" s="66"/>
    </row>
    <row r="42" customFormat="false" ht="15" hidden="false" customHeight="false" outlineLevel="0" collapsed="false">
      <c r="B42" s="66"/>
      <c r="C42" s="66"/>
      <c r="D42" s="66"/>
      <c r="E42" s="66"/>
      <c r="F42" s="66"/>
      <c r="G42" s="66"/>
    </row>
    <row r="43" customFormat="false" ht="15" hidden="false" customHeight="false" outlineLevel="0" collapsed="false">
      <c r="B43" s="66"/>
      <c r="C43" s="66"/>
      <c r="D43" s="66"/>
      <c r="E43" s="66"/>
      <c r="F43" s="66"/>
      <c r="G43" s="66"/>
    </row>
    <row r="44" customFormat="false" ht="15" hidden="false" customHeight="false" outlineLevel="0" collapsed="false">
      <c r="B44" s="66"/>
      <c r="C44" s="66"/>
      <c r="D44" s="66"/>
      <c r="E44" s="66"/>
      <c r="F44" s="66"/>
      <c r="G44" s="66"/>
    </row>
    <row r="46" customFormat="false" ht="15" hidden="false" customHeight="false" outlineLevel="0" collapsed="false">
      <c r="B46" s="19" t="s">
        <v>160</v>
      </c>
    </row>
  </sheetData>
  <sheetProtection sheet="true"/>
  <mergeCells count="18">
    <mergeCell ref="B7:C7"/>
    <mergeCell ref="D7:G7"/>
    <mergeCell ref="B8:C8"/>
    <mergeCell ref="D8:G8"/>
    <mergeCell ref="B9:C9"/>
    <mergeCell ref="B10:C10"/>
    <mergeCell ref="E10:F10"/>
    <mergeCell ref="B11:C11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37:G44"/>
  </mergeCells>
  <dataValidations count="3">
    <dataValidation allowBlank="true" error="Quantity must be more than 0." errorStyle="stop" operator="greaterThan" showDropDown="false" showErrorMessage="false" showInputMessage="false" sqref="D18:D32" type="decimal">
      <formula1>0</formula1>
      <formula2>0</formula2>
    </dataValidation>
    <dataValidation allowBlank="false" error="Portions must be more than 0." errorStyle="stop" operator="greaterThan" showDropDown="false" showErrorMessage="false" showInputMessage="false" sqref="D9" type="decimal">
      <formula1>0</formula1>
      <formula2>0</formula2>
    </dataValidation>
    <dataValidation allowBlank="true" error="Pick an item from the list. New item? Add it in Ingredients first." errorStyle="stop" errorTitle="Not in the list" operator="between" showDropDown="false" showErrorMessage="false" showInputMessage="false" sqref="C18:C32" type="list">
      <formula1>Lists!$D$2:$D$211</formula1>
      <formula2>0</formula2>
    </dataValidation>
  </dataValidations>
  <printOptions headings="false" gridLines="false" gridLinesSet="true" horizontalCentered="true" verticalCentered="false"/>
  <pageMargins left="0.45" right="0.45" top="0.5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&amp;L&amp;"Arial,Bold"&amp;8 CHEF OPERATIONS&amp;R&amp;"Arial,Regular"&amp;8 &amp;A  ·  Page &amp;P of &amp;N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190</v>
      </c>
      <c r="B1" s="0" t="s">
        <v>191</v>
      </c>
      <c r="D1" s="0" t="s">
        <v>192</v>
      </c>
      <c r="H1" s="0" t="s">
        <v>193</v>
      </c>
      <c r="J1" s="0" t="s">
        <v>194</v>
      </c>
      <c r="K1" s="0" t="s">
        <v>195</v>
      </c>
      <c r="L1" s="0" t="s">
        <v>196</v>
      </c>
      <c r="M1" s="0" t="s">
        <v>197</v>
      </c>
      <c r="N1" s="0" t="s">
        <v>198</v>
      </c>
      <c r="O1" s="0" t="s">
        <v>199</v>
      </c>
    </row>
    <row r="2" customFormat="false" ht="15" hidden="false" customHeight="false" outlineLevel="0" collapsed="false">
      <c r="A2" s="0" t="n">
        <v>1</v>
      </c>
      <c r="B2" s="0" t="str">
        <f aca="false">IFERROR(INDEX(Ingredients!$B$6:$B$205,MATCH(A2,$H$2:$H$201,0)),"")</f>
        <v>Flour Tipo 00</v>
      </c>
      <c r="D2" s="0" t="str">
        <f aca="false">IF(1&lt;=$O$2,INDEX($N$2:$N$11,1),IF(1&lt;=$O$2+$O$3,INDEX($B$2:$B$201,1-$O$2),""))</f>
        <v>Pizza Dough</v>
      </c>
      <c r="H2" s="0" t="n">
        <f aca="false">IF(Ingredients!B6="","",COUNTA(Ingredients!$B$6:B6))</f>
        <v>1</v>
      </c>
      <c r="J2" s="0" t="str">
        <f aca="false">IF(Components!C8="","",Components!C8)</f>
        <v>Pizza Dough</v>
      </c>
      <c r="K2" s="0" t="n">
        <f aca="false">IF(J2="","",COUNTIF($J$2:J2,"?*"))</f>
        <v>1</v>
      </c>
      <c r="L2" s="0" t="str">
        <f aca="false">IF(J2="","",Components!G9)</f>
        <v>pc</v>
      </c>
      <c r="M2" s="67" t="n">
        <f aca="false">IF(J2="","",Components!G22)</f>
        <v>0.2225</v>
      </c>
      <c r="N2" s="0" t="str">
        <f aca="false">IFERROR(INDEX($J$2:$J$11,MATCH(1,$K$2:$K$11,0)),"")</f>
        <v>Pizza Dough</v>
      </c>
      <c r="O2" s="0" t="n">
        <f aca="false">COUNTIF($J$2:$J$11,"?*")</f>
        <v>2</v>
      </c>
    </row>
    <row r="3" customFormat="false" ht="15" hidden="false" customHeight="false" outlineLevel="0" collapsed="false">
      <c r="A3" s="0" t="n">
        <v>2</v>
      </c>
      <c r="B3" s="0" t="str">
        <f aca="false">IFERROR(INDEX(Ingredients!$B$6:$B$205,MATCH(A3,$H$2:$H$201,0)),"")</f>
        <v>Instant Dry Yeast</v>
      </c>
      <c r="D3" s="0" t="str">
        <f aca="false">IF(2&lt;=$O$2,INDEX($N$2:$N$11,2),IF(2&lt;=$O$2+$O$3,INDEX($B$2:$B$201,2-$O$2),""))</f>
        <v>Pizza Sauce</v>
      </c>
      <c r="H3" s="0" t="n">
        <f aca="false">IF(Ingredients!B7="","",COUNTA(Ingredients!$B$6:B7))</f>
        <v>2</v>
      </c>
      <c r="J3" s="0" t="str">
        <f aca="false">IF(Components!C26="","",Components!C26)</f>
        <v>Pizza Sauce</v>
      </c>
      <c r="K3" s="0" t="n">
        <f aca="false">IF(J3="","",COUNTIF($J$2:J3,"?*"))</f>
        <v>2</v>
      </c>
      <c r="L3" s="0" t="str">
        <f aca="false">IF(J3="","",Components!G27)</f>
        <v>g</v>
      </c>
      <c r="M3" s="67" t="n">
        <f aca="false">IF(J3="","",Components!G40)</f>
        <v>0.00409235294117647</v>
      </c>
      <c r="N3" s="0" t="str">
        <f aca="false">IFERROR(INDEX($J$2:$J$11,MATCH(2,$K$2:$K$11,0)),"")</f>
        <v>Pizza Sauce</v>
      </c>
      <c r="O3" s="0" t="n">
        <f aca="false">COUNTA(Ingredients!$B$6:$B$205)</f>
        <v>15</v>
      </c>
    </row>
    <row r="4" customFormat="false" ht="15" hidden="false" customHeight="false" outlineLevel="0" collapsed="false">
      <c r="A4" s="0" t="n">
        <v>3</v>
      </c>
      <c r="B4" s="0" t="str">
        <f aca="false">IFERROR(INDEX(Ingredients!$B$6:$B$205,MATCH(A4,$H$2:$H$201,0)),"")</f>
        <v>Fine Sea Salt</v>
      </c>
      <c r="D4" s="0" t="str">
        <f aca="false">IF(3&lt;=$O$2,INDEX($N$2:$N$11,3),IF(3&lt;=$O$2+$O$3,INDEX($B$2:$B$201,3-$O$2),""))</f>
        <v>Flour Tipo 00</v>
      </c>
      <c r="H4" s="0" t="n">
        <f aca="false">IF(Ingredients!B8="","",COUNTA(Ingredients!$B$6:B8))</f>
        <v>3</v>
      </c>
      <c r="J4" s="0" t="str">
        <f aca="false">IF(Components!C44="","",Components!C44)</f>
        <v/>
      </c>
      <c r="K4" s="0" t="str">
        <f aca="false">IF(J4="","",COUNTIF($J$2:J4,"?*"))</f>
        <v/>
      </c>
      <c r="L4" s="0" t="str">
        <f aca="false">IF(J4="","",Components!G45)</f>
        <v/>
      </c>
      <c r="M4" s="0" t="str">
        <f aca="false">IF(J4="","",Components!G58)</f>
        <v/>
      </c>
      <c r="N4" s="0" t="str">
        <f aca="false">IFERROR(INDEX($J$2:$J$11,MATCH(3,$K$2:$K$11,0)),"")</f>
        <v/>
      </c>
    </row>
    <row r="5" customFormat="false" ht="15" hidden="false" customHeight="false" outlineLevel="0" collapsed="false">
      <c r="A5" s="0" t="n">
        <v>4</v>
      </c>
      <c r="B5" s="0" t="str">
        <f aca="false">IFERROR(INDEX(Ingredients!$B$6:$B$205,MATCH(A5,$H$2:$H$201,0)),"")</f>
        <v>Sugar</v>
      </c>
      <c r="D5" s="0" t="str">
        <f aca="false">IF(4&lt;=$O$2,INDEX($N$2:$N$11,4),IF(4&lt;=$O$2+$O$3,INDEX($B$2:$B$201,4-$O$2),""))</f>
        <v>Instant Dry Yeast</v>
      </c>
      <c r="H5" s="0" t="n">
        <f aca="false">IF(Ingredients!B9="","",COUNTA(Ingredients!$B$6:B9))</f>
        <v>4</v>
      </c>
      <c r="J5" s="0" t="str">
        <f aca="false">IF(Components!C62="","",Components!C62)</f>
        <v/>
      </c>
      <c r="K5" s="0" t="str">
        <f aca="false">IF(J5="","",COUNTIF($J$2:J5,"?*"))</f>
        <v/>
      </c>
      <c r="L5" s="0" t="str">
        <f aca="false">IF(J5="","",Components!G63)</f>
        <v/>
      </c>
      <c r="M5" s="0" t="str">
        <f aca="false">IF(J5="","",Components!G76)</f>
        <v/>
      </c>
      <c r="N5" s="0" t="str">
        <f aca="false">IFERROR(INDEX($J$2:$J$11,MATCH(4,$K$2:$K$11,0)),"")</f>
        <v/>
      </c>
    </row>
    <row r="6" customFormat="false" ht="15" hidden="false" customHeight="false" outlineLevel="0" collapsed="false">
      <c r="A6" s="0" t="n">
        <v>5</v>
      </c>
      <c r="B6" s="0" t="str">
        <f aca="false">IFERROR(INDEX(Ingredients!$B$6:$B$205,MATCH(A6,$H$2:$H$201,0)),"")</f>
        <v>Black Pepper, Ground</v>
      </c>
      <c r="D6" s="0" t="str">
        <f aca="false">IF(5&lt;=$O$2,INDEX($N$2:$N$11,5),IF(5&lt;=$O$2+$O$3,INDEX($B$2:$B$201,5-$O$2),""))</f>
        <v>Fine Sea Salt</v>
      </c>
      <c r="H6" s="0" t="n">
        <f aca="false">IF(Ingredients!B10="","",COUNTA(Ingredients!$B$6:B10))</f>
        <v>5</v>
      </c>
      <c r="J6" s="0" t="str">
        <f aca="false">IF(Components!C80="","",Components!C80)</f>
        <v/>
      </c>
      <c r="K6" s="0" t="str">
        <f aca="false">IF(J6="","",COUNTIF($J$2:J6,"?*"))</f>
        <v/>
      </c>
      <c r="L6" s="0" t="str">
        <f aca="false">IF(J6="","",Components!G81)</f>
        <v/>
      </c>
      <c r="M6" s="0" t="str">
        <f aca="false">IF(J6="","",Components!G94)</f>
        <v/>
      </c>
      <c r="N6" s="0" t="str">
        <f aca="false">IFERROR(INDEX($J$2:$J$11,MATCH(5,$K$2:$K$11,0)),"")</f>
        <v/>
      </c>
    </row>
    <row r="7" customFormat="false" ht="15" hidden="false" customHeight="false" outlineLevel="0" collapsed="false">
      <c r="A7" s="0" t="n">
        <v>6</v>
      </c>
      <c r="B7" s="0" t="str">
        <f aca="false">IFERROR(INDEX(Ingredients!$B$6:$B$205,MATCH(A7,$H$2:$H$201,0)),"")</f>
        <v>Extra Virgin Olive Oil</v>
      </c>
      <c r="D7" s="0" t="str">
        <f aca="false">IF(6&lt;=$O$2,INDEX($N$2:$N$11,6),IF(6&lt;=$O$2+$O$3,INDEX($B$2:$B$201,6-$O$2),""))</f>
        <v>Sugar</v>
      </c>
      <c r="H7" s="0" t="n">
        <f aca="false">IF(Ingredients!B11="","",COUNTA(Ingredients!$B$6:B11))</f>
        <v>6</v>
      </c>
      <c r="J7" s="0" t="str">
        <f aca="false">IF(Components!C98="","",Components!C98)</f>
        <v/>
      </c>
      <c r="K7" s="0" t="str">
        <f aca="false">IF(J7="","",COUNTIF($J$2:J7,"?*"))</f>
        <v/>
      </c>
      <c r="L7" s="0" t="str">
        <f aca="false">IF(J7="","",Components!G99)</f>
        <v/>
      </c>
      <c r="M7" s="0" t="str">
        <f aca="false">IF(J7="","",Components!G112)</f>
        <v/>
      </c>
      <c r="N7" s="0" t="str">
        <f aca="false">IFERROR(INDEX($J$2:$J$11,MATCH(6,$K$2:$K$11,0)),"")</f>
        <v/>
      </c>
    </row>
    <row r="8" customFormat="false" ht="15" hidden="false" customHeight="false" outlineLevel="0" collapsed="false">
      <c r="A8" s="0" t="n">
        <v>7</v>
      </c>
      <c r="B8" s="0" t="str">
        <f aca="false">IFERROR(INDEX(Ingredients!$B$6:$B$205,MATCH(A8,$H$2:$H$201,0)),"")</f>
        <v>Water</v>
      </c>
      <c r="D8" s="0" t="str">
        <f aca="false">IF(7&lt;=$O$2,INDEX($N$2:$N$11,7),IF(7&lt;=$O$2+$O$3,INDEX($B$2:$B$201,7-$O$2),""))</f>
        <v>Black Pepper, Ground</v>
      </c>
      <c r="H8" s="0" t="n">
        <f aca="false">IF(Ingredients!B12="","",COUNTA(Ingredients!$B$6:B12))</f>
        <v>7</v>
      </c>
      <c r="J8" s="0" t="str">
        <f aca="false">IF(Components!C116="","",Components!C116)</f>
        <v/>
      </c>
      <c r="K8" s="0" t="str">
        <f aca="false">IF(J8="","",COUNTIF($J$2:J8,"?*"))</f>
        <v/>
      </c>
      <c r="L8" s="0" t="str">
        <f aca="false">IF(J8="","",Components!G117)</f>
        <v/>
      </c>
      <c r="M8" s="0" t="str">
        <f aca="false">IF(J8="","",Components!G130)</f>
        <v/>
      </c>
      <c r="N8" s="0" t="str">
        <f aca="false">IFERROR(INDEX($J$2:$J$11,MATCH(7,$K$2:$K$11,0)),"")</f>
        <v/>
      </c>
    </row>
    <row r="9" customFormat="false" ht="15" hidden="false" customHeight="false" outlineLevel="0" collapsed="false">
      <c r="A9" s="0" t="n">
        <v>8</v>
      </c>
      <c r="B9" s="0" t="str">
        <f aca="false">IFERROR(INDEX(Ingredients!$B$6:$B$205,MATCH(A9,$H$2:$H$201,0)),"")</f>
        <v>Whole Peeled Tomato</v>
      </c>
      <c r="D9" s="0" t="str">
        <f aca="false">IF(8&lt;=$O$2,INDEX($N$2:$N$11,8),IF(8&lt;=$O$2+$O$3,INDEX($B$2:$B$201,8-$O$2),""))</f>
        <v>Extra Virgin Olive Oil</v>
      </c>
      <c r="H9" s="0" t="n">
        <f aca="false">IF(Ingredients!B13="","",COUNTA(Ingredients!$B$6:B13))</f>
        <v>8</v>
      </c>
      <c r="J9" s="0" t="str">
        <f aca="false">IF(Components!C134="","",Components!C134)</f>
        <v/>
      </c>
      <c r="K9" s="0" t="str">
        <f aca="false">IF(J9="","",COUNTIF($J$2:J9,"?*"))</f>
        <v/>
      </c>
      <c r="L9" s="0" t="str">
        <f aca="false">IF(J9="","",Components!G135)</f>
        <v/>
      </c>
      <c r="M9" s="0" t="str">
        <f aca="false">IF(J9="","",Components!G148)</f>
        <v/>
      </c>
      <c r="N9" s="0" t="str">
        <f aca="false">IFERROR(INDEX($J$2:$J$11,MATCH(8,$K$2:$K$11,0)),"")</f>
        <v/>
      </c>
    </row>
    <row r="10" customFormat="false" ht="15" hidden="false" customHeight="false" outlineLevel="0" collapsed="false">
      <c r="A10" s="0" t="n">
        <v>9</v>
      </c>
      <c r="B10" s="0" t="str">
        <f aca="false">IFERROR(INDEX(Ingredients!$B$6:$B$205,MATCH(A10,$H$2:$H$201,0)),"")</f>
        <v>Garlic</v>
      </c>
      <c r="D10" s="0" t="str">
        <f aca="false">IF(9&lt;=$O$2,INDEX($N$2:$N$11,9),IF(9&lt;=$O$2+$O$3,INDEX($B$2:$B$201,9-$O$2),""))</f>
        <v>Water</v>
      </c>
      <c r="H10" s="0" t="n">
        <f aca="false">IF(Ingredients!B14="","",COUNTA(Ingredients!$B$6:B14))</f>
        <v>9</v>
      </c>
      <c r="J10" s="0" t="str">
        <f aca="false">IF(Components!C152="","",Components!C152)</f>
        <v/>
      </c>
      <c r="K10" s="0" t="str">
        <f aca="false">IF(J10="","",COUNTIF($J$2:J10,"?*"))</f>
        <v/>
      </c>
      <c r="L10" s="0" t="str">
        <f aca="false">IF(J10="","",Components!G153)</f>
        <v/>
      </c>
      <c r="M10" s="0" t="str">
        <f aca="false">IF(J10="","",Components!G166)</f>
        <v/>
      </c>
      <c r="N10" s="0" t="str">
        <f aca="false">IFERROR(INDEX($J$2:$J$11,MATCH(9,$K$2:$K$11,0)),"")</f>
        <v/>
      </c>
    </row>
    <row r="11" customFormat="false" ht="15" hidden="false" customHeight="false" outlineLevel="0" collapsed="false">
      <c r="A11" s="0" t="n">
        <v>10</v>
      </c>
      <c r="B11" s="0" t="str">
        <f aca="false">IFERROR(INDEX(Ingredients!$B$6:$B$205,MATCH(A11,$H$2:$H$201,0)),"")</f>
        <v>Fresh Basil</v>
      </c>
      <c r="D11" s="0" t="str">
        <f aca="false">IF(10&lt;=$O$2,INDEX($N$2:$N$11,10),IF(10&lt;=$O$2+$O$3,INDEX($B$2:$B$201,10-$O$2),""))</f>
        <v>Whole Peeled Tomato</v>
      </c>
      <c r="H11" s="0" t="n">
        <f aca="false">IF(Ingredients!B15="","",COUNTA(Ingredients!$B$6:B15))</f>
        <v>10</v>
      </c>
      <c r="J11" s="0" t="str">
        <f aca="false">IF(Components!C170="","",Components!C170)</f>
        <v/>
      </c>
      <c r="K11" s="0" t="str">
        <f aca="false">IF(J11="","",COUNTIF($J$2:J11,"?*"))</f>
        <v/>
      </c>
      <c r="L11" s="0" t="str">
        <f aca="false">IF(J11="","",Components!G171)</f>
        <v/>
      </c>
      <c r="M11" s="0" t="str">
        <f aca="false">IF(J11="","",Components!G184)</f>
        <v/>
      </c>
      <c r="N11" s="0" t="str">
        <f aca="false">IFERROR(INDEX($J$2:$J$11,MATCH(10,$K$2:$K$11,0)),"")</f>
        <v/>
      </c>
    </row>
    <row r="12" customFormat="false" ht="15" hidden="false" customHeight="false" outlineLevel="0" collapsed="false">
      <c r="A12" s="0" t="n">
        <v>11</v>
      </c>
      <c r="B12" s="0" t="str">
        <f aca="false">IFERROR(INDEX(Ingredients!$B$6:$B$205,MATCH(A12,$H$2:$H$201,0)),"")</f>
        <v>Mozzarella Fior di Latte</v>
      </c>
      <c r="D12" s="0" t="str">
        <f aca="false">IF(11&lt;=$O$2,INDEX($N$2:$N$11,11),IF(11&lt;=$O$2+$O$3,INDEX($B$2:$B$201,11-$O$2),""))</f>
        <v>Garlic</v>
      </c>
      <c r="H12" s="0" t="n">
        <f aca="false">IF(Ingredients!B16="","",COUNTA(Ingredients!$B$6:B16))</f>
        <v>11</v>
      </c>
    </row>
    <row r="13" customFormat="false" ht="15" hidden="false" customHeight="false" outlineLevel="0" collapsed="false">
      <c r="A13" s="0" t="n">
        <v>12</v>
      </c>
      <c r="B13" s="0" t="str">
        <f aca="false">IFERROR(INDEX(Ingredients!$B$6:$B$205,MATCH(A13,$H$2:$H$201,0)),"")</f>
        <v>Parmesan</v>
      </c>
      <c r="D13" s="0" t="str">
        <f aca="false">IF(12&lt;=$O$2,INDEX($N$2:$N$11,12),IF(12&lt;=$O$2+$O$3,INDEX($B$2:$B$201,12-$O$2),""))</f>
        <v>Fresh Basil</v>
      </c>
      <c r="H13" s="0" t="n">
        <f aca="false">IF(Ingredients!B17="","",COUNTA(Ingredients!$B$6:B17))</f>
        <v>12</v>
      </c>
    </row>
    <row r="14" customFormat="false" ht="15" hidden="false" customHeight="false" outlineLevel="0" collapsed="false">
      <c r="A14" s="0" t="n">
        <v>13</v>
      </c>
      <c r="B14" s="0" t="str">
        <f aca="false">IFERROR(INDEX(Ingredients!$B$6:$B$205,MATCH(A14,$H$2:$H$201,0)),"")</f>
        <v>Eggs</v>
      </c>
      <c r="D14" s="0" t="str">
        <f aca="false">IF(13&lt;=$O$2,INDEX($N$2:$N$11,13),IF(13&lt;=$O$2+$O$3,INDEX($B$2:$B$201,13-$O$2),""))</f>
        <v>Mozzarella Fior di Latte</v>
      </c>
      <c r="H14" s="0" t="n">
        <f aca="false">IF(Ingredients!B18="","",COUNTA(Ingredients!$B$6:B18))</f>
        <v>13</v>
      </c>
    </row>
    <row r="15" customFormat="false" ht="15" hidden="false" customHeight="false" outlineLevel="0" collapsed="false">
      <c r="A15" s="0" t="n">
        <v>14</v>
      </c>
      <c r="B15" s="0" t="str">
        <f aca="false">IFERROR(INDEX(Ingredients!$B$6:$B$205,MATCH(A15,$H$2:$H$201,0)),"")</f>
        <v>Salmon Fillet, Skin On</v>
      </c>
      <c r="D15" s="0" t="str">
        <f aca="false">IF(14&lt;=$O$2,INDEX($N$2:$N$11,14),IF(14&lt;=$O$2+$O$3,INDEX($B$2:$B$201,14-$O$2),""))</f>
        <v>Parmesan</v>
      </c>
      <c r="H15" s="0" t="n">
        <f aca="false">IF(Ingredients!B19="","",COUNTA(Ingredients!$B$6:B19))</f>
        <v>14</v>
      </c>
    </row>
    <row r="16" customFormat="false" ht="15" hidden="false" customHeight="false" outlineLevel="0" collapsed="false">
      <c r="A16" s="0" t="n">
        <v>15</v>
      </c>
      <c r="B16" s="0" t="str">
        <f aca="false">IFERROR(INDEX(Ingredients!$B$6:$B$205,MATCH(A16,$H$2:$H$201,0)),"")</f>
        <v>Ribeye, Whole Loin</v>
      </c>
      <c r="D16" s="0" t="str">
        <f aca="false">IF(15&lt;=$O$2,INDEX($N$2:$N$11,15),IF(15&lt;=$O$2+$O$3,INDEX($B$2:$B$201,15-$O$2),""))</f>
        <v>Eggs</v>
      </c>
      <c r="H16" s="0" t="n">
        <f aca="false">IF(Ingredients!B20="","",COUNTA(Ingredients!$B$6:B20))</f>
        <v>15</v>
      </c>
    </row>
    <row r="17" customFormat="false" ht="15" hidden="false" customHeight="false" outlineLevel="0" collapsed="false">
      <c r="A17" s="0" t="n">
        <v>16</v>
      </c>
      <c r="B17" s="0" t="str">
        <f aca="false">IFERROR(INDEX(Ingredients!$B$6:$B$205,MATCH(A17,$H$2:$H$201,0)),"")</f>
        <v/>
      </c>
      <c r="D17" s="0" t="str">
        <f aca="false">IF(16&lt;=$O$2,INDEX($N$2:$N$11,16),IF(16&lt;=$O$2+$O$3,INDEX($B$2:$B$201,16-$O$2),""))</f>
        <v>Salmon Fillet, Skin On</v>
      </c>
      <c r="H17" s="0" t="str">
        <f aca="false">IF(Ingredients!B21="","",COUNTA(Ingredients!$B$6:B21))</f>
        <v/>
      </c>
    </row>
    <row r="18" customFormat="false" ht="15" hidden="false" customHeight="false" outlineLevel="0" collapsed="false">
      <c r="A18" s="0" t="n">
        <v>17</v>
      </c>
      <c r="B18" s="0" t="str">
        <f aca="false">IFERROR(INDEX(Ingredients!$B$6:$B$205,MATCH(A18,$H$2:$H$201,0)),"")</f>
        <v/>
      </c>
      <c r="D18" s="0" t="str">
        <f aca="false">IF(17&lt;=$O$2,INDEX($N$2:$N$11,17),IF(17&lt;=$O$2+$O$3,INDEX($B$2:$B$201,17-$O$2),""))</f>
        <v>Ribeye, Whole Loin</v>
      </c>
      <c r="H18" s="0" t="str">
        <f aca="false">IF(Ingredients!B22="","",COUNTA(Ingredients!$B$6:B22))</f>
        <v/>
      </c>
    </row>
    <row r="19" customFormat="false" ht="15" hidden="false" customHeight="false" outlineLevel="0" collapsed="false">
      <c r="A19" s="0" t="n">
        <v>18</v>
      </c>
      <c r="B19" s="0" t="str">
        <f aca="false">IFERROR(INDEX(Ingredients!$B$6:$B$205,MATCH(A19,$H$2:$H$201,0)),"")</f>
        <v/>
      </c>
      <c r="D19" s="0" t="str">
        <f aca="false">IF(18&lt;=$O$2,INDEX($N$2:$N$11,18),IF(18&lt;=$O$2+$O$3,INDEX($B$2:$B$201,18-$O$2),""))</f>
        <v/>
      </c>
      <c r="H19" s="0" t="str">
        <f aca="false">IF(Ingredients!B23="","",COUNTA(Ingredients!$B$6:B23))</f>
        <v/>
      </c>
    </row>
    <row r="20" customFormat="false" ht="15" hidden="false" customHeight="false" outlineLevel="0" collapsed="false">
      <c r="A20" s="0" t="n">
        <v>19</v>
      </c>
      <c r="B20" s="0" t="str">
        <f aca="false">IFERROR(INDEX(Ingredients!$B$6:$B$205,MATCH(A20,$H$2:$H$201,0)),"")</f>
        <v/>
      </c>
      <c r="D20" s="0" t="str">
        <f aca="false">IF(19&lt;=$O$2,INDEX($N$2:$N$11,19),IF(19&lt;=$O$2+$O$3,INDEX($B$2:$B$201,19-$O$2),""))</f>
        <v/>
      </c>
      <c r="H20" s="0" t="str">
        <f aca="false">IF(Ingredients!B24="","",COUNTA(Ingredients!$B$6:B24))</f>
        <v/>
      </c>
    </row>
    <row r="21" customFormat="false" ht="15" hidden="false" customHeight="false" outlineLevel="0" collapsed="false">
      <c r="A21" s="0" t="n">
        <v>20</v>
      </c>
      <c r="B21" s="0" t="str">
        <f aca="false">IFERROR(INDEX(Ingredients!$B$6:$B$205,MATCH(A21,$H$2:$H$201,0)),"")</f>
        <v/>
      </c>
      <c r="D21" s="0" t="str">
        <f aca="false">IF(20&lt;=$O$2,INDEX($N$2:$N$11,20),IF(20&lt;=$O$2+$O$3,INDEX($B$2:$B$201,20-$O$2),""))</f>
        <v/>
      </c>
      <c r="H21" s="0" t="str">
        <f aca="false">IF(Ingredients!B25="","",COUNTA(Ingredients!$B$6:B25))</f>
        <v/>
      </c>
    </row>
    <row r="22" customFormat="false" ht="15" hidden="false" customHeight="false" outlineLevel="0" collapsed="false">
      <c r="A22" s="0" t="n">
        <v>21</v>
      </c>
      <c r="B22" s="0" t="str">
        <f aca="false">IFERROR(INDEX(Ingredients!$B$6:$B$205,MATCH(A22,$H$2:$H$201,0)),"")</f>
        <v/>
      </c>
      <c r="D22" s="0" t="str">
        <f aca="false">IF(21&lt;=$O$2,INDEX($N$2:$N$11,21),IF(21&lt;=$O$2+$O$3,INDEX($B$2:$B$201,21-$O$2),""))</f>
        <v/>
      </c>
      <c r="H22" s="0" t="str">
        <f aca="false">IF(Ingredients!B26="","",COUNTA(Ingredients!$B$6:B26))</f>
        <v/>
      </c>
    </row>
    <row r="23" customFormat="false" ht="15" hidden="false" customHeight="false" outlineLevel="0" collapsed="false">
      <c r="A23" s="0" t="n">
        <v>22</v>
      </c>
      <c r="B23" s="0" t="str">
        <f aca="false">IFERROR(INDEX(Ingredients!$B$6:$B$205,MATCH(A23,$H$2:$H$201,0)),"")</f>
        <v/>
      </c>
      <c r="D23" s="0" t="str">
        <f aca="false">IF(22&lt;=$O$2,INDEX($N$2:$N$11,22),IF(22&lt;=$O$2+$O$3,INDEX($B$2:$B$201,22-$O$2),""))</f>
        <v/>
      </c>
      <c r="H23" s="0" t="str">
        <f aca="false">IF(Ingredients!B27="","",COUNTA(Ingredients!$B$6:B27))</f>
        <v/>
      </c>
    </row>
    <row r="24" customFormat="false" ht="15" hidden="false" customHeight="false" outlineLevel="0" collapsed="false">
      <c r="A24" s="0" t="n">
        <v>23</v>
      </c>
      <c r="B24" s="0" t="str">
        <f aca="false">IFERROR(INDEX(Ingredients!$B$6:$B$205,MATCH(A24,$H$2:$H$201,0)),"")</f>
        <v/>
      </c>
      <c r="D24" s="0" t="str">
        <f aca="false">IF(23&lt;=$O$2,INDEX($N$2:$N$11,23),IF(23&lt;=$O$2+$O$3,INDEX($B$2:$B$201,23-$O$2),""))</f>
        <v/>
      </c>
      <c r="H24" s="0" t="str">
        <f aca="false">IF(Ingredients!B28="","",COUNTA(Ingredients!$B$6:B28))</f>
        <v/>
      </c>
    </row>
    <row r="25" customFormat="false" ht="15" hidden="false" customHeight="false" outlineLevel="0" collapsed="false">
      <c r="A25" s="0" t="n">
        <v>24</v>
      </c>
      <c r="B25" s="0" t="str">
        <f aca="false">IFERROR(INDEX(Ingredients!$B$6:$B$205,MATCH(A25,$H$2:$H$201,0)),"")</f>
        <v/>
      </c>
      <c r="D25" s="0" t="str">
        <f aca="false">IF(24&lt;=$O$2,INDEX($N$2:$N$11,24),IF(24&lt;=$O$2+$O$3,INDEX($B$2:$B$201,24-$O$2),""))</f>
        <v/>
      </c>
      <c r="H25" s="0" t="str">
        <f aca="false">IF(Ingredients!B29="","",COUNTA(Ingredients!$B$6:B29))</f>
        <v/>
      </c>
    </row>
    <row r="26" customFormat="false" ht="15" hidden="false" customHeight="false" outlineLevel="0" collapsed="false">
      <c r="A26" s="0" t="n">
        <v>25</v>
      </c>
      <c r="B26" s="0" t="str">
        <f aca="false">IFERROR(INDEX(Ingredients!$B$6:$B$205,MATCH(A26,$H$2:$H$201,0)),"")</f>
        <v/>
      </c>
      <c r="D26" s="0" t="str">
        <f aca="false">IF(25&lt;=$O$2,INDEX($N$2:$N$11,25),IF(25&lt;=$O$2+$O$3,INDEX($B$2:$B$201,25-$O$2),""))</f>
        <v/>
      </c>
      <c r="H26" s="0" t="str">
        <f aca="false">IF(Ingredients!B30="","",COUNTA(Ingredients!$B$6:B30))</f>
        <v/>
      </c>
    </row>
    <row r="27" customFormat="false" ht="15" hidden="false" customHeight="false" outlineLevel="0" collapsed="false">
      <c r="A27" s="0" t="n">
        <v>26</v>
      </c>
      <c r="B27" s="0" t="str">
        <f aca="false">IFERROR(INDEX(Ingredients!$B$6:$B$205,MATCH(A27,$H$2:$H$201,0)),"")</f>
        <v/>
      </c>
      <c r="D27" s="0" t="str">
        <f aca="false">IF(26&lt;=$O$2,INDEX($N$2:$N$11,26),IF(26&lt;=$O$2+$O$3,INDEX($B$2:$B$201,26-$O$2),""))</f>
        <v/>
      </c>
      <c r="H27" s="0" t="str">
        <f aca="false">IF(Ingredients!B31="","",COUNTA(Ingredients!$B$6:B31))</f>
        <v/>
      </c>
    </row>
    <row r="28" customFormat="false" ht="15" hidden="false" customHeight="false" outlineLevel="0" collapsed="false">
      <c r="A28" s="0" t="n">
        <v>27</v>
      </c>
      <c r="B28" s="0" t="str">
        <f aca="false">IFERROR(INDEX(Ingredients!$B$6:$B$205,MATCH(A28,$H$2:$H$201,0)),"")</f>
        <v/>
      </c>
      <c r="D28" s="0" t="str">
        <f aca="false">IF(27&lt;=$O$2,INDEX($N$2:$N$11,27),IF(27&lt;=$O$2+$O$3,INDEX($B$2:$B$201,27-$O$2),""))</f>
        <v/>
      </c>
      <c r="H28" s="0" t="str">
        <f aca="false">IF(Ingredients!B32="","",COUNTA(Ingredients!$B$6:B32))</f>
        <v/>
      </c>
    </row>
    <row r="29" customFormat="false" ht="15" hidden="false" customHeight="false" outlineLevel="0" collapsed="false">
      <c r="A29" s="0" t="n">
        <v>28</v>
      </c>
      <c r="B29" s="0" t="str">
        <f aca="false">IFERROR(INDEX(Ingredients!$B$6:$B$205,MATCH(A29,$H$2:$H$201,0)),"")</f>
        <v/>
      </c>
      <c r="D29" s="0" t="str">
        <f aca="false">IF(28&lt;=$O$2,INDEX($N$2:$N$11,28),IF(28&lt;=$O$2+$O$3,INDEX($B$2:$B$201,28-$O$2),""))</f>
        <v/>
      </c>
      <c r="H29" s="0" t="str">
        <f aca="false">IF(Ingredients!B33="","",COUNTA(Ingredients!$B$6:B33))</f>
        <v/>
      </c>
    </row>
    <row r="30" customFormat="false" ht="15" hidden="false" customHeight="false" outlineLevel="0" collapsed="false">
      <c r="A30" s="0" t="n">
        <v>29</v>
      </c>
      <c r="B30" s="0" t="str">
        <f aca="false">IFERROR(INDEX(Ingredients!$B$6:$B$205,MATCH(A30,$H$2:$H$201,0)),"")</f>
        <v/>
      </c>
      <c r="D30" s="0" t="str">
        <f aca="false">IF(29&lt;=$O$2,INDEX($N$2:$N$11,29),IF(29&lt;=$O$2+$O$3,INDEX($B$2:$B$201,29-$O$2),""))</f>
        <v/>
      </c>
      <c r="H30" s="0" t="str">
        <f aca="false">IF(Ingredients!B34="","",COUNTA(Ingredients!$B$6:B34))</f>
        <v/>
      </c>
    </row>
    <row r="31" customFormat="false" ht="15" hidden="false" customHeight="false" outlineLevel="0" collapsed="false">
      <c r="A31" s="0" t="n">
        <v>30</v>
      </c>
      <c r="B31" s="0" t="str">
        <f aca="false">IFERROR(INDEX(Ingredients!$B$6:$B$205,MATCH(A31,$H$2:$H$201,0)),"")</f>
        <v/>
      </c>
      <c r="D31" s="0" t="str">
        <f aca="false">IF(30&lt;=$O$2,INDEX($N$2:$N$11,30),IF(30&lt;=$O$2+$O$3,INDEX($B$2:$B$201,30-$O$2),""))</f>
        <v/>
      </c>
      <c r="H31" s="0" t="str">
        <f aca="false">IF(Ingredients!B35="","",COUNTA(Ingredients!$B$6:B35))</f>
        <v/>
      </c>
    </row>
    <row r="32" customFormat="false" ht="15" hidden="false" customHeight="false" outlineLevel="0" collapsed="false">
      <c r="A32" s="0" t="n">
        <v>31</v>
      </c>
      <c r="B32" s="0" t="str">
        <f aca="false">IFERROR(INDEX(Ingredients!$B$6:$B$205,MATCH(A32,$H$2:$H$201,0)),"")</f>
        <v/>
      </c>
      <c r="D32" s="0" t="str">
        <f aca="false">IF(31&lt;=$O$2,INDEX($N$2:$N$11,31),IF(31&lt;=$O$2+$O$3,INDEX($B$2:$B$201,31-$O$2),""))</f>
        <v/>
      </c>
      <c r="H32" s="0" t="str">
        <f aca="false">IF(Ingredients!B36="","",COUNTA(Ingredients!$B$6:B36))</f>
        <v/>
      </c>
    </row>
    <row r="33" customFormat="false" ht="15" hidden="false" customHeight="false" outlineLevel="0" collapsed="false">
      <c r="A33" s="0" t="n">
        <v>32</v>
      </c>
      <c r="B33" s="0" t="str">
        <f aca="false">IFERROR(INDEX(Ingredients!$B$6:$B$205,MATCH(A33,$H$2:$H$201,0)),"")</f>
        <v/>
      </c>
      <c r="D33" s="0" t="str">
        <f aca="false">IF(32&lt;=$O$2,INDEX($N$2:$N$11,32),IF(32&lt;=$O$2+$O$3,INDEX($B$2:$B$201,32-$O$2),""))</f>
        <v/>
      </c>
      <c r="H33" s="0" t="str">
        <f aca="false">IF(Ingredients!B37="","",COUNTA(Ingredients!$B$6:B37))</f>
        <v/>
      </c>
    </row>
    <row r="34" customFormat="false" ht="15" hidden="false" customHeight="false" outlineLevel="0" collapsed="false">
      <c r="A34" s="0" t="n">
        <v>33</v>
      </c>
      <c r="B34" s="0" t="str">
        <f aca="false">IFERROR(INDEX(Ingredients!$B$6:$B$205,MATCH(A34,$H$2:$H$201,0)),"")</f>
        <v/>
      </c>
      <c r="D34" s="0" t="str">
        <f aca="false">IF(33&lt;=$O$2,INDEX($N$2:$N$11,33),IF(33&lt;=$O$2+$O$3,INDEX($B$2:$B$201,33-$O$2),""))</f>
        <v/>
      </c>
      <c r="H34" s="0" t="str">
        <f aca="false">IF(Ingredients!B38="","",COUNTA(Ingredients!$B$6:B38))</f>
        <v/>
      </c>
    </row>
    <row r="35" customFormat="false" ht="15" hidden="false" customHeight="false" outlineLevel="0" collapsed="false">
      <c r="A35" s="0" t="n">
        <v>34</v>
      </c>
      <c r="B35" s="0" t="str">
        <f aca="false">IFERROR(INDEX(Ingredients!$B$6:$B$205,MATCH(A35,$H$2:$H$201,0)),"")</f>
        <v/>
      </c>
      <c r="D35" s="0" t="str">
        <f aca="false">IF(34&lt;=$O$2,INDEX($N$2:$N$11,34),IF(34&lt;=$O$2+$O$3,INDEX($B$2:$B$201,34-$O$2),""))</f>
        <v/>
      </c>
      <c r="H35" s="0" t="str">
        <f aca="false">IF(Ingredients!B39="","",COUNTA(Ingredients!$B$6:B39))</f>
        <v/>
      </c>
    </row>
    <row r="36" customFormat="false" ht="15" hidden="false" customHeight="false" outlineLevel="0" collapsed="false">
      <c r="A36" s="0" t="n">
        <v>35</v>
      </c>
      <c r="B36" s="0" t="str">
        <f aca="false">IFERROR(INDEX(Ingredients!$B$6:$B$205,MATCH(A36,$H$2:$H$201,0)),"")</f>
        <v/>
      </c>
      <c r="D36" s="0" t="str">
        <f aca="false">IF(35&lt;=$O$2,INDEX($N$2:$N$11,35),IF(35&lt;=$O$2+$O$3,INDEX($B$2:$B$201,35-$O$2),""))</f>
        <v/>
      </c>
      <c r="H36" s="0" t="str">
        <f aca="false">IF(Ingredients!B40="","",COUNTA(Ingredients!$B$6:B40))</f>
        <v/>
      </c>
    </row>
    <row r="37" customFormat="false" ht="15" hidden="false" customHeight="false" outlineLevel="0" collapsed="false">
      <c r="A37" s="0" t="n">
        <v>36</v>
      </c>
      <c r="B37" s="0" t="str">
        <f aca="false">IFERROR(INDEX(Ingredients!$B$6:$B$205,MATCH(A37,$H$2:$H$201,0)),"")</f>
        <v/>
      </c>
      <c r="D37" s="0" t="str">
        <f aca="false">IF(36&lt;=$O$2,INDEX($N$2:$N$11,36),IF(36&lt;=$O$2+$O$3,INDEX($B$2:$B$201,36-$O$2),""))</f>
        <v/>
      </c>
      <c r="H37" s="0" t="str">
        <f aca="false">IF(Ingredients!B41="","",COUNTA(Ingredients!$B$6:B41))</f>
        <v/>
      </c>
    </row>
    <row r="38" customFormat="false" ht="15" hidden="false" customHeight="false" outlineLevel="0" collapsed="false">
      <c r="A38" s="0" t="n">
        <v>37</v>
      </c>
      <c r="B38" s="0" t="str">
        <f aca="false">IFERROR(INDEX(Ingredients!$B$6:$B$205,MATCH(A38,$H$2:$H$201,0)),"")</f>
        <v/>
      </c>
      <c r="D38" s="0" t="str">
        <f aca="false">IF(37&lt;=$O$2,INDEX($N$2:$N$11,37),IF(37&lt;=$O$2+$O$3,INDEX($B$2:$B$201,37-$O$2),""))</f>
        <v/>
      </c>
      <c r="H38" s="0" t="str">
        <f aca="false">IF(Ingredients!B42="","",COUNTA(Ingredients!$B$6:B42))</f>
        <v/>
      </c>
    </row>
    <row r="39" customFormat="false" ht="15" hidden="false" customHeight="false" outlineLevel="0" collapsed="false">
      <c r="A39" s="0" t="n">
        <v>38</v>
      </c>
      <c r="B39" s="0" t="str">
        <f aca="false">IFERROR(INDEX(Ingredients!$B$6:$B$205,MATCH(A39,$H$2:$H$201,0)),"")</f>
        <v/>
      </c>
      <c r="D39" s="0" t="str">
        <f aca="false">IF(38&lt;=$O$2,INDEX($N$2:$N$11,38),IF(38&lt;=$O$2+$O$3,INDEX($B$2:$B$201,38-$O$2),""))</f>
        <v/>
      </c>
      <c r="H39" s="0" t="str">
        <f aca="false">IF(Ingredients!B43="","",COUNTA(Ingredients!$B$6:B43))</f>
        <v/>
      </c>
    </row>
    <row r="40" customFormat="false" ht="15" hidden="false" customHeight="false" outlineLevel="0" collapsed="false">
      <c r="A40" s="0" t="n">
        <v>39</v>
      </c>
      <c r="B40" s="0" t="str">
        <f aca="false">IFERROR(INDEX(Ingredients!$B$6:$B$205,MATCH(A40,$H$2:$H$201,0)),"")</f>
        <v/>
      </c>
      <c r="D40" s="0" t="str">
        <f aca="false">IF(39&lt;=$O$2,INDEX($N$2:$N$11,39),IF(39&lt;=$O$2+$O$3,INDEX($B$2:$B$201,39-$O$2),""))</f>
        <v/>
      </c>
      <c r="H40" s="0" t="str">
        <f aca="false">IF(Ingredients!B44="","",COUNTA(Ingredients!$B$6:B44))</f>
        <v/>
      </c>
    </row>
    <row r="41" customFormat="false" ht="15" hidden="false" customHeight="false" outlineLevel="0" collapsed="false">
      <c r="A41" s="0" t="n">
        <v>40</v>
      </c>
      <c r="B41" s="0" t="str">
        <f aca="false">IFERROR(INDEX(Ingredients!$B$6:$B$205,MATCH(A41,$H$2:$H$201,0)),"")</f>
        <v/>
      </c>
      <c r="D41" s="0" t="str">
        <f aca="false">IF(40&lt;=$O$2,INDEX($N$2:$N$11,40),IF(40&lt;=$O$2+$O$3,INDEX($B$2:$B$201,40-$O$2),""))</f>
        <v/>
      </c>
      <c r="H41" s="0" t="str">
        <f aca="false">IF(Ingredients!B45="","",COUNTA(Ingredients!$B$6:B45))</f>
        <v/>
      </c>
    </row>
    <row r="42" customFormat="false" ht="15" hidden="false" customHeight="false" outlineLevel="0" collapsed="false">
      <c r="A42" s="0" t="n">
        <v>41</v>
      </c>
      <c r="B42" s="0" t="str">
        <f aca="false">IFERROR(INDEX(Ingredients!$B$6:$B$205,MATCH(A42,$H$2:$H$201,0)),"")</f>
        <v/>
      </c>
      <c r="D42" s="0" t="str">
        <f aca="false">IF(41&lt;=$O$2,INDEX($N$2:$N$11,41),IF(41&lt;=$O$2+$O$3,INDEX($B$2:$B$201,41-$O$2),""))</f>
        <v/>
      </c>
      <c r="H42" s="0" t="str">
        <f aca="false">IF(Ingredients!B46="","",COUNTA(Ingredients!$B$6:B46))</f>
        <v/>
      </c>
    </row>
    <row r="43" customFormat="false" ht="15" hidden="false" customHeight="false" outlineLevel="0" collapsed="false">
      <c r="A43" s="0" t="n">
        <v>42</v>
      </c>
      <c r="B43" s="0" t="str">
        <f aca="false">IFERROR(INDEX(Ingredients!$B$6:$B$205,MATCH(A43,$H$2:$H$201,0)),"")</f>
        <v/>
      </c>
      <c r="D43" s="0" t="str">
        <f aca="false">IF(42&lt;=$O$2,INDEX($N$2:$N$11,42),IF(42&lt;=$O$2+$O$3,INDEX($B$2:$B$201,42-$O$2),""))</f>
        <v/>
      </c>
      <c r="H43" s="0" t="str">
        <f aca="false">IF(Ingredients!B47="","",COUNTA(Ingredients!$B$6:B47))</f>
        <v/>
      </c>
    </row>
    <row r="44" customFormat="false" ht="15" hidden="false" customHeight="false" outlineLevel="0" collapsed="false">
      <c r="A44" s="0" t="n">
        <v>43</v>
      </c>
      <c r="B44" s="0" t="str">
        <f aca="false">IFERROR(INDEX(Ingredients!$B$6:$B$205,MATCH(A44,$H$2:$H$201,0)),"")</f>
        <v/>
      </c>
      <c r="D44" s="0" t="str">
        <f aca="false">IF(43&lt;=$O$2,INDEX($N$2:$N$11,43),IF(43&lt;=$O$2+$O$3,INDEX($B$2:$B$201,43-$O$2),""))</f>
        <v/>
      </c>
      <c r="H44" s="0" t="str">
        <f aca="false">IF(Ingredients!B48="","",COUNTA(Ingredients!$B$6:B48))</f>
        <v/>
      </c>
    </row>
    <row r="45" customFormat="false" ht="15" hidden="false" customHeight="false" outlineLevel="0" collapsed="false">
      <c r="A45" s="0" t="n">
        <v>44</v>
      </c>
      <c r="B45" s="0" t="str">
        <f aca="false">IFERROR(INDEX(Ingredients!$B$6:$B$205,MATCH(A45,$H$2:$H$201,0)),"")</f>
        <v/>
      </c>
      <c r="D45" s="0" t="str">
        <f aca="false">IF(44&lt;=$O$2,INDEX($N$2:$N$11,44),IF(44&lt;=$O$2+$O$3,INDEX($B$2:$B$201,44-$O$2),""))</f>
        <v/>
      </c>
      <c r="H45" s="0" t="str">
        <f aca="false">IF(Ingredients!B49="","",COUNTA(Ingredients!$B$6:B49))</f>
        <v/>
      </c>
    </row>
    <row r="46" customFormat="false" ht="15" hidden="false" customHeight="false" outlineLevel="0" collapsed="false">
      <c r="A46" s="0" t="n">
        <v>45</v>
      </c>
      <c r="B46" s="0" t="str">
        <f aca="false">IFERROR(INDEX(Ingredients!$B$6:$B$205,MATCH(A46,$H$2:$H$201,0)),"")</f>
        <v/>
      </c>
      <c r="D46" s="0" t="str">
        <f aca="false">IF(45&lt;=$O$2,INDEX($N$2:$N$11,45),IF(45&lt;=$O$2+$O$3,INDEX($B$2:$B$201,45-$O$2),""))</f>
        <v/>
      </c>
      <c r="H46" s="0" t="str">
        <f aca="false">IF(Ingredients!B50="","",COUNTA(Ingredients!$B$6:B50))</f>
        <v/>
      </c>
    </row>
    <row r="47" customFormat="false" ht="15" hidden="false" customHeight="false" outlineLevel="0" collapsed="false">
      <c r="A47" s="0" t="n">
        <v>46</v>
      </c>
      <c r="B47" s="0" t="str">
        <f aca="false">IFERROR(INDEX(Ingredients!$B$6:$B$205,MATCH(A47,$H$2:$H$201,0)),"")</f>
        <v/>
      </c>
      <c r="D47" s="0" t="str">
        <f aca="false">IF(46&lt;=$O$2,INDEX($N$2:$N$11,46),IF(46&lt;=$O$2+$O$3,INDEX($B$2:$B$201,46-$O$2),""))</f>
        <v/>
      </c>
      <c r="H47" s="0" t="str">
        <f aca="false">IF(Ingredients!B51="","",COUNTA(Ingredients!$B$6:B51))</f>
        <v/>
      </c>
    </row>
    <row r="48" customFormat="false" ht="15" hidden="false" customHeight="false" outlineLevel="0" collapsed="false">
      <c r="A48" s="0" t="n">
        <v>47</v>
      </c>
      <c r="B48" s="0" t="str">
        <f aca="false">IFERROR(INDEX(Ingredients!$B$6:$B$205,MATCH(A48,$H$2:$H$201,0)),"")</f>
        <v/>
      </c>
      <c r="D48" s="0" t="str">
        <f aca="false">IF(47&lt;=$O$2,INDEX($N$2:$N$11,47),IF(47&lt;=$O$2+$O$3,INDEX($B$2:$B$201,47-$O$2),""))</f>
        <v/>
      </c>
      <c r="H48" s="0" t="str">
        <f aca="false">IF(Ingredients!B52="","",COUNTA(Ingredients!$B$6:B52))</f>
        <v/>
      </c>
    </row>
    <row r="49" customFormat="false" ht="15" hidden="false" customHeight="false" outlineLevel="0" collapsed="false">
      <c r="A49" s="0" t="n">
        <v>48</v>
      </c>
      <c r="B49" s="0" t="str">
        <f aca="false">IFERROR(INDEX(Ingredients!$B$6:$B$205,MATCH(A49,$H$2:$H$201,0)),"")</f>
        <v/>
      </c>
      <c r="D49" s="0" t="str">
        <f aca="false">IF(48&lt;=$O$2,INDEX($N$2:$N$11,48),IF(48&lt;=$O$2+$O$3,INDEX($B$2:$B$201,48-$O$2),""))</f>
        <v/>
      </c>
      <c r="H49" s="0" t="str">
        <f aca="false">IF(Ingredients!B53="","",COUNTA(Ingredients!$B$6:B53))</f>
        <v/>
      </c>
    </row>
    <row r="50" customFormat="false" ht="15" hidden="false" customHeight="false" outlineLevel="0" collapsed="false">
      <c r="A50" s="0" t="n">
        <v>49</v>
      </c>
      <c r="B50" s="0" t="str">
        <f aca="false">IFERROR(INDEX(Ingredients!$B$6:$B$205,MATCH(A50,$H$2:$H$201,0)),"")</f>
        <v/>
      </c>
      <c r="D50" s="0" t="str">
        <f aca="false">IF(49&lt;=$O$2,INDEX($N$2:$N$11,49),IF(49&lt;=$O$2+$O$3,INDEX($B$2:$B$201,49-$O$2),""))</f>
        <v/>
      </c>
      <c r="H50" s="0" t="str">
        <f aca="false">IF(Ingredients!B54="","",COUNTA(Ingredients!$B$6:B54))</f>
        <v/>
      </c>
    </row>
    <row r="51" customFormat="false" ht="15" hidden="false" customHeight="false" outlineLevel="0" collapsed="false">
      <c r="A51" s="0" t="n">
        <v>50</v>
      </c>
      <c r="B51" s="0" t="str">
        <f aca="false">IFERROR(INDEX(Ingredients!$B$6:$B$205,MATCH(A51,$H$2:$H$201,0)),"")</f>
        <v/>
      </c>
      <c r="D51" s="0" t="str">
        <f aca="false">IF(50&lt;=$O$2,INDEX($N$2:$N$11,50),IF(50&lt;=$O$2+$O$3,INDEX($B$2:$B$201,50-$O$2),""))</f>
        <v/>
      </c>
      <c r="H51" s="0" t="str">
        <f aca="false">IF(Ingredients!B55="","",COUNTA(Ingredients!$B$6:B55))</f>
        <v/>
      </c>
    </row>
    <row r="52" customFormat="false" ht="15" hidden="false" customHeight="false" outlineLevel="0" collapsed="false">
      <c r="A52" s="0" t="n">
        <v>51</v>
      </c>
      <c r="B52" s="0" t="str">
        <f aca="false">IFERROR(INDEX(Ingredients!$B$6:$B$205,MATCH(A52,$H$2:$H$201,0)),"")</f>
        <v/>
      </c>
      <c r="D52" s="0" t="str">
        <f aca="false">IF(51&lt;=$O$2,INDEX($N$2:$N$11,51),IF(51&lt;=$O$2+$O$3,INDEX($B$2:$B$201,51-$O$2),""))</f>
        <v/>
      </c>
      <c r="H52" s="0" t="str">
        <f aca="false">IF(Ingredients!B56="","",COUNTA(Ingredients!$B$6:B56))</f>
        <v/>
      </c>
    </row>
    <row r="53" customFormat="false" ht="15" hidden="false" customHeight="false" outlineLevel="0" collapsed="false">
      <c r="A53" s="0" t="n">
        <v>52</v>
      </c>
      <c r="B53" s="0" t="str">
        <f aca="false">IFERROR(INDEX(Ingredients!$B$6:$B$205,MATCH(A53,$H$2:$H$201,0)),"")</f>
        <v/>
      </c>
      <c r="D53" s="0" t="str">
        <f aca="false">IF(52&lt;=$O$2,INDEX($N$2:$N$11,52),IF(52&lt;=$O$2+$O$3,INDEX($B$2:$B$201,52-$O$2),""))</f>
        <v/>
      </c>
      <c r="H53" s="0" t="str">
        <f aca="false">IF(Ingredients!B57="","",COUNTA(Ingredients!$B$6:B57))</f>
        <v/>
      </c>
    </row>
    <row r="54" customFormat="false" ht="15" hidden="false" customHeight="false" outlineLevel="0" collapsed="false">
      <c r="A54" s="0" t="n">
        <v>53</v>
      </c>
      <c r="B54" s="0" t="str">
        <f aca="false">IFERROR(INDEX(Ingredients!$B$6:$B$205,MATCH(A54,$H$2:$H$201,0)),"")</f>
        <v/>
      </c>
      <c r="D54" s="0" t="str">
        <f aca="false">IF(53&lt;=$O$2,INDEX($N$2:$N$11,53),IF(53&lt;=$O$2+$O$3,INDEX($B$2:$B$201,53-$O$2),""))</f>
        <v/>
      </c>
      <c r="H54" s="0" t="str">
        <f aca="false">IF(Ingredients!B58="","",COUNTA(Ingredients!$B$6:B58))</f>
        <v/>
      </c>
    </row>
    <row r="55" customFormat="false" ht="15" hidden="false" customHeight="false" outlineLevel="0" collapsed="false">
      <c r="A55" s="0" t="n">
        <v>54</v>
      </c>
      <c r="B55" s="0" t="str">
        <f aca="false">IFERROR(INDEX(Ingredients!$B$6:$B$205,MATCH(A55,$H$2:$H$201,0)),"")</f>
        <v/>
      </c>
      <c r="D55" s="0" t="str">
        <f aca="false">IF(54&lt;=$O$2,INDEX($N$2:$N$11,54),IF(54&lt;=$O$2+$O$3,INDEX($B$2:$B$201,54-$O$2),""))</f>
        <v/>
      </c>
      <c r="H55" s="0" t="str">
        <f aca="false">IF(Ingredients!B59="","",COUNTA(Ingredients!$B$6:B59))</f>
        <v/>
      </c>
    </row>
    <row r="56" customFormat="false" ht="15" hidden="false" customHeight="false" outlineLevel="0" collapsed="false">
      <c r="A56" s="0" t="n">
        <v>55</v>
      </c>
      <c r="B56" s="0" t="str">
        <f aca="false">IFERROR(INDEX(Ingredients!$B$6:$B$205,MATCH(A56,$H$2:$H$201,0)),"")</f>
        <v/>
      </c>
      <c r="D56" s="0" t="str">
        <f aca="false">IF(55&lt;=$O$2,INDEX($N$2:$N$11,55),IF(55&lt;=$O$2+$O$3,INDEX($B$2:$B$201,55-$O$2),""))</f>
        <v/>
      </c>
      <c r="H56" s="0" t="str">
        <f aca="false">IF(Ingredients!B60="","",COUNTA(Ingredients!$B$6:B60))</f>
        <v/>
      </c>
    </row>
    <row r="57" customFormat="false" ht="15" hidden="false" customHeight="false" outlineLevel="0" collapsed="false">
      <c r="A57" s="0" t="n">
        <v>56</v>
      </c>
      <c r="B57" s="0" t="str">
        <f aca="false">IFERROR(INDEX(Ingredients!$B$6:$B$205,MATCH(A57,$H$2:$H$201,0)),"")</f>
        <v/>
      </c>
      <c r="D57" s="0" t="str">
        <f aca="false">IF(56&lt;=$O$2,INDEX($N$2:$N$11,56),IF(56&lt;=$O$2+$O$3,INDEX($B$2:$B$201,56-$O$2),""))</f>
        <v/>
      </c>
      <c r="H57" s="0" t="str">
        <f aca="false">IF(Ingredients!B61="","",COUNTA(Ingredients!$B$6:B61))</f>
        <v/>
      </c>
    </row>
    <row r="58" customFormat="false" ht="15" hidden="false" customHeight="false" outlineLevel="0" collapsed="false">
      <c r="A58" s="0" t="n">
        <v>57</v>
      </c>
      <c r="B58" s="0" t="str">
        <f aca="false">IFERROR(INDEX(Ingredients!$B$6:$B$205,MATCH(A58,$H$2:$H$201,0)),"")</f>
        <v/>
      </c>
      <c r="D58" s="0" t="str">
        <f aca="false">IF(57&lt;=$O$2,INDEX($N$2:$N$11,57),IF(57&lt;=$O$2+$O$3,INDEX($B$2:$B$201,57-$O$2),""))</f>
        <v/>
      </c>
      <c r="H58" s="0" t="str">
        <f aca="false">IF(Ingredients!B62="","",COUNTA(Ingredients!$B$6:B62))</f>
        <v/>
      </c>
    </row>
    <row r="59" customFormat="false" ht="15" hidden="false" customHeight="false" outlineLevel="0" collapsed="false">
      <c r="A59" s="0" t="n">
        <v>58</v>
      </c>
      <c r="B59" s="0" t="str">
        <f aca="false">IFERROR(INDEX(Ingredients!$B$6:$B$205,MATCH(A59,$H$2:$H$201,0)),"")</f>
        <v/>
      </c>
      <c r="D59" s="0" t="str">
        <f aca="false">IF(58&lt;=$O$2,INDEX($N$2:$N$11,58),IF(58&lt;=$O$2+$O$3,INDEX($B$2:$B$201,58-$O$2),""))</f>
        <v/>
      </c>
      <c r="H59" s="0" t="str">
        <f aca="false">IF(Ingredients!B63="","",COUNTA(Ingredients!$B$6:B63))</f>
        <v/>
      </c>
    </row>
    <row r="60" customFormat="false" ht="15" hidden="false" customHeight="false" outlineLevel="0" collapsed="false">
      <c r="A60" s="0" t="n">
        <v>59</v>
      </c>
      <c r="B60" s="0" t="str">
        <f aca="false">IFERROR(INDEX(Ingredients!$B$6:$B$205,MATCH(A60,$H$2:$H$201,0)),"")</f>
        <v/>
      </c>
      <c r="D60" s="0" t="str">
        <f aca="false">IF(59&lt;=$O$2,INDEX($N$2:$N$11,59),IF(59&lt;=$O$2+$O$3,INDEX($B$2:$B$201,59-$O$2),""))</f>
        <v/>
      </c>
      <c r="H60" s="0" t="str">
        <f aca="false">IF(Ingredients!B64="","",COUNTA(Ingredients!$B$6:B64))</f>
        <v/>
      </c>
    </row>
    <row r="61" customFormat="false" ht="15" hidden="false" customHeight="false" outlineLevel="0" collapsed="false">
      <c r="A61" s="0" t="n">
        <v>60</v>
      </c>
      <c r="B61" s="0" t="str">
        <f aca="false">IFERROR(INDEX(Ingredients!$B$6:$B$205,MATCH(A61,$H$2:$H$201,0)),"")</f>
        <v/>
      </c>
      <c r="D61" s="0" t="str">
        <f aca="false">IF(60&lt;=$O$2,INDEX($N$2:$N$11,60),IF(60&lt;=$O$2+$O$3,INDEX($B$2:$B$201,60-$O$2),""))</f>
        <v/>
      </c>
      <c r="H61" s="0" t="str">
        <f aca="false">IF(Ingredients!B65="","",COUNTA(Ingredients!$B$6:B65))</f>
        <v/>
      </c>
    </row>
    <row r="62" customFormat="false" ht="15" hidden="false" customHeight="false" outlineLevel="0" collapsed="false">
      <c r="A62" s="0" t="n">
        <v>61</v>
      </c>
      <c r="B62" s="0" t="str">
        <f aca="false">IFERROR(INDEX(Ingredients!$B$6:$B$205,MATCH(A62,$H$2:$H$201,0)),"")</f>
        <v/>
      </c>
      <c r="D62" s="0" t="str">
        <f aca="false">IF(61&lt;=$O$2,INDEX($N$2:$N$11,61),IF(61&lt;=$O$2+$O$3,INDEX($B$2:$B$201,61-$O$2),""))</f>
        <v/>
      </c>
      <c r="H62" s="0" t="str">
        <f aca="false">IF(Ingredients!B66="","",COUNTA(Ingredients!$B$6:B66))</f>
        <v/>
      </c>
    </row>
    <row r="63" customFormat="false" ht="15" hidden="false" customHeight="false" outlineLevel="0" collapsed="false">
      <c r="A63" s="0" t="n">
        <v>62</v>
      </c>
      <c r="B63" s="0" t="str">
        <f aca="false">IFERROR(INDEX(Ingredients!$B$6:$B$205,MATCH(A63,$H$2:$H$201,0)),"")</f>
        <v/>
      </c>
      <c r="D63" s="0" t="str">
        <f aca="false">IF(62&lt;=$O$2,INDEX($N$2:$N$11,62),IF(62&lt;=$O$2+$O$3,INDEX($B$2:$B$201,62-$O$2),""))</f>
        <v/>
      </c>
      <c r="H63" s="0" t="str">
        <f aca="false">IF(Ingredients!B67="","",COUNTA(Ingredients!$B$6:B67))</f>
        <v/>
      </c>
    </row>
    <row r="64" customFormat="false" ht="15" hidden="false" customHeight="false" outlineLevel="0" collapsed="false">
      <c r="A64" s="0" t="n">
        <v>63</v>
      </c>
      <c r="B64" s="0" t="str">
        <f aca="false">IFERROR(INDEX(Ingredients!$B$6:$B$205,MATCH(A64,$H$2:$H$201,0)),"")</f>
        <v/>
      </c>
      <c r="D64" s="0" t="str">
        <f aca="false">IF(63&lt;=$O$2,INDEX($N$2:$N$11,63),IF(63&lt;=$O$2+$O$3,INDEX($B$2:$B$201,63-$O$2),""))</f>
        <v/>
      </c>
      <c r="H64" s="0" t="str">
        <f aca="false">IF(Ingredients!B68="","",COUNTA(Ingredients!$B$6:B68))</f>
        <v/>
      </c>
    </row>
    <row r="65" customFormat="false" ht="15" hidden="false" customHeight="false" outlineLevel="0" collapsed="false">
      <c r="A65" s="0" t="n">
        <v>64</v>
      </c>
      <c r="B65" s="0" t="str">
        <f aca="false">IFERROR(INDEX(Ingredients!$B$6:$B$205,MATCH(A65,$H$2:$H$201,0)),"")</f>
        <v/>
      </c>
      <c r="D65" s="0" t="str">
        <f aca="false">IF(64&lt;=$O$2,INDEX($N$2:$N$11,64),IF(64&lt;=$O$2+$O$3,INDEX($B$2:$B$201,64-$O$2),""))</f>
        <v/>
      </c>
      <c r="H65" s="0" t="str">
        <f aca="false">IF(Ingredients!B69="","",COUNTA(Ingredients!$B$6:B69))</f>
        <v/>
      </c>
    </row>
    <row r="66" customFormat="false" ht="15" hidden="false" customHeight="false" outlineLevel="0" collapsed="false">
      <c r="A66" s="0" t="n">
        <v>65</v>
      </c>
      <c r="B66" s="0" t="str">
        <f aca="false">IFERROR(INDEX(Ingredients!$B$6:$B$205,MATCH(A66,$H$2:$H$201,0)),"")</f>
        <v/>
      </c>
      <c r="D66" s="0" t="str">
        <f aca="false">IF(65&lt;=$O$2,INDEX($N$2:$N$11,65),IF(65&lt;=$O$2+$O$3,INDEX($B$2:$B$201,65-$O$2),""))</f>
        <v/>
      </c>
      <c r="H66" s="0" t="str">
        <f aca="false">IF(Ingredients!B70="","",COUNTA(Ingredients!$B$6:B70))</f>
        <v/>
      </c>
    </row>
    <row r="67" customFormat="false" ht="15" hidden="false" customHeight="false" outlineLevel="0" collapsed="false">
      <c r="A67" s="0" t="n">
        <v>66</v>
      </c>
      <c r="B67" s="0" t="str">
        <f aca="false">IFERROR(INDEX(Ingredients!$B$6:$B$205,MATCH(A67,$H$2:$H$201,0)),"")</f>
        <v/>
      </c>
      <c r="D67" s="0" t="str">
        <f aca="false">IF(66&lt;=$O$2,INDEX($N$2:$N$11,66),IF(66&lt;=$O$2+$O$3,INDEX($B$2:$B$201,66-$O$2),""))</f>
        <v/>
      </c>
      <c r="H67" s="0" t="str">
        <f aca="false">IF(Ingredients!B71="","",COUNTA(Ingredients!$B$6:B71))</f>
        <v/>
      </c>
    </row>
    <row r="68" customFormat="false" ht="15" hidden="false" customHeight="false" outlineLevel="0" collapsed="false">
      <c r="A68" s="0" t="n">
        <v>67</v>
      </c>
      <c r="B68" s="0" t="str">
        <f aca="false">IFERROR(INDEX(Ingredients!$B$6:$B$205,MATCH(A68,$H$2:$H$201,0)),"")</f>
        <v/>
      </c>
      <c r="D68" s="0" t="str">
        <f aca="false">IF(67&lt;=$O$2,INDEX($N$2:$N$11,67),IF(67&lt;=$O$2+$O$3,INDEX($B$2:$B$201,67-$O$2),""))</f>
        <v/>
      </c>
      <c r="H68" s="0" t="str">
        <f aca="false">IF(Ingredients!B72="","",COUNTA(Ingredients!$B$6:B72))</f>
        <v/>
      </c>
    </row>
    <row r="69" customFormat="false" ht="15" hidden="false" customHeight="false" outlineLevel="0" collapsed="false">
      <c r="A69" s="0" t="n">
        <v>68</v>
      </c>
      <c r="B69" s="0" t="str">
        <f aca="false">IFERROR(INDEX(Ingredients!$B$6:$B$205,MATCH(A69,$H$2:$H$201,0)),"")</f>
        <v/>
      </c>
      <c r="D69" s="0" t="str">
        <f aca="false">IF(68&lt;=$O$2,INDEX($N$2:$N$11,68),IF(68&lt;=$O$2+$O$3,INDEX($B$2:$B$201,68-$O$2),""))</f>
        <v/>
      </c>
      <c r="H69" s="0" t="str">
        <f aca="false">IF(Ingredients!B73="","",COUNTA(Ingredients!$B$6:B73))</f>
        <v/>
      </c>
    </row>
    <row r="70" customFormat="false" ht="15" hidden="false" customHeight="false" outlineLevel="0" collapsed="false">
      <c r="A70" s="0" t="n">
        <v>69</v>
      </c>
      <c r="B70" s="0" t="str">
        <f aca="false">IFERROR(INDEX(Ingredients!$B$6:$B$205,MATCH(A70,$H$2:$H$201,0)),"")</f>
        <v/>
      </c>
      <c r="D70" s="0" t="str">
        <f aca="false">IF(69&lt;=$O$2,INDEX($N$2:$N$11,69),IF(69&lt;=$O$2+$O$3,INDEX($B$2:$B$201,69-$O$2),""))</f>
        <v/>
      </c>
      <c r="H70" s="0" t="str">
        <f aca="false">IF(Ingredients!B74="","",COUNTA(Ingredients!$B$6:B74))</f>
        <v/>
      </c>
    </row>
    <row r="71" customFormat="false" ht="15" hidden="false" customHeight="false" outlineLevel="0" collapsed="false">
      <c r="A71" s="0" t="n">
        <v>70</v>
      </c>
      <c r="B71" s="0" t="str">
        <f aca="false">IFERROR(INDEX(Ingredients!$B$6:$B$205,MATCH(A71,$H$2:$H$201,0)),"")</f>
        <v/>
      </c>
      <c r="D71" s="0" t="str">
        <f aca="false">IF(70&lt;=$O$2,INDEX($N$2:$N$11,70),IF(70&lt;=$O$2+$O$3,INDEX($B$2:$B$201,70-$O$2),""))</f>
        <v/>
      </c>
      <c r="H71" s="0" t="str">
        <f aca="false">IF(Ingredients!B75="","",COUNTA(Ingredients!$B$6:B75))</f>
        <v/>
      </c>
    </row>
    <row r="72" customFormat="false" ht="15" hidden="false" customHeight="false" outlineLevel="0" collapsed="false">
      <c r="A72" s="0" t="n">
        <v>71</v>
      </c>
      <c r="B72" s="0" t="str">
        <f aca="false">IFERROR(INDEX(Ingredients!$B$6:$B$205,MATCH(A72,$H$2:$H$201,0)),"")</f>
        <v/>
      </c>
      <c r="D72" s="0" t="str">
        <f aca="false">IF(71&lt;=$O$2,INDEX($N$2:$N$11,71),IF(71&lt;=$O$2+$O$3,INDEX($B$2:$B$201,71-$O$2),""))</f>
        <v/>
      </c>
      <c r="H72" s="0" t="str">
        <f aca="false">IF(Ingredients!B76="","",COUNTA(Ingredients!$B$6:B76))</f>
        <v/>
      </c>
    </row>
    <row r="73" customFormat="false" ht="15" hidden="false" customHeight="false" outlineLevel="0" collapsed="false">
      <c r="A73" s="0" t="n">
        <v>72</v>
      </c>
      <c r="B73" s="0" t="str">
        <f aca="false">IFERROR(INDEX(Ingredients!$B$6:$B$205,MATCH(A73,$H$2:$H$201,0)),"")</f>
        <v/>
      </c>
      <c r="D73" s="0" t="str">
        <f aca="false">IF(72&lt;=$O$2,INDEX($N$2:$N$11,72),IF(72&lt;=$O$2+$O$3,INDEX($B$2:$B$201,72-$O$2),""))</f>
        <v/>
      </c>
      <c r="H73" s="0" t="str">
        <f aca="false">IF(Ingredients!B77="","",COUNTA(Ingredients!$B$6:B77))</f>
        <v/>
      </c>
    </row>
    <row r="74" customFormat="false" ht="15" hidden="false" customHeight="false" outlineLevel="0" collapsed="false">
      <c r="A74" s="0" t="n">
        <v>73</v>
      </c>
      <c r="B74" s="0" t="str">
        <f aca="false">IFERROR(INDEX(Ingredients!$B$6:$B$205,MATCH(A74,$H$2:$H$201,0)),"")</f>
        <v/>
      </c>
      <c r="D74" s="0" t="str">
        <f aca="false">IF(73&lt;=$O$2,INDEX($N$2:$N$11,73),IF(73&lt;=$O$2+$O$3,INDEX($B$2:$B$201,73-$O$2),""))</f>
        <v/>
      </c>
      <c r="H74" s="0" t="str">
        <f aca="false">IF(Ingredients!B78="","",COUNTA(Ingredients!$B$6:B78))</f>
        <v/>
      </c>
    </row>
    <row r="75" customFormat="false" ht="15" hidden="false" customHeight="false" outlineLevel="0" collapsed="false">
      <c r="A75" s="0" t="n">
        <v>74</v>
      </c>
      <c r="B75" s="0" t="str">
        <f aca="false">IFERROR(INDEX(Ingredients!$B$6:$B$205,MATCH(A75,$H$2:$H$201,0)),"")</f>
        <v/>
      </c>
      <c r="D75" s="0" t="str">
        <f aca="false">IF(74&lt;=$O$2,INDEX($N$2:$N$11,74),IF(74&lt;=$O$2+$O$3,INDEX($B$2:$B$201,74-$O$2),""))</f>
        <v/>
      </c>
      <c r="H75" s="0" t="str">
        <f aca="false">IF(Ingredients!B79="","",COUNTA(Ingredients!$B$6:B79))</f>
        <v/>
      </c>
    </row>
    <row r="76" customFormat="false" ht="15" hidden="false" customHeight="false" outlineLevel="0" collapsed="false">
      <c r="A76" s="0" t="n">
        <v>75</v>
      </c>
      <c r="B76" s="0" t="str">
        <f aca="false">IFERROR(INDEX(Ingredients!$B$6:$B$205,MATCH(A76,$H$2:$H$201,0)),"")</f>
        <v/>
      </c>
      <c r="D76" s="0" t="str">
        <f aca="false">IF(75&lt;=$O$2,INDEX($N$2:$N$11,75),IF(75&lt;=$O$2+$O$3,INDEX($B$2:$B$201,75-$O$2),""))</f>
        <v/>
      </c>
      <c r="H76" s="0" t="str">
        <f aca="false">IF(Ingredients!B80="","",COUNTA(Ingredients!$B$6:B80))</f>
        <v/>
      </c>
    </row>
    <row r="77" customFormat="false" ht="15" hidden="false" customHeight="false" outlineLevel="0" collapsed="false">
      <c r="A77" s="0" t="n">
        <v>76</v>
      </c>
      <c r="B77" s="0" t="str">
        <f aca="false">IFERROR(INDEX(Ingredients!$B$6:$B$205,MATCH(A77,$H$2:$H$201,0)),"")</f>
        <v/>
      </c>
      <c r="D77" s="0" t="str">
        <f aca="false">IF(76&lt;=$O$2,INDEX($N$2:$N$11,76),IF(76&lt;=$O$2+$O$3,INDEX($B$2:$B$201,76-$O$2),""))</f>
        <v/>
      </c>
      <c r="H77" s="0" t="str">
        <f aca="false">IF(Ingredients!B81="","",COUNTA(Ingredients!$B$6:B81))</f>
        <v/>
      </c>
    </row>
    <row r="78" customFormat="false" ht="15" hidden="false" customHeight="false" outlineLevel="0" collapsed="false">
      <c r="A78" s="0" t="n">
        <v>77</v>
      </c>
      <c r="B78" s="0" t="str">
        <f aca="false">IFERROR(INDEX(Ingredients!$B$6:$B$205,MATCH(A78,$H$2:$H$201,0)),"")</f>
        <v/>
      </c>
      <c r="D78" s="0" t="str">
        <f aca="false">IF(77&lt;=$O$2,INDEX($N$2:$N$11,77),IF(77&lt;=$O$2+$O$3,INDEX($B$2:$B$201,77-$O$2),""))</f>
        <v/>
      </c>
      <c r="H78" s="0" t="str">
        <f aca="false">IF(Ingredients!B82="","",COUNTA(Ingredients!$B$6:B82))</f>
        <v/>
      </c>
    </row>
    <row r="79" customFormat="false" ht="15" hidden="false" customHeight="false" outlineLevel="0" collapsed="false">
      <c r="A79" s="0" t="n">
        <v>78</v>
      </c>
      <c r="B79" s="0" t="str">
        <f aca="false">IFERROR(INDEX(Ingredients!$B$6:$B$205,MATCH(A79,$H$2:$H$201,0)),"")</f>
        <v/>
      </c>
      <c r="D79" s="0" t="str">
        <f aca="false">IF(78&lt;=$O$2,INDEX($N$2:$N$11,78),IF(78&lt;=$O$2+$O$3,INDEX($B$2:$B$201,78-$O$2),""))</f>
        <v/>
      </c>
      <c r="H79" s="0" t="str">
        <f aca="false">IF(Ingredients!B83="","",COUNTA(Ingredients!$B$6:B83))</f>
        <v/>
      </c>
    </row>
    <row r="80" customFormat="false" ht="15" hidden="false" customHeight="false" outlineLevel="0" collapsed="false">
      <c r="A80" s="0" t="n">
        <v>79</v>
      </c>
      <c r="B80" s="0" t="str">
        <f aca="false">IFERROR(INDEX(Ingredients!$B$6:$B$205,MATCH(A80,$H$2:$H$201,0)),"")</f>
        <v/>
      </c>
      <c r="D80" s="0" t="str">
        <f aca="false">IF(79&lt;=$O$2,INDEX($N$2:$N$11,79),IF(79&lt;=$O$2+$O$3,INDEX($B$2:$B$201,79-$O$2),""))</f>
        <v/>
      </c>
      <c r="H80" s="0" t="str">
        <f aca="false">IF(Ingredients!B84="","",COUNTA(Ingredients!$B$6:B84))</f>
        <v/>
      </c>
    </row>
    <row r="81" customFormat="false" ht="15" hidden="false" customHeight="false" outlineLevel="0" collapsed="false">
      <c r="A81" s="0" t="n">
        <v>80</v>
      </c>
      <c r="B81" s="0" t="str">
        <f aca="false">IFERROR(INDEX(Ingredients!$B$6:$B$205,MATCH(A81,$H$2:$H$201,0)),"")</f>
        <v/>
      </c>
      <c r="D81" s="0" t="str">
        <f aca="false">IF(80&lt;=$O$2,INDEX($N$2:$N$11,80),IF(80&lt;=$O$2+$O$3,INDEX($B$2:$B$201,80-$O$2),""))</f>
        <v/>
      </c>
      <c r="H81" s="0" t="str">
        <f aca="false">IF(Ingredients!B85="","",COUNTA(Ingredients!$B$6:B85))</f>
        <v/>
      </c>
    </row>
    <row r="82" customFormat="false" ht="15" hidden="false" customHeight="false" outlineLevel="0" collapsed="false">
      <c r="A82" s="0" t="n">
        <v>81</v>
      </c>
      <c r="B82" s="0" t="str">
        <f aca="false">IFERROR(INDEX(Ingredients!$B$6:$B$205,MATCH(A82,$H$2:$H$201,0)),"")</f>
        <v/>
      </c>
      <c r="D82" s="0" t="str">
        <f aca="false">IF(81&lt;=$O$2,INDEX($N$2:$N$11,81),IF(81&lt;=$O$2+$O$3,INDEX($B$2:$B$201,81-$O$2),""))</f>
        <v/>
      </c>
      <c r="H82" s="0" t="str">
        <f aca="false">IF(Ingredients!B86="","",COUNTA(Ingredients!$B$6:B86))</f>
        <v/>
      </c>
    </row>
    <row r="83" customFormat="false" ht="15" hidden="false" customHeight="false" outlineLevel="0" collapsed="false">
      <c r="A83" s="0" t="n">
        <v>82</v>
      </c>
      <c r="B83" s="0" t="str">
        <f aca="false">IFERROR(INDEX(Ingredients!$B$6:$B$205,MATCH(A83,$H$2:$H$201,0)),"")</f>
        <v/>
      </c>
      <c r="D83" s="0" t="str">
        <f aca="false">IF(82&lt;=$O$2,INDEX($N$2:$N$11,82),IF(82&lt;=$O$2+$O$3,INDEX($B$2:$B$201,82-$O$2),""))</f>
        <v/>
      </c>
      <c r="H83" s="0" t="str">
        <f aca="false">IF(Ingredients!B87="","",COUNTA(Ingredients!$B$6:B87))</f>
        <v/>
      </c>
    </row>
    <row r="84" customFormat="false" ht="15" hidden="false" customHeight="false" outlineLevel="0" collapsed="false">
      <c r="A84" s="0" t="n">
        <v>83</v>
      </c>
      <c r="B84" s="0" t="str">
        <f aca="false">IFERROR(INDEX(Ingredients!$B$6:$B$205,MATCH(A84,$H$2:$H$201,0)),"")</f>
        <v/>
      </c>
      <c r="D84" s="0" t="str">
        <f aca="false">IF(83&lt;=$O$2,INDEX($N$2:$N$11,83),IF(83&lt;=$O$2+$O$3,INDEX($B$2:$B$201,83-$O$2),""))</f>
        <v/>
      </c>
      <c r="H84" s="0" t="str">
        <f aca="false">IF(Ingredients!B88="","",COUNTA(Ingredients!$B$6:B88))</f>
        <v/>
      </c>
    </row>
    <row r="85" customFormat="false" ht="15" hidden="false" customHeight="false" outlineLevel="0" collapsed="false">
      <c r="A85" s="0" t="n">
        <v>84</v>
      </c>
      <c r="B85" s="0" t="str">
        <f aca="false">IFERROR(INDEX(Ingredients!$B$6:$B$205,MATCH(A85,$H$2:$H$201,0)),"")</f>
        <v/>
      </c>
      <c r="D85" s="0" t="str">
        <f aca="false">IF(84&lt;=$O$2,INDEX($N$2:$N$11,84),IF(84&lt;=$O$2+$O$3,INDEX($B$2:$B$201,84-$O$2),""))</f>
        <v/>
      </c>
      <c r="H85" s="0" t="str">
        <f aca="false">IF(Ingredients!B89="","",COUNTA(Ingredients!$B$6:B89))</f>
        <v/>
      </c>
    </row>
    <row r="86" customFormat="false" ht="15" hidden="false" customHeight="false" outlineLevel="0" collapsed="false">
      <c r="A86" s="0" t="n">
        <v>85</v>
      </c>
      <c r="B86" s="0" t="str">
        <f aca="false">IFERROR(INDEX(Ingredients!$B$6:$B$205,MATCH(A86,$H$2:$H$201,0)),"")</f>
        <v/>
      </c>
      <c r="D86" s="0" t="str">
        <f aca="false">IF(85&lt;=$O$2,INDEX($N$2:$N$11,85),IF(85&lt;=$O$2+$O$3,INDEX($B$2:$B$201,85-$O$2),""))</f>
        <v/>
      </c>
      <c r="H86" s="0" t="str">
        <f aca="false">IF(Ingredients!B90="","",COUNTA(Ingredients!$B$6:B90))</f>
        <v/>
      </c>
    </row>
    <row r="87" customFormat="false" ht="15" hidden="false" customHeight="false" outlineLevel="0" collapsed="false">
      <c r="A87" s="0" t="n">
        <v>86</v>
      </c>
      <c r="B87" s="0" t="str">
        <f aca="false">IFERROR(INDEX(Ingredients!$B$6:$B$205,MATCH(A87,$H$2:$H$201,0)),"")</f>
        <v/>
      </c>
      <c r="D87" s="0" t="str">
        <f aca="false">IF(86&lt;=$O$2,INDEX($N$2:$N$11,86),IF(86&lt;=$O$2+$O$3,INDEX($B$2:$B$201,86-$O$2),""))</f>
        <v/>
      </c>
      <c r="H87" s="0" t="str">
        <f aca="false">IF(Ingredients!B91="","",COUNTA(Ingredients!$B$6:B91))</f>
        <v/>
      </c>
    </row>
    <row r="88" customFormat="false" ht="15" hidden="false" customHeight="false" outlineLevel="0" collapsed="false">
      <c r="A88" s="0" t="n">
        <v>87</v>
      </c>
      <c r="B88" s="0" t="str">
        <f aca="false">IFERROR(INDEX(Ingredients!$B$6:$B$205,MATCH(A88,$H$2:$H$201,0)),"")</f>
        <v/>
      </c>
      <c r="D88" s="0" t="str">
        <f aca="false">IF(87&lt;=$O$2,INDEX($N$2:$N$11,87),IF(87&lt;=$O$2+$O$3,INDEX($B$2:$B$201,87-$O$2),""))</f>
        <v/>
      </c>
      <c r="H88" s="0" t="str">
        <f aca="false">IF(Ingredients!B92="","",COUNTA(Ingredients!$B$6:B92))</f>
        <v/>
      </c>
    </row>
    <row r="89" customFormat="false" ht="15" hidden="false" customHeight="false" outlineLevel="0" collapsed="false">
      <c r="A89" s="0" t="n">
        <v>88</v>
      </c>
      <c r="B89" s="0" t="str">
        <f aca="false">IFERROR(INDEX(Ingredients!$B$6:$B$205,MATCH(A89,$H$2:$H$201,0)),"")</f>
        <v/>
      </c>
      <c r="D89" s="0" t="str">
        <f aca="false">IF(88&lt;=$O$2,INDEX($N$2:$N$11,88),IF(88&lt;=$O$2+$O$3,INDEX($B$2:$B$201,88-$O$2),""))</f>
        <v/>
      </c>
      <c r="H89" s="0" t="str">
        <f aca="false">IF(Ingredients!B93="","",COUNTA(Ingredients!$B$6:B93))</f>
        <v/>
      </c>
    </row>
    <row r="90" customFormat="false" ht="15" hidden="false" customHeight="false" outlineLevel="0" collapsed="false">
      <c r="A90" s="0" t="n">
        <v>89</v>
      </c>
      <c r="B90" s="0" t="str">
        <f aca="false">IFERROR(INDEX(Ingredients!$B$6:$B$205,MATCH(A90,$H$2:$H$201,0)),"")</f>
        <v/>
      </c>
      <c r="D90" s="0" t="str">
        <f aca="false">IF(89&lt;=$O$2,INDEX($N$2:$N$11,89),IF(89&lt;=$O$2+$O$3,INDEX($B$2:$B$201,89-$O$2),""))</f>
        <v/>
      </c>
      <c r="H90" s="0" t="str">
        <f aca="false">IF(Ingredients!B94="","",COUNTA(Ingredients!$B$6:B94))</f>
        <v/>
      </c>
    </row>
    <row r="91" customFormat="false" ht="15" hidden="false" customHeight="false" outlineLevel="0" collapsed="false">
      <c r="A91" s="0" t="n">
        <v>90</v>
      </c>
      <c r="B91" s="0" t="str">
        <f aca="false">IFERROR(INDEX(Ingredients!$B$6:$B$205,MATCH(A91,$H$2:$H$201,0)),"")</f>
        <v/>
      </c>
      <c r="D91" s="0" t="str">
        <f aca="false">IF(90&lt;=$O$2,INDEX($N$2:$N$11,90),IF(90&lt;=$O$2+$O$3,INDEX($B$2:$B$201,90-$O$2),""))</f>
        <v/>
      </c>
      <c r="H91" s="0" t="str">
        <f aca="false">IF(Ingredients!B95="","",COUNTA(Ingredients!$B$6:B95))</f>
        <v/>
      </c>
    </row>
    <row r="92" customFormat="false" ht="15" hidden="false" customHeight="false" outlineLevel="0" collapsed="false">
      <c r="A92" s="0" t="n">
        <v>91</v>
      </c>
      <c r="B92" s="0" t="str">
        <f aca="false">IFERROR(INDEX(Ingredients!$B$6:$B$205,MATCH(A92,$H$2:$H$201,0)),"")</f>
        <v/>
      </c>
      <c r="D92" s="0" t="str">
        <f aca="false">IF(91&lt;=$O$2,INDEX($N$2:$N$11,91),IF(91&lt;=$O$2+$O$3,INDEX($B$2:$B$201,91-$O$2),""))</f>
        <v/>
      </c>
      <c r="H92" s="0" t="str">
        <f aca="false">IF(Ingredients!B96="","",COUNTA(Ingredients!$B$6:B96))</f>
        <v/>
      </c>
    </row>
    <row r="93" customFormat="false" ht="15" hidden="false" customHeight="false" outlineLevel="0" collapsed="false">
      <c r="A93" s="0" t="n">
        <v>92</v>
      </c>
      <c r="B93" s="0" t="str">
        <f aca="false">IFERROR(INDEX(Ingredients!$B$6:$B$205,MATCH(A93,$H$2:$H$201,0)),"")</f>
        <v/>
      </c>
      <c r="D93" s="0" t="str">
        <f aca="false">IF(92&lt;=$O$2,INDEX($N$2:$N$11,92),IF(92&lt;=$O$2+$O$3,INDEX($B$2:$B$201,92-$O$2),""))</f>
        <v/>
      </c>
      <c r="H93" s="0" t="str">
        <f aca="false">IF(Ingredients!B97="","",COUNTA(Ingredients!$B$6:B97))</f>
        <v/>
      </c>
    </row>
    <row r="94" customFormat="false" ht="15" hidden="false" customHeight="false" outlineLevel="0" collapsed="false">
      <c r="A94" s="0" t="n">
        <v>93</v>
      </c>
      <c r="B94" s="0" t="str">
        <f aca="false">IFERROR(INDEX(Ingredients!$B$6:$B$205,MATCH(A94,$H$2:$H$201,0)),"")</f>
        <v/>
      </c>
      <c r="D94" s="0" t="str">
        <f aca="false">IF(93&lt;=$O$2,INDEX($N$2:$N$11,93),IF(93&lt;=$O$2+$O$3,INDEX($B$2:$B$201,93-$O$2),""))</f>
        <v/>
      </c>
      <c r="H94" s="0" t="str">
        <f aca="false">IF(Ingredients!B98="","",COUNTA(Ingredients!$B$6:B98))</f>
        <v/>
      </c>
    </row>
    <row r="95" customFormat="false" ht="15" hidden="false" customHeight="false" outlineLevel="0" collapsed="false">
      <c r="A95" s="0" t="n">
        <v>94</v>
      </c>
      <c r="B95" s="0" t="str">
        <f aca="false">IFERROR(INDEX(Ingredients!$B$6:$B$205,MATCH(A95,$H$2:$H$201,0)),"")</f>
        <v/>
      </c>
      <c r="D95" s="0" t="str">
        <f aca="false">IF(94&lt;=$O$2,INDEX($N$2:$N$11,94),IF(94&lt;=$O$2+$O$3,INDEX($B$2:$B$201,94-$O$2),""))</f>
        <v/>
      </c>
      <c r="H95" s="0" t="str">
        <f aca="false">IF(Ingredients!B99="","",COUNTA(Ingredients!$B$6:B99))</f>
        <v/>
      </c>
    </row>
    <row r="96" customFormat="false" ht="15" hidden="false" customHeight="false" outlineLevel="0" collapsed="false">
      <c r="A96" s="0" t="n">
        <v>95</v>
      </c>
      <c r="B96" s="0" t="str">
        <f aca="false">IFERROR(INDEX(Ingredients!$B$6:$B$205,MATCH(A96,$H$2:$H$201,0)),"")</f>
        <v/>
      </c>
      <c r="D96" s="0" t="str">
        <f aca="false">IF(95&lt;=$O$2,INDEX($N$2:$N$11,95),IF(95&lt;=$O$2+$O$3,INDEX($B$2:$B$201,95-$O$2),""))</f>
        <v/>
      </c>
      <c r="H96" s="0" t="str">
        <f aca="false">IF(Ingredients!B100="","",COUNTA(Ingredients!$B$6:B100))</f>
        <v/>
      </c>
    </row>
    <row r="97" customFormat="false" ht="15" hidden="false" customHeight="false" outlineLevel="0" collapsed="false">
      <c r="A97" s="0" t="n">
        <v>96</v>
      </c>
      <c r="B97" s="0" t="str">
        <f aca="false">IFERROR(INDEX(Ingredients!$B$6:$B$205,MATCH(A97,$H$2:$H$201,0)),"")</f>
        <v/>
      </c>
      <c r="D97" s="0" t="str">
        <f aca="false">IF(96&lt;=$O$2,INDEX($N$2:$N$11,96),IF(96&lt;=$O$2+$O$3,INDEX($B$2:$B$201,96-$O$2),""))</f>
        <v/>
      </c>
      <c r="H97" s="0" t="str">
        <f aca="false">IF(Ingredients!B101="","",COUNTA(Ingredients!$B$6:B101))</f>
        <v/>
      </c>
    </row>
    <row r="98" customFormat="false" ht="15" hidden="false" customHeight="false" outlineLevel="0" collapsed="false">
      <c r="A98" s="0" t="n">
        <v>97</v>
      </c>
      <c r="B98" s="0" t="str">
        <f aca="false">IFERROR(INDEX(Ingredients!$B$6:$B$205,MATCH(A98,$H$2:$H$201,0)),"")</f>
        <v/>
      </c>
      <c r="D98" s="0" t="str">
        <f aca="false">IF(97&lt;=$O$2,INDEX($N$2:$N$11,97),IF(97&lt;=$O$2+$O$3,INDEX($B$2:$B$201,97-$O$2),""))</f>
        <v/>
      </c>
      <c r="H98" s="0" t="str">
        <f aca="false">IF(Ingredients!B102="","",COUNTA(Ingredients!$B$6:B102))</f>
        <v/>
      </c>
    </row>
    <row r="99" customFormat="false" ht="15" hidden="false" customHeight="false" outlineLevel="0" collapsed="false">
      <c r="A99" s="0" t="n">
        <v>98</v>
      </c>
      <c r="B99" s="0" t="str">
        <f aca="false">IFERROR(INDEX(Ingredients!$B$6:$B$205,MATCH(A99,$H$2:$H$201,0)),"")</f>
        <v/>
      </c>
      <c r="D99" s="0" t="str">
        <f aca="false">IF(98&lt;=$O$2,INDEX($N$2:$N$11,98),IF(98&lt;=$O$2+$O$3,INDEX($B$2:$B$201,98-$O$2),""))</f>
        <v/>
      </c>
      <c r="H99" s="0" t="str">
        <f aca="false">IF(Ingredients!B103="","",COUNTA(Ingredients!$B$6:B103))</f>
        <v/>
      </c>
    </row>
    <row r="100" customFormat="false" ht="15" hidden="false" customHeight="false" outlineLevel="0" collapsed="false">
      <c r="A100" s="0" t="n">
        <v>99</v>
      </c>
      <c r="B100" s="0" t="str">
        <f aca="false">IFERROR(INDEX(Ingredients!$B$6:$B$205,MATCH(A100,$H$2:$H$201,0)),"")</f>
        <v/>
      </c>
      <c r="D100" s="0" t="str">
        <f aca="false">IF(99&lt;=$O$2,INDEX($N$2:$N$11,99),IF(99&lt;=$O$2+$O$3,INDEX($B$2:$B$201,99-$O$2),""))</f>
        <v/>
      </c>
      <c r="H100" s="0" t="str">
        <f aca="false">IF(Ingredients!B104="","",COUNTA(Ingredients!$B$6:B104))</f>
        <v/>
      </c>
    </row>
    <row r="101" customFormat="false" ht="15" hidden="false" customHeight="false" outlineLevel="0" collapsed="false">
      <c r="A101" s="0" t="n">
        <v>100</v>
      </c>
      <c r="B101" s="0" t="str">
        <f aca="false">IFERROR(INDEX(Ingredients!$B$6:$B$205,MATCH(A101,$H$2:$H$201,0)),"")</f>
        <v/>
      </c>
      <c r="D101" s="0" t="str">
        <f aca="false">IF(100&lt;=$O$2,INDEX($N$2:$N$11,100),IF(100&lt;=$O$2+$O$3,INDEX($B$2:$B$201,100-$O$2),""))</f>
        <v/>
      </c>
      <c r="H101" s="0" t="str">
        <f aca="false">IF(Ingredients!B105="","",COUNTA(Ingredients!$B$6:B105))</f>
        <v/>
      </c>
    </row>
    <row r="102" customFormat="false" ht="15" hidden="false" customHeight="false" outlineLevel="0" collapsed="false">
      <c r="A102" s="0" t="n">
        <v>101</v>
      </c>
      <c r="B102" s="0" t="str">
        <f aca="false">IFERROR(INDEX(Ingredients!$B$6:$B$205,MATCH(A102,$H$2:$H$201,0)),"")</f>
        <v/>
      </c>
      <c r="D102" s="0" t="str">
        <f aca="false">IF(101&lt;=$O$2,INDEX($N$2:$N$11,101),IF(101&lt;=$O$2+$O$3,INDEX($B$2:$B$201,101-$O$2),""))</f>
        <v/>
      </c>
      <c r="H102" s="0" t="str">
        <f aca="false">IF(Ingredients!B106="","",COUNTA(Ingredients!$B$6:B106))</f>
        <v/>
      </c>
    </row>
    <row r="103" customFormat="false" ht="15" hidden="false" customHeight="false" outlineLevel="0" collapsed="false">
      <c r="A103" s="0" t="n">
        <v>102</v>
      </c>
      <c r="B103" s="0" t="str">
        <f aca="false">IFERROR(INDEX(Ingredients!$B$6:$B$205,MATCH(A103,$H$2:$H$201,0)),"")</f>
        <v/>
      </c>
      <c r="D103" s="0" t="str">
        <f aca="false">IF(102&lt;=$O$2,INDEX($N$2:$N$11,102),IF(102&lt;=$O$2+$O$3,INDEX($B$2:$B$201,102-$O$2),""))</f>
        <v/>
      </c>
      <c r="H103" s="0" t="str">
        <f aca="false">IF(Ingredients!B107="","",COUNTA(Ingredients!$B$6:B107))</f>
        <v/>
      </c>
    </row>
    <row r="104" customFormat="false" ht="15" hidden="false" customHeight="false" outlineLevel="0" collapsed="false">
      <c r="A104" s="0" t="n">
        <v>103</v>
      </c>
      <c r="B104" s="0" t="str">
        <f aca="false">IFERROR(INDEX(Ingredients!$B$6:$B$205,MATCH(A104,$H$2:$H$201,0)),"")</f>
        <v/>
      </c>
      <c r="D104" s="0" t="str">
        <f aca="false">IF(103&lt;=$O$2,INDEX($N$2:$N$11,103),IF(103&lt;=$O$2+$O$3,INDEX($B$2:$B$201,103-$O$2),""))</f>
        <v/>
      </c>
      <c r="H104" s="0" t="str">
        <f aca="false">IF(Ingredients!B108="","",COUNTA(Ingredients!$B$6:B108))</f>
        <v/>
      </c>
    </row>
    <row r="105" customFormat="false" ht="15" hidden="false" customHeight="false" outlineLevel="0" collapsed="false">
      <c r="A105" s="0" t="n">
        <v>104</v>
      </c>
      <c r="B105" s="0" t="str">
        <f aca="false">IFERROR(INDEX(Ingredients!$B$6:$B$205,MATCH(A105,$H$2:$H$201,0)),"")</f>
        <v/>
      </c>
      <c r="D105" s="0" t="str">
        <f aca="false">IF(104&lt;=$O$2,INDEX($N$2:$N$11,104),IF(104&lt;=$O$2+$O$3,INDEX($B$2:$B$201,104-$O$2),""))</f>
        <v/>
      </c>
      <c r="H105" s="0" t="str">
        <f aca="false">IF(Ingredients!B109="","",COUNTA(Ingredients!$B$6:B109))</f>
        <v/>
      </c>
    </row>
    <row r="106" customFormat="false" ht="15" hidden="false" customHeight="false" outlineLevel="0" collapsed="false">
      <c r="A106" s="0" t="n">
        <v>105</v>
      </c>
      <c r="B106" s="0" t="str">
        <f aca="false">IFERROR(INDEX(Ingredients!$B$6:$B$205,MATCH(A106,$H$2:$H$201,0)),"")</f>
        <v/>
      </c>
      <c r="D106" s="0" t="str">
        <f aca="false">IF(105&lt;=$O$2,INDEX($N$2:$N$11,105),IF(105&lt;=$O$2+$O$3,INDEX($B$2:$B$201,105-$O$2),""))</f>
        <v/>
      </c>
      <c r="H106" s="0" t="str">
        <f aca="false">IF(Ingredients!B110="","",COUNTA(Ingredients!$B$6:B110))</f>
        <v/>
      </c>
    </row>
    <row r="107" customFormat="false" ht="15" hidden="false" customHeight="false" outlineLevel="0" collapsed="false">
      <c r="A107" s="0" t="n">
        <v>106</v>
      </c>
      <c r="B107" s="0" t="str">
        <f aca="false">IFERROR(INDEX(Ingredients!$B$6:$B$205,MATCH(A107,$H$2:$H$201,0)),"")</f>
        <v/>
      </c>
      <c r="D107" s="0" t="str">
        <f aca="false">IF(106&lt;=$O$2,INDEX($N$2:$N$11,106),IF(106&lt;=$O$2+$O$3,INDEX($B$2:$B$201,106-$O$2),""))</f>
        <v/>
      </c>
      <c r="H107" s="0" t="str">
        <f aca="false">IF(Ingredients!B111="","",COUNTA(Ingredients!$B$6:B111))</f>
        <v/>
      </c>
    </row>
    <row r="108" customFormat="false" ht="15" hidden="false" customHeight="false" outlineLevel="0" collapsed="false">
      <c r="A108" s="0" t="n">
        <v>107</v>
      </c>
      <c r="B108" s="0" t="str">
        <f aca="false">IFERROR(INDEX(Ingredients!$B$6:$B$205,MATCH(A108,$H$2:$H$201,0)),"")</f>
        <v/>
      </c>
      <c r="D108" s="0" t="str">
        <f aca="false">IF(107&lt;=$O$2,INDEX($N$2:$N$11,107),IF(107&lt;=$O$2+$O$3,INDEX($B$2:$B$201,107-$O$2),""))</f>
        <v/>
      </c>
      <c r="H108" s="0" t="str">
        <f aca="false">IF(Ingredients!B112="","",COUNTA(Ingredients!$B$6:B112))</f>
        <v/>
      </c>
    </row>
    <row r="109" customFormat="false" ht="15" hidden="false" customHeight="false" outlineLevel="0" collapsed="false">
      <c r="A109" s="0" t="n">
        <v>108</v>
      </c>
      <c r="B109" s="0" t="str">
        <f aca="false">IFERROR(INDEX(Ingredients!$B$6:$B$205,MATCH(A109,$H$2:$H$201,0)),"")</f>
        <v/>
      </c>
      <c r="D109" s="0" t="str">
        <f aca="false">IF(108&lt;=$O$2,INDEX($N$2:$N$11,108),IF(108&lt;=$O$2+$O$3,INDEX($B$2:$B$201,108-$O$2),""))</f>
        <v/>
      </c>
      <c r="H109" s="0" t="str">
        <f aca="false">IF(Ingredients!B113="","",COUNTA(Ingredients!$B$6:B113))</f>
        <v/>
      </c>
    </row>
    <row r="110" customFormat="false" ht="15" hidden="false" customHeight="false" outlineLevel="0" collapsed="false">
      <c r="A110" s="0" t="n">
        <v>109</v>
      </c>
      <c r="B110" s="0" t="str">
        <f aca="false">IFERROR(INDEX(Ingredients!$B$6:$B$205,MATCH(A110,$H$2:$H$201,0)),"")</f>
        <v/>
      </c>
      <c r="D110" s="0" t="str">
        <f aca="false">IF(109&lt;=$O$2,INDEX($N$2:$N$11,109),IF(109&lt;=$O$2+$O$3,INDEX($B$2:$B$201,109-$O$2),""))</f>
        <v/>
      </c>
      <c r="H110" s="0" t="str">
        <f aca="false">IF(Ingredients!B114="","",COUNTA(Ingredients!$B$6:B114))</f>
        <v/>
      </c>
    </row>
    <row r="111" customFormat="false" ht="15" hidden="false" customHeight="false" outlineLevel="0" collapsed="false">
      <c r="A111" s="0" t="n">
        <v>110</v>
      </c>
      <c r="B111" s="0" t="str">
        <f aca="false">IFERROR(INDEX(Ingredients!$B$6:$B$205,MATCH(A111,$H$2:$H$201,0)),"")</f>
        <v/>
      </c>
      <c r="D111" s="0" t="str">
        <f aca="false">IF(110&lt;=$O$2,INDEX($N$2:$N$11,110),IF(110&lt;=$O$2+$O$3,INDEX($B$2:$B$201,110-$O$2),""))</f>
        <v/>
      </c>
      <c r="H111" s="0" t="str">
        <f aca="false">IF(Ingredients!B115="","",COUNTA(Ingredients!$B$6:B115))</f>
        <v/>
      </c>
    </row>
    <row r="112" customFormat="false" ht="15" hidden="false" customHeight="false" outlineLevel="0" collapsed="false">
      <c r="A112" s="0" t="n">
        <v>111</v>
      </c>
      <c r="B112" s="0" t="str">
        <f aca="false">IFERROR(INDEX(Ingredients!$B$6:$B$205,MATCH(A112,$H$2:$H$201,0)),"")</f>
        <v/>
      </c>
      <c r="D112" s="0" t="str">
        <f aca="false">IF(111&lt;=$O$2,INDEX($N$2:$N$11,111),IF(111&lt;=$O$2+$O$3,INDEX($B$2:$B$201,111-$O$2),""))</f>
        <v/>
      </c>
      <c r="H112" s="0" t="str">
        <f aca="false">IF(Ingredients!B116="","",COUNTA(Ingredients!$B$6:B116))</f>
        <v/>
      </c>
    </row>
    <row r="113" customFormat="false" ht="15" hidden="false" customHeight="false" outlineLevel="0" collapsed="false">
      <c r="A113" s="0" t="n">
        <v>112</v>
      </c>
      <c r="B113" s="0" t="str">
        <f aca="false">IFERROR(INDEX(Ingredients!$B$6:$B$205,MATCH(A113,$H$2:$H$201,0)),"")</f>
        <v/>
      </c>
      <c r="D113" s="0" t="str">
        <f aca="false">IF(112&lt;=$O$2,INDEX($N$2:$N$11,112),IF(112&lt;=$O$2+$O$3,INDEX($B$2:$B$201,112-$O$2),""))</f>
        <v/>
      </c>
      <c r="H113" s="0" t="str">
        <f aca="false">IF(Ingredients!B117="","",COUNTA(Ingredients!$B$6:B117))</f>
        <v/>
      </c>
    </row>
    <row r="114" customFormat="false" ht="15" hidden="false" customHeight="false" outlineLevel="0" collapsed="false">
      <c r="A114" s="0" t="n">
        <v>113</v>
      </c>
      <c r="B114" s="0" t="str">
        <f aca="false">IFERROR(INDEX(Ingredients!$B$6:$B$205,MATCH(A114,$H$2:$H$201,0)),"")</f>
        <v/>
      </c>
      <c r="D114" s="0" t="str">
        <f aca="false">IF(113&lt;=$O$2,INDEX($N$2:$N$11,113),IF(113&lt;=$O$2+$O$3,INDEX($B$2:$B$201,113-$O$2),""))</f>
        <v/>
      </c>
      <c r="H114" s="0" t="str">
        <f aca="false">IF(Ingredients!B118="","",COUNTA(Ingredients!$B$6:B118))</f>
        <v/>
      </c>
    </row>
    <row r="115" customFormat="false" ht="15" hidden="false" customHeight="false" outlineLevel="0" collapsed="false">
      <c r="A115" s="0" t="n">
        <v>114</v>
      </c>
      <c r="B115" s="0" t="str">
        <f aca="false">IFERROR(INDEX(Ingredients!$B$6:$B$205,MATCH(A115,$H$2:$H$201,0)),"")</f>
        <v/>
      </c>
      <c r="D115" s="0" t="str">
        <f aca="false">IF(114&lt;=$O$2,INDEX($N$2:$N$11,114),IF(114&lt;=$O$2+$O$3,INDEX($B$2:$B$201,114-$O$2),""))</f>
        <v/>
      </c>
      <c r="H115" s="0" t="str">
        <f aca="false">IF(Ingredients!B119="","",COUNTA(Ingredients!$B$6:B119))</f>
        <v/>
      </c>
    </row>
    <row r="116" customFormat="false" ht="15" hidden="false" customHeight="false" outlineLevel="0" collapsed="false">
      <c r="A116" s="0" t="n">
        <v>115</v>
      </c>
      <c r="B116" s="0" t="str">
        <f aca="false">IFERROR(INDEX(Ingredients!$B$6:$B$205,MATCH(A116,$H$2:$H$201,0)),"")</f>
        <v/>
      </c>
      <c r="D116" s="0" t="str">
        <f aca="false">IF(115&lt;=$O$2,INDEX($N$2:$N$11,115),IF(115&lt;=$O$2+$O$3,INDEX($B$2:$B$201,115-$O$2),""))</f>
        <v/>
      </c>
      <c r="H116" s="0" t="str">
        <f aca="false">IF(Ingredients!B120="","",COUNTA(Ingredients!$B$6:B120))</f>
        <v/>
      </c>
    </row>
    <row r="117" customFormat="false" ht="15" hidden="false" customHeight="false" outlineLevel="0" collapsed="false">
      <c r="A117" s="0" t="n">
        <v>116</v>
      </c>
      <c r="B117" s="0" t="str">
        <f aca="false">IFERROR(INDEX(Ingredients!$B$6:$B$205,MATCH(A117,$H$2:$H$201,0)),"")</f>
        <v/>
      </c>
      <c r="D117" s="0" t="str">
        <f aca="false">IF(116&lt;=$O$2,INDEX($N$2:$N$11,116),IF(116&lt;=$O$2+$O$3,INDEX($B$2:$B$201,116-$O$2),""))</f>
        <v/>
      </c>
      <c r="H117" s="0" t="str">
        <f aca="false">IF(Ingredients!B121="","",COUNTA(Ingredients!$B$6:B121))</f>
        <v/>
      </c>
    </row>
    <row r="118" customFormat="false" ht="15" hidden="false" customHeight="false" outlineLevel="0" collapsed="false">
      <c r="A118" s="0" t="n">
        <v>117</v>
      </c>
      <c r="B118" s="0" t="str">
        <f aca="false">IFERROR(INDEX(Ingredients!$B$6:$B$205,MATCH(A118,$H$2:$H$201,0)),"")</f>
        <v/>
      </c>
      <c r="D118" s="0" t="str">
        <f aca="false">IF(117&lt;=$O$2,INDEX($N$2:$N$11,117),IF(117&lt;=$O$2+$O$3,INDEX($B$2:$B$201,117-$O$2),""))</f>
        <v/>
      </c>
      <c r="H118" s="0" t="str">
        <f aca="false">IF(Ingredients!B122="","",COUNTA(Ingredients!$B$6:B122))</f>
        <v/>
      </c>
    </row>
    <row r="119" customFormat="false" ht="15" hidden="false" customHeight="false" outlineLevel="0" collapsed="false">
      <c r="A119" s="0" t="n">
        <v>118</v>
      </c>
      <c r="B119" s="0" t="str">
        <f aca="false">IFERROR(INDEX(Ingredients!$B$6:$B$205,MATCH(A119,$H$2:$H$201,0)),"")</f>
        <v/>
      </c>
      <c r="D119" s="0" t="str">
        <f aca="false">IF(118&lt;=$O$2,INDEX($N$2:$N$11,118),IF(118&lt;=$O$2+$O$3,INDEX($B$2:$B$201,118-$O$2),""))</f>
        <v/>
      </c>
      <c r="H119" s="0" t="str">
        <f aca="false">IF(Ingredients!B123="","",COUNTA(Ingredients!$B$6:B123))</f>
        <v/>
      </c>
    </row>
    <row r="120" customFormat="false" ht="15" hidden="false" customHeight="false" outlineLevel="0" collapsed="false">
      <c r="A120" s="0" t="n">
        <v>119</v>
      </c>
      <c r="B120" s="0" t="str">
        <f aca="false">IFERROR(INDEX(Ingredients!$B$6:$B$205,MATCH(A120,$H$2:$H$201,0)),"")</f>
        <v/>
      </c>
      <c r="D120" s="0" t="str">
        <f aca="false">IF(119&lt;=$O$2,INDEX($N$2:$N$11,119),IF(119&lt;=$O$2+$O$3,INDEX($B$2:$B$201,119-$O$2),""))</f>
        <v/>
      </c>
      <c r="H120" s="0" t="str">
        <f aca="false">IF(Ingredients!B124="","",COUNTA(Ingredients!$B$6:B124))</f>
        <v/>
      </c>
    </row>
    <row r="121" customFormat="false" ht="15" hidden="false" customHeight="false" outlineLevel="0" collapsed="false">
      <c r="A121" s="0" t="n">
        <v>120</v>
      </c>
      <c r="B121" s="0" t="str">
        <f aca="false">IFERROR(INDEX(Ingredients!$B$6:$B$205,MATCH(A121,$H$2:$H$201,0)),"")</f>
        <v/>
      </c>
      <c r="D121" s="0" t="str">
        <f aca="false">IF(120&lt;=$O$2,INDEX($N$2:$N$11,120),IF(120&lt;=$O$2+$O$3,INDEX($B$2:$B$201,120-$O$2),""))</f>
        <v/>
      </c>
      <c r="H121" s="0" t="str">
        <f aca="false">IF(Ingredients!B125="","",COUNTA(Ingredients!$B$6:B125))</f>
        <v/>
      </c>
    </row>
    <row r="122" customFormat="false" ht="15" hidden="false" customHeight="false" outlineLevel="0" collapsed="false">
      <c r="A122" s="0" t="n">
        <v>121</v>
      </c>
      <c r="B122" s="0" t="str">
        <f aca="false">IFERROR(INDEX(Ingredients!$B$6:$B$205,MATCH(A122,$H$2:$H$201,0)),"")</f>
        <v/>
      </c>
      <c r="D122" s="0" t="str">
        <f aca="false">IF(121&lt;=$O$2,INDEX($N$2:$N$11,121),IF(121&lt;=$O$2+$O$3,INDEX($B$2:$B$201,121-$O$2),""))</f>
        <v/>
      </c>
      <c r="H122" s="0" t="str">
        <f aca="false">IF(Ingredients!B126="","",COUNTA(Ingredients!$B$6:B126))</f>
        <v/>
      </c>
    </row>
    <row r="123" customFormat="false" ht="15" hidden="false" customHeight="false" outlineLevel="0" collapsed="false">
      <c r="A123" s="0" t="n">
        <v>122</v>
      </c>
      <c r="B123" s="0" t="str">
        <f aca="false">IFERROR(INDEX(Ingredients!$B$6:$B$205,MATCH(A123,$H$2:$H$201,0)),"")</f>
        <v/>
      </c>
      <c r="D123" s="0" t="str">
        <f aca="false">IF(122&lt;=$O$2,INDEX($N$2:$N$11,122),IF(122&lt;=$O$2+$O$3,INDEX($B$2:$B$201,122-$O$2),""))</f>
        <v/>
      </c>
      <c r="H123" s="0" t="str">
        <f aca="false">IF(Ingredients!B127="","",COUNTA(Ingredients!$B$6:B127))</f>
        <v/>
      </c>
    </row>
    <row r="124" customFormat="false" ht="15" hidden="false" customHeight="false" outlineLevel="0" collapsed="false">
      <c r="A124" s="0" t="n">
        <v>123</v>
      </c>
      <c r="B124" s="0" t="str">
        <f aca="false">IFERROR(INDEX(Ingredients!$B$6:$B$205,MATCH(A124,$H$2:$H$201,0)),"")</f>
        <v/>
      </c>
      <c r="D124" s="0" t="str">
        <f aca="false">IF(123&lt;=$O$2,INDEX($N$2:$N$11,123),IF(123&lt;=$O$2+$O$3,INDEX($B$2:$B$201,123-$O$2),""))</f>
        <v/>
      </c>
      <c r="H124" s="0" t="str">
        <f aca="false">IF(Ingredients!B128="","",COUNTA(Ingredients!$B$6:B128))</f>
        <v/>
      </c>
    </row>
    <row r="125" customFormat="false" ht="15" hidden="false" customHeight="false" outlineLevel="0" collapsed="false">
      <c r="A125" s="0" t="n">
        <v>124</v>
      </c>
      <c r="B125" s="0" t="str">
        <f aca="false">IFERROR(INDEX(Ingredients!$B$6:$B$205,MATCH(A125,$H$2:$H$201,0)),"")</f>
        <v/>
      </c>
      <c r="D125" s="0" t="str">
        <f aca="false">IF(124&lt;=$O$2,INDEX($N$2:$N$11,124),IF(124&lt;=$O$2+$O$3,INDEX($B$2:$B$201,124-$O$2),""))</f>
        <v/>
      </c>
      <c r="H125" s="0" t="str">
        <f aca="false">IF(Ingredients!B129="","",COUNTA(Ingredients!$B$6:B129))</f>
        <v/>
      </c>
    </row>
    <row r="126" customFormat="false" ht="15" hidden="false" customHeight="false" outlineLevel="0" collapsed="false">
      <c r="A126" s="0" t="n">
        <v>125</v>
      </c>
      <c r="B126" s="0" t="str">
        <f aca="false">IFERROR(INDEX(Ingredients!$B$6:$B$205,MATCH(A126,$H$2:$H$201,0)),"")</f>
        <v/>
      </c>
      <c r="D126" s="0" t="str">
        <f aca="false">IF(125&lt;=$O$2,INDEX($N$2:$N$11,125),IF(125&lt;=$O$2+$O$3,INDEX($B$2:$B$201,125-$O$2),""))</f>
        <v/>
      </c>
      <c r="H126" s="0" t="str">
        <f aca="false">IF(Ingredients!B130="","",COUNTA(Ingredients!$B$6:B130))</f>
        <v/>
      </c>
    </row>
    <row r="127" customFormat="false" ht="15" hidden="false" customHeight="false" outlineLevel="0" collapsed="false">
      <c r="A127" s="0" t="n">
        <v>126</v>
      </c>
      <c r="B127" s="0" t="str">
        <f aca="false">IFERROR(INDEX(Ingredients!$B$6:$B$205,MATCH(A127,$H$2:$H$201,0)),"")</f>
        <v/>
      </c>
      <c r="D127" s="0" t="str">
        <f aca="false">IF(126&lt;=$O$2,INDEX($N$2:$N$11,126),IF(126&lt;=$O$2+$O$3,INDEX($B$2:$B$201,126-$O$2),""))</f>
        <v/>
      </c>
      <c r="H127" s="0" t="str">
        <f aca="false">IF(Ingredients!B131="","",COUNTA(Ingredients!$B$6:B131))</f>
        <v/>
      </c>
    </row>
    <row r="128" customFormat="false" ht="15" hidden="false" customHeight="false" outlineLevel="0" collapsed="false">
      <c r="A128" s="0" t="n">
        <v>127</v>
      </c>
      <c r="B128" s="0" t="str">
        <f aca="false">IFERROR(INDEX(Ingredients!$B$6:$B$205,MATCH(A128,$H$2:$H$201,0)),"")</f>
        <v/>
      </c>
      <c r="D128" s="0" t="str">
        <f aca="false">IF(127&lt;=$O$2,INDEX($N$2:$N$11,127),IF(127&lt;=$O$2+$O$3,INDEX($B$2:$B$201,127-$O$2),""))</f>
        <v/>
      </c>
      <c r="H128" s="0" t="str">
        <f aca="false">IF(Ingredients!B132="","",COUNTA(Ingredients!$B$6:B132))</f>
        <v/>
      </c>
    </row>
    <row r="129" customFormat="false" ht="15" hidden="false" customHeight="false" outlineLevel="0" collapsed="false">
      <c r="A129" s="0" t="n">
        <v>128</v>
      </c>
      <c r="B129" s="0" t="str">
        <f aca="false">IFERROR(INDEX(Ingredients!$B$6:$B$205,MATCH(A129,$H$2:$H$201,0)),"")</f>
        <v/>
      </c>
      <c r="D129" s="0" t="str">
        <f aca="false">IF(128&lt;=$O$2,INDEX($N$2:$N$11,128),IF(128&lt;=$O$2+$O$3,INDEX($B$2:$B$201,128-$O$2),""))</f>
        <v/>
      </c>
      <c r="H129" s="0" t="str">
        <f aca="false">IF(Ingredients!B133="","",COUNTA(Ingredients!$B$6:B133))</f>
        <v/>
      </c>
    </row>
    <row r="130" customFormat="false" ht="15" hidden="false" customHeight="false" outlineLevel="0" collapsed="false">
      <c r="A130" s="0" t="n">
        <v>129</v>
      </c>
      <c r="B130" s="0" t="str">
        <f aca="false">IFERROR(INDEX(Ingredients!$B$6:$B$205,MATCH(A130,$H$2:$H$201,0)),"")</f>
        <v/>
      </c>
      <c r="D130" s="0" t="str">
        <f aca="false">IF(129&lt;=$O$2,INDEX($N$2:$N$11,129),IF(129&lt;=$O$2+$O$3,INDEX($B$2:$B$201,129-$O$2),""))</f>
        <v/>
      </c>
      <c r="H130" s="0" t="str">
        <f aca="false">IF(Ingredients!B134="","",COUNTA(Ingredients!$B$6:B134))</f>
        <v/>
      </c>
    </row>
    <row r="131" customFormat="false" ht="15" hidden="false" customHeight="false" outlineLevel="0" collapsed="false">
      <c r="A131" s="0" t="n">
        <v>130</v>
      </c>
      <c r="B131" s="0" t="str">
        <f aca="false">IFERROR(INDEX(Ingredients!$B$6:$B$205,MATCH(A131,$H$2:$H$201,0)),"")</f>
        <v/>
      </c>
      <c r="D131" s="0" t="str">
        <f aca="false">IF(130&lt;=$O$2,INDEX($N$2:$N$11,130),IF(130&lt;=$O$2+$O$3,INDEX($B$2:$B$201,130-$O$2),""))</f>
        <v/>
      </c>
      <c r="H131" s="0" t="str">
        <f aca="false">IF(Ingredients!B135="","",COUNTA(Ingredients!$B$6:B135))</f>
        <v/>
      </c>
    </row>
    <row r="132" customFormat="false" ht="15" hidden="false" customHeight="false" outlineLevel="0" collapsed="false">
      <c r="A132" s="0" t="n">
        <v>131</v>
      </c>
      <c r="B132" s="0" t="str">
        <f aca="false">IFERROR(INDEX(Ingredients!$B$6:$B$205,MATCH(A132,$H$2:$H$201,0)),"")</f>
        <v/>
      </c>
      <c r="D132" s="0" t="str">
        <f aca="false">IF(131&lt;=$O$2,INDEX($N$2:$N$11,131),IF(131&lt;=$O$2+$O$3,INDEX($B$2:$B$201,131-$O$2),""))</f>
        <v/>
      </c>
      <c r="H132" s="0" t="str">
        <f aca="false">IF(Ingredients!B136="","",COUNTA(Ingredients!$B$6:B136))</f>
        <v/>
      </c>
    </row>
    <row r="133" customFormat="false" ht="15" hidden="false" customHeight="false" outlineLevel="0" collapsed="false">
      <c r="A133" s="0" t="n">
        <v>132</v>
      </c>
      <c r="B133" s="0" t="str">
        <f aca="false">IFERROR(INDEX(Ingredients!$B$6:$B$205,MATCH(A133,$H$2:$H$201,0)),"")</f>
        <v/>
      </c>
      <c r="D133" s="0" t="str">
        <f aca="false">IF(132&lt;=$O$2,INDEX($N$2:$N$11,132),IF(132&lt;=$O$2+$O$3,INDEX($B$2:$B$201,132-$O$2),""))</f>
        <v/>
      </c>
      <c r="H133" s="0" t="str">
        <f aca="false">IF(Ingredients!B137="","",COUNTA(Ingredients!$B$6:B137))</f>
        <v/>
      </c>
    </row>
    <row r="134" customFormat="false" ht="15" hidden="false" customHeight="false" outlineLevel="0" collapsed="false">
      <c r="A134" s="0" t="n">
        <v>133</v>
      </c>
      <c r="B134" s="0" t="str">
        <f aca="false">IFERROR(INDEX(Ingredients!$B$6:$B$205,MATCH(A134,$H$2:$H$201,0)),"")</f>
        <v/>
      </c>
      <c r="D134" s="0" t="str">
        <f aca="false">IF(133&lt;=$O$2,INDEX($N$2:$N$11,133),IF(133&lt;=$O$2+$O$3,INDEX($B$2:$B$201,133-$O$2),""))</f>
        <v/>
      </c>
      <c r="H134" s="0" t="str">
        <f aca="false">IF(Ingredients!B138="","",COUNTA(Ingredients!$B$6:B138))</f>
        <v/>
      </c>
    </row>
    <row r="135" customFormat="false" ht="15" hidden="false" customHeight="false" outlineLevel="0" collapsed="false">
      <c r="A135" s="0" t="n">
        <v>134</v>
      </c>
      <c r="B135" s="0" t="str">
        <f aca="false">IFERROR(INDEX(Ingredients!$B$6:$B$205,MATCH(A135,$H$2:$H$201,0)),"")</f>
        <v/>
      </c>
      <c r="D135" s="0" t="str">
        <f aca="false">IF(134&lt;=$O$2,INDEX($N$2:$N$11,134),IF(134&lt;=$O$2+$O$3,INDEX($B$2:$B$201,134-$O$2),""))</f>
        <v/>
      </c>
      <c r="H135" s="0" t="str">
        <f aca="false">IF(Ingredients!B139="","",COUNTA(Ingredients!$B$6:B139))</f>
        <v/>
      </c>
    </row>
    <row r="136" customFormat="false" ht="15" hidden="false" customHeight="false" outlineLevel="0" collapsed="false">
      <c r="A136" s="0" t="n">
        <v>135</v>
      </c>
      <c r="B136" s="0" t="str">
        <f aca="false">IFERROR(INDEX(Ingredients!$B$6:$B$205,MATCH(A136,$H$2:$H$201,0)),"")</f>
        <v/>
      </c>
      <c r="D136" s="0" t="str">
        <f aca="false">IF(135&lt;=$O$2,INDEX($N$2:$N$11,135),IF(135&lt;=$O$2+$O$3,INDEX($B$2:$B$201,135-$O$2),""))</f>
        <v/>
      </c>
      <c r="H136" s="0" t="str">
        <f aca="false">IF(Ingredients!B140="","",COUNTA(Ingredients!$B$6:B140))</f>
        <v/>
      </c>
    </row>
    <row r="137" customFormat="false" ht="15" hidden="false" customHeight="false" outlineLevel="0" collapsed="false">
      <c r="A137" s="0" t="n">
        <v>136</v>
      </c>
      <c r="B137" s="0" t="str">
        <f aca="false">IFERROR(INDEX(Ingredients!$B$6:$B$205,MATCH(A137,$H$2:$H$201,0)),"")</f>
        <v/>
      </c>
      <c r="D137" s="0" t="str">
        <f aca="false">IF(136&lt;=$O$2,INDEX($N$2:$N$11,136),IF(136&lt;=$O$2+$O$3,INDEX($B$2:$B$201,136-$O$2),""))</f>
        <v/>
      </c>
      <c r="H137" s="0" t="str">
        <f aca="false">IF(Ingredients!B141="","",COUNTA(Ingredients!$B$6:B141))</f>
        <v/>
      </c>
    </row>
    <row r="138" customFormat="false" ht="15" hidden="false" customHeight="false" outlineLevel="0" collapsed="false">
      <c r="A138" s="0" t="n">
        <v>137</v>
      </c>
      <c r="B138" s="0" t="str">
        <f aca="false">IFERROR(INDEX(Ingredients!$B$6:$B$205,MATCH(A138,$H$2:$H$201,0)),"")</f>
        <v/>
      </c>
      <c r="D138" s="0" t="str">
        <f aca="false">IF(137&lt;=$O$2,INDEX($N$2:$N$11,137),IF(137&lt;=$O$2+$O$3,INDEX($B$2:$B$201,137-$O$2),""))</f>
        <v/>
      </c>
      <c r="H138" s="0" t="str">
        <f aca="false">IF(Ingredients!B142="","",COUNTA(Ingredients!$B$6:B142))</f>
        <v/>
      </c>
    </row>
    <row r="139" customFormat="false" ht="15" hidden="false" customHeight="false" outlineLevel="0" collapsed="false">
      <c r="A139" s="0" t="n">
        <v>138</v>
      </c>
      <c r="B139" s="0" t="str">
        <f aca="false">IFERROR(INDEX(Ingredients!$B$6:$B$205,MATCH(A139,$H$2:$H$201,0)),"")</f>
        <v/>
      </c>
      <c r="D139" s="0" t="str">
        <f aca="false">IF(138&lt;=$O$2,INDEX($N$2:$N$11,138),IF(138&lt;=$O$2+$O$3,INDEX($B$2:$B$201,138-$O$2),""))</f>
        <v/>
      </c>
      <c r="H139" s="0" t="str">
        <f aca="false">IF(Ingredients!B143="","",COUNTA(Ingredients!$B$6:B143))</f>
        <v/>
      </c>
    </row>
    <row r="140" customFormat="false" ht="15" hidden="false" customHeight="false" outlineLevel="0" collapsed="false">
      <c r="A140" s="0" t="n">
        <v>139</v>
      </c>
      <c r="B140" s="0" t="str">
        <f aca="false">IFERROR(INDEX(Ingredients!$B$6:$B$205,MATCH(A140,$H$2:$H$201,0)),"")</f>
        <v/>
      </c>
      <c r="D140" s="0" t="str">
        <f aca="false">IF(139&lt;=$O$2,INDEX($N$2:$N$11,139),IF(139&lt;=$O$2+$O$3,INDEX($B$2:$B$201,139-$O$2),""))</f>
        <v/>
      </c>
      <c r="H140" s="0" t="str">
        <f aca="false">IF(Ingredients!B144="","",COUNTA(Ingredients!$B$6:B144))</f>
        <v/>
      </c>
    </row>
    <row r="141" customFormat="false" ht="15" hidden="false" customHeight="false" outlineLevel="0" collapsed="false">
      <c r="A141" s="0" t="n">
        <v>140</v>
      </c>
      <c r="B141" s="0" t="str">
        <f aca="false">IFERROR(INDEX(Ingredients!$B$6:$B$205,MATCH(A141,$H$2:$H$201,0)),"")</f>
        <v/>
      </c>
      <c r="D141" s="0" t="str">
        <f aca="false">IF(140&lt;=$O$2,INDEX($N$2:$N$11,140),IF(140&lt;=$O$2+$O$3,INDEX($B$2:$B$201,140-$O$2),""))</f>
        <v/>
      </c>
      <c r="H141" s="0" t="str">
        <f aca="false">IF(Ingredients!B145="","",COUNTA(Ingredients!$B$6:B145))</f>
        <v/>
      </c>
    </row>
    <row r="142" customFormat="false" ht="15" hidden="false" customHeight="false" outlineLevel="0" collapsed="false">
      <c r="A142" s="0" t="n">
        <v>141</v>
      </c>
      <c r="B142" s="0" t="str">
        <f aca="false">IFERROR(INDEX(Ingredients!$B$6:$B$205,MATCH(A142,$H$2:$H$201,0)),"")</f>
        <v/>
      </c>
      <c r="D142" s="0" t="str">
        <f aca="false">IF(141&lt;=$O$2,INDEX($N$2:$N$11,141),IF(141&lt;=$O$2+$O$3,INDEX($B$2:$B$201,141-$O$2),""))</f>
        <v/>
      </c>
      <c r="H142" s="0" t="str">
        <f aca="false">IF(Ingredients!B146="","",COUNTA(Ingredients!$B$6:B146))</f>
        <v/>
      </c>
    </row>
    <row r="143" customFormat="false" ht="15" hidden="false" customHeight="false" outlineLevel="0" collapsed="false">
      <c r="A143" s="0" t="n">
        <v>142</v>
      </c>
      <c r="B143" s="0" t="str">
        <f aca="false">IFERROR(INDEX(Ingredients!$B$6:$B$205,MATCH(A143,$H$2:$H$201,0)),"")</f>
        <v/>
      </c>
      <c r="D143" s="0" t="str">
        <f aca="false">IF(142&lt;=$O$2,INDEX($N$2:$N$11,142),IF(142&lt;=$O$2+$O$3,INDEX($B$2:$B$201,142-$O$2),""))</f>
        <v/>
      </c>
      <c r="H143" s="0" t="str">
        <f aca="false">IF(Ingredients!B147="","",COUNTA(Ingredients!$B$6:B147))</f>
        <v/>
      </c>
    </row>
    <row r="144" customFormat="false" ht="15" hidden="false" customHeight="false" outlineLevel="0" collapsed="false">
      <c r="A144" s="0" t="n">
        <v>143</v>
      </c>
      <c r="B144" s="0" t="str">
        <f aca="false">IFERROR(INDEX(Ingredients!$B$6:$B$205,MATCH(A144,$H$2:$H$201,0)),"")</f>
        <v/>
      </c>
      <c r="D144" s="0" t="str">
        <f aca="false">IF(143&lt;=$O$2,INDEX($N$2:$N$11,143),IF(143&lt;=$O$2+$O$3,INDEX($B$2:$B$201,143-$O$2),""))</f>
        <v/>
      </c>
      <c r="H144" s="0" t="str">
        <f aca="false">IF(Ingredients!B148="","",COUNTA(Ingredients!$B$6:B148))</f>
        <v/>
      </c>
    </row>
    <row r="145" customFormat="false" ht="15" hidden="false" customHeight="false" outlineLevel="0" collapsed="false">
      <c r="A145" s="0" t="n">
        <v>144</v>
      </c>
      <c r="B145" s="0" t="str">
        <f aca="false">IFERROR(INDEX(Ingredients!$B$6:$B$205,MATCH(A145,$H$2:$H$201,0)),"")</f>
        <v/>
      </c>
      <c r="D145" s="0" t="str">
        <f aca="false">IF(144&lt;=$O$2,INDEX($N$2:$N$11,144),IF(144&lt;=$O$2+$O$3,INDEX($B$2:$B$201,144-$O$2),""))</f>
        <v/>
      </c>
      <c r="H145" s="0" t="str">
        <f aca="false">IF(Ingredients!B149="","",COUNTA(Ingredients!$B$6:B149))</f>
        <v/>
      </c>
    </row>
    <row r="146" customFormat="false" ht="15" hidden="false" customHeight="false" outlineLevel="0" collapsed="false">
      <c r="A146" s="0" t="n">
        <v>145</v>
      </c>
      <c r="B146" s="0" t="str">
        <f aca="false">IFERROR(INDEX(Ingredients!$B$6:$B$205,MATCH(A146,$H$2:$H$201,0)),"")</f>
        <v/>
      </c>
      <c r="D146" s="0" t="str">
        <f aca="false">IF(145&lt;=$O$2,INDEX($N$2:$N$11,145),IF(145&lt;=$O$2+$O$3,INDEX($B$2:$B$201,145-$O$2),""))</f>
        <v/>
      </c>
      <c r="H146" s="0" t="str">
        <f aca="false">IF(Ingredients!B150="","",COUNTA(Ingredients!$B$6:B150))</f>
        <v/>
      </c>
    </row>
    <row r="147" customFormat="false" ht="15" hidden="false" customHeight="false" outlineLevel="0" collapsed="false">
      <c r="A147" s="0" t="n">
        <v>146</v>
      </c>
      <c r="B147" s="0" t="str">
        <f aca="false">IFERROR(INDEX(Ingredients!$B$6:$B$205,MATCH(A147,$H$2:$H$201,0)),"")</f>
        <v/>
      </c>
      <c r="D147" s="0" t="str">
        <f aca="false">IF(146&lt;=$O$2,INDEX($N$2:$N$11,146),IF(146&lt;=$O$2+$O$3,INDEX($B$2:$B$201,146-$O$2),""))</f>
        <v/>
      </c>
      <c r="H147" s="0" t="str">
        <f aca="false">IF(Ingredients!B151="","",COUNTA(Ingredients!$B$6:B151))</f>
        <v/>
      </c>
    </row>
    <row r="148" customFormat="false" ht="15" hidden="false" customHeight="false" outlineLevel="0" collapsed="false">
      <c r="A148" s="0" t="n">
        <v>147</v>
      </c>
      <c r="B148" s="0" t="str">
        <f aca="false">IFERROR(INDEX(Ingredients!$B$6:$B$205,MATCH(A148,$H$2:$H$201,0)),"")</f>
        <v/>
      </c>
      <c r="D148" s="0" t="str">
        <f aca="false">IF(147&lt;=$O$2,INDEX($N$2:$N$11,147),IF(147&lt;=$O$2+$O$3,INDEX($B$2:$B$201,147-$O$2),""))</f>
        <v/>
      </c>
      <c r="H148" s="0" t="str">
        <f aca="false">IF(Ingredients!B152="","",COUNTA(Ingredients!$B$6:B152))</f>
        <v/>
      </c>
    </row>
    <row r="149" customFormat="false" ht="15" hidden="false" customHeight="false" outlineLevel="0" collapsed="false">
      <c r="A149" s="0" t="n">
        <v>148</v>
      </c>
      <c r="B149" s="0" t="str">
        <f aca="false">IFERROR(INDEX(Ingredients!$B$6:$B$205,MATCH(A149,$H$2:$H$201,0)),"")</f>
        <v/>
      </c>
      <c r="D149" s="0" t="str">
        <f aca="false">IF(148&lt;=$O$2,INDEX($N$2:$N$11,148),IF(148&lt;=$O$2+$O$3,INDEX($B$2:$B$201,148-$O$2),""))</f>
        <v/>
      </c>
      <c r="H149" s="0" t="str">
        <f aca="false">IF(Ingredients!B153="","",COUNTA(Ingredients!$B$6:B153))</f>
        <v/>
      </c>
    </row>
    <row r="150" customFormat="false" ht="15" hidden="false" customHeight="false" outlineLevel="0" collapsed="false">
      <c r="A150" s="0" t="n">
        <v>149</v>
      </c>
      <c r="B150" s="0" t="str">
        <f aca="false">IFERROR(INDEX(Ingredients!$B$6:$B$205,MATCH(A150,$H$2:$H$201,0)),"")</f>
        <v/>
      </c>
      <c r="D150" s="0" t="str">
        <f aca="false">IF(149&lt;=$O$2,INDEX($N$2:$N$11,149),IF(149&lt;=$O$2+$O$3,INDEX($B$2:$B$201,149-$O$2),""))</f>
        <v/>
      </c>
      <c r="H150" s="0" t="str">
        <f aca="false">IF(Ingredients!B154="","",COUNTA(Ingredients!$B$6:B154))</f>
        <v/>
      </c>
    </row>
    <row r="151" customFormat="false" ht="15" hidden="false" customHeight="false" outlineLevel="0" collapsed="false">
      <c r="A151" s="0" t="n">
        <v>150</v>
      </c>
      <c r="B151" s="0" t="str">
        <f aca="false">IFERROR(INDEX(Ingredients!$B$6:$B$205,MATCH(A151,$H$2:$H$201,0)),"")</f>
        <v/>
      </c>
      <c r="D151" s="0" t="str">
        <f aca="false">IF(150&lt;=$O$2,INDEX($N$2:$N$11,150),IF(150&lt;=$O$2+$O$3,INDEX($B$2:$B$201,150-$O$2),""))</f>
        <v/>
      </c>
      <c r="H151" s="0" t="str">
        <f aca="false">IF(Ingredients!B155="","",COUNTA(Ingredients!$B$6:B155))</f>
        <v/>
      </c>
    </row>
    <row r="152" customFormat="false" ht="15" hidden="false" customHeight="false" outlineLevel="0" collapsed="false">
      <c r="A152" s="0" t="n">
        <v>151</v>
      </c>
      <c r="B152" s="0" t="str">
        <f aca="false">IFERROR(INDEX(Ingredients!$B$6:$B$205,MATCH(A152,$H$2:$H$201,0)),"")</f>
        <v/>
      </c>
      <c r="D152" s="0" t="str">
        <f aca="false">IF(151&lt;=$O$2,INDEX($N$2:$N$11,151),IF(151&lt;=$O$2+$O$3,INDEX($B$2:$B$201,151-$O$2),""))</f>
        <v/>
      </c>
      <c r="H152" s="0" t="str">
        <f aca="false">IF(Ingredients!B156="","",COUNTA(Ingredients!$B$6:B156))</f>
        <v/>
      </c>
    </row>
    <row r="153" customFormat="false" ht="15" hidden="false" customHeight="false" outlineLevel="0" collapsed="false">
      <c r="A153" s="0" t="n">
        <v>152</v>
      </c>
      <c r="B153" s="0" t="str">
        <f aca="false">IFERROR(INDEX(Ingredients!$B$6:$B$205,MATCH(A153,$H$2:$H$201,0)),"")</f>
        <v/>
      </c>
      <c r="D153" s="0" t="str">
        <f aca="false">IF(152&lt;=$O$2,INDEX($N$2:$N$11,152),IF(152&lt;=$O$2+$O$3,INDEX($B$2:$B$201,152-$O$2),""))</f>
        <v/>
      </c>
      <c r="H153" s="0" t="str">
        <f aca="false">IF(Ingredients!B157="","",COUNTA(Ingredients!$B$6:B157))</f>
        <v/>
      </c>
    </row>
    <row r="154" customFormat="false" ht="15" hidden="false" customHeight="false" outlineLevel="0" collapsed="false">
      <c r="A154" s="0" t="n">
        <v>153</v>
      </c>
      <c r="B154" s="0" t="str">
        <f aca="false">IFERROR(INDEX(Ingredients!$B$6:$B$205,MATCH(A154,$H$2:$H$201,0)),"")</f>
        <v/>
      </c>
      <c r="D154" s="0" t="str">
        <f aca="false">IF(153&lt;=$O$2,INDEX($N$2:$N$11,153),IF(153&lt;=$O$2+$O$3,INDEX($B$2:$B$201,153-$O$2),""))</f>
        <v/>
      </c>
      <c r="H154" s="0" t="str">
        <f aca="false">IF(Ingredients!B158="","",COUNTA(Ingredients!$B$6:B158))</f>
        <v/>
      </c>
    </row>
    <row r="155" customFormat="false" ht="15" hidden="false" customHeight="false" outlineLevel="0" collapsed="false">
      <c r="A155" s="0" t="n">
        <v>154</v>
      </c>
      <c r="B155" s="0" t="str">
        <f aca="false">IFERROR(INDEX(Ingredients!$B$6:$B$205,MATCH(A155,$H$2:$H$201,0)),"")</f>
        <v/>
      </c>
      <c r="D155" s="0" t="str">
        <f aca="false">IF(154&lt;=$O$2,INDEX($N$2:$N$11,154),IF(154&lt;=$O$2+$O$3,INDEX($B$2:$B$201,154-$O$2),""))</f>
        <v/>
      </c>
      <c r="H155" s="0" t="str">
        <f aca="false">IF(Ingredients!B159="","",COUNTA(Ingredients!$B$6:B159))</f>
        <v/>
      </c>
    </row>
    <row r="156" customFormat="false" ht="15" hidden="false" customHeight="false" outlineLevel="0" collapsed="false">
      <c r="A156" s="0" t="n">
        <v>155</v>
      </c>
      <c r="B156" s="0" t="str">
        <f aca="false">IFERROR(INDEX(Ingredients!$B$6:$B$205,MATCH(A156,$H$2:$H$201,0)),"")</f>
        <v/>
      </c>
      <c r="D156" s="0" t="str">
        <f aca="false">IF(155&lt;=$O$2,INDEX($N$2:$N$11,155),IF(155&lt;=$O$2+$O$3,INDEX($B$2:$B$201,155-$O$2),""))</f>
        <v/>
      </c>
      <c r="H156" s="0" t="str">
        <f aca="false">IF(Ingredients!B160="","",COUNTA(Ingredients!$B$6:B160))</f>
        <v/>
      </c>
    </row>
    <row r="157" customFormat="false" ht="15" hidden="false" customHeight="false" outlineLevel="0" collapsed="false">
      <c r="A157" s="0" t="n">
        <v>156</v>
      </c>
      <c r="B157" s="0" t="str">
        <f aca="false">IFERROR(INDEX(Ingredients!$B$6:$B$205,MATCH(A157,$H$2:$H$201,0)),"")</f>
        <v/>
      </c>
      <c r="D157" s="0" t="str">
        <f aca="false">IF(156&lt;=$O$2,INDEX($N$2:$N$11,156),IF(156&lt;=$O$2+$O$3,INDEX($B$2:$B$201,156-$O$2),""))</f>
        <v/>
      </c>
      <c r="H157" s="0" t="str">
        <f aca="false">IF(Ingredients!B161="","",COUNTA(Ingredients!$B$6:B161))</f>
        <v/>
      </c>
    </row>
    <row r="158" customFormat="false" ht="15" hidden="false" customHeight="false" outlineLevel="0" collapsed="false">
      <c r="A158" s="0" t="n">
        <v>157</v>
      </c>
      <c r="B158" s="0" t="str">
        <f aca="false">IFERROR(INDEX(Ingredients!$B$6:$B$205,MATCH(A158,$H$2:$H$201,0)),"")</f>
        <v/>
      </c>
      <c r="D158" s="0" t="str">
        <f aca="false">IF(157&lt;=$O$2,INDEX($N$2:$N$11,157),IF(157&lt;=$O$2+$O$3,INDEX($B$2:$B$201,157-$O$2),""))</f>
        <v/>
      </c>
      <c r="H158" s="0" t="str">
        <f aca="false">IF(Ingredients!B162="","",COUNTA(Ingredients!$B$6:B162))</f>
        <v/>
      </c>
    </row>
    <row r="159" customFormat="false" ht="15" hidden="false" customHeight="false" outlineLevel="0" collapsed="false">
      <c r="A159" s="0" t="n">
        <v>158</v>
      </c>
      <c r="B159" s="0" t="str">
        <f aca="false">IFERROR(INDEX(Ingredients!$B$6:$B$205,MATCH(A159,$H$2:$H$201,0)),"")</f>
        <v/>
      </c>
      <c r="D159" s="0" t="str">
        <f aca="false">IF(158&lt;=$O$2,INDEX($N$2:$N$11,158),IF(158&lt;=$O$2+$O$3,INDEX($B$2:$B$201,158-$O$2),""))</f>
        <v/>
      </c>
      <c r="H159" s="0" t="str">
        <f aca="false">IF(Ingredients!B163="","",COUNTA(Ingredients!$B$6:B163))</f>
        <v/>
      </c>
    </row>
    <row r="160" customFormat="false" ht="15" hidden="false" customHeight="false" outlineLevel="0" collapsed="false">
      <c r="A160" s="0" t="n">
        <v>159</v>
      </c>
      <c r="B160" s="0" t="str">
        <f aca="false">IFERROR(INDEX(Ingredients!$B$6:$B$205,MATCH(A160,$H$2:$H$201,0)),"")</f>
        <v/>
      </c>
      <c r="D160" s="0" t="str">
        <f aca="false">IF(159&lt;=$O$2,INDEX($N$2:$N$11,159),IF(159&lt;=$O$2+$O$3,INDEX($B$2:$B$201,159-$O$2),""))</f>
        <v/>
      </c>
      <c r="H160" s="0" t="str">
        <f aca="false">IF(Ingredients!B164="","",COUNTA(Ingredients!$B$6:B164))</f>
        <v/>
      </c>
    </row>
    <row r="161" customFormat="false" ht="15" hidden="false" customHeight="false" outlineLevel="0" collapsed="false">
      <c r="A161" s="0" t="n">
        <v>160</v>
      </c>
      <c r="B161" s="0" t="str">
        <f aca="false">IFERROR(INDEX(Ingredients!$B$6:$B$205,MATCH(A161,$H$2:$H$201,0)),"")</f>
        <v/>
      </c>
      <c r="D161" s="0" t="str">
        <f aca="false">IF(160&lt;=$O$2,INDEX($N$2:$N$11,160),IF(160&lt;=$O$2+$O$3,INDEX($B$2:$B$201,160-$O$2),""))</f>
        <v/>
      </c>
      <c r="H161" s="0" t="str">
        <f aca="false">IF(Ingredients!B165="","",COUNTA(Ingredients!$B$6:B165))</f>
        <v/>
      </c>
    </row>
    <row r="162" customFormat="false" ht="15" hidden="false" customHeight="false" outlineLevel="0" collapsed="false">
      <c r="A162" s="0" t="n">
        <v>161</v>
      </c>
      <c r="B162" s="0" t="str">
        <f aca="false">IFERROR(INDEX(Ingredients!$B$6:$B$205,MATCH(A162,$H$2:$H$201,0)),"")</f>
        <v/>
      </c>
      <c r="D162" s="0" t="str">
        <f aca="false">IF(161&lt;=$O$2,INDEX($N$2:$N$11,161),IF(161&lt;=$O$2+$O$3,INDEX($B$2:$B$201,161-$O$2),""))</f>
        <v/>
      </c>
      <c r="H162" s="0" t="str">
        <f aca="false">IF(Ingredients!B166="","",COUNTA(Ingredients!$B$6:B166))</f>
        <v/>
      </c>
    </row>
    <row r="163" customFormat="false" ht="15" hidden="false" customHeight="false" outlineLevel="0" collapsed="false">
      <c r="A163" s="0" t="n">
        <v>162</v>
      </c>
      <c r="B163" s="0" t="str">
        <f aca="false">IFERROR(INDEX(Ingredients!$B$6:$B$205,MATCH(A163,$H$2:$H$201,0)),"")</f>
        <v/>
      </c>
      <c r="D163" s="0" t="str">
        <f aca="false">IF(162&lt;=$O$2,INDEX($N$2:$N$11,162),IF(162&lt;=$O$2+$O$3,INDEX($B$2:$B$201,162-$O$2),""))</f>
        <v/>
      </c>
      <c r="H163" s="0" t="str">
        <f aca="false">IF(Ingredients!B167="","",COUNTA(Ingredients!$B$6:B167))</f>
        <v/>
      </c>
    </row>
    <row r="164" customFormat="false" ht="15" hidden="false" customHeight="false" outlineLevel="0" collapsed="false">
      <c r="A164" s="0" t="n">
        <v>163</v>
      </c>
      <c r="B164" s="0" t="str">
        <f aca="false">IFERROR(INDEX(Ingredients!$B$6:$B$205,MATCH(A164,$H$2:$H$201,0)),"")</f>
        <v/>
      </c>
      <c r="D164" s="0" t="str">
        <f aca="false">IF(163&lt;=$O$2,INDEX($N$2:$N$11,163),IF(163&lt;=$O$2+$O$3,INDEX($B$2:$B$201,163-$O$2),""))</f>
        <v/>
      </c>
      <c r="H164" s="0" t="str">
        <f aca="false">IF(Ingredients!B168="","",COUNTA(Ingredients!$B$6:B168))</f>
        <v/>
      </c>
    </row>
    <row r="165" customFormat="false" ht="15" hidden="false" customHeight="false" outlineLevel="0" collapsed="false">
      <c r="A165" s="0" t="n">
        <v>164</v>
      </c>
      <c r="B165" s="0" t="str">
        <f aca="false">IFERROR(INDEX(Ingredients!$B$6:$B$205,MATCH(A165,$H$2:$H$201,0)),"")</f>
        <v/>
      </c>
      <c r="D165" s="0" t="str">
        <f aca="false">IF(164&lt;=$O$2,INDEX($N$2:$N$11,164),IF(164&lt;=$O$2+$O$3,INDEX($B$2:$B$201,164-$O$2),""))</f>
        <v/>
      </c>
      <c r="H165" s="0" t="str">
        <f aca="false">IF(Ingredients!B169="","",COUNTA(Ingredients!$B$6:B169))</f>
        <v/>
      </c>
    </row>
    <row r="166" customFormat="false" ht="15" hidden="false" customHeight="false" outlineLevel="0" collapsed="false">
      <c r="A166" s="0" t="n">
        <v>165</v>
      </c>
      <c r="B166" s="0" t="str">
        <f aca="false">IFERROR(INDEX(Ingredients!$B$6:$B$205,MATCH(A166,$H$2:$H$201,0)),"")</f>
        <v/>
      </c>
      <c r="D166" s="0" t="str">
        <f aca="false">IF(165&lt;=$O$2,INDEX($N$2:$N$11,165),IF(165&lt;=$O$2+$O$3,INDEX($B$2:$B$201,165-$O$2),""))</f>
        <v/>
      </c>
      <c r="H166" s="0" t="str">
        <f aca="false">IF(Ingredients!B170="","",COUNTA(Ingredients!$B$6:B170))</f>
        <v/>
      </c>
    </row>
    <row r="167" customFormat="false" ht="15" hidden="false" customHeight="false" outlineLevel="0" collapsed="false">
      <c r="A167" s="0" t="n">
        <v>166</v>
      </c>
      <c r="B167" s="0" t="str">
        <f aca="false">IFERROR(INDEX(Ingredients!$B$6:$B$205,MATCH(A167,$H$2:$H$201,0)),"")</f>
        <v/>
      </c>
      <c r="D167" s="0" t="str">
        <f aca="false">IF(166&lt;=$O$2,INDEX($N$2:$N$11,166),IF(166&lt;=$O$2+$O$3,INDEX($B$2:$B$201,166-$O$2),""))</f>
        <v/>
      </c>
      <c r="H167" s="0" t="str">
        <f aca="false">IF(Ingredients!B171="","",COUNTA(Ingredients!$B$6:B171))</f>
        <v/>
      </c>
    </row>
    <row r="168" customFormat="false" ht="15" hidden="false" customHeight="false" outlineLevel="0" collapsed="false">
      <c r="A168" s="0" t="n">
        <v>167</v>
      </c>
      <c r="B168" s="0" t="str">
        <f aca="false">IFERROR(INDEX(Ingredients!$B$6:$B$205,MATCH(A168,$H$2:$H$201,0)),"")</f>
        <v/>
      </c>
      <c r="D168" s="0" t="str">
        <f aca="false">IF(167&lt;=$O$2,INDEX($N$2:$N$11,167),IF(167&lt;=$O$2+$O$3,INDEX($B$2:$B$201,167-$O$2),""))</f>
        <v/>
      </c>
      <c r="H168" s="0" t="str">
        <f aca="false">IF(Ingredients!B172="","",COUNTA(Ingredients!$B$6:B172))</f>
        <v/>
      </c>
    </row>
    <row r="169" customFormat="false" ht="15" hidden="false" customHeight="false" outlineLevel="0" collapsed="false">
      <c r="A169" s="0" t="n">
        <v>168</v>
      </c>
      <c r="B169" s="0" t="str">
        <f aca="false">IFERROR(INDEX(Ingredients!$B$6:$B$205,MATCH(A169,$H$2:$H$201,0)),"")</f>
        <v/>
      </c>
      <c r="D169" s="0" t="str">
        <f aca="false">IF(168&lt;=$O$2,INDEX($N$2:$N$11,168),IF(168&lt;=$O$2+$O$3,INDEX($B$2:$B$201,168-$O$2),""))</f>
        <v/>
      </c>
      <c r="H169" s="0" t="str">
        <f aca="false">IF(Ingredients!B173="","",COUNTA(Ingredients!$B$6:B173))</f>
        <v/>
      </c>
    </row>
    <row r="170" customFormat="false" ht="15" hidden="false" customHeight="false" outlineLevel="0" collapsed="false">
      <c r="A170" s="0" t="n">
        <v>169</v>
      </c>
      <c r="B170" s="0" t="str">
        <f aca="false">IFERROR(INDEX(Ingredients!$B$6:$B$205,MATCH(A170,$H$2:$H$201,0)),"")</f>
        <v/>
      </c>
      <c r="D170" s="0" t="str">
        <f aca="false">IF(169&lt;=$O$2,INDEX($N$2:$N$11,169),IF(169&lt;=$O$2+$O$3,INDEX($B$2:$B$201,169-$O$2),""))</f>
        <v/>
      </c>
      <c r="H170" s="0" t="str">
        <f aca="false">IF(Ingredients!B174="","",COUNTA(Ingredients!$B$6:B174))</f>
        <v/>
      </c>
    </row>
    <row r="171" customFormat="false" ht="15" hidden="false" customHeight="false" outlineLevel="0" collapsed="false">
      <c r="A171" s="0" t="n">
        <v>170</v>
      </c>
      <c r="B171" s="0" t="str">
        <f aca="false">IFERROR(INDEX(Ingredients!$B$6:$B$205,MATCH(A171,$H$2:$H$201,0)),"")</f>
        <v/>
      </c>
      <c r="D171" s="0" t="str">
        <f aca="false">IF(170&lt;=$O$2,INDEX($N$2:$N$11,170),IF(170&lt;=$O$2+$O$3,INDEX($B$2:$B$201,170-$O$2),""))</f>
        <v/>
      </c>
      <c r="H171" s="0" t="str">
        <f aca="false">IF(Ingredients!B175="","",COUNTA(Ingredients!$B$6:B175))</f>
        <v/>
      </c>
    </row>
    <row r="172" customFormat="false" ht="15" hidden="false" customHeight="false" outlineLevel="0" collapsed="false">
      <c r="A172" s="0" t="n">
        <v>171</v>
      </c>
      <c r="B172" s="0" t="str">
        <f aca="false">IFERROR(INDEX(Ingredients!$B$6:$B$205,MATCH(A172,$H$2:$H$201,0)),"")</f>
        <v/>
      </c>
      <c r="D172" s="0" t="str">
        <f aca="false">IF(171&lt;=$O$2,INDEX($N$2:$N$11,171),IF(171&lt;=$O$2+$O$3,INDEX($B$2:$B$201,171-$O$2),""))</f>
        <v/>
      </c>
      <c r="H172" s="0" t="str">
        <f aca="false">IF(Ingredients!B176="","",COUNTA(Ingredients!$B$6:B176))</f>
        <v/>
      </c>
    </row>
    <row r="173" customFormat="false" ht="15" hidden="false" customHeight="false" outlineLevel="0" collapsed="false">
      <c r="A173" s="0" t="n">
        <v>172</v>
      </c>
      <c r="B173" s="0" t="str">
        <f aca="false">IFERROR(INDEX(Ingredients!$B$6:$B$205,MATCH(A173,$H$2:$H$201,0)),"")</f>
        <v/>
      </c>
      <c r="D173" s="0" t="str">
        <f aca="false">IF(172&lt;=$O$2,INDEX($N$2:$N$11,172),IF(172&lt;=$O$2+$O$3,INDEX($B$2:$B$201,172-$O$2),""))</f>
        <v/>
      </c>
      <c r="H173" s="0" t="str">
        <f aca="false">IF(Ingredients!B177="","",COUNTA(Ingredients!$B$6:B177))</f>
        <v/>
      </c>
    </row>
    <row r="174" customFormat="false" ht="15" hidden="false" customHeight="false" outlineLevel="0" collapsed="false">
      <c r="A174" s="0" t="n">
        <v>173</v>
      </c>
      <c r="B174" s="0" t="str">
        <f aca="false">IFERROR(INDEX(Ingredients!$B$6:$B$205,MATCH(A174,$H$2:$H$201,0)),"")</f>
        <v/>
      </c>
      <c r="D174" s="0" t="str">
        <f aca="false">IF(173&lt;=$O$2,INDEX($N$2:$N$11,173),IF(173&lt;=$O$2+$O$3,INDEX($B$2:$B$201,173-$O$2),""))</f>
        <v/>
      </c>
      <c r="H174" s="0" t="str">
        <f aca="false">IF(Ingredients!B178="","",COUNTA(Ingredients!$B$6:B178))</f>
        <v/>
      </c>
    </row>
    <row r="175" customFormat="false" ht="15" hidden="false" customHeight="false" outlineLevel="0" collapsed="false">
      <c r="A175" s="0" t="n">
        <v>174</v>
      </c>
      <c r="B175" s="0" t="str">
        <f aca="false">IFERROR(INDEX(Ingredients!$B$6:$B$205,MATCH(A175,$H$2:$H$201,0)),"")</f>
        <v/>
      </c>
      <c r="D175" s="0" t="str">
        <f aca="false">IF(174&lt;=$O$2,INDEX($N$2:$N$11,174),IF(174&lt;=$O$2+$O$3,INDEX($B$2:$B$201,174-$O$2),""))</f>
        <v/>
      </c>
      <c r="H175" s="0" t="str">
        <f aca="false">IF(Ingredients!B179="","",COUNTA(Ingredients!$B$6:B179))</f>
        <v/>
      </c>
    </row>
    <row r="176" customFormat="false" ht="15" hidden="false" customHeight="false" outlineLevel="0" collapsed="false">
      <c r="A176" s="0" t="n">
        <v>175</v>
      </c>
      <c r="B176" s="0" t="str">
        <f aca="false">IFERROR(INDEX(Ingredients!$B$6:$B$205,MATCH(A176,$H$2:$H$201,0)),"")</f>
        <v/>
      </c>
      <c r="D176" s="0" t="str">
        <f aca="false">IF(175&lt;=$O$2,INDEX($N$2:$N$11,175),IF(175&lt;=$O$2+$O$3,INDEX($B$2:$B$201,175-$O$2),""))</f>
        <v/>
      </c>
      <c r="H176" s="0" t="str">
        <f aca="false">IF(Ingredients!B180="","",COUNTA(Ingredients!$B$6:B180))</f>
        <v/>
      </c>
    </row>
    <row r="177" customFormat="false" ht="15" hidden="false" customHeight="false" outlineLevel="0" collapsed="false">
      <c r="A177" s="0" t="n">
        <v>176</v>
      </c>
      <c r="B177" s="0" t="str">
        <f aca="false">IFERROR(INDEX(Ingredients!$B$6:$B$205,MATCH(A177,$H$2:$H$201,0)),"")</f>
        <v/>
      </c>
      <c r="D177" s="0" t="str">
        <f aca="false">IF(176&lt;=$O$2,INDEX($N$2:$N$11,176),IF(176&lt;=$O$2+$O$3,INDEX($B$2:$B$201,176-$O$2),""))</f>
        <v/>
      </c>
      <c r="H177" s="0" t="str">
        <f aca="false">IF(Ingredients!B181="","",COUNTA(Ingredients!$B$6:B181))</f>
        <v/>
      </c>
    </row>
    <row r="178" customFormat="false" ht="15" hidden="false" customHeight="false" outlineLevel="0" collapsed="false">
      <c r="A178" s="0" t="n">
        <v>177</v>
      </c>
      <c r="B178" s="0" t="str">
        <f aca="false">IFERROR(INDEX(Ingredients!$B$6:$B$205,MATCH(A178,$H$2:$H$201,0)),"")</f>
        <v/>
      </c>
      <c r="D178" s="0" t="str">
        <f aca="false">IF(177&lt;=$O$2,INDEX($N$2:$N$11,177),IF(177&lt;=$O$2+$O$3,INDEX($B$2:$B$201,177-$O$2),""))</f>
        <v/>
      </c>
      <c r="H178" s="0" t="str">
        <f aca="false">IF(Ingredients!B182="","",COUNTA(Ingredients!$B$6:B182))</f>
        <v/>
      </c>
    </row>
    <row r="179" customFormat="false" ht="15" hidden="false" customHeight="false" outlineLevel="0" collapsed="false">
      <c r="A179" s="0" t="n">
        <v>178</v>
      </c>
      <c r="B179" s="0" t="str">
        <f aca="false">IFERROR(INDEX(Ingredients!$B$6:$B$205,MATCH(A179,$H$2:$H$201,0)),"")</f>
        <v/>
      </c>
      <c r="D179" s="0" t="str">
        <f aca="false">IF(178&lt;=$O$2,INDEX($N$2:$N$11,178),IF(178&lt;=$O$2+$O$3,INDEX($B$2:$B$201,178-$O$2),""))</f>
        <v/>
      </c>
      <c r="H179" s="0" t="str">
        <f aca="false">IF(Ingredients!B183="","",COUNTA(Ingredients!$B$6:B183))</f>
        <v/>
      </c>
    </row>
    <row r="180" customFormat="false" ht="15" hidden="false" customHeight="false" outlineLevel="0" collapsed="false">
      <c r="A180" s="0" t="n">
        <v>179</v>
      </c>
      <c r="B180" s="0" t="str">
        <f aca="false">IFERROR(INDEX(Ingredients!$B$6:$B$205,MATCH(A180,$H$2:$H$201,0)),"")</f>
        <v/>
      </c>
      <c r="D180" s="0" t="str">
        <f aca="false">IF(179&lt;=$O$2,INDEX($N$2:$N$11,179),IF(179&lt;=$O$2+$O$3,INDEX($B$2:$B$201,179-$O$2),""))</f>
        <v/>
      </c>
      <c r="H180" s="0" t="str">
        <f aca="false">IF(Ingredients!B184="","",COUNTA(Ingredients!$B$6:B184))</f>
        <v/>
      </c>
    </row>
    <row r="181" customFormat="false" ht="15" hidden="false" customHeight="false" outlineLevel="0" collapsed="false">
      <c r="A181" s="0" t="n">
        <v>180</v>
      </c>
      <c r="B181" s="0" t="str">
        <f aca="false">IFERROR(INDEX(Ingredients!$B$6:$B$205,MATCH(A181,$H$2:$H$201,0)),"")</f>
        <v/>
      </c>
      <c r="D181" s="0" t="str">
        <f aca="false">IF(180&lt;=$O$2,INDEX($N$2:$N$11,180),IF(180&lt;=$O$2+$O$3,INDEX($B$2:$B$201,180-$O$2),""))</f>
        <v/>
      </c>
      <c r="H181" s="0" t="str">
        <f aca="false">IF(Ingredients!B185="","",COUNTA(Ingredients!$B$6:B185))</f>
        <v/>
      </c>
    </row>
    <row r="182" customFormat="false" ht="15" hidden="false" customHeight="false" outlineLevel="0" collapsed="false">
      <c r="A182" s="0" t="n">
        <v>181</v>
      </c>
      <c r="B182" s="0" t="str">
        <f aca="false">IFERROR(INDEX(Ingredients!$B$6:$B$205,MATCH(A182,$H$2:$H$201,0)),"")</f>
        <v/>
      </c>
      <c r="D182" s="0" t="str">
        <f aca="false">IF(181&lt;=$O$2,INDEX($N$2:$N$11,181),IF(181&lt;=$O$2+$O$3,INDEX($B$2:$B$201,181-$O$2),""))</f>
        <v/>
      </c>
      <c r="H182" s="0" t="str">
        <f aca="false">IF(Ingredients!B186="","",COUNTA(Ingredients!$B$6:B186))</f>
        <v/>
      </c>
    </row>
    <row r="183" customFormat="false" ht="15" hidden="false" customHeight="false" outlineLevel="0" collapsed="false">
      <c r="A183" s="0" t="n">
        <v>182</v>
      </c>
      <c r="B183" s="0" t="str">
        <f aca="false">IFERROR(INDEX(Ingredients!$B$6:$B$205,MATCH(A183,$H$2:$H$201,0)),"")</f>
        <v/>
      </c>
      <c r="D183" s="0" t="str">
        <f aca="false">IF(182&lt;=$O$2,INDEX($N$2:$N$11,182),IF(182&lt;=$O$2+$O$3,INDEX($B$2:$B$201,182-$O$2),""))</f>
        <v/>
      </c>
      <c r="H183" s="0" t="str">
        <f aca="false">IF(Ingredients!B187="","",COUNTA(Ingredients!$B$6:B187))</f>
        <v/>
      </c>
    </row>
    <row r="184" customFormat="false" ht="15" hidden="false" customHeight="false" outlineLevel="0" collapsed="false">
      <c r="A184" s="0" t="n">
        <v>183</v>
      </c>
      <c r="B184" s="0" t="str">
        <f aca="false">IFERROR(INDEX(Ingredients!$B$6:$B$205,MATCH(A184,$H$2:$H$201,0)),"")</f>
        <v/>
      </c>
      <c r="D184" s="0" t="str">
        <f aca="false">IF(183&lt;=$O$2,INDEX($N$2:$N$11,183),IF(183&lt;=$O$2+$O$3,INDEX($B$2:$B$201,183-$O$2),""))</f>
        <v/>
      </c>
      <c r="H184" s="0" t="str">
        <f aca="false">IF(Ingredients!B188="","",COUNTA(Ingredients!$B$6:B188))</f>
        <v/>
      </c>
    </row>
    <row r="185" customFormat="false" ht="15" hidden="false" customHeight="false" outlineLevel="0" collapsed="false">
      <c r="A185" s="0" t="n">
        <v>184</v>
      </c>
      <c r="B185" s="0" t="str">
        <f aca="false">IFERROR(INDEX(Ingredients!$B$6:$B$205,MATCH(A185,$H$2:$H$201,0)),"")</f>
        <v/>
      </c>
      <c r="D185" s="0" t="str">
        <f aca="false">IF(184&lt;=$O$2,INDEX($N$2:$N$11,184),IF(184&lt;=$O$2+$O$3,INDEX($B$2:$B$201,184-$O$2),""))</f>
        <v/>
      </c>
      <c r="H185" s="0" t="str">
        <f aca="false">IF(Ingredients!B189="","",COUNTA(Ingredients!$B$6:B189))</f>
        <v/>
      </c>
    </row>
    <row r="186" customFormat="false" ht="15" hidden="false" customHeight="false" outlineLevel="0" collapsed="false">
      <c r="A186" s="0" t="n">
        <v>185</v>
      </c>
      <c r="B186" s="0" t="str">
        <f aca="false">IFERROR(INDEX(Ingredients!$B$6:$B$205,MATCH(A186,$H$2:$H$201,0)),"")</f>
        <v/>
      </c>
      <c r="D186" s="0" t="str">
        <f aca="false">IF(185&lt;=$O$2,INDEX($N$2:$N$11,185),IF(185&lt;=$O$2+$O$3,INDEX($B$2:$B$201,185-$O$2),""))</f>
        <v/>
      </c>
      <c r="H186" s="0" t="str">
        <f aca="false">IF(Ingredients!B190="","",COUNTA(Ingredients!$B$6:B190))</f>
        <v/>
      </c>
    </row>
    <row r="187" customFormat="false" ht="15" hidden="false" customHeight="false" outlineLevel="0" collapsed="false">
      <c r="A187" s="0" t="n">
        <v>186</v>
      </c>
      <c r="B187" s="0" t="str">
        <f aca="false">IFERROR(INDEX(Ingredients!$B$6:$B$205,MATCH(A187,$H$2:$H$201,0)),"")</f>
        <v/>
      </c>
      <c r="D187" s="0" t="str">
        <f aca="false">IF(186&lt;=$O$2,INDEX($N$2:$N$11,186),IF(186&lt;=$O$2+$O$3,INDEX($B$2:$B$201,186-$O$2),""))</f>
        <v/>
      </c>
      <c r="H187" s="0" t="str">
        <f aca="false">IF(Ingredients!B191="","",COUNTA(Ingredients!$B$6:B191))</f>
        <v/>
      </c>
    </row>
    <row r="188" customFormat="false" ht="15" hidden="false" customHeight="false" outlineLevel="0" collapsed="false">
      <c r="A188" s="0" t="n">
        <v>187</v>
      </c>
      <c r="B188" s="0" t="str">
        <f aca="false">IFERROR(INDEX(Ingredients!$B$6:$B$205,MATCH(A188,$H$2:$H$201,0)),"")</f>
        <v/>
      </c>
      <c r="D188" s="0" t="str">
        <f aca="false">IF(187&lt;=$O$2,INDEX($N$2:$N$11,187),IF(187&lt;=$O$2+$O$3,INDEX($B$2:$B$201,187-$O$2),""))</f>
        <v/>
      </c>
      <c r="H188" s="0" t="str">
        <f aca="false">IF(Ingredients!B192="","",COUNTA(Ingredients!$B$6:B192))</f>
        <v/>
      </c>
    </row>
    <row r="189" customFormat="false" ht="15" hidden="false" customHeight="false" outlineLevel="0" collapsed="false">
      <c r="A189" s="0" t="n">
        <v>188</v>
      </c>
      <c r="B189" s="0" t="str">
        <f aca="false">IFERROR(INDEX(Ingredients!$B$6:$B$205,MATCH(A189,$H$2:$H$201,0)),"")</f>
        <v/>
      </c>
      <c r="D189" s="0" t="str">
        <f aca="false">IF(188&lt;=$O$2,INDEX($N$2:$N$11,188),IF(188&lt;=$O$2+$O$3,INDEX($B$2:$B$201,188-$O$2),""))</f>
        <v/>
      </c>
      <c r="H189" s="0" t="str">
        <f aca="false">IF(Ingredients!B193="","",COUNTA(Ingredients!$B$6:B193))</f>
        <v/>
      </c>
    </row>
    <row r="190" customFormat="false" ht="15" hidden="false" customHeight="false" outlineLevel="0" collapsed="false">
      <c r="A190" s="0" t="n">
        <v>189</v>
      </c>
      <c r="B190" s="0" t="str">
        <f aca="false">IFERROR(INDEX(Ingredients!$B$6:$B$205,MATCH(A190,$H$2:$H$201,0)),"")</f>
        <v/>
      </c>
      <c r="D190" s="0" t="str">
        <f aca="false">IF(189&lt;=$O$2,INDEX($N$2:$N$11,189),IF(189&lt;=$O$2+$O$3,INDEX($B$2:$B$201,189-$O$2),""))</f>
        <v/>
      </c>
      <c r="H190" s="0" t="str">
        <f aca="false">IF(Ingredients!B194="","",COUNTA(Ingredients!$B$6:B194))</f>
        <v/>
      </c>
    </row>
    <row r="191" customFormat="false" ht="15" hidden="false" customHeight="false" outlineLevel="0" collapsed="false">
      <c r="A191" s="0" t="n">
        <v>190</v>
      </c>
      <c r="B191" s="0" t="str">
        <f aca="false">IFERROR(INDEX(Ingredients!$B$6:$B$205,MATCH(A191,$H$2:$H$201,0)),"")</f>
        <v/>
      </c>
      <c r="D191" s="0" t="str">
        <f aca="false">IF(190&lt;=$O$2,INDEX($N$2:$N$11,190),IF(190&lt;=$O$2+$O$3,INDEX($B$2:$B$201,190-$O$2),""))</f>
        <v/>
      </c>
      <c r="H191" s="0" t="str">
        <f aca="false">IF(Ingredients!B195="","",COUNTA(Ingredients!$B$6:B195))</f>
        <v/>
      </c>
    </row>
    <row r="192" customFormat="false" ht="15" hidden="false" customHeight="false" outlineLevel="0" collapsed="false">
      <c r="A192" s="0" t="n">
        <v>191</v>
      </c>
      <c r="B192" s="0" t="str">
        <f aca="false">IFERROR(INDEX(Ingredients!$B$6:$B$205,MATCH(A192,$H$2:$H$201,0)),"")</f>
        <v/>
      </c>
      <c r="D192" s="0" t="str">
        <f aca="false">IF(191&lt;=$O$2,INDEX($N$2:$N$11,191),IF(191&lt;=$O$2+$O$3,INDEX($B$2:$B$201,191-$O$2),""))</f>
        <v/>
      </c>
      <c r="H192" s="0" t="str">
        <f aca="false">IF(Ingredients!B196="","",COUNTA(Ingredients!$B$6:B196))</f>
        <v/>
      </c>
    </row>
    <row r="193" customFormat="false" ht="15" hidden="false" customHeight="false" outlineLevel="0" collapsed="false">
      <c r="A193" s="0" t="n">
        <v>192</v>
      </c>
      <c r="B193" s="0" t="str">
        <f aca="false">IFERROR(INDEX(Ingredients!$B$6:$B$205,MATCH(A193,$H$2:$H$201,0)),"")</f>
        <v/>
      </c>
      <c r="D193" s="0" t="str">
        <f aca="false">IF(192&lt;=$O$2,INDEX($N$2:$N$11,192),IF(192&lt;=$O$2+$O$3,INDEX($B$2:$B$201,192-$O$2),""))</f>
        <v/>
      </c>
      <c r="H193" s="0" t="str">
        <f aca="false">IF(Ingredients!B197="","",COUNTA(Ingredients!$B$6:B197))</f>
        <v/>
      </c>
    </row>
    <row r="194" customFormat="false" ht="15" hidden="false" customHeight="false" outlineLevel="0" collapsed="false">
      <c r="A194" s="0" t="n">
        <v>193</v>
      </c>
      <c r="B194" s="0" t="str">
        <f aca="false">IFERROR(INDEX(Ingredients!$B$6:$B$205,MATCH(A194,$H$2:$H$201,0)),"")</f>
        <v/>
      </c>
      <c r="D194" s="0" t="str">
        <f aca="false">IF(193&lt;=$O$2,INDEX($N$2:$N$11,193),IF(193&lt;=$O$2+$O$3,INDEX($B$2:$B$201,193-$O$2),""))</f>
        <v/>
      </c>
      <c r="H194" s="0" t="str">
        <f aca="false">IF(Ingredients!B198="","",COUNTA(Ingredients!$B$6:B198))</f>
        <v/>
      </c>
    </row>
    <row r="195" customFormat="false" ht="15" hidden="false" customHeight="false" outlineLevel="0" collapsed="false">
      <c r="A195" s="0" t="n">
        <v>194</v>
      </c>
      <c r="B195" s="0" t="str">
        <f aca="false">IFERROR(INDEX(Ingredients!$B$6:$B$205,MATCH(A195,$H$2:$H$201,0)),"")</f>
        <v/>
      </c>
      <c r="D195" s="0" t="str">
        <f aca="false">IF(194&lt;=$O$2,INDEX($N$2:$N$11,194),IF(194&lt;=$O$2+$O$3,INDEX($B$2:$B$201,194-$O$2),""))</f>
        <v/>
      </c>
      <c r="H195" s="0" t="str">
        <f aca="false">IF(Ingredients!B199="","",COUNTA(Ingredients!$B$6:B199))</f>
        <v/>
      </c>
    </row>
    <row r="196" customFormat="false" ht="15" hidden="false" customHeight="false" outlineLevel="0" collapsed="false">
      <c r="A196" s="0" t="n">
        <v>195</v>
      </c>
      <c r="B196" s="0" t="str">
        <f aca="false">IFERROR(INDEX(Ingredients!$B$6:$B$205,MATCH(A196,$H$2:$H$201,0)),"")</f>
        <v/>
      </c>
      <c r="D196" s="0" t="str">
        <f aca="false">IF(195&lt;=$O$2,INDEX($N$2:$N$11,195),IF(195&lt;=$O$2+$O$3,INDEX($B$2:$B$201,195-$O$2),""))</f>
        <v/>
      </c>
      <c r="H196" s="0" t="str">
        <f aca="false">IF(Ingredients!B200="","",COUNTA(Ingredients!$B$6:B200))</f>
        <v/>
      </c>
    </row>
    <row r="197" customFormat="false" ht="15" hidden="false" customHeight="false" outlineLevel="0" collapsed="false">
      <c r="A197" s="0" t="n">
        <v>196</v>
      </c>
      <c r="B197" s="0" t="str">
        <f aca="false">IFERROR(INDEX(Ingredients!$B$6:$B$205,MATCH(A197,$H$2:$H$201,0)),"")</f>
        <v/>
      </c>
      <c r="D197" s="0" t="str">
        <f aca="false">IF(196&lt;=$O$2,INDEX($N$2:$N$11,196),IF(196&lt;=$O$2+$O$3,INDEX($B$2:$B$201,196-$O$2),""))</f>
        <v/>
      </c>
      <c r="H197" s="0" t="str">
        <f aca="false">IF(Ingredients!B201="","",COUNTA(Ingredients!$B$6:B201))</f>
        <v/>
      </c>
    </row>
    <row r="198" customFormat="false" ht="15" hidden="false" customHeight="false" outlineLevel="0" collapsed="false">
      <c r="A198" s="0" t="n">
        <v>197</v>
      </c>
      <c r="B198" s="0" t="str">
        <f aca="false">IFERROR(INDEX(Ingredients!$B$6:$B$205,MATCH(A198,$H$2:$H$201,0)),"")</f>
        <v/>
      </c>
      <c r="D198" s="0" t="str">
        <f aca="false">IF(197&lt;=$O$2,INDEX($N$2:$N$11,197),IF(197&lt;=$O$2+$O$3,INDEX($B$2:$B$201,197-$O$2),""))</f>
        <v/>
      </c>
      <c r="H198" s="0" t="str">
        <f aca="false">IF(Ingredients!B202="","",COUNTA(Ingredients!$B$6:B202))</f>
        <v/>
      </c>
    </row>
    <row r="199" customFormat="false" ht="15" hidden="false" customHeight="false" outlineLevel="0" collapsed="false">
      <c r="A199" s="0" t="n">
        <v>198</v>
      </c>
      <c r="B199" s="0" t="str">
        <f aca="false">IFERROR(INDEX(Ingredients!$B$6:$B$205,MATCH(A199,$H$2:$H$201,0)),"")</f>
        <v/>
      </c>
      <c r="D199" s="0" t="str">
        <f aca="false">IF(198&lt;=$O$2,INDEX($N$2:$N$11,198),IF(198&lt;=$O$2+$O$3,INDEX($B$2:$B$201,198-$O$2),""))</f>
        <v/>
      </c>
      <c r="H199" s="0" t="str">
        <f aca="false">IF(Ingredients!B203="","",COUNTA(Ingredients!$B$6:B203))</f>
        <v/>
      </c>
    </row>
    <row r="200" customFormat="false" ht="15" hidden="false" customHeight="false" outlineLevel="0" collapsed="false">
      <c r="A200" s="0" t="n">
        <v>199</v>
      </c>
      <c r="B200" s="0" t="str">
        <f aca="false">IFERROR(INDEX(Ingredients!$B$6:$B$205,MATCH(A200,$H$2:$H$201,0)),"")</f>
        <v/>
      </c>
      <c r="D200" s="0" t="str">
        <f aca="false">IF(199&lt;=$O$2,INDEX($N$2:$N$11,199),IF(199&lt;=$O$2+$O$3,INDEX($B$2:$B$201,199-$O$2),""))</f>
        <v/>
      </c>
      <c r="H200" s="0" t="str">
        <f aca="false">IF(Ingredients!B204="","",COUNTA(Ingredients!$B$6:B204))</f>
        <v/>
      </c>
    </row>
    <row r="201" customFormat="false" ht="15" hidden="false" customHeight="false" outlineLevel="0" collapsed="false">
      <c r="A201" s="0" t="n">
        <v>200</v>
      </c>
      <c r="B201" s="0" t="str">
        <f aca="false">IFERROR(INDEX(Ingredients!$B$6:$B$205,MATCH(A201,$H$2:$H$201,0)),"")</f>
        <v/>
      </c>
      <c r="D201" s="0" t="str">
        <f aca="false">IF(200&lt;=$O$2,INDEX($N$2:$N$11,200),IF(200&lt;=$O$2+$O$3,INDEX($B$2:$B$201,200-$O$2),""))</f>
        <v/>
      </c>
      <c r="H201" s="0" t="str">
        <f aca="false">IF(Ingredients!B205="","",COUNTA(Ingredients!$B$6:B205))</f>
        <v/>
      </c>
    </row>
    <row r="202" customFormat="false" ht="15" hidden="false" customHeight="false" outlineLevel="0" collapsed="false">
      <c r="D202" s="0" t="str">
        <f aca="false">IF(201&lt;=$O$2,INDEX($N$2:$N$11,201),IF(201&lt;=$O$2+$O$3,INDEX($B$2:$B$201,201-$O$2),""))</f>
        <v/>
      </c>
    </row>
    <row r="203" customFormat="false" ht="15" hidden="false" customHeight="false" outlineLevel="0" collapsed="false">
      <c r="D203" s="0" t="str">
        <f aca="false">IF(202&lt;=$O$2,INDEX($N$2:$N$11,202),IF(202&lt;=$O$2+$O$3,INDEX($B$2:$B$201,202-$O$2),""))</f>
        <v/>
      </c>
    </row>
    <row r="204" customFormat="false" ht="15" hidden="false" customHeight="false" outlineLevel="0" collapsed="false">
      <c r="D204" s="0" t="str">
        <f aca="false">IF(203&lt;=$O$2,INDEX($N$2:$N$11,203),IF(203&lt;=$O$2+$O$3,INDEX($B$2:$B$201,203-$O$2),""))</f>
        <v/>
      </c>
    </row>
    <row r="205" customFormat="false" ht="15" hidden="false" customHeight="false" outlineLevel="0" collapsed="false">
      <c r="D205" s="0" t="str">
        <f aca="false">IF(204&lt;=$O$2,INDEX($N$2:$N$11,204),IF(204&lt;=$O$2+$O$3,INDEX($B$2:$B$201,204-$O$2),""))</f>
        <v/>
      </c>
    </row>
    <row r="206" customFormat="false" ht="15" hidden="false" customHeight="false" outlineLevel="0" collapsed="false">
      <c r="D206" s="0" t="str">
        <f aca="false">IF(205&lt;=$O$2,INDEX($N$2:$N$11,205),IF(205&lt;=$O$2+$O$3,INDEX($B$2:$B$201,205-$O$2),""))</f>
        <v/>
      </c>
    </row>
    <row r="207" customFormat="false" ht="15" hidden="false" customHeight="false" outlineLevel="0" collapsed="false">
      <c r="D207" s="0" t="str">
        <f aca="false">IF(206&lt;=$O$2,INDEX($N$2:$N$11,206),IF(206&lt;=$O$2+$O$3,INDEX($B$2:$B$201,206-$O$2),""))</f>
        <v/>
      </c>
    </row>
    <row r="208" customFormat="false" ht="15" hidden="false" customHeight="false" outlineLevel="0" collapsed="false">
      <c r="D208" s="0" t="str">
        <f aca="false">IF(207&lt;=$O$2,INDEX($N$2:$N$11,207),IF(207&lt;=$O$2+$O$3,INDEX($B$2:$B$201,207-$O$2),""))</f>
        <v/>
      </c>
    </row>
    <row r="209" customFormat="false" ht="15" hidden="false" customHeight="false" outlineLevel="0" collapsed="false">
      <c r="D209" s="0" t="str">
        <f aca="false">IF(208&lt;=$O$2,INDEX($N$2:$N$11,208),IF(208&lt;=$O$2+$O$3,INDEX($B$2:$B$201,208-$O$2),""))</f>
        <v/>
      </c>
    </row>
    <row r="210" customFormat="false" ht="15" hidden="false" customHeight="false" outlineLevel="0" collapsed="false">
      <c r="D210" s="0" t="str">
        <f aca="false">IF(209&lt;=$O$2,INDEX($N$2:$N$11,209),IF(209&lt;=$O$2+$O$3,INDEX($B$2:$B$201,209-$O$2),""))</f>
        <v/>
      </c>
    </row>
    <row r="211" customFormat="false" ht="15" hidden="false" customHeight="false" outlineLevel="0" collapsed="false">
      <c r="D211" s="0" t="str">
        <f aca="false">IF(210&lt;=$O$2,INDEX($N$2:$N$11,210),IF(210&lt;=$O$2+$O$3,INDEX($B$2:$B$201,210-$O$2),""))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2026-10-17T13:19:29Z</dcterms:created>
  <dc:creator>openpyxl</dc:creator>
  <dc:description/>
  <dc:language>en-US</dc:language>
  <cp:lastModifiedBy/>
  <dcterms:modified xsi:type="dcterms:W3CDTF">2026-10-17T13:19:31Z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