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workbookPr codeName="ThisWorkbook" autoCompressPictures="0"/>
  <mc:AlternateContent xmlns:mc="http://schemas.openxmlformats.org/markup-compatibility/2006">
    <mc:Choice Requires="x15">
      <x15ac:absPath xmlns:x15ac="http://schemas.microsoft.com/office/spreadsheetml/2010/11/ac" url="C:\Users\khl\Documents\GP\Conflict minerals\"/>
    </mc:Choice>
  </mc:AlternateContent>
  <xr:revisionPtr revIDLastSave="0" documentId="8_{507253BF-81A5-403C-BEFC-0077AC77AA2A}"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29175" yWindow="1860" windowWidth="21600" windowHeight="11385" tabRatio="789"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V107" i="5"/>
  <c r="V106" i="5"/>
  <c r="E106" i="5" s="1"/>
  <c r="X106" i="5" s="1"/>
  <c r="V105" i="5"/>
  <c r="V101" i="5"/>
  <c r="G101" i="5" s="1"/>
  <c r="V99" i="5"/>
  <c r="V98" i="5"/>
  <c r="R98" i="5" s="1"/>
  <c r="V97" i="5"/>
  <c r="V96" i="5"/>
  <c r="R96" i="5" s="1"/>
  <c r="V95" i="5"/>
  <c r="V94" i="5"/>
  <c r="E94" i="5" s="1"/>
  <c r="X94" i="5" s="1"/>
  <c r="V93" i="5"/>
  <c r="V92" i="5"/>
  <c r="R92" i="5" s="1"/>
  <c r="V90" i="5"/>
  <c r="H90" i="5" s="1"/>
  <c r="V89" i="5"/>
  <c r="V88" i="5"/>
  <c r="R88" i="5" s="1"/>
  <c r="V86" i="5"/>
  <c r="H86" i="5" s="1"/>
  <c r="V85" i="5"/>
  <c r="R85" i="5" s="1"/>
  <c r="V84" i="5"/>
  <c r="R84" i="5" s="1"/>
  <c r="V83" i="5"/>
  <c r="V82" i="5"/>
  <c r="R82" i="5" s="1"/>
  <c r="V81" i="5"/>
  <c r="R81" i="5" s="1"/>
  <c r="V80" i="5"/>
  <c r="R80" i="5" s="1"/>
  <c r="V79" i="5"/>
  <c r="V78" i="5"/>
  <c r="R78" i="5" s="1"/>
  <c r="V77" i="5"/>
  <c r="V76" i="5"/>
  <c r="R76" i="5" s="1"/>
  <c r="V75" i="5"/>
  <c r="V74" i="5"/>
  <c r="E74" i="5" s="1"/>
  <c r="X74" i="5" s="1"/>
  <c r="V73" i="5"/>
  <c r="V72" i="5"/>
  <c r="R72" i="5" s="1"/>
  <c r="V70" i="5"/>
  <c r="H70" i="5" s="1"/>
  <c r="V69" i="5"/>
  <c r="R69" i="5" s="1"/>
  <c r="V68" i="5"/>
  <c r="R68" i="5" s="1"/>
  <c r="V67" i="5"/>
  <c r="V66" i="5"/>
  <c r="R66" i="5" s="1"/>
  <c r="V65" i="5"/>
  <c r="R65" i="5" s="1"/>
  <c r="V64" i="5"/>
  <c r="R64" i="5" s="1"/>
  <c r="V63" i="5"/>
  <c r="V62" i="5"/>
  <c r="R62" i="5" s="1"/>
  <c r="V61" i="5"/>
  <c r="V60" i="5"/>
  <c r="R60" i="5" s="1"/>
  <c r="V59" i="5"/>
  <c r="H59" i="5" s="1"/>
  <c r="V58" i="5"/>
  <c r="E58" i="5" s="1"/>
  <c r="X58" i="5" s="1"/>
  <c r="V57" i="5"/>
  <c r="V56" i="5"/>
  <c r="R56" i="5" s="1"/>
  <c r="V55" i="5"/>
  <c r="H55" i="5" s="1"/>
  <c r="V54" i="5"/>
  <c r="H54" i="5" s="1"/>
  <c r="V53" i="5"/>
  <c r="R53" i="5" s="1"/>
  <c r="V52" i="5"/>
  <c r="R52" i="5" s="1"/>
  <c r="V51" i="5"/>
  <c r="V50" i="5"/>
  <c r="R50" i="5" s="1"/>
  <c r="V49" i="5"/>
  <c r="R49" i="5" s="1"/>
  <c r="V48" i="5"/>
  <c r="R48" i="5" s="1"/>
  <c r="V47" i="5"/>
  <c r="V46" i="5"/>
  <c r="R46" i="5" s="1"/>
  <c r="V45" i="5"/>
  <c r="R45" i="5" s="1"/>
  <c r="V44" i="5"/>
  <c r="R44" i="5" s="1"/>
  <c r="V42" i="5"/>
  <c r="E42" i="5" s="1"/>
  <c r="X42" i="5" s="1"/>
  <c r="V41" i="5"/>
  <c r="V40" i="5"/>
  <c r="R40" i="5" s="1"/>
  <c r="V39" i="5"/>
  <c r="H39" i="5" s="1"/>
  <c r="V38" i="5"/>
  <c r="H38" i="5" s="1"/>
  <c r="V37" i="5"/>
  <c r="R37" i="5" s="1"/>
  <c r="V36" i="5"/>
  <c r="R36" i="5" s="1"/>
  <c r="V35" i="5"/>
  <c r="V34" i="5"/>
  <c r="R34" i="5" s="1"/>
  <c r="V33" i="5"/>
  <c r="R33" i="5" s="1"/>
  <c r="V32" i="5"/>
  <c r="R32" i="5" s="1"/>
  <c r="V31" i="5"/>
  <c r="V30" i="5"/>
  <c r="I30" i="5" s="1"/>
  <c r="V29" i="5"/>
  <c r="H29" i="5" s="1"/>
  <c r="V28" i="5"/>
  <c r="E28" i="5" s="1"/>
  <c r="V27" i="5"/>
  <c r="V26" i="5"/>
  <c r="I26" i="5" s="1"/>
  <c r="V25" i="5"/>
  <c r="V24" i="5"/>
  <c r="R24" i="5" s="1"/>
  <c r="V23" i="5"/>
  <c r="H23" i="5" s="1"/>
  <c r="V22" i="5"/>
  <c r="I22" i="5" s="1"/>
  <c r="V21" i="5"/>
  <c r="V20" i="5"/>
  <c r="R20" i="5" s="1"/>
  <c r="V19" i="5"/>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58" i="5"/>
  <c r="S42"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H58" i="5"/>
  <c r="G70"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E46" i="5"/>
  <c r="I74" i="5"/>
  <c r="E78"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32" i="5"/>
  <c r="E59" i="5"/>
  <c r="X59" i="5" s="1"/>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V330" i="5"/>
  <c r="G330" i="5" s="1"/>
  <c r="T895" i="5"/>
  <c r="AB895" i="5"/>
  <c r="S895" i="5"/>
  <c r="AB1863" i="5"/>
  <c r="T1863" i="5"/>
  <c r="S1863" i="5"/>
  <c r="R54" i="5"/>
  <c r="G59" i="5"/>
  <c r="G64" i="5"/>
  <c r="R74" i="5"/>
  <c r="E90" i="5"/>
  <c r="I90" i="5"/>
  <c r="V91" i="5"/>
  <c r="G91" i="5" s="1"/>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E26" i="5"/>
  <c r="X26" i="5" s="1"/>
  <c r="I59" i="5"/>
  <c r="E63" i="5"/>
  <c r="X63" i="5" s="1"/>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V43" i="5"/>
  <c r="F43" i="5" s="1"/>
  <c r="R22" i="5"/>
  <c r="G38" i="5"/>
  <c r="G55" i="5"/>
  <c r="G58" i="5"/>
  <c r="J59" i="5"/>
  <c r="F63" i="5"/>
  <c r="I70" i="5"/>
  <c r="G78" i="5"/>
  <c r="V87" i="5"/>
  <c r="H87" i="5" s="1"/>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G63" i="5"/>
  <c r="H111" i="5"/>
  <c r="R111" i="5"/>
  <c r="H171" i="5"/>
  <c r="R171" i="5"/>
  <c r="J171" i="5"/>
  <c r="G17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G48" i="5"/>
  <c r="G74" i="5"/>
  <c r="G86" i="5"/>
  <c r="J107" i="5"/>
  <c r="AB178" i="5"/>
  <c r="V215" i="5"/>
  <c r="G215" i="5" s="1"/>
  <c r="R299" i="5"/>
  <c r="J299" i="5"/>
  <c r="E392" i="5"/>
  <c r="X392" i="5" s="1"/>
  <c r="I392" i="5"/>
  <c r="H392" i="5"/>
  <c r="E62" i="5"/>
  <c r="AB110" i="5"/>
  <c r="R30" i="5"/>
  <c r="G54" i="5"/>
  <c r="G62" i="5"/>
  <c r="V71" i="5"/>
  <c r="H71" i="5" s="1"/>
  <c r="H74" i="5"/>
  <c r="J75" i="5"/>
  <c r="I86"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F249" i="5"/>
  <c r="J29" i="5"/>
  <c r="I37" i="5"/>
  <c r="R39" i="5"/>
  <c r="I53" i="5"/>
  <c r="R55" i="5"/>
  <c r="I69" i="5"/>
  <c r="I8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G68" i="5"/>
  <c r="H78" i="5"/>
  <c r="E82" i="5"/>
  <c r="G84"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E34" i="5"/>
  <c r="G36" i="5"/>
  <c r="R42" i="5"/>
  <c r="H46" i="5"/>
  <c r="H62" i="5"/>
  <c r="G35" i="5"/>
  <c r="E45" i="5"/>
  <c r="X45" i="5" s="1"/>
  <c r="J47" i="5"/>
  <c r="G50" i="5"/>
  <c r="G51" i="5"/>
  <c r="E55" i="5"/>
  <c r="X55" i="5" s="1"/>
  <c r="I62" i="5"/>
  <c r="J63" i="5"/>
  <c r="G66" i="5"/>
  <c r="G67" i="5"/>
  <c r="I78" i="5"/>
  <c r="J79" i="5"/>
  <c r="G82" i="5"/>
  <c r="G83" i="5"/>
  <c r="I94" i="5"/>
  <c r="J95" i="5"/>
  <c r="G98" i="5"/>
  <c r="G99"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G52" i="5"/>
  <c r="R58" i="5"/>
  <c r="E23" i="5"/>
  <c r="X23" i="5" s="1"/>
  <c r="G24" i="5"/>
  <c r="J25" i="5"/>
  <c r="AB26" i="5"/>
  <c r="G31" i="5"/>
  <c r="G34" i="5"/>
  <c r="E39" i="5"/>
  <c r="X39" i="5" s="1"/>
  <c r="I46" i="5"/>
  <c r="AB22" i="5"/>
  <c r="F23" i="5"/>
  <c r="I24" i="5"/>
  <c r="R25" i="5"/>
  <c r="G30" i="5"/>
  <c r="H34" i="5"/>
  <c r="E38" i="5"/>
  <c r="F39" i="5"/>
  <c r="G40" i="5"/>
  <c r="I45" i="5"/>
  <c r="R47" i="5"/>
  <c r="H50" i="5"/>
  <c r="E54" i="5"/>
  <c r="F55" i="5"/>
  <c r="G56" i="5"/>
  <c r="R63" i="5"/>
  <c r="H66" i="5"/>
  <c r="E70" i="5"/>
  <c r="G72" i="5"/>
  <c r="R79" i="5"/>
  <c r="H82" i="5"/>
  <c r="E86" i="5"/>
  <c r="G88" i="5"/>
  <c r="R95" i="5"/>
  <c r="H98" i="5"/>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G23" i="5"/>
  <c r="E33" i="5"/>
  <c r="X33" i="5" s="1"/>
  <c r="I34" i="5"/>
  <c r="G39" i="5"/>
  <c r="E49" i="5"/>
  <c r="X49" i="5" s="1"/>
  <c r="I50" i="5"/>
  <c r="E65" i="5"/>
  <c r="X65" i="5" s="1"/>
  <c r="I66" i="5"/>
  <c r="E81" i="5"/>
  <c r="X81" i="5" s="1"/>
  <c r="I82" i="5"/>
  <c r="G22" i="5"/>
  <c r="I23" i="5"/>
  <c r="I33" i="5"/>
  <c r="I39" i="5"/>
  <c r="G44" i="5"/>
  <c r="I49" i="5"/>
  <c r="I55" i="5"/>
  <c r="F59" i="5"/>
  <c r="G60" i="5"/>
  <c r="I65" i="5"/>
  <c r="F75" i="5"/>
  <c r="G76" i="5"/>
  <c r="I81" i="5"/>
  <c r="G92" i="5"/>
  <c r="I97" i="5"/>
  <c r="F101" i="5"/>
  <c r="F10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J23" i="5"/>
  <c r="AB32" i="5"/>
  <c r="E37" i="5"/>
  <c r="J39" i="5"/>
  <c r="E53" i="5"/>
  <c r="X53" i="5" s="1"/>
  <c r="J55" i="5"/>
  <c r="E69" i="5"/>
  <c r="X69" i="5" s="1"/>
  <c r="E85" i="5"/>
  <c r="X85" i="5" s="1"/>
  <c r="G90" i="5"/>
  <c r="E95" i="5"/>
  <c r="X95" i="5" s="1"/>
  <c r="R101" i="5"/>
  <c r="H110" i="5"/>
  <c r="I11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G6" i="5"/>
  <c r="J5" i="5"/>
  <c r="F19" i="6"/>
  <c r="X341" i="5"/>
  <c r="X304" i="5"/>
  <c r="AB23" i="5"/>
  <c r="X28"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R5" i="5"/>
  <c r="H6" i="5"/>
  <c r="I19" i="5"/>
  <c r="E20"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AB5" i="5"/>
  <c r="I6" i="5"/>
  <c r="F18" i="5"/>
  <c r="J18" i="5"/>
  <c r="G20" i="5"/>
  <c r="AB21" i="5"/>
  <c r="F26" i="5"/>
  <c r="J26" i="5"/>
  <c r="G28"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J106" i="5"/>
  <c r="AB107"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H28" i="5"/>
  <c r="AB109" i="5"/>
  <c r="E117" i="5"/>
  <c r="X117" i="5" s="1"/>
  <c r="J121" i="5"/>
  <c r="I121" i="5"/>
  <c r="H121" i="5"/>
  <c r="AB141" i="5"/>
  <c r="H146" i="5"/>
  <c r="F150" i="5"/>
  <c r="R150" i="5"/>
  <c r="J150" i="5"/>
  <c r="AB19" i="5"/>
  <c r="E21" i="5"/>
  <c r="AB27" i="5"/>
  <c r="E29" i="5"/>
  <c r="X29" i="5" s="1"/>
  <c r="F5" i="5"/>
  <c r="H18" i="5"/>
  <c r="F21" i="5"/>
  <c r="E24" i="5"/>
  <c r="X24" i="5" s="1"/>
  <c r="H26" i="5"/>
  <c r="R28" i="5"/>
  <c r="F29" i="5"/>
  <c r="E32" i="5"/>
  <c r="X32" i="5" s="1"/>
  <c r="AB36" i="5"/>
  <c r="AB40" i="5"/>
  <c r="AB44" i="5"/>
  <c r="AB48" i="5"/>
  <c r="AB52" i="5"/>
  <c r="AB56" i="5"/>
  <c r="AB60" i="5"/>
  <c r="AB64" i="5"/>
  <c r="AB68" i="5"/>
  <c r="AB72" i="5"/>
  <c r="AB76" i="5"/>
  <c r="AB80" i="5"/>
  <c r="AB84" i="5"/>
  <c r="AB88" i="5"/>
  <c r="AB92" i="5"/>
  <c r="AB96" i="5"/>
  <c r="AB100" i="5"/>
  <c r="AB101" i="5"/>
  <c r="H106"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J20" i="5"/>
  <c r="F20" i="5"/>
  <c r="AB31" i="5"/>
  <c r="G5" i="5"/>
  <c r="F22" i="5"/>
  <c r="J22" i="5"/>
  <c r="AB25" i="5"/>
  <c r="G29"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F6" i="5"/>
  <c r="J6" i="5"/>
  <c r="G21"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s="1"/>
  <c r="H72" i="5"/>
  <c r="F72" i="5"/>
  <c r="J73" i="5"/>
  <c r="H73" i="5"/>
  <c r="AB77" i="5"/>
  <c r="J80" i="5"/>
  <c r="H80" i="5"/>
  <c r="F80" i="5"/>
  <c r="J81" i="5"/>
  <c r="H81" i="5"/>
  <c r="AB85" i="5"/>
  <c r="J88" i="5"/>
  <c r="H88" i="5"/>
  <c r="F88" i="5"/>
  <c r="J89" i="5"/>
  <c r="H89" i="5"/>
  <c r="AB93" i="5"/>
  <c r="AB97" i="5"/>
  <c r="H118" i="5"/>
  <c r="F122" i="5"/>
  <c r="R122" i="5"/>
  <c r="J122" i="5"/>
  <c r="J125" i="5"/>
  <c r="I125" i="5"/>
  <c r="H125" i="5"/>
  <c r="I5" i="5"/>
  <c r="E6" i="5"/>
  <c r="R18" i="5"/>
  <c r="F19" i="5"/>
  <c r="I21" i="5"/>
  <c r="E22" i="5"/>
  <c r="R23" i="5"/>
  <c r="H24" i="5"/>
  <c r="R26" i="5"/>
  <c r="F27" i="5"/>
  <c r="I29" i="5"/>
  <c r="E30" i="5"/>
  <c r="X30" i="5" s="1"/>
  <c r="R31" i="5"/>
  <c r="H32" i="5"/>
  <c r="E36" i="5"/>
  <c r="X36" i="5" s="1"/>
  <c r="E40" i="5"/>
  <c r="X40" i="5" s="1"/>
  <c r="E44" i="5"/>
  <c r="E48" i="5"/>
  <c r="E52" i="5"/>
  <c r="X52" i="5" s="1"/>
  <c r="E56" i="5"/>
  <c r="X56" i="5" s="1"/>
  <c r="E60" i="5"/>
  <c r="X60" i="5" s="1"/>
  <c r="E64" i="5"/>
  <c r="X64" i="5" s="1"/>
  <c r="E68" i="5"/>
  <c r="X68" i="5" s="1"/>
  <c r="E72" i="5"/>
  <c r="X72" i="5" s="1"/>
  <c r="E76" i="5"/>
  <c r="E80" i="5"/>
  <c r="X80" i="5" s="1"/>
  <c r="E84" i="5"/>
  <c r="X84" i="5" s="1"/>
  <c r="E88" i="5"/>
  <c r="X88" i="5" s="1"/>
  <c r="E92" i="5"/>
  <c r="E96" i="5"/>
  <c r="E101" i="5"/>
  <c r="X101" i="5" s="1"/>
  <c r="R102" i="5"/>
  <c r="J102" i="5"/>
  <c r="AB103" i="5"/>
  <c r="J105" i="5"/>
  <c r="I105" i="5"/>
  <c r="H10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C8" i="6" s="1"/>
  <c r="J9" i="6"/>
  <c r="C9" i="6" s="1"/>
  <c r="J10" i="6"/>
  <c r="C10" i="6" s="1"/>
  <c r="J11" i="6"/>
  <c r="C11" i="6" s="1"/>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l="1"/>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T87" i="5" s="1"/>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T71" i="5" s="1"/>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J43" i="5"/>
  <c r="R43" i="5"/>
  <c r="H91" i="5"/>
  <c r="R91" i="5"/>
  <c r="E91" i="5"/>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X18" i="5"/>
  <c r="B52" i="6"/>
  <c r="G52" i="6" s="1"/>
  <c r="B37" i="6"/>
  <c r="G37" i="6" s="1"/>
  <c r="B42" i="6"/>
  <c r="G42" i="6" s="1"/>
  <c r="B40" i="6"/>
  <c r="G40" i="6" s="1"/>
  <c r="B50" i="6"/>
  <c r="G50" i="6" s="1"/>
  <c r="B25" i="6"/>
  <c r="G25" i="6" s="1"/>
  <c r="B35" i="6"/>
  <c r="G35" i="6" s="1"/>
  <c r="X6" i="5"/>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l="1"/>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X100" i="5"/>
  <c r="D27" i="6"/>
  <c r="C27" i="6"/>
  <c r="C36" i="6"/>
  <c r="C42" i="6"/>
  <c r="C40"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l="1"/>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15" i="5"/>
  <c r="T16" i="5"/>
  <c r="T13" i="5"/>
  <c r="T17" i="5"/>
  <c r="T14" i="5"/>
  <c r="T12" i="5"/>
  <c r="T10" i="5"/>
  <c r="T7" i="5"/>
  <c r="T9" i="5"/>
  <c r="T11" i="5"/>
  <c r="T8" i="5"/>
  <c r="C68" i="6" l="1"/>
  <c r="X13" i="5"/>
  <c r="X10" i="5"/>
  <c r="D65" i="6"/>
  <c r="X9" i="5"/>
  <c r="X12" i="5"/>
  <c r="X14" i="5"/>
  <c r="X17" i="5"/>
  <c r="D66" i="6"/>
  <c r="C67" i="6"/>
  <c r="X11" i="5"/>
  <c r="X15" i="5"/>
  <c r="X8" i="5"/>
  <c r="X7" i="5"/>
  <c r="G69" i="6"/>
  <c r="H69" i="6" s="1"/>
  <c r="H70" i="6" s="1"/>
  <c r="D2" i="6" s="1"/>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<sst xmlns="http://schemas.openxmlformats.org/spreadsheetml/2006/main" count="21930" uniqueCount="15606">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</sst>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5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kobling"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abSelected="1" topLeftCell="A2" workbookViewId="0">
      <pane xSplit="1" ySplit="11" topLeftCell="B50" activePane="bottomRight" state="frozen"/>
      <selection activeCell="A4" sqref="A4"/>
      <selection pane="topRight" activeCell="A4" sqref="A4"/>
      <selection pane="bottomLeft" activeCell="A4" sqref="A4"/>
      <selection pane="bottomRight" activeCell="B52" sqref="B52"/>
    </sheetView>
  </sheetViews>
  <sheetFormatPr baseColWidth="10"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63"/>
      <c r="B2" s="38" t="s">
        <v>847</v>
      </c>
      <c r="C2" s="36"/>
      <c r="D2" s="206"/>
      <c r="E2" s="3"/>
      <c r="F2" s="36"/>
      <c r="G2" s="34"/>
    </row>
    <row r="3" spans="1:7">
      <c r="A3" s="363"/>
      <c r="B3" s="5" t="s">
        <v>839</v>
      </c>
      <c r="C3" s="6"/>
      <c r="D3" s="207"/>
      <c r="E3" s="3"/>
      <c r="F3" s="6"/>
      <c r="G3" s="34"/>
    </row>
    <row r="4" spans="1:7" ht="15.75">
      <c r="A4" s="363"/>
      <c r="B4" s="41" t="s">
        <v>849</v>
      </c>
      <c r="C4" s="7"/>
      <c r="D4" s="208"/>
      <c r="E4" s="3"/>
      <c r="F4" s="7"/>
      <c r="G4" s="34"/>
    </row>
    <row r="5" spans="1:7">
      <c r="A5" s="363"/>
      <c r="B5" s="40" t="s">
        <v>1040</v>
      </c>
      <c r="C5" s="4"/>
      <c r="D5" s="209"/>
      <c r="E5" s="3"/>
      <c r="F5" s="4"/>
      <c r="G5" s="34"/>
    </row>
    <row r="6" spans="1:7">
      <c r="A6" s="363"/>
      <c r="B6" s="8"/>
      <c r="C6" s="8"/>
      <c r="D6" s="210"/>
      <c r="E6" s="8"/>
      <c r="F6" s="8"/>
      <c r="G6" s="34"/>
    </row>
    <row r="7" spans="1:7">
      <c r="A7" s="363"/>
      <c r="B7" s="8"/>
      <c r="C7" s="8"/>
      <c r="D7" s="210"/>
      <c r="E7" s="8"/>
      <c r="F7" s="8"/>
      <c r="G7" s="34"/>
    </row>
    <row r="8" spans="1:7">
      <c r="A8" s="363"/>
      <c r="B8" s="8"/>
      <c r="C8" s="8"/>
      <c r="D8" s="210"/>
      <c r="E8" s="8"/>
      <c r="F8" s="8"/>
      <c r="G8" s="34"/>
    </row>
    <row r="9" spans="1:7">
      <c r="A9" s="363"/>
      <c r="B9" s="366" t="s">
        <v>850</v>
      </c>
      <c r="C9" s="366"/>
      <c r="D9" s="366"/>
      <c r="E9" s="366"/>
      <c r="F9" s="366"/>
      <c r="G9" s="34"/>
    </row>
    <row r="10" spans="1:7" ht="27" customHeight="1">
      <c r="A10" s="363"/>
      <c r="B10" s="367" t="s">
        <v>438</v>
      </c>
      <c r="C10" s="367"/>
      <c r="D10" s="367"/>
      <c r="E10" s="367"/>
      <c r="F10" s="367"/>
      <c r="G10" s="34"/>
    </row>
    <row r="11" spans="1:7" ht="27" customHeight="1">
      <c r="A11" s="363"/>
      <c r="B11" s="368"/>
      <c r="C11" s="368"/>
      <c r="D11" s="368"/>
      <c r="E11" s="368"/>
      <c r="F11" s="368"/>
      <c r="G11" s="34"/>
    </row>
    <row r="12" spans="1:7">
      <c r="A12" s="363"/>
      <c r="B12" s="42" t="s">
        <v>848</v>
      </c>
      <c r="C12" s="43" t="s">
        <v>851</v>
      </c>
      <c r="D12" s="211" t="s">
        <v>852</v>
      </c>
      <c r="E12" s="43" t="s">
        <v>612</v>
      </c>
      <c r="F12" s="43" t="s">
        <v>613</v>
      </c>
      <c r="G12" s="34"/>
    </row>
    <row r="13" spans="1:7" ht="33.75">
      <c r="A13" s="363"/>
      <c r="B13" s="2">
        <v>1</v>
      </c>
      <c r="C13" s="37" t="s">
        <v>1088</v>
      </c>
      <c r="D13" s="39" t="s">
        <v>876</v>
      </c>
      <c r="E13" s="194" t="s">
        <v>853</v>
      </c>
      <c r="F13" s="194"/>
      <c r="G13" s="34"/>
    </row>
    <row r="14" spans="1:7" ht="33.75">
      <c r="A14" s="363"/>
      <c r="B14" s="2">
        <v>2</v>
      </c>
      <c r="C14" s="37" t="s">
        <v>1088</v>
      </c>
      <c r="D14" s="39" t="s">
        <v>1025</v>
      </c>
      <c r="E14" s="194" t="s">
        <v>530</v>
      </c>
      <c r="F14" s="194" t="s">
        <v>531</v>
      </c>
      <c r="G14" s="34"/>
    </row>
    <row r="15" spans="1:7" ht="89.1" customHeight="1">
      <c r="A15" s="363"/>
      <c r="B15" s="369">
        <v>2.0099999999999998</v>
      </c>
      <c r="C15" s="360" t="s">
        <v>1088</v>
      </c>
      <c r="D15" s="372" t="s">
        <v>2265</v>
      </c>
      <c r="E15" s="195" t="s">
        <v>614</v>
      </c>
      <c r="F15" s="195" t="s">
        <v>617</v>
      </c>
      <c r="G15" s="34"/>
    </row>
    <row r="16" spans="1:7" ht="99" customHeight="1">
      <c r="A16" s="363"/>
      <c r="B16" s="370"/>
      <c r="C16" s="361"/>
      <c r="D16" s="373"/>
      <c r="E16" s="196"/>
      <c r="F16" s="196" t="s">
        <v>615</v>
      </c>
      <c r="G16" s="34"/>
    </row>
    <row r="17" spans="1:7" ht="63" customHeight="1">
      <c r="A17" s="363"/>
      <c r="B17" s="371"/>
      <c r="C17" s="362"/>
      <c r="D17" s="374"/>
      <c r="E17" s="37"/>
      <c r="F17" s="37" t="s">
        <v>616</v>
      </c>
      <c r="G17" s="34"/>
    </row>
    <row r="18" spans="1:7" ht="117" customHeight="1">
      <c r="A18" s="363"/>
      <c r="B18" s="369">
        <v>2.02</v>
      </c>
      <c r="C18" s="360" t="s">
        <v>1088</v>
      </c>
      <c r="D18" s="372" t="s">
        <v>2266</v>
      </c>
      <c r="E18" s="195" t="s">
        <v>439</v>
      </c>
      <c r="F18" s="195" t="s">
        <v>525</v>
      </c>
      <c r="G18" s="34"/>
    </row>
    <row r="19" spans="1:7" ht="71.099999999999994" customHeight="1">
      <c r="A19" s="363"/>
      <c r="B19" s="370"/>
      <c r="C19" s="361"/>
      <c r="D19" s="373"/>
      <c r="E19" s="196" t="s">
        <v>529</v>
      </c>
      <c r="F19" s="196" t="s">
        <v>440</v>
      </c>
      <c r="G19" s="34"/>
    </row>
    <row r="20" spans="1:7" ht="90.75" customHeight="1">
      <c r="A20" s="363"/>
      <c r="B20" s="370"/>
      <c r="C20" s="361"/>
      <c r="D20" s="373"/>
      <c r="E20" s="196"/>
      <c r="F20" s="196" t="s">
        <v>619</v>
      </c>
      <c r="G20" s="34"/>
    </row>
    <row r="21" spans="1:7" ht="74.25" customHeight="1">
      <c r="A21" s="363"/>
      <c r="B21" s="371"/>
      <c r="C21" s="362"/>
      <c r="D21" s="374"/>
      <c r="E21" s="37"/>
      <c r="F21" s="37" t="s">
        <v>618</v>
      </c>
      <c r="G21" s="34"/>
    </row>
    <row r="22" spans="1:7" ht="90" customHeight="1">
      <c r="A22" s="363"/>
      <c r="B22" s="354">
        <v>2.0299999999999998</v>
      </c>
      <c r="C22" s="354" t="s">
        <v>822</v>
      </c>
      <c r="D22" s="357" t="s">
        <v>2267</v>
      </c>
      <c r="E22" s="360" t="s">
        <v>437</v>
      </c>
      <c r="F22" s="195" t="s">
        <v>460</v>
      </c>
      <c r="G22" s="34"/>
    </row>
    <row r="23" spans="1:7" ht="109.5" customHeight="1">
      <c r="A23" s="363"/>
      <c r="B23" s="355"/>
      <c r="C23" s="355"/>
      <c r="D23" s="358"/>
      <c r="E23" s="361"/>
      <c r="F23" s="196" t="s">
        <v>823</v>
      </c>
      <c r="G23" s="34"/>
    </row>
    <row r="24" spans="1:7" ht="74.25" customHeight="1">
      <c r="A24" s="363"/>
      <c r="B24" s="356"/>
      <c r="C24" s="356"/>
      <c r="D24" s="359"/>
      <c r="E24" s="362"/>
      <c r="F24" s="37" t="s">
        <v>436</v>
      </c>
      <c r="G24" s="34"/>
    </row>
    <row r="25" spans="1:7" ht="72" customHeight="1">
      <c r="A25" s="363"/>
      <c r="B25" s="2" t="s">
        <v>458</v>
      </c>
      <c r="C25" s="37" t="s">
        <v>459</v>
      </c>
      <c r="D25" s="39" t="s">
        <v>2268</v>
      </c>
      <c r="E25" s="37" t="s">
        <v>2263</v>
      </c>
      <c r="F25" s="37" t="s">
        <v>461</v>
      </c>
      <c r="G25" s="34"/>
    </row>
    <row r="26" spans="1:7" ht="98.1" customHeight="1">
      <c r="A26" s="363"/>
      <c r="B26" s="375">
        <v>3</v>
      </c>
      <c r="C26" s="369" t="s">
        <v>70</v>
      </c>
      <c r="D26" s="372" t="s">
        <v>2269</v>
      </c>
      <c r="E26" s="360" t="s">
        <v>0</v>
      </c>
      <c r="F26" s="195" t="s">
        <v>64</v>
      </c>
      <c r="G26" s="34"/>
    </row>
    <row r="27" spans="1:7" ht="90" customHeight="1">
      <c r="A27" s="363"/>
      <c r="B27" s="376"/>
      <c r="C27" s="370"/>
      <c r="D27" s="373"/>
      <c r="E27" s="361"/>
      <c r="F27" s="196" t="s">
        <v>59</v>
      </c>
      <c r="G27" s="34"/>
    </row>
    <row r="28" spans="1:7" ht="19.350000000000001" customHeight="1">
      <c r="A28" s="363"/>
      <c r="B28" s="376"/>
      <c r="C28" s="370"/>
      <c r="D28" s="373"/>
      <c r="E28" s="361"/>
      <c r="F28" s="196" t="s">
        <v>60</v>
      </c>
      <c r="G28" s="34"/>
    </row>
    <row r="29" spans="1:7" ht="74.45" customHeight="1">
      <c r="A29" s="363"/>
      <c r="B29" s="376"/>
      <c r="C29" s="370"/>
      <c r="D29" s="373"/>
      <c r="E29" s="361"/>
      <c r="F29" s="196" t="s">
        <v>61</v>
      </c>
      <c r="G29" s="34"/>
    </row>
    <row r="30" spans="1:7" ht="62.45" customHeight="1">
      <c r="A30" s="363"/>
      <c r="B30" s="376"/>
      <c r="C30" s="370"/>
      <c r="D30" s="373"/>
      <c r="E30" s="361"/>
      <c r="F30" s="196" t="s">
        <v>62</v>
      </c>
      <c r="G30" s="34"/>
    </row>
    <row r="31" spans="1:7" ht="81" customHeight="1">
      <c r="A31" s="363"/>
      <c r="B31" s="376"/>
      <c r="C31" s="370"/>
      <c r="D31" s="373"/>
      <c r="E31" s="361"/>
      <c r="F31" s="196" t="s">
        <v>63</v>
      </c>
      <c r="G31" s="34"/>
    </row>
    <row r="32" spans="1:7" ht="48.75" customHeight="1">
      <c r="A32" s="363"/>
      <c r="B32" s="376"/>
      <c r="C32" s="370"/>
      <c r="D32" s="373"/>
      <c r="E32" s="361"/>
      <c r="F32" s="196" t="s">
        <v>66</v>
      </c>
      <c r="G32" s="34"/>
    </row>
    <row r="33" spans="1:7" ht="98.45" customHeight="1">
      <c r="A33" s="363"/>
      <c r="B33" s="376"/>
      <c r="C33" s="370"/>
      <c r="D33" s="373"/>
      <c r="E33" s="361"/>
      <c r="F33" s="196" t="s">
        <v>65</v>
      </c>
      <c r="G33" s="34"/>
    </row>
    <row r="34" spans="1:7" ht="89.1" customHeight="1">
      <c r="A34" s="363"/>
      <c r="B34" s="376"/>
      <c r="C34" s="370"/>
      <c r="D34" s="373"/>
      <c r="E34" s="361"/>
      <c r="F34" s="196" t="s">
        <v>67</v>
      </c>
      <c r="G34" s="34"/>
    </row>
    <row r="35" spans="1:7" ht="29.1" customHeight="1">
      <c r="A35" s="363"/>
      <c r="B35" s="376"/>
      <c r="C35" s="370"/>
      <c r="D35" s="373"/>
      <c r="E35" s="361"/>
      <c r="F35" s="196" t="s">
        <v>68</v>
      </c>
      <c r="G35" s="34"/>
    </row>
    <row r="36" spans="1:7" ht="126.75">
      <c r="A36" s="363"/>
      <c r="B36" s="377"/>
      <c r="C36" s="371"/>
      <c r="D36" s="374"/>
      <c r="E36" s="362"/>
      <c r="F36" s="197" t="s">
        <v>69</v>
      </c>
      <c r="G36" s="34"/>
    </row>
    <row r="37" spans="1:7" ht="112.5">
      <c r="A37" s="363"/>
      <c r="B37" s="170">
        <v>3.01</v>
      </c>
      <c r="C37" s="171" t="s">
        <v>70</v>
      </c>
      <c r="D37" s="39" t="s">
        <v>2270</v>
      </c>
      <c r="E37" s="198" t="s">
        <v>1328</v>
      </c>
      <c r="F37" s="199" t="s">
        <v>1434</v>
      </c>
      <c r="G37" s="34"/>
    </row>
    <row r="38" spans="1:7" ht="101.25">
      <c r="A38" s="363"/>
      <c r="B38" s="170">
        <v>3.02</v>
      </c>
      <c r="C38" s="171" t="s">
        <v>1361</v>
      </c>
      <c r="D38" s="39" t="s">
        <v>2271</v>
      </c>
      <c r="E38" s="198" t="s">
        <v>1376</v>
      </c>
      <c r="F38" s="199" t="s">
        <v>1435</v>
      </c>
      <c r="G38" s="34"/>
    </row>
    <row r="39" spans="1:7" ht="101.25">
      <c r="A39" s="363"/>
      <c r="B39" s="180">
        <v>4</v>
      </c>
      <c r="C39" s="179" t="s">
        <v>1531</v>
      </c>
      <c r="D39" s="39" t="s">
        <v>2272</v>
      </c>
      <c r="E39" s="37" t="s">
        <v>2215</v>
      </c>
      <c r="F39" s="37" t="s">
        <v>1532</v>
      </c>
      <c r="G39" s="34"/>
    </row>
    <row r="40" spans="1:7" ht="56.25">
      <c r="A40" s="363"/>
      <c r="B40" s="170">
        <v>4.01</v>
      </c>
      <c r="C40" s="179" t="s">
        <v>1531</v>
      </c>
      <c r="D40" s="39" t="s">
        <v>2274</v>
      </c>
      <c r="E40" s="37" t="s">
        <v>2229</v>
      </c>
      <c r="F40" s="37" t="s">
        <v>2233</v>
      </c>
      <c r="G40" s="34"/>
    </row>
    <row r="41" spans="1:7" ht="56.25">
      <c r="A41" s="363"/>
      <c r="B41" s="170" t="s">
        <v>2261</v>
      </c>
      <c r="C41" s="179" t="s">
        <v>1531</v>
      </c>
      <c r="D41" s="39" t="s">
        <v>2273</v>
      </c>
      <c r="E41" s="37" t="s">
        <v>2264</v>
      </c>
      <c r="F41" s="37" t="s">
        <v>2262</v>
      </c>
      <c r="G41" s="34"/>
    </row>
    <row r="42" spans="1:7" ht="56.25">
      <c r="A42" s="363"/>
      <c r="B42" s="170" t="s">
        <v>2299</v>
      </c>
      <c r="C42" s="179" t="s">
        <v>1531</v>
      </c>
      <c r="D42" s="39" t="s">
        <v>2306</v>
      </c>
      <c r="E42" s="37" t="s">
        <v>2263</v>
      </c>
      <c r="F42" s="37" t="s">
        <v>2300</v>
      </c>
      <c r="G42" s="34"/>
    </row>
    <row r="43" spans="1:7" ht="123.75">
      <c r="A43" s="363"/>
      <c r="B43" s="191">
        <v>4.0999999999999996</v>
      </c>
      <c r="C43" s="179" t="s">
        <v>2305</v>
      </c>
      <c r="D43" s="192">
        <v>42867</v>
      </c>
      <c r="E43" s="200" t="s">
        <v>2308</v>
      </c>
      <c r="F43" s="37" t="s">
        <v>2307</v>
      </c>
      <c r="G43" s="34"/>
    </row>
    <row r="44" spans="1:7" ht="78.75">
      <c r="A44" s="363"/>
      <c r="B44" s="191">
        <v>4.2</v>
      </c>
      <c r="C44" s="179" t="s">
        <v>2305</v>
      </c>
      <c r="D44" s="192">
        <v>42704</v>
      </c>
      <c r="E44" s="200" t="s">
        <v>2510</v>
      </c>
      <c r="F44" s="37" t="s">
        <v>2485</v>
      </c>
      <c r="G44" s="34"/>
    </row>
    <row r="45" spans="1:7" ht="157.5">
      <c r="A45" s="363"/>
      <c r="B45" s="240">
        <v>5</v>
      </c>
      <c r="C45" s="179" t="s">
        <v>2305</v>
      </c>
      <c r="D45" s="192">
        <v>42867</v>
      </c>
      <c r="E45" s="200" t="s">
        <v>12917</v>
      </c>
      <c r="F45" s="37" t="s">
        <v>12639</v>
      </c>
      <c r="G45" s="34"/>
    </row>
    <row r="46" spans="1:7" ht="45">
      <c r="A46" s="363"/>
      <c r="B46" s="191">
        <v>5.01</v>
      </c>
      <c r="C46" s="179" t="s">
        <v>2305</v>
      </c>
      <c r="D46" s="192">
        <v>42907</v>
      </c>
      <c r="E46" s="200" t="s">
        <v>12935</v>
      </c>
      <c r="F46" s="37" t="s">
        <v>12639</v>
      </c>
      <c r="G46" s="34"/>
    </row>
    <row r="47" spans="1:7" ht="67.5">
      <c r="A47" s="363"/>
      <c r="B47" s="191">
        <v>5.0999999999999996</v>
      </c>
      <c r="C47" s="179" t="s">
        <v>2305</v>
      </c>
      <c r="D47" s="192">
        <v>43070</v>
      </c>
      <c r="E47" s="200" t="s">
        <v>13129</v>
      </c>
      <c r="F47" s="37" t="s">
        <v>13130</v>
      </c>
      <c r="G47" s="34"/>
    </row>
    <row r="48" spans="1:7" ht="56.25">
      <c r="A48" s="363"/>
      <c r="B48" s="191">
        <v>5.1100000000000003</v>
      </c>
      <c r="C48" s="179" t="s">
        <v>13371</v>
      </c>
      <c r="D48" s="192">
        <v>43217</v>
      </c>
      <c r="E48" s="200" t="s">
        <v>13499</v>
      </c>
      <c r="F48" s="37" t="s">
        <v>13405</v>
      </c>
      <c r="G48" s="34"/>
    </row>
    <row r="49" spans="1:7" ht="56.25">
      <c r="A49" s="363"/>
      <c r="B49" s="191">
        <v>5.12</v>
      </c>
      <c r="C49" s="179" t="s">
        <v>13371</v>
      </c>
      <c r="D49" s="192">
        <v>43581</v>
      </c>
      <c r="E49" s="200" t="s">
        <v>13499</v>
      </c>
      <c r="F49" s="37" t="s">
        <v>14064</v>
      </c>
      <c r="G49" s="34"/>
    </row>
    <row r="50" spans="1:7" ht="78.75">
      <c r="A50" s="363"/>
      <c r="B50" s="240">
        <v>6</v>
      </c>
      <c r="C50" s="179" t="s">
        <v>13371</v>
      </c>
      <c r="D50" s="192">
        <v>43964</v>
      </c>
      <c r="E50" s="200" t="s">
        <v>14291</v>
      </c>
      <c r="F50" s="37" t="s">
        <v>14074</v>
      </c>
      <c r="G50" s="34"/>
    </row>
    <row r="51" spans="1:7" ht="45">
      <c r="A51" s="363"/>
      <c r="B51" s="191">
        <v>6.01</v>
      </c>
      <c r="C51" s="179" t="s">
        <v>13371</v>
      </c>
      <c r="D51" s="192">
        <v>43970</v>
      </c>
      <c r="E51" s="200" t="s">
        <v>15309</v>
      </c>
      <c r="F51" s="200" t="s">
        <v>14074</v>
      </c>
      <c r="G51" s="34"/>
    </row>
    <row r="52" spans="1:7" ht="45">
      <c r="A52" s="363"/>
      <c r="B52" s="191">
        <v>6.1</v>
      </c>
      <c r="C52" s="179" t="s">
        <v>13371</v>
      </c>
      <c r="D52" s="192">
        <v>44314</v>
      </c>
      <c r="E52" s="200" t="s">
        <v>15314</v>
      </c>
      <c r="F52" s="200" t="s">
        <v>15319</v>
      </c>
      <c r="G52" s="34"/>
    </row>
    <row r="53" spans="1:7" ht="13.5" thickBot="1">
      <c r="A53" s="364"/>
      <c r="B53" s="365" t="str">
        <f ca="1">OFFSET(L!$C$1,MATCH("General"&amp;"Cpy",L!$A:$A,0)-1,SL,,)</f>
        <v>© 2021 Responsible Minerals Initiative. All rights reserved.</v>
      </c>
      <c r="C53" s="365"/>
      <c r="D53" s="365"/>
      <c r="E53" s="365"/>
      <c r="F53" s="365"/>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baseColWidth="10"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7780E95-4ECA-4F95-9DB7-47C2F87E0A1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baseColWidth="10"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E94CDFB8-2309-4477-B963-91546F6EFC6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3.95"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5">
      <c r="A10" s="87"/>
      <c r="B10" s="74" t="str">
        <f ca="1">OFFSET(L!$C$1,MATCH("Definitions"&amp;ADDRESS(ROW(),COLUMN(),4),L!$A:$A,0)-1,SL,,)</f>
        <v>DRC</v>
      </c>
      <c r="C10" s="74" t="str">
        <f ca="1">OFFSET(L!$C$1,MATCH("Definitions"&amp;ADDRESS(ROW(),COLUMN(),4),L!$A:$A,0)-1,SL,,)</f>
        <v>Democratic Republic of Congo</v>
      </c>
      <c r="D10" s="382"/>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2"/>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5">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5">
      <c r="A32" s="87"/>
      <c r="B32" s="381" t="str">
        <f ca="1">OFFSET(L!$C$1,MATCH("General"&amp;"Cpy",L!$A:$A,0)-1,SL,,)</f>
        <v>© 2021 Responsible Minerals Initiative. All rights reserved.</v>
      </c>
      <c r="C32" s="381"/>
      <c r="D32" s="382"/>
      <c r="E32" s="128"/>
    </row>
    <row r="33" spans="1:4" ht="13.5" thickBot="1">
      <c r="A33" s="88"/>
      <c r="B33" s="183"/>
      <c r="C33" s="183"/>
      <c r="D33" s="383"/>
    </row>
    <row r="34" spans="1:4" ht="13.5"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zoomScalePageLayoutView="70" workbookViewId="0">
      <selection activeCell="D8" sqref="D8:J8"/>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5"/>
      <c r="B1" s="416"/>
      <c r="C1" s="416"/>
      <c r="D1" s="416"/>
      <c r="E1" s="416"/>
      <c r="F1" s="416"/>
      <c r="G1" s="416"/>
      <c r="H1" s="416"/>
      <c r="I1" s="416"/>
      <c r="J1" s="416"/>
      <c r="K1" s="417"/>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18" t="str">
        <f ca="1">OFFSET(L!$C$1,MATCH("Declaration"&amp;ADDRESS(ROW(),COLUMN(),4),L!$A:$A,0)-1,SL,,)</f>
        <v>Conflict Minerals Reporting Template (CMRT)</v>
      </c>
      <c r="E2" s="419"/>
      <c r="F2" s="419"/>
      <c r="G2" s="419"/>
      <c r="H2" s="419"/>
      <c r="I2" s="419"/>
      <c r="J2" s="420"/>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8"/>
      <c r="G3" s="428"/>
      <c r="H3" s="428"/>
      <c r="I3" s="182"/>
      <c r="J3" s="167" t="s">
        <v>15318</v>
      </c>
      <c r="K3" s="47"/>
      <c r="L3" s="139"/>
      <c r="M3" s="130"/>
      <c r="N3" s="130"/>
      <c r="O3" s="131"/>
      <c r="P3" s="144">
        <f>MATCH($D$3,LN,0)</f>
        <v>1</v>
      </c>
    </row>
    <row r="4" spans="1:34" ht="15.75">
      <c r="A4" s="45"/>
      <c r="B4" s="424" t="str">
        <f ca="1">OFFSET(L!$C$1,MATCH("Declaration"&amp;ADDRESS(ROW(),COLUMN(),4),L!$A:$A,0)-1,SL,,)</f>
        <v>The purpose of this document is to collect sourcing information on tin, tantalum, tungsten and gold used in products</v>
      </c>
      <c r="C4" s="424"/>
      <c r="D4" s="424"/>
      <c r="E4" s="424"/>
      <c r="F4" s="424"/>
      <c r="G4" s="424"/>
      <c r="H4" s="424"/>
      <c r="I4" s="429" t="str">
        <f ca="1">OFFSET(L!$C$1,MATCH("Declaration"&amp;ADDRESS(ROW(),COLUMN(),4),L!$A:$A,0)-1,SL,,)</f>
        <v>Link to Terms &amp; Conditions</v>
      </c>
      <c r="J4" s="429"/>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4" t="str">
        <f ca="1">OFFSET(L!$C$1,MATCH("Declaration"&amp;ADDRESS(ROW(),COLUMN(),4),L!$A:$A,0)-1,SL,,)</f>
        <v>Mandatory fields are noted with an asterisk (*).  Consult the instructions tab for guidance on how to answer each question.</v>
      </c>
      <c r="C6" s="424"/>
      <c r="D6" s="424"/>
      <c r="E6" s="424"/>
      <c r="F6" s="424"/>
      <c r="G6" s="424"/>
      <c r="H6" s="424"/>
      <c r="I6" s="424"/>
      <c r="J6" s="424"/>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33" t="str">
        <f ca="1">OFFSET(L!$C$1,MATCH("Declaration"&amp;ADDRESS(ROW(),COLUMN(),4),L!$A:$A,0)-1,SL,,)</f>
        <v>Company Information</v>
      </c>
      <c r="C7" s="433"/>
      <c r="D7" s="433"/>
      <c r="E7" s="433"/>
      <c r="F7" s="433"/>
      <c r="G7" s="433"/>
      <c r="H7" s="433"/>
      <c r="I7" s="433"/>
      <c r="J7" s="433"/>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21"/>
      <c r="E8" s="422"/>
      <c r="F8" s="422"/>
      <c r="G8" s="422"/>
      <c r="H8" s="422"/>
      <c r="I8" s="422"/>
      <c r="J8" s="423"/>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30"/>
      <c r="E9" s="431"/>
      <c r="F9" s="431"/>
      <c r="G9" s="432"/>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34" t="str">
        <f ca="1">OFFSET(L!$C$1,MATCH("Declaration"&amp;ADDRESS(ROW(),COLUMN(),4)&amp;LEFT($D$9,1),L!$A:$A,0)-1,SL,,)</f>
        <v>Description of Scope:</v>
      </c>
      <c r="C10" s="151"/>
      <c r="D10" s="425"/>
      <c r="E10" s="426"/>
      <c r="F10" s="426"/>
      <c r="G10" s="426"/>
      <c r="H10" s="426"/>
      <c r="I10" s="426"/>
      <c r="J10" s="427"/>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5"/>
      <c r="C11" s="151"/>
      <c r="D11" s="399" t="str">
        <f ca="1">IF(D9=Q9,OFFSET(L!$C$1,MATCH("Declaration"&amp;ADDRESS(ROW(),COLUMN(),4),L!$A:$A,0)-1,SL,,),"")</f>
        <v/>
      </c>
      <c r="E11" s="400"/>
      <c r="F11" s="400"/>
      <c r="G11" s="400"/>
      <c r="H11" s="400"/>
      <c r="I11" s="400"/>
      <c r="J11" s="40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8"/>
      <c r="E12" s="409"/>
      <c r="F12" s="409"/>
      <c r="G12" s="409"/>
      <c r="H12" s="409"/>
      <c r="I12" s="409"/>
      <c r="J12" s="41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8"/>
      <c r="E13" s="409"/>
      <c r="F13" s="409"/>
      <c r="G13" s="409"/>
      <c r="H13" s="409"/>
      <c r="I13" s="409"/>
      <c r="J13" s="41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8"/>
      <c r="E14" s="409"/>
      <c r="F14" s="409"/>
      <c r="G14" s="409"/>
      <c r="H14" s="409"/>
      <c r="I14" s="409"/>
      <c r="J14" s="41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8"/>
      <c r="E15" s="409"/>
      <c r="F15" s="409"/>
      <c r="G15" s="409"/>
      <c r="H15" s="409"/>
      <c r="I15" s="409"/>
      <c r="J15" s="41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6"/>
      <c r="E16" s="437"/>
      <c r="F16" s="437"/>
      <c r="G16" s="437"/>
      <c r="H16" s="437"/>
      <c r="I16" s="437"/>
      <c r="J16" s="438"/>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8"/>
      <c r="E17" s="409"/>
      <c r="F17" s="409"/>
      <c r="G17" s="409"/>
      <c r="H17" s="409"/>
      <c r="I17" s="409"/>
      <c r="J17" s="41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8"/>
      <c r="E18" s="409"/>
      <c r="F18" s="409"/>
      <c r="G18" s="409"/>
      <c r="H18" s="409"/>
      <c r="I18" s="409"/>
      <c r="J18" s="41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8"/>
      <c r="E19" s="409"/>
      <c r="F19" s="409"/>
      <c r="G19" s="409"/>
      <c r="H19" s="409"/>
      <c r="I19" s="409"/>
      <c r="J19" s="41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6"/>
      <c r="E20" s="437"/>
      <c r="F20" s="437"/>
      <c r="G20" s="437"/>
      <c r="H20" s="437"/>
      <c r="I20" s="437"/>
      <c r="J20" s="438"/>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439"/>
      <c r="E21" s="440"/>
      <c r="F21" s="440"/>
      <c r="G21" s="440"/>
      <c r="H21" s="440"/>
      <c r="I21" s="440"/>
      <c r="J21" s="441"/>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42"/>
      <c r="E22" s="443"/>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11"/>
      <c r="E23" s="411"/>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44" t="str">
        <f ca="1">OFFSET(L!$C$1,MATCH("Declaration"&amp;ADDRESS(ROW(),COLUMN(),4),L!$A:$A,0)-1,SL,,)</f>
        <v>Answer the following questions 1 - 8 based on the declaration scope indicated above</v>
      </c>
      <c r="C24" s="444"/>
      <c r="D24" s="444"/>
      <c r="E24" s="444"/>
      <c r="F24" s="444"/>
      <c r="G24" s="444"/>
      <c r="H24" s="444"/>
      <c r="I24" s="444"/>
      <c r="J24" s="444"/>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398" t="str">
        <f ca="1">OFFSET(L!$C$1,MATCH("Declaration"&amp;ADDRESS(ROW(),COLUMN(),4),L!$A:$A,0)-1,SL,,)</f>
        <v>Answer</v>
      </c>
      <c r="E25" s="398"/>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84"/>
      <c r="E26" s="385"/>
      <c r="F26" s="15"/>
      <c r="G26" s="386"/>
      <c r="H26" s="387"/>
      <c r="I26" s="387"/>
      <c r="J26" s="388"/>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4"/>
      <c r="E27" s="385"/>
      <c r="F27" s="15"/>
      <c r="G27" s="386"/>
      <c r="H27" s="387"/>
      <c r="I27" s="387"/>
      <c r="J27" s="38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4"/>
      <c r="E28" s="385"/>
      <c r="F28" s="15"/>
      <c r="G28" s="386"/>
      <c r="H28" s="387"/>
      <c r="I28" s="387"/>
      <c r="J28" s="388"/>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84"/>
      <c r="E29" s="385"/>
      <c r="F29" s="15"/>
      <c r="G29" s="386"/>
      <c r="H29" s="387"/>
      <c r="I29" s="387"/>
      <c r="J29" s="388"/>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404" t="str">
        <f ca="1">D25</f>
        <v>Answer</v>
      </c>
      <c r="E31" s="404"/>
      <c r="F31" s="21"/>
      <c r="G31" s="55" t="str">
        <f ca="1">G25</f>
        <v>Comments</v>
      </c>
      <c r="H31" s="55"/>
      <c r="I31" s="55"/>
      <c r="J31" s="96"/>
      <c r="K31" s="47"/>
      <c r="L31" s="136" t="s">
        <v>1243</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402"/>
      <c r="E32" s="403"/>
      <c r="F32" s="58"/>
      <c r="G32" s="386"/>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4"/>
      <c r="E33" s="385"/>
      <c r="F33" s="58"/>
      <c r="G33" s="386"/>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4"/>
      <c r="E34" s="385"/>
      <c r="F34" s="58"/>
      <c r="G34" s="386"/>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84"/>
      <c r="E35" s="385"/>
      <c r="F35" s="58"/>
      <c r="G35" s="386"/>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404" t="str">
        <f ca="1">D25</f>
        <v>Answer</v>
      </c>
      <c r="E37" s="404"/>
      <c r="F37" s="21"/>
      <c r="G37" s="55" t="str">
        <f ca="1">G25</f>
        <v>Comments</v>
      </c>
      <c r="H37" s="407"/>
      <c r="I37" s="407"/>
      <c r="J37" s="407"/>
      <c r="K37" s="47"/>
      <c r="L37" s="136" t="s">
        <v>1243</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84"/>
      <c r="E38" s="385"/>
      <c r="F38" s="58"/>
      <c r="G38" s="386"/>
      <c r="H38" s="387"/>
      <c r="I38" s="387"/>
      <c r="J38" s="388"/>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4"/>
      <c r="E39" s="385"/>
      <c r="F39" s="58"/>
      <c r="G39" s="386"/>
      <c r="H39" s="387"/>
      <c r="I39" s="387"/>
      <c r="J39" s="388"/>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4"/>
      <c r="E40" s="385"/>
      <c r="F40" s="58"/>
      <c r="G40" s="386"/>
      <c r="H40" s="387"/>
      <c r="I40" s="387"/>
      <c r="J40" s="388"/>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84"/>
      <c r="E41" s="385"/>
      <c r="F41" s="58"/>
      <c r="G41" s="386"/>
      <c r="H41" s="387"/>
      <c r="I41" s="387"/>
      <c r="J41" s="388"/>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404" t="str">
        <f ca="1">D25</f>
        <v>Answer</v>
      </c>
      <c r="E43" s="404"/>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84"/>
      <c r="E44" s="385"/>
      <c r="F44" s="58"/>
      <c r="G44" s="386"/>
      <c r="H44" s="387"/>
      <c r="I44" s="387"/>
      <c r="J44" s="388"/>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4"/>
      <c r="E45" s="385"/>
      <c r="F45" s="58"/>
      <c r="G45" s="386"/>
      <c r="H45" s="387"/>
      <c r="I45" s="387"/>
      <c r="J45" s="38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4"/>
      <c r="E46" s="385"/>
      <c r="F46" s="58"/>
      <c r="G46" s="386"/>
      <c r="H46" s="387"/>
      <c r="I46" s="387"/>
      <c r="J46" s="388"/>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84"/>
      <c r="E47" s="385"/>
      <c r="F47" s="58"/>
      <c r="G47" s="386"/>
      <c r="H47" s="387"/>
      <c r="I47" s="387"/>
      <c r="J47" s="388"/>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404" t="str">
        <f ca="1">D25</f>
        <v>Answer</v>
      </c>
      <c r="E49" s="404"/>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84"/>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4"/>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84"/>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84"/>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404" t="str">
        <f ca="1">D25</f>
        <v>Answer</v>
      </c>
      <c r="E55" s="404"/>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405"/>
      <c r="E56" s="406"/>
      <c r="F56" s="58"/>
      <c r="G56" s="386"/>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05"/>
      <c r="E57" s="406"/>
      <c r="F57" s="58"/>
      <c r="G57" s="386"/>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405"/>
      <c r="E58" s="406"/>
      <c r="F58" s="58"/>
      <c r="G58" s="386"/>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405"/>
      <c r="E59" s="406"/>
      <c r="F59" s="58"/>
      <c r="G59" s="386"/>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Have you identified all of the smelters supplying the 3TG to your supply chain?  (*)</v>
      </c>
      <c r="C61" s="13"/>
      <c r="D61" s="404" t="str">
        <f ca="1">D25</f>
        <v>Answer</v>
      </c>
      <c r="E61" s="404"/>
      <c r="F61" s="21"/>
      <c r="G61" s="55" t="str">
        <f ca="1">G25</f>
        <v>Comments</v>
      </c>
      <c r="H61" s="397"/>
      <c r="I61" s="397"/>
      <c r="J61" s="397"/>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402"/>
      <c r="E62" s="403"/>
      <c r="F62" s="58"/>
      <c r="G62" s="386"/>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4"/>
      <c r="E63" s="385"/>
      <c r="F63" s="58"/>
      <c r="G63" s="386"/>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84"/>
      <c r="E64" s="385"/>
      <c r="F64" s="58"/>
      <c r="G64" s="386"/>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84"/>
      <c r="E65" s="385"/>
      <c r="F65" s="58"/>
      <c r="G65" s="386"/>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404" t="str">
        <f ca="1">D25</f>
        <v>Answer</v>
      </c>
      <c r="E67" s="404"/>
      <c r="F67" s="21"/>
      <c r="G67" s="55" t="str">
        <f ca="1">G25</f>
        <v>Comments</v>
      </c>
      <c r="H67" s="397" t="str">
        <f>IF(Q75="(*)","Click here to enter smelter names","")</f>
        <v/>
      </c>
      <c r="I67" s="397"/>
      <c r="J67" s="397"/>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84"/>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4"/>
      <c r="E69" s="385"/>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84"/>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84"/>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9" t="str">
        <f ca="1">OFFSET(L!$C$1,MATCH("Declaration"&amp;ADDRESS(ROW(),COLUMN(),4),L!$A:$A,0)-1,SL,,)</f>
        <v>Answer the Following Questions at a Company Level</v>
      </c>
      <c r="C73" s="389"/>
      <c r="D73" s="389"/>
      <c r="E73" s="389"/>
      <c r="F73" s="389"/>
      <c r="G73" s="389"/>
      <c r="H73" s="389"/>
      <c r="I73" s="389"/>
      <c r="J73" s="389"/>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8" t="str">
        <f ca="1">D25</f>
        <v>Answer</v>
      </c>
      <c r="E74" s="398"/>
      <c r="F74" s="64"/>
      <c r="G74" s="398" t="str">
        <f ca="1">G25</f>
        <v>Comments</v>
      </c>
      <c r="H74" s="398" t="e">
        <f>HLOOKUP(SL,LT,$O74,0)</f>
        <v>#NAME?</v>
      </c>
      <c r="I74" s="398"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4"/>
      <c r="E75" s="385"/>
      <c r="F75" s="68"/>
      <c r="G75" s="386"/>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95"/>
      <c r="H76" s="395"/>
      <c r="I76" s="395"/>
      <c r="J76" s="395"/>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4"/>
      <c r="E77" s="385"/>
      <c r="F77" s="68"/>
      <c r="G77" s="412"/>
      <c r="H77" s="413"/>
      <c r="I77" s="413"/>
      <c r="J77" s="414"/>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4"/>
      <c r="E79" s="385"/>
      <c r="F79" s="68"/>
      <c r="G79" s="386"/>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4"/>
      <c r="E81" s="385"/>
      <c r="F81" s="68"/>
      <c r="G81" s="386"/>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4"/>
      <c r="E83" s="385"/>
      <c r="F83" s="68"/>
      <c r="G83" s="386"/>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3"/>
      <c r="E85" s="394"/>
      <c r="F85" s="68"/>
      <c r="G85" s="386"/>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95"/>
      <c r="H86" s="395"/>
      <c r="I86" s="395"/>
      <c r="J86" s="395"/>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4"/>
      <c r="E87" s="385"/>
      <c r="F87" s="68"/>
      <c r="G87" s="386"/>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6"/>
      <c r="H88" s="396"/>
      <c r="I88" s="396"/>
      <c r="J88" s="396"/>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4"/>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92" t="str">
        <f>IF(OR($D$8="",$I$3=""),"","Click here to check required fields completion")</f>
        <v/>
      </c>
      <c r="C90" s="392"/>
      <c r="D90" s="392"/>
      <c r="E90" s="392"/>
      <c r="F90" s="392"/>
      <c r="G90" s="392"/>
      <c r="H90" s="392"/>
      <c r="I90" s="392"/>
      <c r="J90" s="392"/>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90" t="str">
        <f ca="1">OFFSET(L!$C$1,MATCH("General"&amp;"Cpy",L!$A:$A,0)-1,SL,,)</f>
        <v>© 2021 Responsible Minerals Initiative. All rights reserved.</v>
      </c>
      <c r="B91" s="391"/>
      <c r="C91" s="391"/>
      <c r="D91" s="391"/>
      <c r="E91" s="391"/>
      <c r="F91" s="391"/>
      <c r="G91" s="391"/>
      <c r="H91" s="391"/>
      <c r="I91" s="391"/>
      <c r="J91" s="391"/>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05" priority="63" stopIfTrue="1">
      <formula>AND(OR($D$26="No",AND($D$26="Yes",$D$32="No")),OR($D$27="No",AND($D$27="Yes",$D$33="No")),OR($D$28="No",AND($D$28="Yes",$D$34="No")),OR($D$29="No",AND($D$29="Yes",$D$35="No")))</formula>
    </cfRule>
    <cfRule type="expression" dxfId="104" priority="64" stopIfTrue="1">
      <formula>IF(D75="",TRUE)</formula>
    </cfRule>
  </conditionalFormatting>
  <conditionalFormatting sqref="G77:J77">
    <cfRule type="expression" dxfId="103" priority="35" stopIfTrue="1">
      <formula>IF(AND($D$77="Yes",$G$77=""),TRUE)</formula>
    </cfRule>
  </conditionalFormatting>
  <conditionalFormatting sqref="D26:E26">
    <cfRule type="expression" dxfId="102" priority="115" stopIfTrue="1">
      <formula>IF($D$26="",TRUE)</formula>
    </cfRule>
  </conditionalFormatting>
  <conditionalFormatting sqref="D27:E27">
    <cfRule type="expression" dxfId="101" priority="122" stopIfTrue="1">
      <formula>IF($D$27="",TRUE)</formula>
    </cfRule>
  </conditionalFormatting>
  <conditionalFormatting sqref="D28:E28">
    <cfRule type="expression" dxfId="100" priority="123" stopIfTrue="1">
      <formula>IF($D$28="",TRUE)</formula>
    </cfRule>
  </conditionalFormatting>
  <conditionalFormatting sqref="D29:E29">
    <cfRule type="expression" dxfId="99" priority="124" stopIfTrue="1">
      <formula>IF($D$29="",TRUE)</formula>
    </cfRule>
  </conditionalFormatting>
  <conditionalFormatting sqref="D8:J8">
    <cfRule type="expression" dxfId="98" priority="129" stopIfTrue="1">
      <formula>IF($D$8="",TRUE)</formula>
    </cfRule>
  </conditionalFormatting>
  <conditionalFormatting sqref="D9:G9">
    <cfRule type="expression" dxfId="97" priority="130" stopIfTrue="1">
      <formula>IF($D$9="",TRUE)</formula>
    </cfRule>
  </conditionalFormatting>
  <conditionalFormatting sqref="D15:J15">
    <cfRule type="expression" dxfId="96" priority="131" stopIfTrue="1">
      <formula>IF($D$15="",TRUE)</formula>
    </cfRule>
  </conditionalFormatting>
  <conditionalFormatting sqref="D16:J16">
    <cfRule type="expression" dxfId="95" priority="132" stopIfTrue="1">
      <formula>IF($D$16="",TRUE)</formula>
    </cfRule>
  </conditionalFormatting>
  <conditionalFormatting sqref="D17:J17">
    <cfRule type="expression" dxfId="94" priority="133" stopIfTrue="1">
      <formula>IF($D$17="",TRUE)</formula>
    </cfRule>
  </conditionalFormatting>
  <conditionalFormatting sqref="D18:J18">
    <cfRule type="expression" dxfId="93" priority="134" stopIfTrue="1">
      <formula>IF($D$18="",TRUE)</formula>
    </cfRule>
  </conditionalFormatting>
  <conditionalFormatting sqref="D22:E22">
    <cfRule type="expression" dxfId="92" priority="137" stopIfTrue="1">
      <formula>IF($D$22="",TRUE)</formula>
    </cfRule>
  </conditionalFormatting>
  <conditionalFormatting sqref="D10:J10">
    <cfRule type="expression" dxfId="91" priority="34" stopIfTrue="1">
      <formula>IF($D$9=$Q$9,TRUE)</formula>
    </cfRule>
    <cfRule type="expression" dxfId="90" priority="144" stopIfTrue="1">
      <formula>IF(AND($D$10="",$D$9=$R$9),TRUE)</formula>
    </cfRule>
  </conditionalFormatting>
  <conditionalFormatting sqref="D34:E34 D40:E40 D52:E52 D58:E58 D64:E64 D70:E70">
    <cfRule type="expression" dxfId="89" priority="27" stopIfTrue="1">
      <formula>$P$28=""</formula>
    </cfRule>
  </conditionalFormatting>
  <conditionalFormatting sqref="D35:E35 D41:E41 D53:E53 D59:E59 D65:E65 D71:E71">
    <cfRule type="expression" dxfId="88" priority="142" stopIfTrue="1">
      <formula>$P$29=""</formula>
    </cfRule>
  </conditionalFormatting>
  <conditionalFormatting sqref="D32:E32">
    <cfRule type="expression" dxfId="87" priority="120" stopIfTrue="1">
      <formula>$P$26=""</formula>
    </cfRule>
  </conditionalFormatting>
  <conditionalFormatting sqref="D32:E32">
    <cfRule type="expression" dxfId="86" priority="33" stopIfTrue="1">
      <formula>IF(AND(OR($D$26="Yes",$D$26=""),$D$32=""),1,0)</formula>
    </cfRule>
  </conditionalFormatting>
  <conditionalFormatting sqref="D38 D50 D56 D62 D68">
    <cfRule type="expression" dxfId="85" priority="29" stopIfTrue="1">
      <formula>$P$32=""</formula>
    </cfRule>
  </conditionalFormatting>
  <conditionalFormatting sqref="D39:E39 D51 D57 D63 D69">
    <cfRule type="expression" dxfId="84" priority="28" stopIfTrue="1">
      <formula>$P$33=""</formula>
    </cfRule>
  </conditionalFormatting>
  <conditionalFormatting sqref="D40 D52 D58 D64 D70">
    <cfRule type="expression" dxfId="83" priority="18" stopIfTrue="1">
      <formula>$P$34=""</formula>
    </cfRule>
    <cfRule type="expression" dxfId="82" priority="140" stopIfTrue="1">
      <formula>IF(AND(OR($D$28="Yes",$D$28=""),D40=""),1,0)</formula>
    </cfRule>
  </conditionalFormatting>
  <conditionalFormatting sqref="D41 D53 D59 D65 D71">
    <cfRule type="expression" dxfId="81" priority="26" stopIfTrue="1">
      <formula>$P$35=""</formula>
    </cfRule>
  </conditionalFormatting>
  <conditionalFormatting sqref="D38:E38 D50:E50 D56:E56 D62:E62 D68:E68">
    <cfRule type="expression" dxfId="80" priority="31" stopIfTrue="1">
      <formula>$P$26=""</formula>
    </cfRule>
    <cfRule type="expression" dxfId="79" priority="32" stopIfTrue="1">
      <formula>IF(AND(OR($D$26="Yes",$D$26=""),D38=""),1,0)</formula>
    </cfRule>
  </conditionalFormatting>
  <conditionalFormatting sqref="G85:J85">
    <cfRule type="expression" dxfId="78" priority="25" stopIfTrue="1">
      <formula>IF(AND($D$85="Yes, using other format (describe)",$G$85=""),TRUE)</formula>
    </cfRule>
  </conditionalFormatting>
  <conditionalFormatting sqref="D39:E39 D51:E51 D57:E57 D63:E63 D69:E69">
    <cfRule type="expression" dxfId="77" priority="138" stopIfTrue="1">
      <formula>$P$39=""</formula>
    </cfRule>
    <cfRule type="expression" dxfId="76" priority="139" stopIfTrue="1">
      <formula>IF(AND(OR($D$27="Yes",$D$27=""),D39=""),1,0)</formula>
    </cfRule>
  </conditionalFormatting>
  <conditionalFormatting sqref="D33:E33">
    <cfRule type="expression" dxfId="75" priority="20" stopIfTrue="1">
      <formula>IF(AND(OR($D$27="Yes",$D$27=""),$D$33=""),1,0)</formula>
    </cfRule>
    <cfRule type="expression" dxfId="74" priority="21" stopIfTrue="1">
      <formula>$P$27=""</formula>
    </cfRule>
  </conditionalFormatting>
  <conditionalFormatting sqref="D34:E34">
    <cfRule type="expression" dxfId="73" priority="141" stopIfTrue="1">
      <formula>IF(AND(OR($D$28="Yes",$D$28=""),$D$34=""),1,0)</formula>
    </cfRule>
  </conditionalFormatting>
  <conditionalFormatting sqref="D41:E41 D53:E53 D59:E59 D65:E65 D71:E71">
    <cfRule type="expression" dxfId="72" priority="143" stopIfTrue="1">
      <formula>IF(AND(OR($D$29="Yes",$D$29=""),D41=""),1,0)</formula>
    </cfRule>
  </conditionalFormatting>
  <conditionalFormatting sqref="D35:E35">
    <cfRule type="expression" dxfId="71" priority="17" stopIfTrue="1">
      <formula>IF(AND(OR($D$29="Yes",$D$29=""),$D$35=""),1,0)</formula>
    </cfRule>
  </conditionalFormatting>
  <conditionalFormatting sqref="D20:J20">
    <cfRule type="expression" dxfId="70" priority="13" stopIfTrue="1">
      <formula>IF($D$20="",TRUE)</formula>
    </cfRule>
  </conditionalFormatting>
  <conditionalFormatting sqref="D46:E46">
    <cfRule type="expression" dxfId="69" priority="3" stopIfTrue="1">
      <formula>$P$28=""</formula>
    </cfRule>
  </conditionalFormatting>
  <conditionalFormatting sqref="D47:E47">
    <cfRule type="expression" dxfId="68" priority="11" stopIfTrue="1">
      <formula>$P$29=""</formula>
    </cfRule>
  </conditionalFormatting>
  <conditionalFormatting sqref="D44">
    <cfRule type="expression" dxfId="67" priority="5" stopIfTrue="1">
      <formula>$P$32=""</formula>
    </cfRule>
  </conditionalFormatting>
  <conditionalFormatting sqref="D45">
    <cfRule type="expression" dxfId="66" priority="4" stopIfTrue="1">
      <formula>$P$33=""</formula>
    </cfRule>
  </conditionalFormatting>
  <conditionalFormatting sqref="D46">
    <cfRule type="expression" dxfId="65" priority="1" stopIfTrue="1">
      <formula>$P$34=""</formula>
    </cfRule>
    <cfRule type="expression" dxfId="64" priority="10" stopIfTrue="1">
      <formula>IF(AND(OR($D$28="Yes",$D$28=""),D46=""),1,0)</formula>
    </cfRule>
  </conditionalFormatting>
  <conditionalFormatting sqref="D47">
    <cfRule type="expression" dxfId="63" priority="2" stopIfTrue="1">
      <formula>$P$35=""</formula>
    </cfRule>
  </conditionalFormatting>
  <conditionalFormatting sqref="D44:E44">
    <cfRule type="expression" dxfId="62" priority="6" stopIfTrue="1">
      <formula>$P$26=""</formula>
    </cfRule>
    <cfRule type="expression" dxfId="61" priority="7" stopIfTrue="1">
      <formula>IF(AND(OR($D$26="Yes",$D$26=""),D44=""),1,0)</formula>
    </cfRule>
  </conditionalFormatting>
  <conditionalFormatting sqref="D45:E45">
    <cfRule type="expression" dxfId="60" priority="8" stopIfTrue="1">
      <formula>$P$39=""</formula>
    </cfRule>
    <cfRule type="expression" dxfId="59" priority="9" stopIfTrue="1">
      <formula>IF(AND(OR($D$27="Yes",$D$27=""),D45=""),1,0)</formula>
    </cfRule>
  </conditionalFormatting>
  <conditionalFormatting sqref="D47:E47">
    <cfRule type="expression" dxfId="58"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pane ySplit="4" topLeftCell="A5" activePane="bottomLeft" state="frozen"/>
      <selection pane="bottomLeft" activeCell="A5" sqref="A5"/>
    </sheetView>
  </sheetViews>
  <sheetFormatPr baseColWidth="10"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5" t="str">
        <f ca="1">OFFSET(L!$C$1,MATCH("Smelter List"&amp;ADDRESS(ROW(),COLUMN(),4),L!$A:$A,0)-1,SL,,)</f>
        <v>Link to "RMAP Conformant Smelter List"</v>
      </c>
      <c r="K2" s="446"/>
      <c r="L2" s="446"/>
      <c r="M2" s="446"/>
      <c r="N2" s="446"/>
      <c r="O2" s="446"/>
      <c r="P2" s="231"/>
      <c r="Q2" s="232"/>
      <c r="R2" s="233"/>
      <c r="S2" s="233"/>
      <c r="T2" s="233"/>
      <c r="U2" s="262"/>
      <c r="V2" s="262"/>
      <c r="W2" s="263"/>
      <c r="X2" s="262"/>
      <c r="Y2" s="262"/>
      <c r="Z2" s="262"/>
      <c r="AH2" s="174" t="s">
        <v>488</v>
      </c>
    </row>
    <row r="3" spans="1:34" s="264" customFormat="1" ht="273.95" customHeight="1">
      <c r="A3" s="202"/>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65"/>
      <c r="G3" s="448" t="str">
        <f ca="1">OFFSET(L!$C$1,MATCH("General"&amp;"Cpy",L!$A:$A,0)-1,SL,,)</f>
        <v>© 2021 Responsible Minerals Initiative. All rights reserved.</v>
      </c>
      <c r="H3" s="448"/>
      <c r="I3" s="449"/>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24"/>
      <c r="B5" s="215" t="str">
        <f>IF(LEN(A5)=0,"",INDEX('Smelter Look-up'!$A:$A,MATCH($A5,'Smelter Look-up'!$E:$E,0)))</f>
        <v/>
      </c>
      <c r="C5" s="219" t="str">
        <f>IF(LEN(A5)=0,"",INDEX('Smelter Look-up'!$C:$C,MATCH($A5,'Smelter Look-up'!$E:$E,0)))</f>
        <v/>
      </c>
      <c r="D5" s="278"/>
      <c r="E5" s="215" t="str">
        <f ca="1">IF(ISERROR($V5),"",OFFSET('Smelter Look-up'!$D$4,$V5-4,0)&amp;"")</f>
        <v/>
      </c>
      <c r="F5" s="215" t="str">
        <f ca="1">IF(ISERROR($V5),"",OFFSET('Smelter Look-up'!$E$4,$V5-4,0))</f>
        <v/>
      </c>
      <c r="G5" s="215" t="str">
        <f ca="1">IF(C5=$X$4,"Enter smelter details",IF(ISERROR($V5),"",OFFSET('Smelter Look-up'!$F$4,$V5-4,0)))</f>
        <v/>
      </c>
      <c r="H5" s="216" t="str">
        <f ca="1">IF(ISERROR($V5),"",OFFSET('Smelter Look-up'!$G$4,$V5-4,0))</f>
        <v/>
      </c>
      <c r="I5" s="217" t="str">
        <f ca="1">IF(ISERROR($V5),"",OFFSET('Smelter Look-up'!$H$4,$V5-4,0))</f>
        <v/>
      </c>
      <c r="J5" s="217" t="str">
        <f ca="1">IF(ISERROR($V5),"",OFFSET('Smelter Look-up'!$I$4,$V5-4,0))</f>
        <v/>
      </c>
      <c r="K5" s="268"/>
      <c r="L5" s="268"/>
      <c r="M5" s="268"/>
      <c r="N5" s="268"/>
      <c r="O5" s="268"/>
      <c r="P5" s="218"/>
      <c r="Q5" s="269"/>
      <c r="R5" s="215" t="str">
        <f ca="1">IF(ISERROR($V5),"",OFFSET('Smelter Look-up'!$C$4,$V5-4,0)&amp;"")</f>
        <v/>
      </c>
      <c r="S5" s="222" t="str">
        <f t="shared" ref="S5" ca="1" si="0">IF(B5="","",IF(ISERROR(MATCH($E5,CL,0)),"Unknown",INDIRECT("'C'!$A$"&amp;MATCH($E5,CL,0)+1)))</f>
        <v/>
      </c>
      <c r="T5" s="222" t="str">
        <f ca="1">IF(B5="","",IF(ISERROR(MATCH($J5,SorP!$B$1:$B$6230,0)),"",INDIRECT("'SorP'!$A$"&amp;MATCH($J5,SorP!$B$1:$B$6230,0))))</f>
        <v/>
      </c>
      <c r="U5" s="238"/>
      <c r="V5" s="270" t="e">
        <f>IF(C5="",NA(),MATCH($B5&amp;$C5,'Smelter Look-up'!$J:$J,0))</f>
        <v>#N/A</v>
      </c>
      <c r="W5" s="271"/>
      <c r="X5" s="271">
        <f t="shared" ref="X5" ca="1" si="1">IF(AND(C5="Smelter not listed",OR(LEN(D5)=0,LEN(E5)=0)),1,0)</f>
        <v>0</v>
      </c>
      <c r="Y5" s="271"/>
      <c r="Z5" s="271"/>
      <c r="AB5" s="273" t="str">
        <f t="shared" ref="AB5" si="2">B5&amp;C5</f>
        <v/>
      </c>
    </row>
    <row r="6" spans="1:34" s="272" customFormat="1" ht="20.100000000000001" customHeight="1">
      <c r="A6" s="324"/>
      <c r="B6" s="215" t="str">
        <f>IF(LEN(A6)=0,"",INDEX('Smelter Look-up'!$A:$A,MATCH($A6,'Smelter Look-up'!$E:$E,0)))</f>
        <v/>
      </c>
      <c r="C6" s="219" t="str">
        <f>IF(LEN(A6)=0,"",INDEX('Smelter Look-up'!$C:$C,MATCH($A6,'Smelter Look-up'!$E:$E,0)))</f>
        <v/>
      </c>
      <c r="D6" s="278"/>
      <c r="E6" s="215" t="str">
        <f ca="1">IF(ISERROR($V6),"",OFFSET('Smelter Look-up'!$D$4,$V6-4,0)&amp;"")</f>
        <v/>
      </c>
      <c r="F6" s="215" t="str">
        <f ca="1">IF(ISERROR($V6),"",OFFSET('Smelter Look-up'!$E$4,$V6-4,0))</f>
        <v/>
      </c>
      <c r="G6" s="215" t="str">
        <f ca="1">IF(C6=$X$4,"Enter smelter details",IF(ISERROR($V6),"",OFFSET('Smelter Look-up'!$F$4,$V6-4,0)))</f>
        <v/>
      </c>
      <c r="H6" s="216" t="str">
        <f ca="1">IF(ISERROR($V6),"",OFFSET('Smelter Look-up'!$G$4,$V6-4,0))</f>
        <v/>
      </c>
      <c r="I6" s="217" t="str">
        <f ca="1">IF(ISERROR($V6),"",OFFSET('Smelter Look-up'!$H$4,$V6-4,0))</f>
        <v/>
      </c>
      <c r="J6" s="217" t="str">
        <f ca="1">IF(ISERROR($V6),"",OFFSET('Smelter Look-up'!$I$4,$V6-4,0))</f>
        <v/>
      </c>
      <c r="K6" s="268"/>
      <c r="L6" s="268"/>
      <c r="M6" s="268"/>
      <c r="N6" s="268"/>
      <c r="O6" s="268"/>
      <c r="P6" s="218"/>
      <c r="Q6" s="269"/>
      <c r="R6" s="215" t="str">
        <f ca="1">IF(ISERROR($V6),"",OFFSET('Smelter Look-up'!$C$4,$V6-4,0)&amp;"")</f>
        <v/>
      </c>
      <c r="S6" s="222" t="str">
        <f t="shared" ref="S6:S37" ca="1" si="3">IF(B6="","",IF(ISERROR(MATCH($E6,CL,0)),"Unknown",INDIRECT("'C'!$A$"&amp;MATCH($E6,CL,0)+1)))</f>
        <v/>
      </c>
      <c r="T6" s="222" t="str">
        <f ca="1">IF(B6="","",IF(ISERROR(MATCH($J6,SorP!$B$1:$B$6230,0)),"",INDIRECT("'SorP'!$A$"&amp;MATCH($J6,SorP!$B$1:$B$6230,0))))</f>
        <v/>
      </c>
      <c r="U6" s="238"/>
      <c r="V6" s="270" t="e">
        <f>IF(C6="",NA(),MATCH($B6&amp;$C6,'Smelter Look-up'!$J:$J,0))</f>
        <v>#N/A</v>
      </c>
      <c r="W6" s="271"/>
      <c r="X6" s="271">
        <f t="shared" ref="X6:X37" ca="1" si="4">IF(AND(C6="Smelter not listed",OR(LEN(D6)=0,LEN(E6)=0)),1,0)</f>
        <v>0</v>
      </c>
      <c r="Y6" s="271"/>
      <c r="Z6" s="271"/>
      <c r="AB6" s="273" t="str">
        <f t="shared" ref="AB6:AB37" si="5">B6&amp;C6</f>
        <v/>
      </c>
    </row>
    <row r="7" spans="1:34" s="272" customFormat="1" ht="20.100000000000001" customHeight="1">
      <c r="A7" s="324"/>
      <c r="B7" s="215" t="str">
        <f>IF(LEN(A7)=0,"",INDEX('Smelter Look-up'!$A:$A,MATCH($A7,'Smelter Look-up'!$E:$E,0)))</f>
        <v/>
      </c>
      <c r="C7" s="219" t="str">
        <f>IF(LEN(A7)=0,"",INDEX('Smelter Look-up'!$C:$C,MATCH($A7,'Smelter Look-up'!$E:$E,0)))</f>
        <v/>
      </c>
      <c r="D7" s="278"/>
      <c r="E7" s="215" t="str">
        <f ca="1">IF(ISERROR($V7),"",OFFSET('Smelter Look-up'!$D$4,$V7-4,0)&amp;"")</f>
        <v/>
      </c>
      <c r="F7" s="215" t="str">
        <f ca="1">IF(ISERROR($V7),"",OFFSET('Smelter Look-up'!$E$4,$V7-4,0))</f>
        <v/>
      </c>
      <c r="G7" s="215" t="str">
        <f ca="1">IF(C7=$X$4,"Enter smelter details",IF(ISERROR($V7),"",OFFSET('Smelter Look-up'!$F$4,$V7-4,0)))</f>
        <v/>
      </c>
      <c r="H7" s="216" t="str">
        <f ca="1">IF(ISERROR($V7),"",OFFSET('Smelter Look-up'!$G$4,$V7-4,0))</f>
        <v/>
      </c>
      <c r="I7" s="217" t="str">
        <f ca="1">IF(ISERROR($V7),"",OFFSET('Smelter Look-up'!$H$4,$V7-4,0))</f>
        <v/>
      </c>
      <c r="J7" s="217" t="str">
        <f ca="1">IF(ISERROR($V7),"",OFFSET('Smelter Look-up'!$I$4,$V7-4,0))</f>
        <v/>
      </c>
      <c r="K7" s="268"/>
      <c r="L7" s="268"/>
      <c r="M7" s="268"/>
      <c r="N7" s="268"/>
      <c r="O7" s="268"/>
      <c r="P7" s="218"/>
      <c r="Q7" s="269"/>
      <c r="R7" s="215" t="str">
        <f ca="1">IF(ISERROR($V7),"",OFFSET('Smelter Look-up'!$C$4,$V7-4,0)&amp;"")</f>
        <v/>
      </c>
      <c r="S7" s="222" t="str">
        <f t="shared" ca="1" si="3"/>
        <v/>
      </c>
      <c r="T7" s="222" t="str">
        <f ca="1">IF(B7="","",IF(ISERROR(MATCH($J7,SorP!$B$1:$B$6230,0)),"",INDIRECT("'SorP'!$A$"&amp;MATCH($J7,SorP!$B$1:$B$6230,0))))</f>
        <v/>
      </c>
      <c r="U7" s="238"/>
      <c r="V7" s="270" t="e">
        <f>IF(C7="",NA(),MATCH($B7&amp;$C7,'Smelter Look-up'!$J:$J,0))</f>
        <v>#N/A</v>
      </c>
      <c r="W7" s="271"/>
      <c r="X7" s="271">
        <f t="shared" ca="1" si="4"/>
        <v>0</v>
      </c>
      <c r="Y7" s="271"/>
      <c r="Z7" s="271"/>
      <c r="AB7" s="273" t="str">
        <f t="shared" si="5"/>
        <v/>
      </c>
    </row>
    <row r="8" spans="1:34" s="272" customFormat="1" ht="20.100000000000001" customHeight="1">
      <c r="A8" s="324"/>
      <c r="B8" s="215" t="str">
        <f>IF(LEN(A8)=0,"",INDEX('Smelter Look-up'!$A:$A,MATCH($A8,'Smelter Look-up'!$E:$E,0)))</f>
        <v/>
      </c>
      <c r="C8" s="219" t="str">
        <f>IF(LEN(A8)=0,"",INDEX('Smelter Look-up'!$C:$C,MATCH($A8,'Smelter Look-up'!$E:$E,0)))</f>
        <v/>
      </c>
      <c r="D8" s="278"/>
      <c r="E8" s="215" t="str">
        <f ca="1">IF(ISERROR($V8),"",OFFSET('Smelter Look-up'!$D$4,$V8-4,0)&amp;"")</f>
        <v/>
      </c>
      <c r="F8" s="215" t="str">
        <f ca="1">IF(ISERROR($V8),"",OFFSET('Smelter Look-up'!$E$4,$V8-4,0))</f>
        <v/>
      </c>
      <c r="G8" s="215" t="str">
        <f ca="1">IF(C8=$X$4,"Enter smelter details",IF(ISERROR($V8),"",OFFSET('Smelter Look-up'!$F$4,$V8-4,0)))</f>
        <v/>
      </c>
      <c r="H8" s="216" t="str">
        <f ca="1">IF(ISERROR($V8),"",OFFSET('Smelter Look-up'!$G$4,$V8-4,0))</f>
        <v/>
      </c>
      <c r="I8" s="217" t="str">
        <f ca="1">IF(ISERROR($V8),"",OFFSET('Smelter Look-up'!$H$4,$V8-4,0))</f>
        <v/>
      </c>
      <c r="J8" s="217" t="str">
        <f ca="1">IF(ISERROR($V8),"",OFFSET('Smelter Look-up'!$I$4,$V8-4,0))</f>
        <v/>
      </c>
      <c r="K8" s="268"/>
      <c r="L8" s="268"/>
      <c r="M8" s="268"/>
      <c r="N8" s="268"/>
      <c r="O8" s="268"/>
      <c r="P8" s="218"/>
      <c r="Q8" s="269"/>
      <c r="R8" s="215" t="str">
        <f ca="1">IF(ISERROR($V8),"",OFFSET('Smelter Look-up'!$C$4,$V8-4,0)&amp;"")</f>
        <v/>
      </c>
      <c r="S8" s="222" t="str">
        <f t="shared" ca="1" si="3"/>
        <v/>
      </c>
      <c r="T8" s="222" t="str">
        <f ca="1">IF(B8="","",IF(ISERROR(MATCH($J8,SorP!$B$1:$B$6230,0)),"",INDIRECT("'SorP'!$A$"&amp;MATCH($J8,SorP!$B$1:$B$6230,0))))</f>
        <v/>
      </c>
      <c r="U8" s="238"/>
      <c r="V8" s="270" t="e">
        <f>IF(C8="",NA(),MATCH($B8&amp;$C8,'Smelter Look-up'!$J:$J,0))</f>
        <v>#N/A</v>
      </c>
      <c r="W8" s="271"/>
      <c r="X8" s="271">
        <f t="shared" ca="1" si="4"/>
        <v>0</v>
      </c>
      <c r="Y8" s="271"/>
      <c r="Z8" s="271"/>
      <c r="AB8" s="273" t="str">
        <f t="shared" si="5"/>
        <v/>
      </c>
    </row>
    <row r="9" spans="1:34" s="272" customFormat="1" ht="20.100000000000001" customHeight="1">
      <c r="A9" s="324"/>
      <c r="B9" s="215" t="str">
        <f>IF(LEN(A9)=0,"",INDEX('Smelter Look-up'!$A:$A,MATCH($A9,'Smelter Look-up'!$E:$E,0)))</f>
        <v/>
      </c>
      <c r="C9" s="219" t="str">
        <f>IF(LEN(A9)=0,"",INDEX('Smelter Look-up'!$C:$C,MATCH($A9,'Smelter Look-up'!$E:$E,0)))</f>
        <v/>
      </c>
      <c r="D9" s="278"/>
      <c r="E9" s="215" t="str">
        <f ca="1">IF(ISERROR($V9),"",OFFSET('Smelter Look-up'!$D$4,$V9-4,0)&amp;"")</f>
        <v/>
      </c>
      <c r="F9" s="215" t="str">
        <f ca="1">IF(ISERROR($V9),"",OFFSET('Smelter Look-up'!$E$4,$V9-4,0))</f>
        <v/>
      </c>
      <c r="G9" s="215" t="str">
        <f ca="1">IF(C9=$X$4,"Enter smelter details",IF(ISERROR($V9),"",OFFSET('Smelter Look-up'!$F$4,$V9-4,0)))</f>
        <v/>
      </c>
      <c r="H9" s="216" t="str">
        <f ca="1">IF(ISERROR($V9),"",OFFSET('Smelter Look-up'!$G$4,$V9-4,0))</f>
        <v/>
      </c>
      <c r="I9" s="217" t="str">
        <f ca="1">IF(ISERROR($V9),"",OFFSET('Smelter Look-up'!$H$4,$V9-4,0))</f>
        <v/>
      </c>
      <c r="J9" s="217" t="str">
        <f ca="1">IF(ISERROR($V9),"",OFFSET('Smelter Look-up'!$I$4,$V9-4,0))</f>
        <v/>
      </c>
      <c r="K9" s="268"/>
      <c r="L9" s="268"/>
      <c r="M9" s="268"/>
      <c r="N9" s="268"/>
      <c r="O9" s="268"/>
      <c r="P9" s="218"/>
      <c r="Q9" s="269"/>
      <c r="R9" s="215" t="str">
        <f ca="1">IF(ISERROR($V9),"",OFFSET('Smelter Look-up'!$C$4,$V9-4,0)&amp;"")</f>
        <v/>
      </c>
      <c r="S9" s="222" t="str">
        <f t="shared" ca="1" si="3"/>
        <v/>
      </c>
      <c r="T9" s="222" t="str">
        <f ca="1">IF(B9="","",IF(ISERROR(MATCH($J9,SorP!$B$1:$B$6230,0)),"",INDIRECT("'SorP'!$A$"&amp;MATCH($J9,SorP!$B$1:$B$6230,0))))</f>
        <v/>
      </c>
      <c r="U9" s="238"/>
      <c r="V9" s="270" t="e">
        <f>IF(C9="",NA(),MATCH($B9&amp;$C9,'Smelter Look-up'!$J:$J,0))</f>
        <v>#N/A</v>
      </c>
      <c r="W9" s="271"/>
      <c r="X9" s="271">
        <f t="shared" ca="1" si="4"/>
        <v>0</v>
      </c>
      <c r="Y9" s="271"/>
      <c r="Z9" s="271"/>
      <c r="AB9" s="273" t="str">
        <f t="shared" si="5"/>
        <v/>
      </c>
    </row>
    <row r="10" spans="1:34" s="272" customFormat="1" ht="20.100000000000001" customHeight="1">
      <c r="A10" s="324"/>
      <c r="B10" s="215" t="str">
        <f>IF(LEN(A10)=0,"",INDEX('Smelter Look-up'!$A:$A,MATCH($A10,'Smelter Look-up'!$E:$E,0)))</f>
        <v/>
      </c>
      <c r="C10" s="219" t="str">
        <f>IF(LEN(A10)=0,"",INDEX('Smelter Look-up'!$C:$C,MATCH($A10,'Smelter Look-up'!$E:$E,0)))</f>
        <v/>
      </c>
      <c r="D10" s="278"/>
      <c r="E10" s="215" t="str">
        <f ca="1">IF(ISERROR($V10),"",OFFSET('Smelter Look-up'!$D$4,$V10-4,0)&amp;"")</f>
        <v/>
      </c>
      <c r="F10" s="215" t="str">
        <f ca="1">IF(ISERROR($V10),"",OFFSET('Smelter Look-up'!$E$4,$V10-4,0))</f>
        <v/>
      </c>
      <c r="G10" s="215" t="str">
        <f ca="1">IF(C10=$X$4,"Enter smelter details",IF(ISERROR($V10),"",OFFSET('Smelter Look-up'!$F$4,$V10-4,0)))</f>
        <v/>
      </c>
      <c r="H10" s="216" t="str">
        <f ca="1">IF(ISERROR($V10),"",OFFSET('Smelter Look-up'!$G$4,$V10-4,0))</f>
        <v/>
      </c>
      <c r="I10" s="217" t="str">
        <f ca="1">IF(ISERROR($V10),"",OFFSET('Smelter Look-up'!$H$4,$V10-4,0))</f>
        <v/>
      </c>
      <c r="J10" s="217" t="str">
        <f ca="1">IF(ISERROR($V10),"",OFFSET('Smelter Look-up'!$I$4,$V10-4,0))</f>
        <v/>
      </c>
      <c r="K10" s="268"/>
      <c r="L10" s="268"/>
      <c r="M10" s="268"/>
      <c r="N10" s="268"/>
      <c r="O10" s="268"/>
      <c r="P10" s="218"/>
      <c r="Q10" s="269"/>
      <c r="R10" s="215" t="str">
        <f ca="1">IF(ISERROR($V10),"",OFFSET('Smelter Look-up'!$C$4,$V10-4,0)&amp;"")</f>
        <v/>
      </c>
      <c r="S10" s="222" t="str">
        <f t="shared" ca="1" si="3"/>
        <v/>
      </c>
      <c r="T10" s="222" t="str">
        <f ca="1">IF(B10="","",IF(ISERROR(MATCH($J10,SorP!$B$1:$B$6230,0)),"",INDIRECT("'SorP'!$A$"&amp;MATCH($J10,SorP!$B$1:$B$6230,0))))</f>
        <v/>
      </c>
      <c r="U10" s="238"/>
      <c r="V10" s="270" t="e">
        <f>IF(C10="",NA(),MATCH($B10&amp;$C10,'Smelter Look-up'!$J:$J,0))</f>
        <v>#N/A</v>
      </c>
      <c r="W10" s="271"/>
      <c r="X10" s="271">
        <f t="shared" ca="1" si="4"/>
        <v>0</v>
      </c>
      <c r="Y10" s="271"/>
      <c r="Z10" s="271"/>
      <c r="AB10" s="273" t="str">
        <f t="shared" si="5"/>
        <v/>
      </c>
    </row>
    <row r="11" spans="1:34" s="272" customFormat="1" ht="20.100000000000001" customHeight="1">
      <c r="A11" s="324"/>
      <c r="B11" s="215" t="str">
        <f>IF(LEN(A11)=0,"",INDEX('Smelter Look-up'!$A:$A,MATCH($A11,'Smelter Look-up'!$E:$E,0)))</f>
        <v/>
      </c>
      <c r="C11" s="219" t="str">
        <f>IF(LEN(A11)=0,"",INDEX('Smelter Look-up'!$C:$C,MATCH($A11,'Smelter Look-up'!$E:$E,0)))</f>
        <v/>
      </c>
      <c r="D11" s="278"/>
      <c r="E11" s="215" t="str">
        <f ca="1">IF(ISERROR($V11),"",OFFSET('Smelter Look-up'!$D$4,$V11-4,0)&amp;"")</f>
        <v/>
      </c>
      <c r="F11" s="215" t="str">
        <f ca="1">IF(ISERROR($V11),"",OFFSET('Smelter Look-up'!$E$4,$V11-4,0))</f>
        <v/>
      </c>
      <c r="G11" s="215" t="str">
        <f ca="1">IF(C11=$X$4,"Enter smelter details",IF(ISERROR($V11),"",OFFSET('Smelter Look-up'!$F$4,$V11-4,0)))</f>
        <v/>
      </c>
      <c r="H11" s="216" t="str">
        <f ca="1">IF(ISERROR($V11),"",OFFSET('Smelter Look-up'!$G$4,$V11-4,0))</f>
        <v/>
      </c>
      <c r="I11" s="217" t="str">
        <f ca="1">IF(ISERROR($V11),"",OFFSET('Smelter Look-up'!$H$4,$V11-4,0))</f>
        <v/>
      </c>
      <c r="J11" s="217" t="str">
        <f ca="1">IF(ISERROR($V11),"",OFFSET('Smelter Look-up'!$I$4,$V11-4,0))</f>
        <v/>
      </c>
      <c r="K11" s="268"/>
      <c r="L11" s="268"/>
      <c r="M11" s="268"/>
      <c r="N11" s="268"/>
      <c r="O11" s="268"/>
      <c r="P11" s="218"/>
      <c r="Q11" s="269"/>
      <c r="R11" s="215" t="str">
        <f ca="1">IF(ISERROR($V11),"",OFFSET('Smelter Look-up'!$C$4,$V11-4,0)&amp;"")</f>
        <v/>
      </c>
      <c r="S11" s="222" t="str">
        <f t="shared" ca="1" si="3"/>
        <v/>
      </c>
      <c r="T11" s="222" t="str">
        <f ca="1">IF(B11="","",IF(ISERROR(MATCH($J11,SorP!$B$1:$B$6230,0)),"",INDIRECT("'SorP'!$A$"&amp;MATCH($J11,SorP!$B$1:$B$6230,0))))</f>
        <v/>
      </c>
      <c r="U11" s="238"/>
      <c r="V11" s="270" t="e">
        <f>IF(C11="",NA(),MATCH($B11&amp;$C11,'Smelter Look-up'!$J:$J,0))</f>
        <v>#N/A</v>
      </c>
      <c r="W11" s="271"/>
      <c r="X11" s="271">
        <f t="shared" ca="1" si="4"/>
        <v>0</v>
      </c>
      <c r="Y11" s="271"/>
      <c r="Z11" s="271"/>
      <c r="AB11" s="273" t="str">
        <f t="shared" si="5"/>
        <v/>
      </c>
    </row>
    <row r="12" spans="1:34" s="272" customFormat="1" ht="20.100000000000001" customHeight="1">
      <c r="A12" s="324"/>
      <c r="B12" s="215" t="str">
        <f>IF(LEN(A12)=0,"",INDEX('Smelter Look-up'!$A:$A,MATCH($A12,'Smelter Look-up'!$E:$E,0)))</f>
        <v/>
      </c>
      <c r="C12" s="219" t="str">
        <f>IF(LEN(A12)=0,"",INDEX('Smelter Look-up'!$C:$C,MATCH($A12,'Smelter Look-up'!$E:$E,0)))</f>
        <v/>
      </c>
      <c r="D12" s="278"/>
      <c r="E12" s="215" t="str">
        <f ca="1">IF(ISERROR($V12),"",OFFSET('Smelter Look-up'!$D$4,$V12-4,0)&amp;"")</f>
        <v/>
      </c>
      <c r="F12" s="215" t="str">
        <f ca="1">IF(ISERROR($V12),"",OFFSET('Smelter Look-up'!$E$4,$V12-4,0))</f>
        <v/>
      </c>
      <c r="G12" s="215" t="str">
        <f ca="1">IF(C12=$X$4,"Enter smelter details",IF(ISERROR($V12),"",OFFSET('Smelter Look-up'!$F$4,$V12-4,0)))</f>
        <v/>
      </c>
      <c r="H12" s="216" t="str">
        <f ca="1">IF(ISERROR($V12),"",OFFSET('Smelter Look-up'!$G$4,$V12-4,0))</f>
        <v/>
      </c>
      <c r="I12" s="217" t="str">
        <f ca="1">IF(ISERROR($V12),"",OFFSET('Smelter Look-up'!$H$4,$V12-4,0))</f>
        <v/>
      </c>
      <c r="J12" s="217" t="str">
        <f ca="1">IF(ISERROR($V12),"",OFFSET('Smelter Look-up'!$I$4,$V12-4,0))</f>
        <v/>
      </c>
      <c r="K12" s="268"/>
      <c r="L12" s="268"/>
      <c r="M12" s="268"/>
      <c r="N12" s="268"/>
      <c r="O12" s="268"/>
      <c r="P12" s="218"/>
      <c r="Q12" s="269"/>
      <c r="R12" s="215" t="str">
        <f ca="1">IF(ISERROR($V12),"",OFFSET('Smelter Look-up'!$C$4,$V12-4,0)&amp;"")</f>
        <v/>
      </c>
      <c r="S12" s="222" t="str">
        <f t="shared" ca="1" si="3"/>
        <v/>
      </c>
      <c r="T12" s="222" t="str">
        <f ca="1">IF(B12="","",IF(ISERROR(MATCH($J12,SorP!$B$1:$B$6230,0)),"",INDIRECT("'SorP'!$A$"&amp;MATCH($J12,SorP!$B$1:$B$6230,0))))</f>
        <v/>
      </c>
      <c r="U12" s="238"/>
      <c r="V12" s="270" t="e">
        <f>IF(C12="",NA(),MATCH($B12&amp;$C12,'Smelter Look-up'!$J:$J,0))</f>
        <v>#N/A</v>
      </c>
      <c r="W12" s="271"/>
      <c r="X12" s="271">
        <f t="shared" ca="1" si="4"/>
        <v>0</v>
      </c>
      <c r="Y12" s="271"/>
      <c r="Z12" s="271"/>
      <c r="AB12" s="273" t="str">
        <f t="shared" si="5"/>
        <v/>
      </c>
    </row>
    <row r="13" spans="1:34" s="272" customFormat="1" ht="20.100000000000001" customHeight="1">
      <c r="A13" s="324"/>
      <c r="B13" s="215" t="str">
        <f>IF(LEN(A13)=0,"",INDEX('Smelter Look-up'!$A:$A,MATCH($A13,'Smelter Look-up'!$E:$E,0)))</f>
        <v/>
      </c>
      <c r="C13" s="219" t="str">
        <f>IF(LEN(A13)=0,"",INDEX('Smelter Look-up'!$C:$C,MATCH($A13,'Smelter Look-up'!$E:$E,0)))</f>
        <v/>
      </c>
      <c r="D13" s="278"/>
      <c r="E13" s="215" t="str">
        <f ca="1">IF(ISERROR($V13),"",OFFSET('Smelter Look-up'!$D$4,$V13-4,0)&amp;"")</f>
        <v/>
      </c>
      <c r="F13" s="215" t="str">
        <f ca="1">IF(ISERROR($V13),"",OFFSET('Smelter Look-up'!$E$4,$V13-4,0))</f>
        <v/>
      </c>
      <c r="G13" s="215" t="str">
        <f ca="1">IF(C13=$X$4,"Enter smelter details",IF(ISERROR($V13),"",OFFSET('Smelter Look-up'!$F$4,$V13-4,0)))</f>
        <v/>
      </c>
      <c r="H13" s="216" t="str">
        <f ca="1">IF(ISERROR($V13),"",OFFSET('Smelter Look-up'!$G$4,$V13-4,0))</f>
        <v/>
      </c>
      <c r="I13" s="217" t="str">
        <f ca="1">IF(ISERROR($V13),"",OFFSET('Smelter Look-up'!$H$4,$V13-4,0))</f>
        <v/>
      </c>
      <c r="J13" s="217" t="str">
        <f ca="1">IF(ISERROR($V13),"",OFFSET('Smelter Look-up'!$I$4,$V13-4,0))</f>
        <v/>
      </c>
      <c r="K13" s="268"/>
      <c r="L13" s="268"/>
      <c r="M13" s="268"/>
      <c r="N13" s="268"/>
      <c r="O13" s="268"/>
      <c r="P13" s="218"/>
      <c r="Q13" s="269"/>
      <c r="R13" s="215" t="str">
        <f ca="1">IF(ISERROR($V13),"",OFFSET('Smelter Look-up'!$C$4,$V13-4,0)&amp;"")</f>
        <v/>
      </c>
      <c r="S13" s="222" t="str">
        <f t="shared" ca="1" si="3"/>
        <v/>
      </c>
      <c r="T13" s="222" t="str">
        <f ca="1">IF(B13="","",IF(ISERROR(MATCH($J13,SorP!$B$1:$B$6230,0)),"",INDIRECT("'SorP'!$A$"&amp;MATCH($J13,SorP!$B$1:$B$6230,0))))</f>
        <v/>
      </c>
      <c r="U13" s="238"/>
      <c r="V13" s="270" t="e">
        <f>IF(C13="",NA(),MATCH($B13&amp;$C13,'Smelter Look-up'!$J:$J,0))</f>
        <v>#N/A</v>
      </c>
      <c r="W13" s="271"/>
      <c r="X13" s="271">
        <f t="shared" ca="1" si="4"/>
        <v>0</v>
      </c>
      <c r="Y13" s="271"/>
      <c r="Z13" s="271"/>
      <c r="AB13" s="273" t="str">
        <f t="shared" si="5"/>
        <v/>
      </c>
    </row>
    <row r="14" spans="1:34" s="272" customFormat="1" ht="20.100000000000001" customHeight="1">
      <c r="A14" s="324"/>
      <c r="B14" s="215" t="str">
        <f>IF(LEN(A14)=0,"",INDEX('Smelter Look-up'!$A:$A,MATCH($A14,'Smelter Look-up'!$E:$E,0)))</f>
        <v/>
      </c>
      <c r="C14" s="219" t="str">
        <f>IF(LEN(A14)=0,"",INDEX('Smelter Look-up'!$C:$C,MATCH($A14,'Smelter Look-up'!$E:$E,0)))</f>
        <v/>
      </c>
      <c r="D14" s="278"/>
      <c r="E14" s="215" t="str">
        <f ca="1">IF(ISERROR($V14),"",OFFSET('Smelter Look-up'!$D$4,$V14-4,0)&amp;"")</f>
        <v/>
      </c>
      <c r="F14" s="215" t="str">
        <f ca="1">IF(ISERROR($V14),"",OFFSET('Smelter Look-up'!$E$4,$V14-4,0))</f>
        <v/>
      </c>
      <c r="G14" s="215" t="str">
        <f ca="1">IF(C14=$X$4,"Enter smelter details",IF(ISERROR($V14),"",OFFSET('Smelter Look-up'!$F$4,$V14-4,0)))</f>
        <v/>
      </c>
      <c r="H14" s="216" t="str">
        <f ca="1">IF(ISERROR($V14),"",OFFSET('Smelter Look-up'!$G$4,$V14-4,0))</f>
        <v/>
      </c>
      <c r="I14" s="217" t="str">
        <f ca="1">IF(ISERROR($V14),"",OFFSET('Smelter Look-up'!$H$4,$V14-4,0))</f>
        <v/>
      </c>
      <c r="J14" s="217" t="str">
        <f ca="1">IF(ISERROR($V14),"",OFFSET('Smelter Look-up'!$I$4,$V14-4,0))</f>
        <v/>
      </c>
      <c r="K14" s="268"/>
      <c r="L14" s="268"/>
      <c r="M14" s="268"/>
      <c r="N14" s="268"/>
      <c r="O14" s="268"/>
      <c r="P14" s="218"/>
      <c r="Q14" s="269"/>
      <c r="R14" s="215" t="str">
        <f ca="1">IF(ISERROR($V14),"",OFFSET('Smelter Look-up'!$C$4,$V14-4,0)&amp;"")</f>
        <v/>
      </c>
      <c r="S14" s="222" t="str">
        <f t="shared" ca="1" si="3"/>
        <v/>
      </c>
      <c r="T14" s="222" t="str">
        <f ca="1">IF(B14="","",IF(ISERROR(MATCH($J14,SorP!$B$1:$B$6230,0)),"",INDIRECT("'SorP'!$A$"&amp;MATCH($J14,SorP!$B$1:$B$6230,0))))</f>
        <v/>
      </c>
      <c r="U14" s="238"/>
      <c r="V14" s="270" t="e">
        <f>IF(C14="",NA(),MATCH($B14&amp;$C14,'Smelter Look-up'!$J:$J,0))</f>
        <v>#N/A</v>
      </c>
      <c r="W14" s="271"/>
      <c r="X14" s="271">
        <f t="shared" ca="1" si="4"/>
        <v>0</v>
      </c>
      <c r="Y14" s="271"/>
      <c r="Z14" s="271"/>
      <c r="AB14" s="273" t="str">
        <f t="shared" si="5"/>
        <v/>
      </c>
    </row>
    <row r="15" spans="1:34" s="272" customFormat="1" ht="20.100000000000001" customHeight="1">
      <c r="A15" s="324"/>
      <c r="B15" s="215" t="str">
        <f>IF(LEN(A15)=0,"",INDEX('Smelter Look-up'!$A:$A,MATCH($A15,'Smelter Look-up'!$E:$E,0)))</f>
        <v/>
      </c>
      <c r="C15" s="219" t="str">
        <f>IF(LEN(A15)=0,"",INDEX('Smelter Look-up'!$C:$C,MATCH($A15,'Smelter Look-up'!$E:$E,0)))</f>
        <v/>
      </c>
      <c r="D15" s="278"/>
      <c r="E15" s="215" t="str">
        <f ca="1">IF(ISERROR($V15),"",OFFSET('Smelter Look-up'!$D$4,$V15-4,0)&amp;"")</f>
        <v/>
      </c>
      <c r="F15" s="215" t="str">
        <f ca="1">IF(ISERROR($V15),"",OFFSET('Smelter Look-up'!$E$4,$V15-4,0))</f>
        <v/>
      </c>
      <c r="G15" s="215" t="str">
        <f ca="1">IF(C15=$X$4,"Enter smelter details",IF(ISERROR($V15),"",OFFSET('Smelter Look-up'!$F$4,$V15-4,0)))</f>
        <v/>
      </c>
      <c r="H15" s="216" t="str">
        <f ca="1">IF(ISERROR($V15),"",OFFSET('Smelter Look-up'!$G$4,$V15-4,0))</f>
        <v/>
      </c>
      <c r="I15" s="217" t="str">
        <f ca="1">IF(ISERROR($V15),"",OFFSET('Smelter Look-up'!$H$4,$V15-4,0))</f>
        <v/>
      </c>
      <c r="J15" s="217" t="str">
        <f ca="1">IF(ISERROR($V15),"",OFFSET('Smelter Look-up'!$I$4,$V15-4,0))</f>
        <v/>
      </c>
      <c r="K15" s="268"/>
      <c r="L15" s="268"/>
      <c r="M15" s="268"/>
      <c r="N15" s="268"/>
      <c r="O15" s="268"/>
      <c r="P15" s="218"/>
      <c r="Q15" s="269"/>
      <c r="R15" s="215" t="str">
        <f ca="1">IF(ISERROR($V15),"",OFFSET('Smelter Look-up'!$C$4,$V15-4,0)&amp;"")</f>
        <v/>
      </c>
      <c r="S15" s="222" t="str">
        <f t="shared" ca="1" si="3"/>
        <v/>
      </c>
      <c r="T15" s="222" t="str">
        <f ca="1">IF(B15="","",IF(ISERROR(MATCH($J15,SorP!$B$1:$B$6230,0)),"",INDIRECT("'SorP'!$A$"&amp;MATCH($J15,SorP!$B$1:$B$6230,0))))</f>
        <v/>
      </c>
      <c r="U15" s="238"/>
      <c r="V15" s="270" t="e">
        <f>IF(C15="",NA(),MATCH($B15&amp;$C15,'Smelter Look-up'!$J:$J,0))</f>
        <v>#N/A</v>
      </c>
      <c r="W15" s="271"/>
      <c r="X15" s="271">
        <f t="shared" ca="1" si="4"/>
        <v>0</v>
      </c>
      <c r="Y15" s="271"/>
      <c r="Z15" s="271"/>
      <c r="AB15" s="273" t="str">
        <f t="shared" si="5"/>
        <v/>
      </c>
    </row>
    <row r="16" spans="1:34" s="272" customFormat="1" ht="20.100000000000001" customHeight="1">
      <c r="A16" s="324"/>
      <c r="B16" s="215" t="str">
        <f>IF(LEN(A16)=0,"",INDEX('Smelter Look-up'!$A:$A,MATCH($A16,'Smelter Look-up'!$E:$E,0)))</f>
        <v/>
      </c>
      <c r="C16" s="219" t="str">
        <f>IF(LEN(A16)=0,"",INDEX('Smelter Look-up'!$C:$C,MATCH($A16,'Smelter Look-up'!$E:$E,0)))</f>
        <v/>
      </c>
      <c r="D16" s="278"/>
      <c r="E16" s="215" t="str">
        <f ca="1">IF(ISERROR($V16),"",OFFSET('Smelter Look-up'!$D$4,$V16-4,0)&amp;"")</f>
        <v/>
      </c>
      <c r="F16" s="215" t="str">
        <f ca="1">IF(ISERROR($V16),"",OFFSET('Smelter Look-up'!$E$4,$V16-4,0))</f>
        <v/>
      </c>
      <c r="G16" s="215" t="str">
        <f ca="1">IF(C16=$X$4,"Enter smelter details",IF(ISERROR($V16),"",OFFSET('Smelter Look-up'!$F$4,$V16-4,0)))</f>
        <v/>
      </c>
      <c r="H16" s="216" t="str">
        <f ca="1">IF(ISERROR($V16),"",OFFSET('Smelter Look-up'!$G$4,$V16-4,0))</f>
        <v/>
      </c>
      <c r="I16" s="217" t="str">
        <f ca="1">IF(ISERROR($V16),"",OFFSET('Smelter Look-up'!$H$4,$V16-4,0))</f>
        <v/>
      </c>
      <c r="J16" s="217" t="str">
        <f ca="1">IF(ISERROR($V16),"",OFFSET('Smelter Look-up'!$I$4,$V16-4,0))</f>
        <v/>
      </c>
      <c r="K16" s="268"/>
      <c r="L16" s="268"/>
      <c r="M16" s="268"/>
      <c r="N16" s="268"/>
      <c r="O16" s="268"/>
      <c r="P16" s="218"/>
      <c r="Q16" s="269"/>
      <c r="R16" s="215" t="str">
        <f ca="1">IF(ISERROR($V16),"",OFFSET('Smelter Look-up'!$C$4,$V16-4,0)&amp;"")</f>
        <v/>
      </c>
      <c r="S16" s="222" t="str">
        <f t="shared" ca="1" si="3"/>
        <v/>
      </c>
      <c r="T16" s="222" t="str">
        <f ca="1">IF(B16="","",IF(ISERROR(MATCH($J16,SorP!$B$1:$B$6230,0)),"",INDIRECT("'SorP'!$A$"&amp;MATCH($J16,SorP!$B$1:$B$6230,0))))</f>
        <v/>
      </c>
      <c r="U16" s="238"/>
      <c r="V16" s="270" t="e">
        <f>IF(C16="",NA(),MATCH($B16&amp;$C16,'Smelter Look-up'!$J:$J,0))</f>
        <v>#N/A</v>
      </c>
      <c r="W16" s="271"/>
      <c r="X16" s="271">
        <f t="shared" ca="1" si="4"/>
        <v>0</v>
      </c>
      <c r="Y16" s="271"/>
      <c r="Z16" s="271"/>
      <c r="AB16" s="273" t="str">
        <f t="shared" si="5"/>
        <v/>
      </c>
    </row>
    <row r="17" spans="1:28" s="272" customFormat="1" ht="20.100000000000001" customHeight="1">
      <c r="A17" s="324"/>
      <c r="B17" s="215" t="str">
        <f>IF(LEN(A17)=0,"",INDEX('Smelter Look-up'!$A:$A,MATCH($A17,'Smelter Look-up'!$E:$E,0)))</f>
        <v/>
      </c>
      <c r="C17" s="219" t="str">
        <f>IF(LEN(A17)=0,"",INDEX('Smelter Look-up'!$C:$C,MATCH($A17,'Smelter Look-up'!$E:$E,0)))</f>
        <v/>
      </c>
      <c r="D17" s="278"/>
      <c r="E17" s="215" t="str">
        <f ca="1">IF(ISERROR($V17),"",OFFSET('Smelter Look-up'!$D$4,$V17-4,0)&amp;"")</f>
        <v/>
      </c>
      <c r="F17" s="215" t="str">
        <f ca="1">IF(ISERROR($V17),"",OFFSET('Smelter Look-up'!$E$4,$V17-4,0))</f>
        <v/>
      </c>
      <c r="G17" s="215" t="str">
        <f ca="1">IF(C17=$X$4,"Enter smelter details",IF(ISERROR($V17),"",OFFSET('Smelter Look-up'!$F$4,$V17-4,0)))</f>
        <v/>
      </c>
      <c r="H17" s="216" t="str">
        <f ca="1">IF(ISERROR($V17),"",OFFSET('Smelter Look-up'!$G$4,$V17-4,0))</f>
        <v/>
      </c>
      <c r="I17" s="217" t="str">
        <f ca="1">IF(ISERROR($V17),"",OFFSET('Smelter Look-up'!$H$4,$V17-4,0))</f>
        <v/>
      </c>
      <c r="J17" s="217" t="str">
        <f ca="1">IF(ISERROR($V17),"",OFFSET('Smelter Look-up'!$I$4,$V17-4,0))</f>
        <v/>
      </c>
      <c r="K17" s="268"/>
      <c r="L17" s="268"/>
      <c r="M17" s="268"/>
      <c r="N17" s="268"/>
      <c r="O17" s="268"/>
      <c r="P17" s="218"/>
      <c r="Q17" s="269"/>
      <c r="R17" s="215" t="str">
        <f ca="1">IF(ISERROR($V17),"",OFFSET('Smelter Look-up'!$C$4,$V17-4,0)&amp;"")</f>
        <v/>
      </c>
      <c r="S17" s="222" t="str">
        <f t="shared" ca="1" si="3"/>
        <v/>
      </c>
      <c r="T17" s="222" t="str">
        <f ca="1">IF(B17="","",IF(ISERROR(MATCH($J17,SorP!$B$1:$B$6230,0)),"",INDIRECT("'SorP'!$A$"&amp;MATCH($J17,SorP!$B$1:$B$6230,0))))</f>
        <v/>
      </c>
      <c r="U17" s="238"/>
      <c r="V17" s="270" t="e">
        <f>IF(C17="",NA(),MATCH($B17&amp;$C17,'Smelter Look-up'!$J:$J,0))</f>
        <v>#N/A</v>
      </c>
      <c r="W17" s="271"/>
      <c r="X17" s="271">
        <f t="shared" ca="1" si="4"/>
        <v>0</v>
      </c>
      <c r="Y17" s="271"/>
      <c r="Z17" s="271"/>
      <c r="AB17" s="273" t="str">
        <f t="shared" si="5"/>
        <v/>
      </c>
    </row>
    <row r="18" spans="1:28" s="272" customFormat="1" ht="20.100000000000001" customHeight="1">
      <c r="A18" s="214"/>
      <c r="B18" s="215" t="str">
        <f>IF(LEN(A18)=0,"",INDEX('Smelter Look-up'!$A:$A,MATCH($A18,'Smelter Look-up'!$E:$E,0)))</f>
        <v/>
      </c>
      <c r="C18" s="219" t="str">
        <f>IF(LEN(A18)=0,"",INDEX('Smelter Look-up'!$C:$C,MATCH($A18,'Smelter Look-up'!$E:$E,0)))</f>
        <v/>
      </c>
      <c r="D18" s="278"/>
      <c r="E18" s="215" t="str">
        <f ca="1">IF(ISERROR($V18),"",OFFSET('Smelter Look-up'!$D$4,$V18-4,0)&amp;"")</f>
        <v/>
      </c>
      <c r="F18" s="215" t="str">
        <f ca="1">IF(ISERROR($V18),"",OFFSET('Smelter Look-up'!$E$4,$V18-4,0))</f>
        <v/>
      </c>
      <c r="G18" s="215" t="str">
        <f ca="1">IF(C18=$X$4,"Enter smelter details",IF(ISERROR($V18),"",OFFSET('Smelter Look-up'!$F$4,$V18-4,0)))</f>
        <v/>
      </c>
      <c r="H18" s="216" t="str">
        <f ca="1">IF(ISERROR($V18),"",OFFSET('Smelter Look-up'!$G$4,$V18-4,0))</f>
        <v/>
      </c>
      <c r="I18" s="217" t="str">
        <f ca="1">IF(ISERROR($V18),"",OFFSET('Smelter Look-up'!$H$4,$V18-4,0))</f>
        <v/>
      </c>
      <c r="J18" s="217" t="str">
        <f ca="1">IF(ISERROR($V18),"",OFFSET('Smelter Look-up'!$I$4,$V18-4,0))</f>
        <v/>
      </c>
      <c r="K18" s="268"/>
      <c r="L18" s="268"/>
      <c r="M18" s="268"/>
      <c r="N18" s="268"/>
      <c r="O18" s="268"/>
      <c r="P18" s="218"/>
      <c r="Q18" s="269"/>
      <c r="R18" s="215" t="str">
        <f ca="1">IF(ISERROR($V18),"",OFFSET('Smelter Look-up'!$C$4,$V18-4,0)&amp;"")</f>
        <v/>
      </c>
      <c r="S18" s="222" t="str">
        <f t="shared" ca="1" si="3"/>
        <v/>
      </c>
      <c r="T18" s="222" t="str">
        <f ca="1">IF(B18="","",IF(ISERROR(MATCH($J18,SorP!$B$1:$B$6230,0)),"",INDIRECT("'SorP'!$A$"&amp;MATCH($J18,SorP!$B$1:$B$6230,0))))</f>
        <v/>
      </c>
      <c r="U18" s="238"/>
      <c r="V18" s="270" t="e">
        <f>IF(C18="",NA(),MATCH($B18&amp;$C18,'Smelter Look-up'!$J:$J,0))</f>
        <v>#N/A</v>
      </c>
      <c r="W18" s="271"/>
      <c r="X18" s="271">
        <f t="shared" ca="1" si="4"/>
        <v>0</v>
      </c>
      <c r="Y18" s="271"/>
      <c r="Z18" s="271"/>
      <c r="AB18" s="273" t="str">
        <f t="shared" si="5"/>
        <v/>
      </c>
    </row>
    <row r="19" spans="1:28" s="272" customFormat="1" ht="20.25">
      <c r="A19" s="214"/>
      <c r="B19" s="215" t="str">
        <f>IF(LEN(A19)=0,"",INDEX('Smelter Look-up'!$A:$A,MATCH($A19,'Smelter Look-up'!$E:$E,0)))</f>
        <v/>
      </c>
      <c r="C19" s="219" t="str">
        <f>IF(LEN(A19)=0,"",INDEX('Smelter Look-up'!$C:$C,MATCH($A19,'Smelter Look-up'!$E:$E,0)))</f>
        <v/>
      </c>
      <c r="D19" s="278"/>
      <c r="E19" s="215" t="str">
        <f ca="1">IF(ISERROR($V19),"",OFFSET('Smelter Look-up'!$D$4,$V19-4,0)&amp;"")</f>
        <v/>
      </c>
      <c r="F19" s="215" t="str">
        <f ca="1">IF(ISERROR($V19),"",OFFSET('Smelter Look-up'!$E$4,$V19-4,0))</f>
        <v/>
      </c>
      <c r="G19" s="215" t="str">
        <f ca="1">IF(C19=$X$4,"Enter smelter details",IF(ISERROR($V19),"",OFFSET('Smelter Look-up'!$F$4,$V19-4,0)))</f>
        <v/>
      </c>
      <c r="H19" s="216" t="str">
        <f ca="1">IF(ISERROR($V19),"",OFFSET('Smelter Look-up'!$G$4,$V19-4,0))</f>
        <v/>
      </c>
      <c r="I19" s="217" t="str">
        <f ca="1">IF(ISERROR($V19),"",OFFSET('Smelter Look-up'!$H$4,$V19-4,0))</f>
        <v/>
      </c>
      <c r="J19" s="217" t="str">
        <f ca="1">IF(ISERROR($V19),"",OFFSET('Smelter Look-up'!$I$4,$V19-4,0))</f>
        <v/>
      </c>
      <c r="K19" s="268"/>
      <c r="L19" s="268"/>
      <c r="M19" s="268"/>
      <c r="N19" s="268"/>
      <c r="O19" s="268"/>
      <c r="P19" s="218"/>
      <c r="Q19" s="269"/>
      <c r="R19" s="215" t="str">
        <f ca="1">IF(ISERROR($V19),"",OFFSET('Smelter Look-up'!$C$4,$V19-4,0)&amp;"")</f>
        <v/>
      </c>
      <c r="S19" s="222" t="str">
        <f t="shared" ca="1" si="3"/>
        <v/>
      </c>
      <c r="T19" s="222" t="str">
        <f ca="1">IF(B19="","",IF(ISERROR(MATCH($J19,SorP!$B$1:$B$6230,0)),"",INDIRECT("'SorP'!$A$"&amp;MATCH($J19,SorP!$B$1:$B$6230,0))))</f>
        <v/>
      </c>
      <c r="U19" s="238"/>
      <c r="V19" s="270" t="e">
        <f>IF(C19="",NA(),MATCH($B19&amp;$C19,'Smelter Look-up'!$J:$J,0))</f>
        <v>#N/A</v>
      </c>
      <c r="W19" s="271"/>
      <c r="X19" s="271">
        <f t="shared" ca="1" si="4"/>
        <v>0</v>
      </c>
      <c r="Y19" s="271"/>
      <c r="Z19" s="271"/>
      <c r="AB19" s="273" t="str">
        <f t="shared" si="5"/>
        <v/>
      </c>
    </row>
    <row r="20" spans="1:28" s="272" customFormat="1" ht="20.25">
      <c r="A20" s="214"/>
      <c r="B20" s="215" t="str">
        <f>IF(LEN(A20)=0,"",INDEX('Smelter Look-up'!$A:$A,MATCH($A20,'Smelter Look-up'!$E:$E,0)))</f>
        <v/>
      </c>
      <c r="C20" s="219" t="str">
        <f>IF(LEN(A20)=0,"",INDEX('Smelter Look-up'!$C:$C,MATCH($A20,'Smelter Look-up'!$E:$E,0)))</f>
        <v/>
      </c>
      <c r="D20" s="278"/>
      <c r="E20" s="215" t="str">
        <f ca="1">IF(ISERROR($V20),"",OFFSET('Smelter Look-up'!$D$4,$V20-4,0)&amp;"")</f>
        <v/>
      </c>
      <c r="F20" s="215" t="str">
        <f ca="1">IF(ISERROR($V20),"",OFFSET('Smelter Look-up'!$E$4,$V20-4,0))</f>
        <v/>
      </c>
      <c r="G20" s="215" t="str">
        <f ca="1">IF(C20=$X$4,"Enter smelter details",IF(ISERROR($V20),"",OFFSET('Smelter Look-up'!$F$4,$V20-4,0)))</f>
        <v/>
      </c>
      <c r="H20" s="216" t="str">
        <f ca="1">IF(ISERROR($V20),"",OFFSET('Smelter Look-up'!$G$4,$V20-4,0))</f>
        <v/>
      </c>
      <c r="I20" s="217" t="str">
        <f ca="1">IF(ISERROR($V20),"",OFFSET('Smelter Look-up'!$H$4,$V20-4,0))</f>
        <v/>
      </c>
      <c r="J20" s="217" t="str">
        <f ca="1">IF(ISERROR($V20),"",OFFSET('Smelter Look-up'!$I$4,$V20-4,0))</f>
        <v/>
      </c>
      <c r="K20" s="268"/>
      <c r="L20" s="268"/>
      <c r="M20" s="268"/>
      <c r="N20" s="268"/>
      <c r="O20" s="268"/>
      <c r="P20" s="218"/>
      <c r="Q20" s="269"/>
      <c r="R20" s="215" t="str">
        <f ca="1">IF(ISERROR($V20),"",OFFSET('Smelter Look-up'!$C$4,$V20-4,0)&amp;"")</f>
        <v/>
      </c>
      <c r="S20" s="222" t="str">
        <f t="shared" ca="1" si="3"/>
        <v/>
      </c>
      <c r="T20" s="222" t="str">
        <f ca="1">IF(B20="","",IF(ISERROR(MATCH($J20,SorP!$B$1:$B$6230,0)),"",INDIRECT("'SorP'!$A$"&amp;MATCH($J20,SorP!$B$1:$B$6230,0))))</f>
        <v/>
      </c>
      <c r="U20" s="238"/>
      <c r="V20" s="270" t="e">
        <f>IF(C20="",NA(),MATCH($B20&amp;$C20,'Smelter Look-up'!$J:$J,0))</f>
        <v>#N/A</v>
      </c>
      <c r="W20" s="271"/>
      <c r="X20" s="271">
        <f t="shared" ca="1" si="4"/>
        <v>0</v>
      </c>
      <c r="Y20" s="271"/>
      <c r="Z20" s="271"/>
      <c r="AB20" s="273" t="str">
        <f t="shared" si="5"/>
        <v/>
      </c>
    </row>
    <row r="21" spans="1:28" s="272" customFormat="1" ht="20.25">
      <c r="A21" s="214"/>
      <c r="B21" s="215" t="str">
        <f>IF(LEN(A21)=0,"",INDEX('Smelter Look-up'!$A:$A,MATCH($A21,'Smelter Look-up'!$E:$E,0)))</f>
        <v/>
      </c>
      <c r="C21" s="219" t="str">
        <f>IF(LEN(A21)=0,"",INDEX('Smelter Look-up'!$C:$C,MATCH($A21,'Smelter Look-up'!$E:$E,0)))</f>
        <v/>
      </c>
      <c r="D21" s="278"/>
      <c r="E21" s="215" t="str">
        <f ca="1">IF(ISERROR($V21),"",OFFSET('Smelter Look-up'!$D$4,$V21-4,0)&amp;"")</f>
        <v/>
      </c>
      <c r="F21" s="215" t="str">
        <f ca="1">IF(ISERROR($V21),"",OFFSET('Smelter Look-up'!$E$4,$V21-4,0))</f>
        <v/>
      </c>
      <c r="G21" s="215" t="str">
        <f ca="1">IF(C21=$X$4,"Enter smelter details",IF(ISERROR($V21),"",OFFSET('Smelter Look-up'!$F$4,$V21-4,0)))</f>
        <v/>
      </c>
      <c r="H21" s="216" t="str">
        <f ca="1">IF(ISERROR($V21),"",OFFSET('Smelter Look-up'!$G$4,$V21-4,0))</f>
        <v/>
      </c>
      <c r="I21" s="217" t="str">
        <f ca="1">IF(ISERROR($V21),"",OFFSET('Smelter Look-up'!$H$4,$V21-4,0))</f>
        <v/>
      </c>
      <c r="J21" s="217" t="str">
        <f ca="1">IF(ISERROR($V21),"",OFFSET('Smelter Look-up'!$I$4,$V21-4,0))</f>
        <v/>
      </c>
      <c r="K21" s="268"/>
      <c r="L21" s="268"/>
      <c r="M21" s="268"/>
      <c r="N21" s="268"/>
      <c r="O21" s="268"/>
      <c r="P21" s="218"/>
      <c r="Q21" s="269"/>
      <c r="R21" s="215" t="str">
        <f ca="1">IF(ISERROR($V21),"",OFFSET('Smelter Look-up'!$C$4,$V21-4,0)&amp;"")</f>
        <v/>
      </c>
      <c r="S21" s="222" t="str">
        <f t="shared" ca="1" si="3"/>
        <v/>
      </c>
      <c r="T21" s="222" t="str">
        <f ca="1">IF(B21="","",IF(ISERROR(MATCH($J21,SorP!$B$1:$B$6230,0)),"",INDIRECT("'SorP'!$A$"&amp;MATCH($J21,SorP!$B$1:$B$6230,0))))</f>
        <v/>
      </c>
      <c r="U21" s="238"/>
      <c r="V21" s="270" t="e">
        <f>IF(C21="",NA(),MATCH($B21&amp;$C21,'Smelter Look-up'!$J:$J,0))</f>
        <v>#N/A</v>
      </c>
      <c r="W21" s="271"/>
      <c r="X21" s="271">
        <f t="shared" ca="1" si="4"/>
        <v>0</v>
      </c>
      <c r="Y21" s="271"/>
      <c r="Z21" s="271"/>
      <c r="AB21" s="273" t="str">
        <f t="shared" si="5"/>
        <v/>
      </c>
    </row>
    <row r="22" spans="1:28" s="272" customFormat="1" ht="20.25">
      <c r="A22" s="214"/>
      <c r="B22" s="215" t="str">
        <f>IF(LEN(A22)=0,"",INDEX('Smelter Look-up'!$A:$A,MATCH($A22,'Smelter Look-up'!$E:$E,0)))</f>
        <v/>
      </c>
      <c r="C22" s="219" t="str">
        <f>IF(LEN(A22)=0,"",INDEX('Smelter Look-up'!$C:$C,MATCH($A22,'Smelter Look-up'!$E:$E,0)))</f>
        <v/>
      </c>
      <c r="D22" s="278"/>
      <c r="E22" s="215" t="str">
        <f ca="1">IF(ISERROR($V22),"",OFFSET('Smelter Look-up'!$D$4,$V22-4,0)&amp;"")</f>
        <v/>
      </c>
      <c r="F22" s="215" t="str">
        <f ca="1">IF(ISERROR($V22),"",OFFSET('Smelter Look-up'!$E$4,$V22-4,0))</f>
        <v/>
      </c>
      <c r="G22" s="215" t="str">
        <f ca="1">IF(C22=$X$4,"Enter smelter details",IF(ISERROR($V22),"",OFFSET('Smelter Look-up'!$F$4,$V22-4,0)))</f>
        <v/>
      </c>
      <c r="H22" s="216" t="str">
        <f ca="1">IF(ISERROR($V22),"",OFFSET('Smelter Look-up'!$G$4,$V22-4,0))</f>
        <v/>
      </c>
      <c r="I22" s="217" t="str">
        <f ca="1">IF(ISERROR($V22),"",OFFSET('Smelter Look-up'!$H$4,$V22-4,0))</f>
        <v/>
      </c>
      <c r="J22" s="217" t="str">
        <f ca="1">IF(ISERROR($V22),"",OFFSET('Smelter Look-up'!$I$4,$V22-4,0))</f>
        <v/>
      </c>
      <c r="K22" s="268"/>
      <c r="L22" s="268"/>
      <c r="M22" s="268"/>
      <c r="N22" s="268"/>
      <c r="O22" s="268"/>
      <c r="P22" s="218"/>
      <c r="Q22" s="269"/>
      <c r="R22" s="215" t="str">
        <f ca="1">IF(ISERROR($V22),"",OFFSET('Smelter Look-up'!$C$4,$V22-4,0)&amp;"")</f>
        <v/>
      </c>
      <c r="S22" s="222" t="str">
        <f t="shared" ca="1" si="3"/>
        <v/>
      </c>
      <c r="T22" s="222" t="str">
        <f ca="1">IF(B22="","",IF(ISERROR(MATCH($J22,SorP!$B$1:$B$6230,0)),"",INDIRECT("'SorP'!$A$"&amp;MATCH($J22,SorP!$B$1:$B$6230,0))))</f>
        <v/>
      </c>
      <c r="U22" s="238"/>
      <c r="V22" s="270" t="e">
        <f>IF(C22="",NA(),MATCH($B22&amp;$C22,'Smelter Look-up'!$J:$J,0))</f>
        <v>#N/A</v>
      </c>
      <c r="W22" s="271"/>
      <c r="X22" s="271">
        <f t="shared" ca="1" si="4"/>
        <v>0</v>
      </c>
      <c r="Y22" s="271"/>
      <c r="Z22" s="271"/>
      <c r="AB22" s="273" t="str">
        <f t="shared" si="5"/>
        <v/>
      </c>
    </row>
    <row r="23" spans="1:28" s="272" customFormat="1" ht="20.25">
      <c r="A23" s="214"/>
      <c r="B23" s="215" t="str">
        <f>IF(LEN(A23)=0,"",INDEX('Smelter Look-up'!$A:$A,MATCH($A23,'Smelter Look-up'!$E:$E,0)))</f>
        <v/>
      </c>
      <c r="C23" s="219" t="str">
        <f>IF(LEN(A23)=0,"",INDEX('Smelter Look-up'!$C:$C,MATCH($A23,'Smelter Look-up'!$E:$E,0)))</f>
        <v/>
      </c>
      <c r="D23" s="278"/>
      <c r="E23" s="215" t="str">
        <f ca="1">IF(ISERROR($V23),"",OFFSET('Smelter Look-up'!$D$4,$V23-4,0)&amp;"")</f>
        <v/>
      </c>
      <c r="F23" s="215" t="str">
        <f ca="1">IF(ISERROR($V23),"",OFFSET('Smelter Look-up'!$E$4,$V23-4,0))</f>
        <v/>
      </c>
      <c r="G23" s="215" t="str">
        <f ca="1">IF(C23=$X$4,"Enter smelter details",IF(ISERROR($V23),"",OFFSET('Smelter Look-up'!$F$4,$V23-4,0)))</f>
        <v/>
      </c>
      <c r="H23" s="216" t="str">
        <f ca="1">IF(ISERROR($V23),"",OFFSET('Smelter Look-up'!$G$4,$V23-4,0))</f>
        <v/>
      </c>
      <c r="I23" s="217" t="str">
        <f ca="1">IF(ISERROR($V23),"",OFFSET('Smelter Look-up'!$H$4,$V23-4,0))</f>
        <v/>
      </c>
      <c r="J23" s="217" t="str">
        <f ca="1">IF(ISERROR($V23),"",OFFSET('Smelter Look-up'!$I$4,$V23-4,0))</f>
        <v/>
      </c>
      <c r="K23" s="268"/>
      <c r="L23" s="268"/>
      <c r="M23" s="268"/>
      <c r="N23" s="268"/>
      <c r="O23" s="268"/>
      <c r="P23" s="218"/>
      <c r="Q23" s="269"/>
      <c r="R23" s="215" t="str">
        <f ca="1">IF(ISERROR($V23),"",OFFSET('Smelter Look-up'!$C$4,$V23-4,0)&amp;"")</f>
        <v/>
      </c>
      <c r="S23" s="222" t="str">
        <f t="shared" ca="1" si="3"/>
        <v/>
      </c>
      <c r="T23" s="222" t="str">
        <f ca="1">IF(B23="","",IF(ISERROR(MATCH($J23,SorP!$B$1:$B$6230,0)),"",INDIRECT("'SorP'!$A$"&amp;MATCH($J23,SorP!$B$1:$B$6230,0))))</f>
        <v/>
      </c>
      <c r="U23" s="238"/>
      <c r="V23" s="270" t="e">
        <f>IF(C23="",NA(),MATCH($B23&amp;$C23,'Smelter Look-up'!$J:$J,0))</f>
        <v>#N/A</v>
      </c>
      <c r="W23" s="271"/>
      <c r="X23" s="271">
        <f t="shared" ca="1" si="4"/>
        <v>0</v>
      </c>
      <c r="Y23" s="271"/>
      <c r="Z23" s="271"/>
      <c r="AB23" s="273" t="str">
        <f t="shared" si="5"/>
        <v/>
      </c>
    </row>
    <row r="24" spans="1:28" s="272" customFormat="1" ht="20.25">
      <c r="A24" s="214"/>
      <c r="B24" s="215" t="str">
        <f>IF(LEN(A24)=0,"",INDEX('Smelter Look-up'!$A:$A,MATCH($A24,'Smelter Look-up'!$E:$E,0)))</f>
        <v/>
      </c>
      <c r="C24" s="219" t="str">
        <f>IF(LEN(A24)=0,"",INDEX('Smelter Look-up'!$C:$C,MATCH($A24,'Smelter Look-up'!$E:$E,0)))</f>
        <v/>
      </c>
      <c r="D24" s="278"/>
      <c r="E24" s="215" t="str">
        <f ca="1">IF(ISERROR($V24),"",OFFSET('Smelter Look-up'!$D$4,$V24-4,0)&amp;"")</f>
        <v/>
      </c>
      <c r="F24" s="215" t="str">
        <f ca="1">IF(ISERROR($V24),"",OFFSET('Smelter Look-up'!$E$4,$V24-4,0))</f>
        <v/>
      </c>
      <c r="G24" s="215" t="str">
        <f ca="1">IF(C24=$X$4,"Enter smelter details",IF(ISERROR($V24),"",OFFSET('Smelter Look-up'!$F$4,$V24-4,0)))</f>
        <v/>
      </c>
      <c r="H24" s="216" t="str">
        <f ca="1">IF(ISERROR($V24),"",OFFSET('Smelter Look-up'!$G$4,$V24-4,0))</f>
        <v/>
      </c>
      <c r="I24" s="217" t="str">
        <f ca="1">IF(ISERROR($V24),"",OFFSET('Smelter Look-up'!$H$4,$V24-4,0))</f>
        <v/>
      </c>
      <c r="J24" s="217" t="str">
        <f ca="1">IF(ISERROR($V24),"",OFFSET('Smelter Look-up'!$I$4,$V24-4,0))</f>
        <v/>
      </c>
      <c r="K24" s="268"/>
      <c r="L24" s="268"/>
      <c r="M24" s="268"/>
      <c r="N24" s="268"/>
      <c r="O24" s="268"/>
      <c r="P24" s="218"/>
      <c r="Q24" s="269"/>
      <c r="R24" s="215" t="str">
        <f ca="1">IF(ISERROR($V24),"",OFFSET('Smelter Look-up'!$C$4,$V24-4,0)&amp;"")</f>
        <v/>
      </c>
      <c r="S24" s="222" t="str">
        <f t="shared" ca="1" si="3"/>
        <v/>
      </c>
      <c r="T24" s="222" t="str">
        <f ca="1">IF(B24="","",IF(ISERROR(MATCH($J24,SorP!$B$1:$B$6230,0)),"",INDIRECT("'SorP'!$A$"&amp;MATCH($J24,SorP!$B$1:$B$6230,0))))</f>
        <v/>
      </c>
      <c r="U24" s="238"/>
      <c r="V24" s="270" t="e">
        <f>IF(C24="",NA(),MATCH($B24&amp;$C24,'Smelter Look-up'!$J:$J,0))</f>
        <v>#N/A</v>
      </c>
      <c r="W24" s="271"/>
      <c r="X24" s="271">
        <f t="shared" ca="1" si="4"/>
        <v>0</v>
      </c>
      <c r="Y24" s="271"/>
      <c r="Z24" s="271"/>
      <c r="AB24" s="273" t="str">
        <f t="shared" si="5"/>
        <v/>
      </c>
    </row>
    <row r="25" spans="1:28" s="272" customFormat="1" ht="20.25">
      <c r="A25" s="214"/>
      <c r="B25" s="215" t="str">
        <f>IF(LEN(A25)=0,"",INDEX('Smelter Look-up'!$A:$A,MATCH($A25,'Smelter Look-up'!$E:$E,0)))</f>
        <v/>
      </c>
      <c r="C25" s="219" t="str">
        <f>IF(LEN(A25)=0,"",INDEX('Smelter Look-up'!$C:$C,MATCH($A25,'Smelter Look-up'!$E:$E,0)))</f>
        <v/>
      </c>
      <c r="D25" s="278"/>
      <c r="E25" s="215" t="str">
        <f ca="1">IF(ISERROR($V25),"",OFFSET('Smelter Look-up'!$D$4,$V25-4,0)&amp;"")</f>
        <v/>
      </c>
      <c r="F25" s="215" t="str">
        <f ca="1">IF(ISERROR($V25),"",OFFSET('Smelter Look-up'!$E$4,$V25-4,0))</f>
        <v/>
      </c>
      <c r="G25" s="215" t="str">
        <f ca="1">IF(C25=$X$4,"Enter smelter details",IF(ISERROR($V25),"",OFFSET('Smelter Look-up'!$F$4,$V25-4,0)))</f>
        <v/>
      </c>
      <c r="H25" s="216" t="str">
        <f ca="1">IF(ISERROR($V25),"",OFFSET('Smelter Look-up'!$G$4,$V25-4,0))</f>
        <v/>
      </c>
      <c r="I25" s="217" t="str">
        <f ca="1">IF(ISERROR($V25),"",OFFSET('Smelter Look-up'!$H$4,$V25-4,0))</f>
        <v/>
      </c>
      <c r="J25" s="217" t="str">
        <f ca="1">IF(ISERROR($V25),"",OFFSET('Smelter Look-up'!$I$4,$V25-4,0))</f>
        <v/>
      </c>
      <c r="K25" s="268"/>
      <c r="L25" s="268"/>
      <c r="M25" s="268"/>
      <c r="N25" s="268"/>
      <c r="O25" s="268"/>
      <c r="P25" s="218"/>
      <c r="Q25" s="269"/>
      <c r="R25" s="215" t="str">
        <f ca="1">IF(ISERROR($V25),"",OFFSET('Smelter Look-up'!$C$4,$V25-4,0)&amp;"")</f>
        <v/>
      </c>
      <c r="S25" s="222" t="str">
        <f t="shared" ca="1" si="3"/>
        <v/>
      </c>
      <c r="T25" s="222" t="str">
        <f ca="1">IF(B25="","",IF(ISERROR(MATCH($J25,SorP!$B$1:$B$6230,0)),"",INDIRECT("'SorP'!$A$"&amp;MATCH($J25,SorP!$B$1:$B$6230,0))))</f>
        <v/>
      </c>
      <c r="U25" s="238"/>
      <c r="V25" s="270" t="e">
        <f>IF(C25="",NA(),MATCH($B25&amp;$C25,'Smelter Look-up'!$J:$J,0))</f>
        <v>#N/A</v>
      </c>
      <c r="W25" s="271"/>
      <c r="X25" s="271">
        <f t="shared" ca="1" si="4"/>
        <v>0</v>
      </c>
      <c r="Y25" s="271"/>
      <c r="Z25" s="271"/>
      <c r="AB25" s="273" t="str">
        <f t="shared" si="5"/>
        <v/>
      </c>
    </row>
    <row r="26" spans="1:28" s="272" customFormat="1" ht="20.25">
      <c r="A26" s="214"/>
      <c r="B26" s="215" t="str">
        <f>IF(LEN(A26)=0,"",INDEX('Smelter Look-up'!$A:$A,MATCH($A26,'Smelter Look-up'!$E:$E,0)))</f>
        <v/>
      </c>
      <c r="C26" s="219" t="str">
        <f>IF(LEN(A26)=0,"",INDEX('Smelter Look-up'!$C:$C,MATCH($A26,'Smelter Look-up'!$E:$E,0)))</f>
        <v/>
      </c>
      <c r="D26" s="278"/>
      <c r="E26" s="215" t="str">
        <f ca="1">IF(ISERROR($V26),"",OFFSET('Smelter Look-up'!$D$4,$V26-4,0)&amp;"")</f>
        <v/>
      </c>
      <c r="F26" s="215" t="str">
        <f ca="1">IF(ISERROR($V26),"",OFFSET('Smelter Look-up'!$E$4,$V26-4,0))</f>
        <v/>
      </c>
      <c r="G26" s="215" t="str">
        <f ca="1">IF(C26=$X$4,"Enter smelter details",IF(ISERROR($V26),"",OFFSET('Smelter Look-up'!$F$4,$V26-4,0)))</f>
        <v/>
      </c>
      <c r="H26" s="216" t="str">
        <f ca="1">IF(ISERROR($V26),"",OFFSET('Smelter Look-up'!$G$4,$V26-4,0))</f>
        <v/>
      </c>
      <c r="I26" s="217" t="str">
        <f ca="1">IF(ISERROR($V26),"",OFFSET('Smelter Look-up'!$H$4,$V26-4,0))</f>
        <v/>
      </c>
      <c r="J26" s="217" t="str">
        <f ca="1">IF(ISERROR($V26),"",OFFSET('Smelter Look-up'!$I$4,$V26-4,0))</f>
        <v/>
      </c>
      <c r="K26" s="268"/>
      <c r="L26" s="268"/>
      <c r="M26" s="268"/>
      <c r="N26" s="268"/>
      <c r="O26" s="268"/>
      <c r="P26" s="218"/>
      <c r="Q26" s="269"/>
      <c r="R26" s="215" t="str">
        <f ca="1">IF(ISERROR($V26),"",OFFSET('Smelter Look-up'!$C$4,$V26-4,0)&amp;"")</f>
        <v/>
      </c>
      <c r="S26" s="222" t="str">
        <f t="shared" ca="1" si="3"/>
        <v/>
      </c>
      <c r="T26" s="222" t="str">
        <f ca="1">IF(B26="","",IF(ISERROR(MATCH($J26,SorP!$B$1:$B$6230,0)),"",INDIRECT("'SorP'!$A$"&amp;MATCH($J26,SorP!$B$1:$B$6230,0))))</f>
        <v/>
      </c>
      <c r="U26" s="238"/>
      <c r="V26" s="270" t="e">
        <f>IF(C26="",NA(),MATCH($B26&amp;$C26,'Smelter Look-up'!$J:$J,0))</f>
        <v>#N/A</v>
      </c>
      <c r="W26" s="271"/>
      <c r="X26" s="271">
        <f t="shared" ca="1" si="4"/>
        <v>0</v>
      </c>
      <c r="Y26" s="271"/>
      <c r="Z26" s="271"/>
      <c r="AB26" s="273" t="str">
        <f t="shared" si="5"/>
        <v/>
      </c>
    </row>
    <row r="27" spans="1:28" s="272" customFormat="1" ht="20.25">
      <c r="A27" s="214"/>
      <c r="B27" s="215" t="str">
        <f>IF(LEN(A27)=0,"",INDEX('Smelter Look-up'!$A:$A,MATCH($A27,'Smelter Look-up'!$E:$E,0)))</f>
        <v/>
      </c>
      <c r="C27" s="219" t="str">
        <f>IF(LEN(A27)=0,"",INDEX('Smelter Look-up'!$C:$C,MATCH($A27,'Smelter Look-up'!$E:$E,0)))</f>
        <v/>
      </c>
      <c r="D27" s="278"/>
      <c r="E27" s="215" t="str">
        <f ca="1">IF(ISERROR($V27),"",OFFSET('Smelter Look-up'!$D$4,$V27-4,0)&amp;"")</f>
        <v/>
      </c>
      <c r="F27" s="215" t="str">
        <f ca="1">IF(ISERROR($V27),"",OFFSET('Smelter Look-up'!$E$4,$V27-4,0))</f>
        <v/>
      </c>
      <c r="G27" s="215" t="str">
        <f ca="1">IF(C27=$X$4,"Enter smelter details",IF(ISERROR($V27),"",OFFSET('Smelter Look-up'!$F$4,$V27-4,0)))</f>
        <v/>
      </c>
      <c r="H27" s="216" t="str">
        <f ca="1">IF(ISERROR($V27),"",OFFSET('Smelter Look-up'!$G$4,$V27-4,0))</f>
        <v/>
      </c>
      <c r="I27" s="217" t="str">
        <f ca="1">IF(ISERROR($V27),"",OFFSET('Smelter Look-up'!$H$4,$V27-4,0))</f>
        <v/>
      </c>
      <c r="J27" s="217" t="str">
        <f ca="1">IF(ISERROR($V27),"",OFFSET('Smelter Look-up'!$I$4,$V27-4,0))</f>
        <v/>
      </c>
      <c r="K27" s="268"/>
      <c r="L27" s="268"/>
      <c r="M27" s="268"/>
      <c r="N27" s="268"/>
      <c r="O27" s="268"/>
      <c r="P27" s="218"/>
      <c r="Q27" s="269"/>
      <c r="R27" s="215" t="str">
        <f ca="1">IF(ISERROR($V27),"",OFFSET('Smelter Look-up'!$C$4,$V27-4,0)&amp;"")</f>
        <v/>
      </c>
      <c r="S27" s="222" t="str">
        <f t="shared" ca="1" si="3"/>
        <v/>
      </c>
      <c r="T27" s="222" t="str">
        <f ca="1">IF(B27="","",IF(ISERROR(MATCH($J27,SorP!$B$1:$B$6230,0)),"",INDIRECT("'SorP'!$A$"&amp;MATCH($J27,SorP!$B$1:$B$6230,0))))</f>
        <v/>
      </c>
      <c r="U27" s="238"/>
      <c r="V27" s="270" t="e">
        <f>IF(C27="",NA(),MATCH($B27&amp;$C27,'Smelter Look-up'!$J:$J,0))</f>
        <v>#N/A</v>
      </c>
      <c r="W27" s="271"/>
      <c r="X27" s="271">
        <f t="shared" ca="1" si="4"/>
        <v>0</v>
      </c>
      <c r="Y27" s="271"/>
      <c r="Z27" s="271"/>
      <c r="AB27" s="273" t="str">
        <f t="shared" si="5"/>
        <v/>
      </c>
    </row>
    <row r="28" spans="1:28" s="272" customFormat="1" ht="20.25">
      <c r="A28" s="214"/>
      <c r="B28" s="215" t="str">
        <f>IF(LEN(A28)=0,"",INDEX('Smelter Look-up'!$A:$A,MATCH($A28,'Smelter Look-up'!$E:$E,0)))</f>
        <v/>
      </c>
      <c r="C28" s="219" t="str">
        <f>IF(LEN(A28)=0,"",INDEX('Smelter Look-up'!$C:$C,MATCH($A28,'Smelter Look-up'!$E:$E,0)))</f>
        <v/>
      </c>
      <c r="D28" s="278"/>
      <c r="E28" s="215" t="str">
        <f ca="1">IF(ISERROR($V28),"",OFFSET('Smelter Look-up'!$D$4,$V28-4,0)&amp;"")</f>
        <v/>
      </c>
      <c r="F28" s="215" t="str">
        <f ca="1">IF(ISERROR($V28),"",OFFSET('Smelter Look-up'!$E$4,$V28-4,0))</f>
        <v/>
      </c>
      <c r="G28" s="215" t="str">
        <f ca="1">IF(C28=$X$4,"Enter smelter details",IF(ISERROR($V28),"",OFFSET('Smelter Look-up'!$F$4,$V28-4,0)))</f>
        <v/>
      </c>
      <c r="H28" s="216" t="str">
        <f ca="1">IF(ISERROR($V28),"",OFFSET('Smelter Look-up'!$G$4,$V28-4,0))</f>
        <v/>
      </c>
      <c r="I28" s="217" t="str">
        <f ca="1">IF(ISERROR($V28),"",OFFSET('Smelter Look-up'!$H$4,$V28-4,0))</f>
        <v/>
      </c>
      <c r="J28" s="217" t="str">
        <f ca="1">IF(ISERROR($V28),"",OFFSET('Smelter Look-up'!$I$4,$V28-4,0))</f>
        <v/>
      </c>
      <c r="K28" s="268"/>
      <c r="L28" s="268"/>
      <c r="M28" s="268"/>
      <c r="N28" s="268"/>
      <c r="O28" s="268"/>
      <c r="P28" s="218"/>
      <c r="Q28" s="269"/>
      <c r="R28" s="215" t="str">
        <f ca="1">IF(ISERROR($V28),"",OFFSET('Smelter Look-up'!$C$4,$V28-4,0)&amp;"")</f>
        <v/>
      </c>
      <c r="S28" s="222" t="str">
        <f t="shared" ca="1" si="3"/>
        <v/>
      </c>
      <c r="T28" s="222" t="str">
        <f ca="1">IF(B28="","",IF(ISERROR(MATCH($J28,SorP!$B$1:$B$6230,0)),"",INDIRECT("'SorP'!$A$"&amp;MATCH($J28,SorP!$B$1:$B$6230,0))))</f>
        <v/>
      </c>
      <c r="U28" s="238"/>
      <c r="V28" s="270" t="e">
        <f>IF(C28="",NA(),MATCH($B28&amp;$C28,'Smelter Look-up'!$J:$J,0))</f>
        <v>#N/A</v>
      </c>
      <c r="W28" s="271"/>
      <c r="X28" s="271">
        <f t="shared" ca="1" si="4"/>
        <v>0</v>
      </c>
      <c r="Y28" s="271"/>
      <c r="Z28" s="271"/>
      <c r="AB28" s="273" t="str">
        <f t="shared" si="5"/>
        <v/>
      </c>
    </row>
    <row r="29" spans="1:28" s="272" customFormat="1" ht="20.25">
      <c r="A29" s="214"/>
      <c r="B29" s="215" t="str">
        <f>IF(LEN(A29)=0,"",INDEX('Smelter Look-up'!$A:$A,MATCH($A29,'Smelter Look-up'!$E:$E,0)))</f>
        <v/>
      </c>
      <c r="C29" s="219" t="str">
        <f>IF(LEN(A29)=0,"",INDEX('Smelter Look-up'!$C:$C,MATCH($A29,'Smelter Look-up'!$E:$E,0)))</f>
        <v/>
      </c>
      <c r="D29" s="278"/>
      <c r="E29" s="215" t="str">
        <f ca="1">IF(ISERROR($V29),"",OFFSET('Smelter Look-up'!$D$4,$V29-4,0)&amp;"")</f>
        <v/>
      </c>
      <c r="F29" s="215" t="str">
        <f ca="1">IF(ISERROR($V29),"",OFFSET('Smelter Look-up'!$E$4,$V29-4,0))</f>
        <v/>
      </c>
      <c r="G29" s="215" t="str">
        <f ca="1">IF(C29=$X$4,"Enter smelter details",IF(ISERROR($V29),"",OFFSET('Smelter Look-up'!$F$4,$V29-4,0)))</f>
        <v/>
      </c>
      <c r="H29" s="216" t="str">
        <f ca="1">IF(ISERROR($V29),"",OFFSET('Smelter Look-up'!$G$4,$V29-4,0))</f>
        <v/>
      </c>
      <c r="I29" s="217" t="str">
        <f ca="1">IF(ISERROR($V29),"",OFFSET('Smelter Look-up'!$H$4,$V29-4,0))</f>
        <v/>
      </c>
      <c r="J29" s="217" t="str">
        <f ca="1">IF(ISERROR($V29),"",OFFSET('Smelter Look-up'!$I$4,$V29-4,0))</f>
        <v/>
      </c>
      <c r="K29" s="268"/>
      <c r="L29" s="268"/>
      <c r="M29" s="268"/>
      <c r="N29" s="268"/>
      <c r="O29" s="268"/>
      <c r="P29" s="218"/>
      <c r="Q29" s="269"/>
      <c r="R29" s="215" t="str">
        <f ca="1">IF(ISERROR($V29),"",OFFSET('Smelter Look-up'!$C$4,$V29-4,0)&amp;"")</f>
        <v/>
      </c>
      <c r="S29" s="222" t="str">
        <f t="shared" ca="1" si="3"/>
        <v/>
      </c>
      <c r="T29" s="222" t="str">
        <f ca="1">IF(B29="","",IF(ISERROR(MATCH($J29,SorP!$B$1:$B$6230,0)),"",INDIRECT("'SorP'!$A$"&amp;MATCH($J29,SorP!$B$1:$B$6230,0))))</f>
        <v/>
      </c>
      <c r="U29" s="238"/>
      <c r="V29" s="270" t="e">
        <f>IF(C29="",NA(),MATCH($B29&amp;$C29,'Smelter Look-up'!$J:$J,0))</f>
        <v>#N/A</v>
      </c>
      <c r="W29" s="271"/>
      <c r="X29" s="271">
        <f t="shared" ca="1" si="4"/>
        <v>0</v>
      </c>
      <c r="Y29" s="271"/>
      <c r="Z29" s="271"/>
      <c r="AB29" s="273" t="str">
        <f t="shared" si="5"/>
        <v/>
      </c>
    </row>
    <row r="30" spans="1:28" s="272" customFormat="1" ht="20.25">
      <c r="A30" s="214"/>
      <c r="B30" s="215" t="str">
        <f>IF(LEN(A30)=0,"",INDEX('Smelter Look-up'!$A:$A,MATCH($A30,'Smelter Look-up'!$E:$E,0)))</f>
        <v/>
      </c>
      <c r="C30" s="219" t="str">
        <f>IF(LEN(A30)=0,"",INDEX('Smelter Look-up'!$C:$C,MATCH($A30,'Smelter Look-up'!$E:$E,0)))</f>
        <v/>
      </c>
      <c r="D30" s="278"/>
      <c r="E30" s="215" t="str">
        <f ca="1">IF(ISERROR($V30),"",OFFSET('Smelter Look-up'!$D$4,$V30-4,0)&amp;"")</f>
        <v/>
      </c>
      <c r="F30" s="215" t="str">
        <f ca="1">IF(ISERROR($V30),"",OFFSET('Smelter Look-up'!$E$4,$V30-4,0))</f>
        <v/>
      </c>
      <c r="G30" s="215" t="str">
        <f ca="1">IF(C30=$X$4,"Enter smelter details",IF(ISERROR($V30),"",OFFSET('Smelter Look-up'!$F$4,$V30-4,0)))</f>
        <v/>
      </c>
      <c r="H30" s="216" t="str">
        <f ca="1">IF(ISERROR($V30),"",OFFSET('Smelter Look-up'!$G$4,$V30-4,0))</f>
        <v/>
      </c>
      <c r="I30" s="217" t="str">
        <f ca="1">IF(ISERROR($V30),"",OFFSET('Smelter Look-up'!$H$4,$V30-4,0))</f>
        <v/>
      </c>
      <c r="J30" s="217" t="str">
        <f ca="1">IF(ISERROR($V30),"",OFFSET('Smelter Look-up'!$I$4,$V30-4,0))</f>
        <v/>
      </c>
      <c r="K30" s="268"/>
      <c r="L30" s="268"/>
      <c r="M30" s="268"/>
      <c r="N30" s="268"/>
      <c r="O30" s="268"/>
      <c r="P30" s="218"/>
      <c r="Q30" s="269"/>
      <c r="R30" s="215" t="str">
        <f ca="1">IF(ISERROR($V30),"",OFFSET('Smelter Look-up'!$C$4,$V30-4,0)&amp;"")</f>
        <v/>
      </c>
      <c r="S30" s="222" t="str">
        <f t="shared" ca="1" si="3"/>
        <v/>
      </c>
      <c r="T30" s="222" t="str">
        <f ca="1">IF(B30="","",IF(ISERROR(MATCH($J30,SorP!$B$1:$B$6230,0)),"",INDIRECT("'SorP'!$A$"&amp;MATCH($J30,SorP!$B$1:$B$6230,0))))</f>
        <v/>
      </c>
      <c r="U30" s="238"/>
      <c r="V30" s="270" t="e">
        <f>IF(C30="",NA(),MATCH($B30&amp;$C30,'Smelter Look-up'!$J:$J,0))</f>
        <v>#N/A</v>
      </c>
      <c r="W30" s="271"/>
      <c r="X30" s="271">
        <f t="shared" ca="1" si="4"/>
        <v>0</v>
      </c>
      <c r="Y30" s="271"/>
      <c r="Z30" s="271"/>
      <c r="AB30" s="273" t="str">
        <f t="shared" si="5"/>
        <v/>
      </c>
    </row>
    <row r="31" spans="1:28" s="272" customFormat="1" ht="20.25">
      <c r="A31" s="214"/>
      <c r="B31" s="215" t="str">
        <f>IF(LEN(A31)=0,"",INDEX('Smelter Look-up'!$A:$A,MATCH($A31,'Smelter Look-up'!$E:$E,0)))</f>
        <v/>
      </c>
      <c r="C31" s="219" t="str">
        <f>IF(LEN(A31)=0,"",INDEX('Smelter Look-up'!$C:$C,MATCH($A31,'Smelter Look-up'!$E:$E,0)))</f>
        <v/>
      </c>
      <c r="D31" s="278"/>
      <c r="E31" s="215" t="str">
        <f ca="1">IF(ISERROR($V31),"",OFFSET('Smelter Look-up'!$D$4,$V31-4,0)&amp;"")</f>
        <v/>
      </c>
      <c r="F31" s="215" t="str">
        <f ca="1">IF(ISERROR($V31),"",OFFSET('Smelter Look-up'!$E$4,$V31-4,0))</f>
        <v/>
      </c>
      <c r="G31" s="215" t="str">
        <f ca="1">IF(C31=$X$4,"Enter smelter details",IF(ISERROR($V31),"",OFFSET('Smelter Look-up'!$F$4,$V31-4,0)))</f>
        <v/>
      </c>
      <c r="H31" s="216" t="str">
        <f ca="1">IF(ISERROR($V31),"",OFFSET('Smelter Look-up'!$G$4,$V31-4,0))</f>
        <v/>
      </c>
      <c r="I31" s="217" t="str">
        <f ca="1">IF(ISERROR($V31),"",OFFSET('Smelter Look-up'!$H$4,$V31-4,0))</f>
        <v/>
      </c>
      <c r="J31" s="217" t="str">
        <f ca="1">IF(ISERROR($V31),"",OFFSET('Smelter Look-up'!$I$4,$V31-4,0))</f>
        <v/>
      </c>
      <c r="K31" s="268"/>
      <c r="L31" s="268"/>
      <c r="M31" s="268"/>
      <c r="N31" s="268"/>
      <c r="O31" s="268"/>
      <c r="P31" s="218"/>
      <c r="Q31" s="269"/>
      <c r="R31" s="215" t="str">
        <f ca="1">IF(ISERROR($V31),"",OFFSET('Smelter Look-up'!$C$4,$V31-4,0)&amp;"")</f>
        <v/>
      </c>
      <c r="S31" s="222" t="str">
        <f t="shared" ca="1" si="3"/>
        <v/>
      </c>
      <c r="T31" s="222" t="str">
        <f ca="1">IF(B31="","",IF(ISERROR(MATCH($J31,SorP!$B$1:$B$6230,0)),"",INDIRECT("'SorP'!$A$"&amp;MATCH($J31,SorP!$B$1:$B$6230,0))))</f>
        <v/>
      </c>
      <c r="U31" s="238"/>
      <c r="V31" s="270" t="e">
        <f>IF(C31="",NA(),MATCH($B31&amp;$C31,'Smelter Look-up'!$J:$J,0))</f>
        <v>#N/A</v>
      </c>
      <c r="W31" s="271"/>
      <c r="X31" s="271">
        <f t="shared" ca="1" si="4"/>
        <v>0</v>
      </c>
      <c r="Y31" s="271"/>
      <c r="Z31" s="271"/>
      <c r="AB31" s="273" t="str">
        <f t="shared" si="5"/>
        <v/>
      </c>
    </row>
    <row r="32" spans="1:28" s="272" customFormat="1" ht="20.25">
      <c r="A32" s="214"/>
      <c r="B32" s="215" t="str">
        <f>IF(LEN(A32)=0,"",INDEX('Smelter Look-up'!$A:$A,MATCH($A32,'Smelter Look-up'!$E:$E,0)))</f>
        <v/>
      </c>
      <c r="C32" s="219" t="str">
        <f>IF(LEN(A32)=0,"",INDEX('Smelter Look-up'!$C:$C,MATCH($A32,'Smelter Look-up'!$E:$E,0)))</f>
        <v/>
      </c>
      <c r="D32" s="278"/>
      <c r="E32" s="215" t="str">
        <f ca="1">IF(ISERROR($V32),"",OFFSET('Smelter Look-up'!$D$4,$V32-4,0)&amp;"")</f>
        <v/>
      </c>
      <c r="F32" s="215" t="str">
        <f ca="1">IF(ISERROR($V32),"",OFFSET('Smelter Look-up'!$E$4,$V32-4,0))</f>
        <v/>
      </c>
      <c r="G32" s="215" t="str">
        <f ca="1">IF(C32=$X$4,"Enter smelter details",IF(ISERROR($V32),"",OFFSET('Smelter Look-up'!$F$4,$V32-4,0)))</f>
        <v/>
      </c>
      <c r="H32" s="216" t="str">
        <f ca="1">IF(ISERROR($V32),"",OFFSET('Smelter Look-up'!$G$4,$V32-4,0))</f>
        <v/>
      </c>
      <c r="I32" s="217" t="str">
        <f ca="1">IF(ISERROR($V32),"",OFFSET('Smelter Look-up'!$H$4,$V32-4,0))</f>
        <v/>
      </c>
      <c r="J32" s="217" t="str">
        <f ca="1">IF(ISERROR($V32),"",OFFSET('Smelter Look-up'!$I$4,$V32-4,0))</f>
        <v/>
      </c>
      <c r="K32" s="268"/>
      <c r="L32" s="268"/>
      <c r="M32" s="268"/>
      <c r="N32" s="268"/>
      <c r="O32" s="268"/>
      <c r="P32" s="218"/>
      <c r="Q32" s="269"/>
      <c r="R32" s="215" t="str">
        <f ca="1">IF(ISERROR($V32),"",OFFSET('Smelter Look-up'!$C$4,$V32-4,0)&amp;"")</f>
        <v/>
      </c>
      <c r="S32" s="222" t="str">
        <f t="shared" ca="1" si="3"/>
        <v/>
      </c>
      <c r="T32" s="222" t="str">
        <f ca="1">IF(B32="","",IF(ISERROR(MATCH($J32,SorP!$B$1:$B$6230,0)),"",INDIRECT("'SorP'!$A$"&amp;MATCH($J32,SorP!$B$1:$B$6230,0))))</f>
        <v/>
      </c>
      <c r="U32" s="238"/>
      <c r="V32" s="270" t="e">
        <f>IF(C32="",NA(),MATCH($B32&amp;$C32,'Smelter Look-up'!$J:$J,0))</f>
        <v>#N/A</v>
      </c>
      <c r="W32" s="271"/>
      <c r="X32" s="271">
        <f t="shared" ca="1" si="4"/>
        <v>0</v>
      </c>
      <c r="Y32" s="271"/>
      <c r="Z32" s="271"/>
      <c r="AB32" s="273" t="str">
        <f t="shared" si="5"/>
        <v/>
      </c>
    </row>
    <row r="33" spans="1:28" s="272" customFormat="1" ht="20.25">
      <c r="A33" s="214"/>
      <c r="B33" s="215" t="str">
        <f>IF(LEN(A33)=0,"",INDEX('Smelter Look-up'!$A:$A,MATCH($A33,'Smelter Look-up'!$E:$E,0)))</f>
        <v/>
      </c>
      <c r="C33" s="219" t="str">
        <f>IF(LEN(A33)=0,"",INDEX('Smelter Look-up'!$C:$C,MATCH($A33,'Smelter Look-up'!$E:$E,0)))</f>
        <v/>
      </c>
      <c r="D33" s="278"/>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68"/>
      <c r="L33" s="268"/>
      <c r="M33" s="268"/>
      <c r="N33" s="268"/>
      <c r="O33" s="268"/>
      <c r="P33" s="218"/>
      <c r="Q33" s="269"/>
      <c r="R33" s="215" t="str">
        <f ca="1">IF(ISERROR($V33),"",OFFSET('Smelter Look-up'!$C$4,$V33-4,0)&amp;"")</f>
        <v/>
      </c>
      <c r="S33" s="222" t="str">
        <f t="shared" ca="1" si="3"/>
        <v/>
      </c>
      <c r="T33" s="222" t="str">
        <f ca="1">IF(B33="","",IF(ISERROR(MATCH($J33,SorP!$B$1:$B$6230,0)),"",INDIRECT("'SorP'!$A$"&amp;MATCH($J33,SorP!$B$1:$B$6230,0))))</f>
        <v/>
      </c>
      <c r="U33" s="238"/>
      <c r="V33" s="270" t="e">
        <f>IF(C33="",NA(),MATCH($B33&amp;$C33,'Smelter Look-up'!$J:$J,0))</f>
        <v>#N/A</v>
      </c>
      <c r="W33" s="271"/>
      <c r="X33" s="271">
        <f t="shared" ca="1" si="4"/>
        <v>0</v>
      </c>
      <c r="Y33" s="271"/>
      <c r="Z33" s="271"/>
      <c r="AB33" s="273" t="str">
        <f t="shared" si="5"/>
        <v/>
      </c>
    </row>
    <row r="34" spans="1:28" s="272" customFormat="1" ht="20.25">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ca="1" si="3"/>
        <v/>
      </c>
      <c r="T34" s="222" t="str">
        <f ca="1">IF(B34="","",IF(ISERROR(MATCH($J34,SorP!$B$1:$B$6230,0)),"",INDIRECT("'SorP'!$A$"&amp;MATCH($J34,SorP!$B$1:$B$6230,0))))</f>
        <v/>
      </c>
      <c r="U34" s="238"/>
      <c r="V34" s="270" t="e">
        <f>IF(C34="",NA(),MATCH($B34&amp;$C34,'Smelter Look-up'!$J:$J,0))</f>
        <v>#N/A</v>
      </c>
      <c r="W34" s="271"/>
      <c r="X34" s="271">
        <f t="shared" ca="1" si="4"/>
        <v>0</v>
      </c>
      <c r="Y34" s="271"/>
      <c r="Z34" s="271"/>
      <c r="AB34" s="273" t="str">
        <f t="shared" si="5"/>
        <v/>
      </c>
    </row>
    <row r="35" spans="1:28" s="272" customFormat="1" ht="20.25">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3"/>
        <v/>
      </c>
      <c r="T35" s="222" t="str">
        <f ca="1">IF(B35="","",IF(ISERROR(MATCH($J35,SorP!$B$1:$B$6230,0)),"",INDIRECT("'SorP'!$A$"&amp;MATCH($J35,SorP!$B$1:$B$6230,0))))</f>
        <v/>
      </c>
      <c r="U35" s="238"/>
      <c r="V35" s="270" t="e">
        <f>IF(C35="",NA(),MATCH($B35&amp;$C35,'Smelter Look-up'!$J:$J,0))</f>
        <v>#N/A</v>
      </c>
      <c r="W35" s="271"/>
      <c r="X35" s="271">
        <f t="shared" ca="1" si="4"/>
        <v>0</v>
      </c>
      <c r="Y35" s="271"/>
      <c r="Z35" s="271"/>
      <c r="AB35" s="273" t="str">
        <f t="shared" si="5"/>
        <v/>
      </c>
    </row>
    <row r="36" spans="1:28" s="272" customFormat="1" ht="20.25">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3"/>
        <v/>
      </c>
      <c r="T36" s="222" t="str">
        <f ca="1">IF(B36="","",IF(ISERROR(MATCH($J36,SorP!$B$1:$B$6230,0)),"",INDIRECT("'SorP'!$A$"&amp;MATCH($J36,SorP!$B$1:$B$6230,0))))</f>
        <v/>
      </c>
      <c r="U36" s="238"/>
      <c r="V36" s="270" t="e">
        <f>IF(C36="",NA(),MATCH($B36&amp;$C36,'Smelter Look-up'!$J:$J,0))</f>
        <v>#N/A</v>
      </c>
      <c r="W36" s="271"/>
      <c r="X36" s="271">
        <f t="shared" ca="1" si="4"/>
        <v>0</v>
      </c>
      <c r="Y36" s="271"/>
      <c r="Z36" s="271"/>
      <c r="AB36" s="273" t="str">
        <f t="shared" si="5"/>
        <v/>
      </c>
    </row>
    <row r="37" spans="1:28" s="272" customFormat="1" ht="20.25">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3"/>
        <v/>
      </c>
      <c r="T37" s="222" t="str">
        <f ca="1">IF(B37="","",IF(ISERROR(MATCH($J37,SorP!$B$1:$B$6230,0)),"",INDIRECT("'SorP'!$A$"&amp;MATCH($J37,SorP!$B$1:$B$6230,0))))</f>
        <v/>
      </c>
      <c r="U37" s="238"/>
      <c r="V37" s="270" t="e">
        <f>IF(C37="",NA(),MATCH($B37&amp;$C37,'Smelter Look-up'!$J:$J,0))</f>
        <v>#N/A</v>
      </c>
      <c r="W37" s="271"/>
      <c r="X37" s="271">
        <f t="shared" ca="1" si="4"/>
        <v>0</v>
      </c>
      <c r="Y37" s="271"/>
      <c r="Z37" s="271"/>
      <c r="AB37" s="273" t="str">
        <f t="shared" si="5"/>
        <v/>
      </c>
    </row>
    <row r="38" spans="1:28" s="272" customFormat="1" ht="20.25">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70" t="e">
        <f>IF(C38="",NA(),MATCH($B38&amp;$C38,'Smelter Look-up'!$J:$J,0))</f>
        <v>#N/A</v>
      </c>
      <c r="W38" s="271"/>
      <c r="X38" s="271">
        <f t="shared" ref="X38:X68" ca="1" si="7">IF(AND(C38="Smelter not listed",OR(LEN(D38)=0,LEN(E38)=0)),1,0)</f>
        <v>0</v>
      </c>
      <c r="Y38" s="271"/>
      <c r="Z38" s="271"/>
      <c r="AB38" s="273" t="str">
        <f t="shared" ref="AB38:AB68" si="8">B38&amp;C38</f>
        <v/>
      </c>
    </row>
    <row r="39" spans="1:28" s="272" customFormat="1" ht="20.25">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ca="1" si="6"/>
        <v/>
      </c>
      <c r="T39" s="222" t="str">
        <f ca="1">IF(B39="","",IF(ISERROR(MATCH($J39,SorP!$B$1:$B$6230,0)),"",INDIRECT("'SorP'!$A$"&amp;MATCH($J39,SorP!$B$1:$B$6230,0))))</f>
        <v/>
      </c>
      <c r="U39" s="238"/>
      <c r="V39" s="270" t="e">
        <f>IF(C39="",NA(),MATCH($B39&amp;$C39,'Smelter Look-up'!$J:$J,0))</f>
        <v>#N/A</v>
      </c>
      <c r="W39" s="271"/>
      <c r="X39" s="271">
        <f t="shared" ca="1" si="7"/>
        <v>0</v>
      </c>
      <c r="Y39" s="271"/>
      <c r="Z39" s="271"/>
      <c r="AB39" s="273" t="str">
        <f t="shared" si="8"/>
        <v/>
      </c>
    </row>
    <row r="40" spans="1:28" s="272" customFormat="1" ht="20.25">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ca="1" si="6"/>
        <v/>
      </c>
      <c r="T40" s="222" t="str">
        <f ca="1">IF(B40="","",IF(ISERROR(MATCH($J40,SorP!$B$1:$B$6230,0)),"",INDIRECT("'SorP'!$A$"&amp;MATCH($J40,SorP!$B$1:$B$6230,0))))</f>
        <v/>
      </c>
      <c r="U40" s="238"/>
      <c r="V40" s="270" t="e">
        <f>IF(C40="",NA(),MATCH($B40&amp;$C40,'Smelter Look-up'!$J:$J,0))</f>
        <v>#N/A</v>
      </c>
      <c r="W40" s="271"/>
      <c r="X40" s="271">
        <f t="shared" ca="1" si="7"/>
        <v>0</v>
      </c>
      <c r="Y40" s="271"/>
      <c r="Z40" s="271"/>
      <c r="AB40" s="273" t="str">
        <f t="shared" si="8"/>
        <v/>
      </c>
    </row>
    <row r="41" spans="1:28" s="272" customFormat="1" ht="20.25">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6"/>
        <v/>
      </c>
      <c r="T41" s="222" t="str">
        <f ca="1">IF(B41="","",IF(ISERROR(MATCH($J41,SorP!$B$1:$B$6230,0)),"",INDIRECT("'SorP'!$A$"&amp;MATCH($J41,SorP!$B$1:$B$6230,0))))</f>
        <v/>
      </c>
      <c r="U41" s="238"/>
      <c r="V41" s="270" t="e">
        <f>IF(C41="",NA(),MATCH($B41&amp;$C41,'Smelter Look-up'!$J:$J,0))</f>
        <v>#N/A</v>
      </c>
      <c r="W41" s="271"/>
      <c r="X41" s="271">
        <f t="shared" ca="1" si="7"/>
        <v>0</v>
      </c>
      <c r="Y41" s="271"/>
      <c r="Z41" s="271"/>
      <c r="AB41" s="273" t="str">
        <f t="shared" si="8"/>
        <v/>
      </c>
    </row>
    <row r="42" spans="1:28" s="272" customFormat="1" ht="20.25">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6"/>
        <v/>
      </c>
      <c r="T42" s="222" t="str">
        <f ca="1">IF(B42="","",IF(ISERROR(MATCH($J42,SorP!$B$1:$B$6230,0)),"",INDIRECT("'SorP'!$A$"&amp;MATCH($J42,SorP!$B$1:$B$6230,0))))</f>
        <v/>
      </c>
      <c r="U42" s="238"/>
      <c r="V42" s="270" t="e">
        <f>IF(C42="",NA(),MATCH($B42&amp;$C42,'Smelter Look-up'!$J:$J,0))</f>
        <v>#N/A</v>
      </c>
      <c r="W42" s="271"/>
      <c r="X42" s="271">
        <f t="shared" ca="1" si="7"/>
        <v>0</v>
      </c>
      <c r="Y42" s="271"/>
      <c r="Z42" s="271"/>
      <c r="AB42" s="273" t="str">
        <f t="shared" si="8"/>
        <v/>
      </c>
    </row>
    <row r="43" spans="1:28" s="272" customFormat="1" ht="20.25">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6"/>
        <v/>
      </c>
      <c r="T43" s="222" t="str">
        <f ca="1">IF(B43="","",IF(ISERROR(MATCH($J43,SorP!$B$1:$B$6230,0)),"",INDIRECT("'SorP'!$A$"&amp;MATCH($J43,SorP!$B$1:$B$6230,0))))</f>
        <v/>
      </c>
      <c r="U43" s="238"/>
      <c r="V43" s="270" t="e">
        <f>IF(C43="",NA(),MATCH($B43&amp;$C43,'Smelter Look-up'!$J:$J,0))</f>
        <v>#N/A</v>
      </c>
      <c r="W43" s="271"/>
      <c r="X43" s="271">
        <f t="shared" ca="1" si="7"/>
        <v>0</v>
      </c>
      <c r="Y43" s="271"/>
      <c r="Z43" s="271"/>
      <c r="AB43" s="273" t="str">
        <f t="shared" si="8"/>
        <v/>
      </c>
    </row>
    <row r="44" spans="1:28" s="272" customFormat="1" ht="20.25">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6"/>
        <v/>
      </c>
      <c r="T44" s="222" t="str">
        <f ca="1">IF(B44="","",IF(ISERROR(MATCH($J44,SorP!$B$1:$B$6230,0)),"",INDIRECT("'SorP'!$A$"&amp;MATCH($J44,SorP!$B$1:$B$6230,0))))</f>
        <v/>
      </c>
      <c r="U44" s="238"/>
      <c r="V44" s="270" t="e">
        <f>IF(C44="",NA(),MATCH($B44&amp;$C44,'Smelter Look-up'!$J:$J,0))</f>
        <v>#N/A</v>
      </c>
      <c r="W44" s="271"/>
      <c r="X44" s="271">
        <f t="shared" ca="1" si="7"/>
        <v>0</v>
      </c>
      <c r="Y44" s="271"/>
      <c r="Z44" s="271"/>
      <c r="AB44" s="273" t="str">
        <f t="shared" si="8"/>
        <v/>
      </c>
    </row>
    <row r="45" spans="1:28" s="272" customFormat="1" ht="20.25">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6"/>
        <v/>
      </c>
      <c r="T45" s="222" t="str">
        <f ca="1">IF(B45="","",IF(ISERROR(MATCH($J45,SorP!$B$1:$B$6230,0)),"",INDIRECT("'SorP'!$A$"&amp;MATCH($J45,SorP!$B$1:$B$6230,0))))</f>
        <v/>
      </c>
      <c r="U45" s="238"/>
      <c r="V45" s="270" t="e">
        <f>IF(C45="",NA(),MATCH($B45&amp;$C45,'Smelter Look-up'!$J:$J,0))</f>
        <v>#N/A</v>
      </c>
      <c r="W45" s="271"/>
      <c r="X45" s="271">
        <f t="shared" ca="1" si="7"/>
        <v>0</v>
      </c>
      <c r="Y45" s="271"/>
      <c r="Z45" s="271"/>
      <c r="AB45" s="273" t="str">
        <f t="shared" si="8"/>
        <v/>
      </c>
    </row>
    <row r="46" spans="1:28" s="272" customFormat="1" ht="20.25">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6"/>
        <v/>
      </c>
      <c r="T46" s="222" t="str">
        <f ca="1">IF(B46="","",IF(ISERROR(MATCH($J46,SorP!$B$1:$B$6230,0)),"",INDIRECT("'SorP'!$A$"&amp;MATCH($J46,SorP!$B$1:$B$6230,0))))</f>
        <v/>
      </c>
      <c r="U46" s="238"/>
      <c r="V46" s="270" t="e">
        <f>IF(C46="",NA(),MATCH($B46&amp;$C46,'Smelter Look-up'!$J:$J,0))</f>
        <v>#N/A</v>
      </c>
      <c r="W46" s="271"/>
      <c r="X46" s="271">
        <f t="shared" ca="1" si="7"/>
        <v>0</v>
      </c>
      <c r="Y46" s="271"/>
      <c r="Z46" s="271"/>
      <c r="AB46" s="273" t="str">
        <f t="shared" si="8"/>
        <v/>
      </c>
    </row>
    <row r="47" spans="1:28" s="272" customFormat="1" ht="20.25">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6"/>
        <v/>
      </c>
      <c r="T47" s="222" t="str">
        <f ca="1">IF(B47="","",IF(ISERROR(MATCH($J47,SorP!$B$1:$B$6230,0)),"",INDIRECT("'SorP'!$A$"&amp;MATCH($J47,SorP!$B$1:$B$6230,0))))</f>
        <v/>
      </c>
      <c r="U47" s="238"/>
      <c r="V47" s="270" t="e">
        <f>IF(C47="",NA(),MATCH($B47&amp;$C47,'Smelter Look-up'!$J:$J,0))</f>
        <v>#N/A</v>
      </c>
      <c r="W47" s="271"/>
      <c r="X47" s="271">
        <f t="shared" ca="1" si="7"/>
        <v>0</v>
      </c>
      <c r="Y47" s="271"/>
      <c r="Z47" s="271"/>
      <c r="AB47" s="273" t="str">
        <f t="shared" si="8"/>
        <v/>
      </c>
    </row>
    <row r="48" spans="1:28" s="272" customFormat="1" ht="20.25">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6"/>
        <v/>
      </c>
      <c r="T48" s="222" t="str">
        <f ca="1">IF(B48="","",IF(ISERROR(MATCH($J48,SorP!$B$1:$B$6230,0)),"",INDIRECT("'SorP'!$A$"&amp;MATCH($J48,SorP!$B$1:$B$6230,0))))</f>
        <v/>
      </c>
      <c r="U48" s="238"/>
      <c r="V48" s="270" t="e">
        <f>IF(C48="",NA(),MATCH($B48&amp;$C48,'Smelter Look-up'!$J:$J,0))</f>
        <v>#N/A</v>
      </c>
      <c r="W48" s="271"/>
      <c r="X48" s="271">
        <f t="shared" ca="1" si="7"/>
        <v>0</v>
      </c>
      <c r="Y48" s="271"/>
      <c r="Z48" s="271"/>
      <c r="AB48" s="273" t="str">
        <f t="shared" si="8"/>
        <v/>
      </c>
    </row>
    <row r="49" spans="1:28" s="272" customFormat="1" ht="20.25">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6"/>
        <v/>
      </c>
      <c r="T49" s="222" t="str">
        <f ca="1">IF(B49="","",IF(ISERROR(MATCH($J49,SorP!$B$1:$B$6230,0)),"",INDIRECT("'SorP'!$A$"&amp;MATCH($J49,SorP!$B$1:$B$6230,0))))</f>
        <v/>
      </c>
      <c r="U49" s="238"/>
      <c r="V49" s="270" t="e">
        <f>IF(C49="",NA(),MATCH($B49&amp;$C49,'Smelter Look-up'!$J:$J,0))</f>
        <v>#N/A</v>
      </c>
      <c r="W49" s="271"/>
      <c r="X49" s="271">
        <f t="shared" ca="1" si="7"/>
        <v>0</v>
      </c>
      <c r="Y49" s="271"/>
      <c r="Z49" s="271"/>
      <c r="AB49" s="273" t="str">
        <f t="shared" si="8"/>
        <v/>
      </c>
    </row>
    <row r="50" spans="1:28" s="272" customFormat="1" ht="20.25">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6"/>
        <v/>
      </c>
      <c r="T50" s="222" t="str">
        <f ca="1">IF(B50="","",IF(ISERROR(MATCH($J50,SorP!$B$1:$B$6230,0)),"",INDIRECT("'SorP'!$A$"&amp;MATCH($J50,SorP!$B$1:$B$6230,0))))</f>
        <v/>
      </c>
      <c r="U50" s="238"/>
      <c r="V50" s="270" t="e">
        <f>IF(C50="",NA(),MATCH($B50&amp;$C50,'Smelter Look-up'!$J:$J,0))</f>
        <v>#N/A</v>
      </c>
      <c r="W50" s="271"/>
      <c r="X50" s="271">
        <f t="shared" ca="1" si="7"/>
        <v>0</v>
      </c>
      <c r="Y50" s="271"/>
      <c r="Z50" s="271"/>
      <c r="AB50" s="273" t="str">
        <f t="shared" si="8"/>
        <v/>
      </c>
    </row>
    <row r="51" spans="1:28" s="272" customFormat="1" ht="20.25">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6"/>
        <v/>
      </c>
      <c r="T51" s="222" t="str">
        <f ca="1">IF(B51="","",IF(ISERROR(MATCH($J51,SorP!$B$1:$B$6230,0)),"",INDIRECT("'SorP'!$A$"&amp;MATCH($J51,SorP!$B$1:$B$6230,0))))</f>
        <v/>
      </c>
      <c r="U51" s="238"/>
      <c r="V51" s="270" t="e">
        <f>IF(C51="",NA(),MATCH($B51&amp;$C51,'Smelter Look-up'!$J:$J,0))</f>
        <v>#N/A</v>
      </c>
      <c r="W51" s="271"/>
      <c r="X51" s="271">
        <f t="shared" ca="1" si="7"/>
        <v>0</v>
      </c>
      <c r="Y51" s="271"/>
      <c r="Z51" s="271"/>
      <c r="AB51" s="273" t="str">
        <f t="shared" si="8"/>
        <v/>
      </c>
    </row>
    <row r="52" spans="1:28" s="272" customFormat="1" ht="20.25">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25">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25">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25">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25">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25">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25">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25">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25">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25">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25">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25">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25">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25">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25">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6"/>
        <v/>
      </c>
      <c r="T66" s="222" t="str">
        <f ca="1">IF(B66="","",IF(ISERROR(MATCH($J66,SorP!$B$1:$B$6230,0)),"",INDIRECT("'SorP'!$A$"&amp;MATCH($J66,SorP!$B$1:$B$6230,0))))</f>
        <v/>
      </c>
      <c r="U66" s="238"/>
      <c r="V66" s="270" t="e">
        <f>IF(C66="",NA(),MATCH($B66&amp;$C66,'Smelter Look-up'!$J:$J,0))</f>
        <v>#N/A</v>
      </c>
      <c r="W66" s="271"/>
      <c r="X66" s="271">
        <f t="shared" ca="1" si="7"/>
        <v>0</v>
      </c>
      <c r="Y66" s="271"/>
      <c r="Z66" s="271"/>
      <c r="AB66" s="273" t="str">
        <f t="shared" si="8"/>
        <v/>
      </c>
    </row>
    <row r="67" spans="1:28" s="272" customFormat="1" ht="20.25">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6"/>
        <v/>
      </c>
      <c r="T67" s="222" t="str">
        <f ca="1">IF(B67="","",IF(ISERROR(MATCH($J67,SorP!$B$1:$B$6230,0)),"",INDIRECT("'SorP'!$A$"&amp;MATCH($J67,SorP!$B$1:$B$6230,0))))</f>
        <v/>
      </c>
      <c r="U67" s="238"/>
      <c r="V67" s="270" t="e">
        <f>IF(C67="",NA(),MATCH($B67&amp;$C67,'Smelter Look-up'!$J:$J,0))</f>
        <v>#N/A</v>
      </c>
      <c r="W67" s="271"/>
      <c r="X67" s="271">
        <f t="shared" ca="1" si="7"/>
        <v>0</v>
      </c>
      <c r="Y67" s="271"/>
      <c r="Z67" s="271"/>
      <c r="AB67" s="273" t="str">
        <f t="shared" si="8"/>
        <v/>
      </c>
    </row>
    <row r="68" spans="1:28" s="272" customFormat="1" ht="20.25">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6"/>
        <v/>
      </c>
      <c r="T68" s="222" t="str">
        <f ca="1">IF(B68="","",IF(ISERROR(MATCH($J68,SorP!$B$1:$B$6230,0)),"",INDIRECT("'SorP'!$A$"&amp;MATCH($J68,SorP!$B$1:$B$6230,0))))</f>
        <v/>
      </c>
      <c r="U68" s="238"/>
      <c r="V68" s="270" t="e">
        <f>IF(C68="",NA(),MATCH($B68&amp;$C68,'Smelter Look-up'!$J:$J,0))</f>
        <v>#N/A</v>
      </c>
      <c r="W68" s="271"/>
      <c r="X68" s="271">
        <f t="shared" ca="1" si="7"/>
        <v>0</v>
      </c>
      <c r="Y68" s="271"/>
      <c r="Z68" s="271"/>
      <c r="AB68" s="273" t="str">
        <f t="shared" si="8"/>
        <v/>
      </c>
    </row>
    <row r="69" spans="1:28" s="272" customFormat="1" ht="20.25">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70" t="e">
        <f>IF(C69="",NA(),MATCH($B69&amp;$C69,'Smelter Look-up'!$J:$J,0))</f>
        <v>#N/A</v>
      </c>
      <c r="W69" s="271"/>
      <c r="X69" s="271">
        <f t="shared" ref="X69" ca="1" si="10">IF(AND(C69="Smelter not listed",OR(LEN(D69)=0,LEN(E69)=0)),1,0)</f>
        <v>0</v>
      </c>
      <c r="Y69" s="271"/>
      <c r="Z69" s="271"/>
      <c r="AB69" s="273" t="str">
        <f t="shared" ref="AB69" si="11">B69&amp;C69</f>
        <v/>
      </c>
    </row>
    <row r="70" spans="1:28" s="272" customFormat="1" ht="20.25">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13">IF(AND(C70="Smelter not listed",OR(LEN(D70)=0,LEN(E70)=0)),1,0)</f>
        <v>0</v>
      </c>
      <c r="Y70" s="271"/>
      <c r="Z70" s="271"/>
      <c r="AB70" s="273" t="str">
        <f t="shared" ref="AB70:AB101" si="14">B70&amp;C70</f>
        <v/>
      </c>
    </row>
    <row r="71" spans="1:28" s="272" customFormat="1" ht="20.25">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25">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25">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25">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25">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25">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25">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25">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25">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25">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25">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25">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25">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25">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25">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25">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25">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25">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25">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25">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25">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25">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25">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25">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25">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25">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25">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25">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25">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25">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25">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25">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6">IF(AND(C102="Smelter not listed",OR(LEN(D102)=0,LEN(E102)=0)),1,0)</f>
        <v>0</v>
      </c>
      <c r="Y102" s="271"/>
      <c r="Z102" s="271"/>
      <c r="AB102" s="273" t="str">
        <f t="shared" ref="AB102:AB132" si="17">B102&amp;C102</f>
        <v/>
      </c>
    </row>
    <row r="103" spans="1:28" s="272" customFormat="1" ht="20.25">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25">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25">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25">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25">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25">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25">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25">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25">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25">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25">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25">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03D5373-DAB9-4576-9282-25DCE3C25FF5}"/>
    </customSheetView>
  </customSheetViews>
  <mergeCells count="3">
    <mergeCell ref="J2:O2"/>
    <mergeCell ref="B3:E3"/>
    <mergeCell ref="G3:I3"/>
  </mergeCells>
  <conditionalFormatting sqref="B586:B2504">
    <cfRule type="expression" dxfId="57" priority="38" stopIfTrue="1">
      <formula>IF(B586="",TRUE)</formula>
    </cfRule>
    <cfRule type="expression" dxfId="56" priority="49" stopIfTrue="1">
      <formula>IF(AND(COUNTIF(MetalSmelter,B586&amp;C586)=0,LEN(C586)&gt;0),TRUE,FALSE)</formula>
    </cfRule>
  </conditionalFormatting>
  <conditionalFormatting sqref="D586:D2504">
    <cfRule type="expression" dxfId="55" priority="32" stopIfTrue="1">
      <formula>IF(AND(LEN($C586)&gt;0,($C586&lt;&gt;"Smelter Not Listed")),1,0)</formula>
    </cfRule>
    <cfRule type="expression" dxfId="54" priority="57" stopIfTrue="1">
      <formula>IF(AND(D586="",$C586=$X$4),TRUE)</formula>
    </cfRule>
    <cfRule type="expression" dxfId="53" priority="58" stopIfTrue="1">
      <formula>IF(FIND("!",D586),TRUE)</formula>
    </cfRule>
  </conditionalFormatting>
  <conditionalFormatting sqref="G586:G2504">
    <cfRule type="expression" dxfId="52" priority="59" stopIfTrue="1">
      <formula>IF(FIND("Enter smelter details",G586),TRUE)</formula>
    </cfRule>
  </conditionalFormatting>
  <conditionalFormatting sqref="R586:R2505 E586:E2504">
    <cfRule type="expression" dxfId="51" priority="45" stopIfTrue="1">
      <formula>IF(AND(E586="",$C586=$X$4),TRUE)</formula>
    </cfRule>
    <cfRule type="expression" dxfId="50" priority="46" stopIfTrue="1">
      <formula>IF(FIND("!",E586),TRUE)</formula>
    </cfRule>
  </conditionalFormatting>
  <conditionalFormatting sqref="F586:F2504">
    <cfRule type="expression" dxfId="49" priority="36" stopIfTrue="1">
      <formula>IF(AND(LEN($A586)&gt;0,$A586&lt;&gt;$F586),TRUE,FALSE)</formula>
    </cfRule>
  </conditionalFormatting>
  <conditionalFormatting sqref="C586:C2504">
    <cfRule type="expression" dxfId="48" priority="35"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0" t="str">
        <f ca="1">OFFSET(L!$C$1,MATCH("Checker"&amp;ADDRESS(ROW(),COLUMN(),4),L!$A:$A,0)-1,SL,,)</f>
        <v>To ensure all required fields have been populated before submitting to your customers review form for any line items highlighted in red</v>
      </c>
      <c r="B1" s="450"/>
      <c r="C1" s="450"/>
      <c r="D1" s="146" t="str">
        <f ca="1">OFFSET(L!$C$1,MATCH("Checker"&amp;ADDRESS(ROW(),COLUMN(),4),L!$A:$A,0)-1,SL,,)</f>
        <v>Required fields remaining to be completed</v>
      </c>
      <c r="E1" s="84" t="s">
        <v>806</v>
      </c>
    </row>
    <row r="2" spans="1:10" ht="15">
      <c r="A2" s="77" t="s">
        <v>898</v>
      </c>
      <c r="B2" s="78" t="str">
        <f>IF(F65=1,"Click here to return to Smelter List","")</f>
        <v>Click here to return to Smelter List</v>
      </c>
      <c r="C2" s="150" t="str">
        <f>IF(F65=1,"Click here to return to Product List","")</f>
        <v>Click here to return to Product List</v>
      </c>
      <c r="D2" s="181">
        <f ca="1">IF(H70=0,"0",H70)</f>
        <v>52</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f>Declaration!D8</f>
        <v>0</v>
      </c>
      <c r="C4" s="102" t="str">
        <f t="shared" ref="C4" ca="1" si="0">IF(H4=1,J4,I4)</f>
        <v>Provide your company name on the Declaration tab cell D8</v>
      </c>
      <c r="D4" s="108" t="str">
        <f>IF(H4=1,"Click here to enter Company Name","")</f>
        <v>Click here to enter Company Name</v>
      </c>
      <c r="E4" s="84" t="s">
        <v>1307</v>
      </c>
      <c r="F4" s="106">
        <v>1</v>
      </c>
      <c r="G4" s="81">
        <f t="shared" ref="G4" si="1">IF(B4=0,1,0)</f>
        <v>1</v>
      </c>
      <c r="H4" s="82">
        <f>F4*G4</f>
        <v>1</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f>Declaration!D9</f>
        <v>0</v>
      </c>
      <c r="C5" s="102" t="str">
        <f ca="1">IF(H5=1,J5,I5)</f>
        <v>Select the scope of declaration on the Declaration tab cell D9</v>
      </c>
      <c r="D5" s="108" t="str">
        <f>IF(H5=1,"Click here to enter Declaration Scope","")</f>
        <v>Click here to enter Declaration Scope</v>
      </c>
      <c r="E5" s="84" t="s">
        <v>1307</v>
      </c>
      <c r="F5" s="106">
        <v>1</v>
      </c>
      <c r="G5" s="81">
        <f>IF(B5=0,1,0)</f>
        <v>1</v>
      </c>
      <c r="H5" s="82">
        <f t="shared" ref="H5" si="2">F5*G5</f>
        <v>1</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f>Declaration!D15</f>
        <v>0</v>
      </c>
      <c r="C7" s="102" t="str">
        <f ca="1">IF(H7=1,J7,I7)</f>
        <v>Provide contact name in Declaration tab cell D15</v>
      </c>
      <c r="D7" s="108" t="str">
        <f>IF(H7=1,"Click here to enter Contact Name","")</f>
        <v>Click here to enter Contact Name</v>
      </c>
      <c r="E7" s="84" t="s">
        <v>1307</v>
      </c>
      <c r="F7" s="149">
        <v>1</v>
      </c>
      <c r="G7" s="81">
        <f>IF(B7=0,1,0)</f>
        <v>1</v>
      </c>
      <c r="H7" s="82">
        <f t="shared" si="3"/>
        <v>1</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f>Declaration!D16</f>
        <v>0</v>
      </c>
      <c r="C8" s="102" t="str">
        <f ca="1">IF(H8=1,J8,I8)</f>
        <v>Provide a valid email for contact in Declaration tab cell D16</v>
      </c>
      <c r="D8" s="108" t="str">
        <f>IF(H8=1,"Click here to enter Email-Contact","")</f>
        <v>Click here to enter Email-Contact</v>
      </c>
      <c r="E8" s="84" t="s">
        <v>1307</v>
      </c>
      <c r="F8" s="149">
        <v>1</v>
      </c>
      <c r="G8" s="81">
        <f>IF(ISNUMBER(SEARCH("@",B8)),0,1)</f>
        <v>1</v>
      </c>
      <c r="H8" s="82">
        <f t="shared" si="3"/>
        <v>1</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f>Declaration!D17</f>
        <v>0</v>
      </c>
      <c r="C9" s="102" t="str">
        <f ca="1">IF(H9=1,J9,I9)</f>
        <v>Provide a phone number for contact in Declaration tab cell D17</v>
      </c>
      <c r="D9" s="108" t="str">
        <f>IF(H9=1,"Click here to enter Phone-Contact","")</f>
        <v>Click here to enter Phone-Contact</v>
      </c>
      <c r="E9" s="84" t="s">
        <v>1307</v>
      </c>
      <c r="F9" s="149">
        <v>1</v>
      </c>
      <c r="G9" s="81">
        <f>IF(B9=0,1,0)</f>
        <v>1</v>
      </c>
      <c r="H9" s="82">
        <f t="shared" si="3"/>
        <v>1</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f>Declaration!D18</f>
        <v>0</v>
      </c>
      <c r="C10" s="102" t="str">
        <f t="shared" ref="C10" ca="1" si="4">IF(H10=1,J10,I10)</f>
        <v>Provide authorized company representative contact name in Declaration tab cell D18</v>
      </c>
      <c r="D10" s="108" t="str">
        <f>IF(H10=1,"Click here to enter an Authorized Company Representative's name","")</f>
        <v>Click here to enter an Authorized Company Representative's name</v>
      </c>
      <c r="E10" s="84" t="s">
        <v>1307</v>
      </c>
      <c r="F10" s="106">
        <v>1</v>
      </c>
      <c r="G10" s="81">
        <f t="shared" ref="G10" si="5">IF(B10=0,1,0)</f>
        <v>1</v>
      </c>
      <c r="H10" s="82">
        <f t="shared" si="3"/>
        <v>1</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f>Declaration!D20</f>
        <v>0</v>
      </c>
      <c r="C11" s="102" t="str">
        <f ca="1">IF(H11=1,J11,I11)</f>
        <v>Provide an email for authorized company representative on Declaration tab cell D20</v>
      </c>
      <c r="D11" s="108" t="str">
        <f>IF(H11=1,"Click here to enter Representative's email","")</f>
        <v>Click here to enter Representative's email</v>
      </c>
      <c r="E11" s="84" t="s">
        <v>1307</v>
      </c>
      <c r="F11" s="106">
        <v>1</v>
      </c>
      <c r="G11" s="81">
        <f>IF(ISNUMBER(SEARCH("@",B11)),0,1)</f>
        <v>1</v>
      </c>
      <c r="H11" s="82">
        <f t="shared" si="3"/>
        <v>1</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0</v>
      </c>
      <c r="C12" s="102" t="str">
        <f ca="1">IF(H12=1,J12,I12)</f>
        <v>Provide date the form was completed on Declaration tab cell D22</v>
      </c>
      <c r="D12" s="108" t="str">
        <f>IF(H12=1,"Click here to enter Date of Completion","")</f>
        <v>Click here to enter Date of Completion</v>
      </c>
      <c r="E12" s="84" t="s">
        <v>1307</v>
      </c>
      <c r="F12" s="106">
        <v>1</v>
      </c>
      <c r="G12" s="81">
        <f>IF(B12=0,1,0)</f>
        <v>1</v>
      </c>
      <c r="H12" s="82">
        <f t="shared" si="3"/>
        <v>1</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Tantalum  (*)</v>
      </c>
      <c r="B14" s="102">
        <f>Declaration!D26</f>
        <v>0</v>
      </c>
      <c r="C14" s="102" t="str">
        <f ca="1">IF(H14=1,J14,I14)</f>
        <v>Declare if Tantalum is intentionally added to your products on Declaration tab cell D26</v>
      </c>
      <c r="D14" s="108" t="str">
        <f>IF(H14=1,"Click here to answer question 1 for Tantalum","")</f>
        <v>Click here to answer question 1 for Tantalum</v>
      </c>
      <c r="E14" s="84" t="s">
        <v>806</v>
      </c>
      <c r="F14" s="106">
        <v>1</v>
      </c>
      <c r="G14" s="81">
        <f>IF(B14=0,1,0)</f>
        <v>1</v>
      </c>
      <c r="H14" s="82">
        <f t="shared" si="3"/>
        <v>1</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f>Declaration!D27</f>
        <v>0</v>
      </c>
      <c r="C15" s="102" t="str">
        <f ca="1">IF(H15=1,J15,I15)</f>
        <v>Declare if Tin is intentionally added to your products on Declaration tab cell D27</v>
      </c>
      <c r="D15" s="108" t="str">
        <f>IF(H15=1,"Click here to answer question 1 for Tin","")</f>
        <v>Click here to answer question 1 for Tin</v>
      </c>
      <c r="E15" s="84" t="s">
        <v>807</v>
      </c>
      <c r="F15" s="106">
        <v>1</v>
      </c>
      <c r="G15" s="81">
        <f>IF(B15=0,1,0)</f>
        <v>1</v>
      </c>
      <c r="H15" s="82">
        <f t="shared" si="3"/>
        <v>1</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f>Declaration!D28</f>
        <v>0</v>
      </c>
      <c r="C16" s="102" t="str">
        <f ca="1">IF(H16=1,J16,I16)</f>
        <v>Declare if Gold is intentionally added to your products on Declaration tab cell D28</v>
      </c>
      <c r="D16" s="108" t="str">
        <f>IF(H16=1,"Click here to answer question 1 for Gold","")</f>
        <v>Click here to answer question 1 for Gold</v>
      </c>
      <c r="E16" s="84" t="s">
        <v>807</v>
      </c>
      <c r="F16" s="106">
        <v>1</v>
      </c>
      <c r="G16" s="81">
        <f>IF(B16=0,1,0)</f>
        <v>1</v>
      </c>
      <c r="H16" s="82">
        <f t="shared" si="3"/>
        <v>1</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Tungsten  (*)</v>
      </c>
      <c r="B17" s="102">
        <f>Declaration!D29</f>
        <v>0</v>
      </c>
      <c r="C17" s="102" t="str">
        <f ca="1">IF(H17=1,J17,I17)</f>
        <v>Declare if Tungsten is intentionally added to your products on Declaration tab cell D29</v>
      </c>
      <c r="D17" s="108" t="str">
        <f>IF(H17=1,"Click here to answer question 1 for Tungsten","")</f>
        <v>Click here to answer question 1 for Tungsten</v>
      </c>
      <c r="E17" s="84" t="s">
        <v>807</v>
      </c>
      <c r="F17" s="106">
        <v>1</v>
      </c>
      <c r="G17" s="81">
        <f>IF(B17=0,1,0)</f>
        <v>1</v>
      </c>
      <c r="H17" s="82">
        <f t="shared" si="3"/>
        <v>1</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Tantalum  (*)</v>
      </c>
      <c r="B19" s="102">
        <f>IF($B$14="Yes",Declaration!D32,0)</f>
        <v>0</v>
      </c>
      <c r="C19" s="102" t="str">
        <f ca="1">IF(H19=1,J19,I19)</f>
        <v>Declare if Tantalum is necessary to the production of your products and contained within the finished products declared in Declaration tab cell D32</v>
      </c>
      <c r="D19" s="110" t="str">
        <f>IF(H19=1,"Click here to answer question 2 for Tantalum","")</f>
        <v>Click here to answer question 2 for Tantalum</v>
      </c>
      <c r="E19" s="84" t="s">
        <v>807</v>
      </c>
      <c r="F19" s="107">
        <f>IF(B$14="No",0,1)</f>
        <v>1</v>
      </c>
      <c r="G19" s="81">
        <f>IF(B19=0,1,0)</f>
        <v>1</v>
      </c>
      <c r="H19" s="82">
        <f>F19*G19</f>
        <v>1</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f>IF($B$15="Yes",Declaration!D33,0)</f>
        <v>0</v>
      </c>
      <c r="C20" s="102" t="str">
        <f ca="1">IF(H20=1,J20,I20)</f>
        <v>Declare if Tin is necessary to the production of your products and contained within the finished products declared in Declaration tab cell D33</v>
      </c>
      <c r="D20" s="110" t="str">
        <f>IF(H20=1,"Click here to answer question 2 for Tin","")</f>
        <v>Click here to answer question 2 for Tin</v>
      </c>
      <c r="E20" s="84" t="s">
        <v>807</v>
      </c>
      <c r="F20" s="107">
        <f>IF(B$15="No",0,1)</f>
        <v>1</v>
      </c>
      <c r="G20" s="81">
        <f>IF(B20=0,1,0)</f>
        <v>1</v>
      </c>
      <c r="H20" s="82">
        <f>F20*G20</f>
        <v>1</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f>IF($B$16="Yes",Declaration!D34,0)</f>
        <v>0</v>
      </c>
      <c r="C21" s="102" t="str">
        <f ca="1">IF(H21=1,J21,I21)</f>
        <v>Declare if Gold is necessary to the production of your products and contained within the finished products declared in Declaration tab cell D34</v>
      </c>
      <c r="D21" s="110" t="str">
        <f>IF(H21=1,"Click here to answer question 2 for Gold","")</f>
        <v>Click here to answer question 2 for Gold</v>
      </c>
      <c r="E21" s="84" t="s">
        <v>807</v>
      </c>
      <c r="F21" s="107">
        <f>IF(B$16="No",0,1)</f>
        <v>1</v>
      </c>
      <c r="G21" s="81">
        <f>IF(B21=0,1,0)</f>
        <v>1</v>
      </c>
      <c r="H21" s="82">
        <f>F21*G21</f>
        <v>1</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f>IF($B$17="Yes",Declaration!D35,0)</f>
        <v>0</v>
      </c>
      <c r="C22" s="102" t="str">
        <f ca="1">IF(H22=1,J22,I22)</f>
        <v>Declare if Tungsten is necessary to the production of your products and contained within the finished products declared in Declaration tab cell D35</v>
      </c>
      <c r="D22" s="110" t="str">
        <f>IF(H22=1,"Click here to answer question 2 for Tungsten","")</f>
        <v>Click here to answer question 2 for Tungsten</v>
      </c>
      <c r="E22" s="84" t="s">
        <v>807</v>
      </c>
      <c r="F22" s="107">
        <f>IF(B$17="No",0,1)</f>
        <v>1</v>
      </c>
      <c r="G22" s="81">
        <f>IF(B22=0,1,0)</f>
        <v>1</v>
      </c>
      <c r="H22" s="82">
        <f>F22*G22</f>
        <v>1</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Tantalum  (*)</v>
      </c>
      <c r="B24" s="102">
        <f>IF(AND($B$14="Yes",$B$19="Yes"),Declaration!D38,0)</f>
        <v>0</v>
      </c>
      <c r="C24" s="102" t="str">
        <f ca="1">IF(H24=1,J24,I24)</f>
        <v>Declare if Tantalum used within the scope of products declared within this survey response originated from the DRC or an adjoining Country on the Declaration tab cell D38</v>
      </c>
      <c r="D24" s="110" t="str">
        <f>IF(H24=1,"Click here to answer question 3 for Tantalum","")</f>
        <v>Click here to answer question 3 for Tantalum</v>
      </c>
      <c r="E24" s="84" t="s">
        <v>807</v>
      </c>
      <c r="F24" s="107">
        <f>IF(OR(B14="No",B19="No"),0,1)</f>
        <v>1</v>
      </c>
      <c r="G24" s="81">
        <f t="shared" ref="G24" si="6">IF(B24=0,1,0)</f>
        <v>1</v>
      </c>
      <c r="H24" s="82">
        <f t="shared" ref="H24" si="7">F24*G24</f>
        <v>1</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f>IF(AND($B$15="Yes",$B$20="Yes"),Declaration!D39,0)</f>
        <v>0</v>
      </c>
      <c r="C25" s="102" t="str">
        <f ca="1">IF(H25=1,J25,I25)</f>
        <v>Declare if Tin used within the scope of products declared within this survey response originated from the DRC or an adjoining Country on the Declaration tab cell D39</v>
      </c>
      <c r="D25" s="110" t="str">
        <f>IF(H25=1,"Click here to answer question 3 for Tin","")</f>
        <v>Click here to answer question 3 for Tin</v>
      </c>
      <c r="E25" s="84" t="s">
        <v>807</v>
      </c>
      <c r="F25" s="107">
        <f>IF(OR(B15="No",B20="No"),0,1)</f>
        <v>1</v>
      </c>
      <c r="G25" s="81">
        <f>IF(B25=0,1,0)</f>
        <v>1</v>
      </c>
      <c r="H25" s="82">
        <f>F25*G25</f>
        <v>1</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f>IF(AND($B$16="Yes",$B$21="Yes"),Declaration!D40,0)</f>
        <v>0</v>
      </c>
      <c r="C26" s="102" t="str">
        <f ca="1">IF(H26=1,J26,I26)</f>
        <v>Declare if Gold used within the scope of products declared within this survey response originated from the DRC or an adjoining Country on the Declaration tab cell D40</v>
      </c>
      <c r="D26" s="110" t="str">
        <f>IF(H26=1,"Click here to answer question 3 for Gold","")</f>
        <v>Click here to answer question 3 for Gold</v>
      </c>
      <c r="E26" s="84" t="s">
        <v>807</v>
      </c>
      <c r="F26" s="107">
        <f>IF(OR(B16="No",B21="No"),0,1)</f>
        <v>1</v>
      </c>
      <c r="G26" s="81">
        <f>IF(B26=0,1,0)</f>
        <v>1</v>
      </c>
      <c r="H26" s="82">
        <f>F26*G26</f>
        <v>1</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f>IF(AND($B$17="Yes",$B$22="Yes"),Declaration!D41,0)</f>
        <v>0</v>
      </c>
      <c r="C27" s="102" t="str">
        <f ca="1">IF(H27=1,J27,I27)</f>
        <v>Declare if Tungsten used within the scope of products declared within this survey response originated from the DRC or an adjoining Country on the Declaration tab cell D41</v>
      </c>
      <c r="D27" s="110" t="str">
        <f>IF(H27=1,"Click here to answer question 3 for Tungsten","")</f>
        <v>Click here to answer question 3 for Tungsten</v>
      </c>
      <c r="E27" s="84" t="s">
        <v>807</v>
      </c>
      <c r="F27" s="107">
        <f>IF(OR(B17="No",B22="No"),0,1)</f>
        <v>1</v>
      </c>
      <c r="G27" s="81">
        <f>IF(B27=0,1,0)</f>
        <v>1</v>
      </c>
      <c r="H27" s="82">
        <f>F27*G27</f>
        <v>1</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Tantalum  (*)</v>
      </c>
      <c r="B29" s="102">
        <f>IF(AND($B$14="Yes",$B$19="Yes"),Declaration!D44,0)</f>
        <v>0</v>
      </c>
      <c r="C29" s="102" t="str">
        <f ca="1">IF(H29=1,J29,I29)</f>
        <v>Declare if Tantalum used within the scope of products declared within this survey response originated from a conflict-affected and high-risk area on the Declaration tab cell D44</v>
      </c>
      <c r="D29" s="322" t="str">
        <f>IF(H29=1,"Click here to answer question 4 for Tantalum","")</f>
        <v>Click here to answer question 4 for Tantalum</v>
      </c>
      <c r="E29" s="84"/>
      <c r="F29" s="107">
        <f>F24</f>
        <v>1</v>
      </c>
      <c r="G29" s="81">
        <f t="shared" ref="G29" si="8">IF(B29=0,1,0)</f>
        <v>1</v>
      </c>
      <c r="H29" s="82">
        <f t="shared" ref="H29" si="9">F29*G29</f>
        <v>1</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f>IF(AND($B$15="Yes",$B$20="Yes"),Declaration!D45,0)</f>
        <v>0</v>
      </c>
      <c r="C30" s="102" t="str">
        <f ca="1">IF(H30=1,J30,I30)</f>
        <v>Declare if Tin used within the scope of products declared within this survey response originated from a conflict-affected and high-risk area on the Declaration tab cell D45</v>
      </c>
      <c r="D30" s="322" t="str">
        <f>IF(H30=1,"Click here to answer question 4 for Tin","")</f>
        <v>Click here to answer question 4 for Tin</v>
      </c>
      <c r="E30" s="84"/>
      <c r="F30" s="107">
        <f>F25</f>
        <v>1</v>
      </c>
      <c r="G30" s="81">
        <f>IF(B30=0,1,0)</f>
        <v>1</v>
      </c>
      <c r="H30" s="82">
        <f>F30*G30</f>
        <v>1</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f>IF(AND($B$16="Yes",$B$21="Yes"),Declaration!D46,0)</f>
        <v>0</v>
      </c>
      <c r="C31" s="102" t="str">
        <f ca="1">IF(H31=1,J31,I31)</f>
        <v>Declare if Gold used within the scope of products declared within this survey response originated from a conflict-affected and high-risk area on the Declaration tab cell D46</v>
      </c>
      <c r="D31" s="322" t="str">
        <f>IF(H31=1,"Click here to answer question 4 for Gold","")</f>
        <v>Click here to answer question 4 for Gold</v>
      </c>
      <c r="E31" s="84"/>
      <c r="F31" s="107">
        <f>F26</f>
        <v>1</v>
      </c>
      <c r="G31" s="81">
        <f>IF(B31=0,1,0)</f>
        <v>1</v>
      </c>
      <c r="H31" s="82">
        <f>F31*G31</f>
        <v>1</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f>IF(AND($B$17="Yes",$B$22="Yes"),Declaration!D47,0)</f>
        <v>0</v>
      </c>
      <c r="C32" s="102" t="str">
        <f ca="1">IF(H32=1,J32,I32)</f>
        <v>Declare if Tungsten used within the scope of products declared within this survey response originated from a conflict-affected and high-risk area on the Declaration tab cell D47</v>
      </c>
      <c r="D32" s="322" t="str">
        <f>IF(H32=1,"Click here to answer question 4 for Tungsten","")</f>
        <v>Click here to answer question 4 for Tungsten</v>
      </c>
      <c r="E32" s="84"/>
      <c r="F32" s="107">
        <f>F27</f>
        <v>1</v>
      </c>
      <c r="G32" s="81">
        <f>IF(B32=0,1,0)</f>
        <v>1</v>
      </c>
      <c r="H32" s="82">
        <f>F32*G32</f>
        <v>1</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51">
      <c r="A34" s="103" t="str">
        <f ca="1">Declaration!B50</f>
        <v>Tantalum  (*)</v>
      </c>
      <c r="B34" s="102">
        <f>IF(AND($B$14="Yes",$B$19="Yes"),Declaration!D50,0)</f>
        <v>0</v>
      </c>
      <c r="C34" s="102" t="str">
        <f ca="1">IF(H34=1,J34,I34)</f>
        <v>Declare if Tantalum used within the scope of products declared within this survey response originated entirely from a recycled or scrap source on the Declaration tab cell D44</v>
      </c>
      <c r="D34" s="322" t="str">
        <f>IF(H34=1,"Click here to answer question 5 for Tantalum","")</f>
        <v>Click here to answer question 5 for Tantalum</v>
      </c>
      <c r="E34" s="84" t="s">
        <v>1307</v>
      </c>
      <c r="F34" s="107">
        <f>F24</f>
        <v>1</v>
      </c>
      <c r="G34" s="81">
        <f>IF(B34=0,1,0)</f>
        <v>1</v>
      </c>
      <c r="H34" s="82">
        <f>F34*G34</f>
        <v>1</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f>IF(AND($B$15="Yes",$B$20="Yes"),Declaration!D51,0)</f>
        <v>0</v>
      </c>
      <c r="C35" s="102" t="str">
        <f ca="1">IF(H35=1,J35,I35)</f>
        <v>Declare if Tin used within the scope of products declared within this survey response originated entirely from a recycled or scrap source on the Declaration tab cell D45</v>
      </c>
      <c r="D35" s="322" t="str">
        <f>IF(H35=1,"Click here to answer question 5 for Tin","")</f>
        <v>Click here to answer question 5 for Tin</v>
      </c>
      <c r="E35" s="84" t="s">
        <v>1307</v>
      </c>
      <c r="F35" s="107">
        <f>F25</f>
        <v>1</v>
      </c>
      <c r="G35" s="81">
        <f>IF(B35=0,1,0)</f>
        <v>1</v>
      </c>
      <c r="H35" s="82">
        <f>F35*G35</f>
        <v>1</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f>IF(AND($B$16="Yes",$B$21="Yes"),Declaration!D52,0)</f>
        <v>0</v>
      </c>
      <c r="C36" s="102" t="str">
        <f ca="1">IF(H36=1,J36,I36)</f>
        <v>Declare if Gold used within the scope of products declared within this survey response originated entirely from a recycled or scrap source on the Declaration tab cell D46</v>
      </c>
      <c r="D36" s="322" t="str">
        <f>IF(H36=1,"Click here to answer question 5 for Gold","")</f>
        <v>Click here to answer question 5 for Gold</v>
      </c>
      <c r="E36" s="84" t="s">
        <v>1307</v>
      </c>
      <c r="F36" s="107">
        <f>F26</f>
        <v>1</v>
      </c>
      <c r="G36" s="81">
        <f>IF(B36=0,1,0)</f>
        <v>1</v>
      </c>
      <c r="H36" s="82">
        <f>F36*G36</f>
        <v>1</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51">
      <c r="A37" s="103" t="str">
        <f ca="1">Declaration!B53</f>
        <v>Tungsten  (*)</v>
      </c>
      <c r="B37" s="102">
        <f>IF(AND($B$17="Yes",$B$22="Yes"),Declaration!D53,0)</f>
        <v>0</v>
      </c>
      <c r="C37" s="102" t="str">
        <f ca="1">IF(H37=1,J37,I37)</f>
        <v>Declare if Tungsten used within the scope of products declared within this survey response originated entirely from a recycled or scrap source on the Declaration tab cell D47</v>
      </c>
      <c r="D37" s="322" t="str">
        <f>IF(H37=1,"Click here to answer question 5 for Tungsten","")</f>
        <v>Click here to answer question 5 for Tungsten</v>
      </c>
      <c r="E37" s="84" t="s">
        <v>1307</v>
      </c>
      <c r="F37" s="107">
        <f>F27</f>
        <v>1</v>
      </c>
      <c r="G37" s="81">
        <f>IF(B37=0,1,0)</f>
        <v>1</v>
      </c>
      <c r="H37" s="82">
        <f>F37*G37</f>
        <v>1</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Tantalum  (*)</v>
      </c>
      <c r="B39" s="341">
        <f>IF(AND($B$14="Yes",$B$19="Yes"),Declaration!D56,0)</f>
        <v>0</v>
      </c>
      <c r="C39" s="102" t="str">
        <f ca="1">IF(H39=1,J39,I39)</f>
        <v>Provide % of completeness of supplier's smelter information on Declaration tab cell D50</v>
      </c>
      <c r="D39" s="323" t="str">
        <f>IF(H39=1,"Click here to answer question 6 for Tantalum","")</f>
        <v>Click here to answer question 6 for Tantalum</v>
      </c>
      <c r="E39" s="84" t="s">
        <v>806</v>
      </c>
      <c r="F39" s="107">
        <f>F24</f>
        <v>1</v>
      </c>
      <c r="G39" s="81">
        <f>IF(B39=0,1,0)</f>
        <v>1</v>
      </c>
      <c r="H39" s="82">
        <f>F39*G39</f>
        <v>1</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1">
        <f>IF(AND($B$15="Yes",$B$20="Yes"),Declaration!D57,0)</f>
        <v>0</v>
      </c>
      <c r="C40" s="102" t="str">
        <f ca="1">IF(H40=1,J40,I40)</f>
        <v>Provide % of completeness of supplier's smelter information on Declaration tab cell D51</v>
      </c>
      <c r="D40" s="323" t="str">
        <f>IF(H40=1,"Click here to answer question 6 for Tin","")</f>
        <v>Click here to answer question 6 for Tin</v>
      </c>
      <c r="E40" s="84" t="s">
        <v>806</v>
      </c>
      <c r="F40" s="107">
        <f>F25</f>
        <v>1</v>
      </c>
      <c r="G40" s="81">
        <f>IF(B40=0,1,0)</f>
        <v>1</v>
      </c>
      <c r="H40" s="82">
        <f>F40*G40</f>
        <v>1</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1">
        <f>IF(AND($B$16="Yes",$B$21="Yes"),Declaration!D58,0)</f>
        <v>0</v>
      </c>
      <c r="C41" s="102" t="str">
        <f ca="1">IF(H41=1,J41,I41)</f>
        <v>Provide % of completeness of supplier's smelter information on Declaration tab cell D52</v>
      </c>
      <c r="D41" s="323" t="str">
        <f>IF(H41=1,"Click here to answer question 6 for Gold","")</f>
        <v>Click here to answer question 6 for Gold</v>
      </c>
      <c r="E41" s="84" t="s">
        <v>806</v>
      </c>
      <c r="F41" s="107">
        <f>F26</f>
        <v>1</v>
      </c>
      <c r="G41" s="81">
        <f>IF(B41=0,1,0)</f>
        <v>1</v>
      </c>
      <c r="H41" s="82">
        <f>F41*G41</f>
        <v>1</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341">
        <f>IF(AND($B$17="Yes",$B$22="Yes"),Declaration!D59,0)</f>
        <v>0</v>
      </c>
      <c r="C42" s="102" t="str">
        <f ca="1">IF(H42=1,J42,I42)</f>
        <v>Provide % of completeness of supplier's smelter information on Declaration tab cell D53</v>
      </c>
      <c r="D42" s="323" t="str">
        <f>IF(H42=1,"Click here to answer question 6 for Tungsten","")</f>
        <v>Click here to answer question 6 for Tungsten</v>
      </c>
      <c r="E42" s="84" t="s">
        <v>806</v>
      </c>
      <c r="F42" s="107">
        <f>F27</f>
        <v>1</v>
      </c>
      <c r="G42" s="81">
        <f>IF(B42=0,1,0)</f>
        <v>1</v>
      </c>
      <c r="H42" s="82">
        <f>F42*G42</f>
        <v>1</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Tantalum  (*)</v>
      </c>
      <c r="B44" s="102">
        <f>IF(AND($B$14="Yes",$B$19="Yes"),Declaration!D62,0)</f>
        <v>0</v>
      </c>
      <c r="C44" s="102" t="str">
        <f ca="1">IF(H44=1,J44,I44)</f>
        <v>Declare if all smelter names have been provided in this survey response under the scope of products declared on the Declaration tab cell D56</v>
      </c>
      <c r="D44" s="322" t="str">
        <f>IF(H44=1,"Click here to answer question 7 for Tantalum","")</f>
        <v>Click here to answer question 7 for Tantalum</v>
      </c>
      <c r="E44" s="84" t="s">
        <v>1303</v>
      </c>
      <c r="F44" s="107">
        <f>F24</f>
        <v>1</v>
      </c>
      <c r="G44" s="81">
        <f>IF(B44=0,1,0)</f>
        <v>1</v>
      </c>
      <c r="H44" s="82">
        <f>F44*G44</f>
        <v>1</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f>IF(AND($B$15="Yes",$B$20="Yes"),Declaration!D63,0)</f>
        <v>0</v>
      </c>
      <c r="C45" s="102" t="str">
        <f ca="1">IF(H45=1,J45,I45)</f>
        <v>Declare if all smelter names have been provided in this survey response under the scope of products declared on the Declaration tab cell D57</v>
      </c>
      <c r="D45" s="322" t="str">
        <f>IF(H45=1,"Click here to answer question 7 for Tin","")</f>
        <v>Click here to answer question 7 for Tin</v>
      </c>
      <c r="E45" s="84" t="s">
        <v>1303</v>
      </c>
      <c r="F45" s="107">
        <f>F25</f>
        <v>1</v>
      </c>
      <c r="G45" s="81">
        <f>IF(B45=0,1,0)</f>
        <v>1</v>
      </c>
      <c r="H45" s="82">
        <f>F45*G45</f>
        <v>1</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f>IF(AND($B$16="Yes",$B$21="Yes"),Declaration!D64,0)</f>
        <v>0</v>
      </c>
      <c r="C46" s="102" t="str">
        <f ca="1">IF(H46=1,J46,I46)</f>
        <v>Declare if all smelter names have been provided in this survey response under the scope of products declared on the Declaration tab cell D58</v>
      </c>
      <c r="D46" s="322" t="str">
        <f>IF(H46=1,"Click here to answer question 7 for Gold","")</f>
        <v>Click here to answer question 7 for Gold</v>
      </c>
      <c r="E46" s="84" t="s">
        <v>1303</v>
      </c>
      <c r="F46" s="107">
        <f>F26</f>
        <v>1</v>
      </c>
      <c r="G46" s="81">
        <f>IF(B46=0,1,0)</f>
        <v>1</v>
      </c>
      <c r="H46" s="82">
        <f>F46*G46</f>
        <v>1</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f>IF(AND($B$17="Yes",$B$22="Yes"),Declaration!D65,0)</f>
        <v>0</v>
      </c>
      <c r="C47" s="102" t="str">
        <f ca="1">IF(H47=1,J47,I47)</f>
        <v>Declare if all smelter names have been provided in this survey response which the scope of products declared on the Declaration tab cell D59</v>
      </c>
      <c r="D47" s="322" t="str">
        <f>IF(H47=1,"Click here to answer question 7 for Tungsten","")</f>
        <v>Click here to answer question 7 for Tungsten</v>
      </c>
      <c r="E47" s="84" t="s">
        <v>1303</v>
      </c>
      <c r="F47" s="107">
        <f>F27</f>
        <v>1</v>
      </c>
      <c r="G47" s="81">
        <f>IF(B47=0,1,0)</f>
        <v>1</v>
      </c>
      <c r="H47" s="82">
        <f>F47*G47</f>
        <v>1</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Tantalum  (*)</v>
      </c>
      <c r="B49" s="102">
        <f>IF(AND($B$14="Yes",$B$19="Yes"),Declaration!D68,0)</f>
        <v>0</v>
      </c>
      <c r="C49" s="102" t="str">
        <f ca="1">IF(H49=1,J49,I49)</f>
        <v>Declare if all applicable Tantalum smelter information has been provided on Declaration tab cell D62</v>
      </c>
      <c r="D49" s="323" t="str">
        <f>IF(H49=1,"Click here to answer question 8 for Tantalum","")</f>
        <v>Click here to answer question 8 for Tantalum</v>
      </c>
      <c r="E49" s="84" t="s">
        <v>807</v>
      </c>
      <c r="F49" s="107">
        <f>F24</f>
        <v>1</v>
      </c>
      <c r="G49" s="81">
        <f>IF(B49=0,1,0)</f>
        <v>1</v>
      </c>
      <c r="H49" s="82">
        <f>F49*G49</f>
        <v>1</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f>IF(AND($B$15="Yes",$B$20="Yes"),Declaration!D69,0)</f>
        <v>0</v>
      </c>
      <c r="C50" s="102" t="str">
        <f ca="1">IF(H50=1,J50,I50)</f>
        <v>Declare if all applicable Tin smelter information has been provided on Declaration tab cell D63</v>
      </c>
      <c r="D50" s="323" t="str">
        <f>IF(H50=1,"Click here to answer question 8 for Tin","")</f>
        <v>Click here to answer question 8 for Tin</v>
      </c>
      <c r="E50" s="84" t="s">
        <v>807</v>
      </c>
      <c r="F50" s="107">
        <f>F25</f>
        <v>1</v>
      </c>
      <c r="G50" s="81">
        <f>IF(B50=0,1,0)</f>
        <v>1</v>
      </c>
      <c r="H50" s="82">
        <f>F50*G50</f>
        <v>1</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f>IF(AND($B$16="Yes",$B$21="Yes"),Declaration!D70,0)</f>
        <v>0</v>
      </c>
      <c r="C51" s="102" t="str">
        <f ca="1">IF(H51=1,J51,I51)</f>
        <v>Declare if all applicable Gold smelter information has been provided on Declaration tab cell D64</v>
      </c>
      <c r="D51" s="323" t="str">
        <f>IF(H51=1,"Click here to answer question 8 for Gold","")</f>
        <v>Click here to answer question 8 for Gold</v>
      </c>
      <c r="E51" s="84" t="s">
        <v>807</v>
      </c>
      <c r="F51" s="107">
        <f>F26</f>
        <v>1</v>
      </c>
      <c r="G51" s="81">
        <f>IF(B51=0,1,0)</f>
        <v>1</v>
      </c>
      <c r="H51" s="82">
        <f>F51*G51</f>
        <v>1</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f>IF(AND($B$17="Yes",$B$22="Yes"),Declaration!D71,0)</f>
        <v>0</v>
      </c>
      <c r="C52" s="102" t="str">
        <f ca="1">IF(H52=1,J52,I52)</f>
        <v>Declare if all applicable Tungsten smelter information has been provided on Declaration tab cell D65</v>
      </c>
      <c r="D52" s="323" t="str">
        <f>IF(H52=1,"Click here to answer question 8 for Tungsten","")</f>
        <v>Click here to answer question 8 for Tungsten</v>
      </c>
      <c r="E52" s="84" t="s">
        <v>807</v>
      </c>
      <c r="F52" s="107">
        <f>F27</f>
        <v>1</v>
      </c>
      <c r="G52" s="81">
        <f>IF(B52=0,1,0)</f>
        <v>1</v>
      </c>
      <c r="H52" s="82">
        <f>F52*G52</f>
        <v>1</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f>Declaration!D75</f>
        <v>0</v>
      </c>
      <c r="C54" s="102" t="str">
        <f t="shared" ref="C54:C60" ca="1" si="10">IF(H54=1,J54,I54)</f>
        <v>Answer if your company has a responsible minerals sourcing policy on the Declaration tab cell D75</v>
      </c>
      <c r="D54" s="108" t="str">
        <f>IF(H54=1,"Click here to answer question (A)","")</f>
        <v>Click here to answer question (A)</v>
      </c>
      <c r="E54" s="84" t="s">
        <v>1307</v>
      </c>
      <c r="F54" s="107">
        <f>IF(SUM(F$24:F$27)=0,0,1)</f>
        <v>1</v>
      </c>
      <c r="G54" s="81">
        <f>IF(B54=0,1,0)</f>
        <v>1</v>
      </c>
      <c r="H54" s="82">
        <f t="shared" ref="H54:H60" si="11">F54*G54</f>
        <v>1</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f>Declaration!D77</f>
        <v>0</v>
      </c>
      <c r="C55" s="102" t="str">
        <f t="shared" ca="1" si="10"/>
        <v>Answer if your company has made your responsible minerals sourcing policy publically available on your website on the Declaration tab cell D77</v>
      </c>
      <c r="D55" s="108" t="str">
        <f>IF(H55=1,"Click here to answer question (B)","")</f>
        <v>Click here to answer question (B)</v>
      </c>
      <c r="E55" s="84" t="s">
        <v>1307</v>
      </c>
      <c r="F55" s="107">
        <f t="shared" ref="F55" si="12">F$54</f>
        <v>1</v>
      </c>
      <c r="G55" s="81">
        <f>IF(B55=0,1,0)</f>
        <v>1</v>
      </c>
      <c r="H55" s="82">
        <f t="shared" si="11"/>
        <v>1</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63.75">
      <c r="A57" s="102" t="str">
        <f ca="1">Declaration!B79</f>
        <v>C. Do you require your direct suppliers to source the 3TG from smelters whose due diligence practices have been validated by an independent third party audit program? (*)</v>
      </c>
      <c r="B57" s="102">
        <f>Declaration!D79</f>
        <v>0</v>
      </c>
      <c r="C57" s="102" t="str">
        <f t="shared" ca="1" si="10"/>
        <v>Answer if you require your direct suppliers to source from smelters whose due diligence practices have been validated by an independent third-party audit program, like the Responsible Minerals Assurance Process, on Declaration tab cell D79</v>
      </c>
      <c r="D57" s="108" t="str">
        <f>IF(H57=1,"Click here to answer question (C)","")</f>
        <v>Click here to answer question (C)</v>
      </c>
      <c r="E57" s="84" t="s">
        <v>1307</v>
      </c>
      <c r="F57" s="107">
        <f>F$54</f>
        <v>1</v>
      </c>
      <c r="G57" s="81">
        <f>IF(B57=0,1,0)</f>
        <v>1</v>
      </c>
      <c r="H57" s="82">
        <f t="shared" si="11"/>
        <v>1</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f>Declaration!D81</f>
        <v>0</v>
      </c>
      <c r="C58" s="102" t="str">
        <f t="shared" ca="1" si="10"/>
        <v>Answer if you have implemented due diligence measures for responsible sourcing on Declaration tab cell D81</v>
      </c>
      <c r="D58" s="108" t="str">
        <f>IF(H58=1,"Click here to answer question (D)","")</f>
        <v>Click here to answer question (D)</v>
      </c>
      <c r="E58" s="84" t="s">
        <v>1307</v>
      </c>
      <c r="F58" s="107">
        <f>F$54</f>
        <v>1</v>
      </c>
      <c r="G58" s="81">
        <f>IF(B58=0,1,0)</f>
        <v>1</v>
      </c>
      <c r="H58" s="82">
        <f t="shared" si="11"/>
        <v>1</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f>Declaration!D83</f>
        <v>0</v>
      </c>
      <c r="C59" s="102" t="str">
        <f t="shared" ca="1" si="10"/>
        <v>Answer if you request your suppliers to fill out this Conflict Minerals Reporting Template on Declaration tab cell D83</v>
      </c>
      <c r="D59" s="108" t="str">
        <f>IF(H59=1,"Click here to answer question (E)","")</f>
        <v>Click here to answer question (E)</v>
      </c>
      <c r="E59" s="84" t="s">
        <v>1307</v>
      </c>
      <c r="F59" s="107">
        <f>F$54</f>
        <v>1</v>
      </c>
      <c r="G59" s="81">
        <f>IF(B59=0,1,0)</f>
        <v>1</v>
      </c>
      <c r="H59" s="82">
        <f t="shared" si="11"/>
        <v>1</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f>Declaration!D85</f>
        <v>0</v>
      </c>
      <c r="C60" s="102" t="str">
        <f t="shared" ca="1" si="10"/>
        <v>Answer if you verify responses from your suppliers against your company's expectations on Declaration tab cell D85</v>
      </c>
      <c r="D60" s="108" t="str">
        <f>IF(H60=1,"Click here to answer question (F)","")</f>
        <v>Click here to answer question (F)</v>
      </c>
      <c r="E60" s="84" t="s">
        <v>1307</v>
      </c>
      <c r="F60" s="107">
        <f>F$54</f>
        <v>1</v>
      </c>
      <c r="G60" s="81">
        <f>IF(B60=0,1,0)</f>
        <v>1</v>
      </c>
      <c r="H60" s="82">
        <f t="shared" si="11"/>
        <v>1</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f>Declaration!D87</f>
        <v>0</v>
      </c>
      <c r="C62" s="102" t="str">
        <f t="shared" ref="C62:C68" ca="1" si="13">IF(H62=1,J62,I62)</f>
        <v>Answer if your verification process includes corrective action management on Declaration tab cell D87</v>
      </c>
      <c r="D62" s="108" t="str">
        <f>IF(H62=1,"Click here to answer question (G)","")</f>
        <v>Click here to answer question (G)</v>
      </c>
      <c r="E62" s="84" t="s">
        <v>1307</v>
      </c>
      <c r="F62" s="107">
        <f>F$54</f>
        <v>1</v>
      </c>
      <c r="G62" s="81">
        <f>IF(B62=0,1,0)</f>
        <v>1</v>
      </c>
      <c r="H62" s="82">
        <f t="shared" ref="H62:H69" si="14">F62*G62</f>
        <v>1</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f>Declaration!D89</f>
        <v>0</v>
      </c>
      <c r="C63" s="102" t="str">
        <f t="shared" ca="1" si="13"/>
        <v>Answer if you are subject to the SEC Disclosure requirement, the EU regulation or both on Declaration tab cell D89</v>
      </c>
      <c r="D63" s="108" t="str">
        <f>IF(H63=1,"Click here to answer question (H)","")</f>
        <v>Click here to answer question (H)</v>
      </c>
      <c r="E63" s="84" t="s">
        <v>1307</v>
      </c>
      <c r="F63" s="107">
        <f>F$54</f>
        <v>1</v>
      </c>
      <c r="G63" s="81">
        <f>IF(B63=0,1,0)</f>
        <v>1</v>
      </c>
      <c r="H63" s="82">
        <f t="shared" si="14"/>
        <v>1</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Provide list of tantalum smelters contributing material to supply chain on Smelter List tab</v>
      </c>
      <c r="D65" s="108" t="str">
        <f>IF(H65=0,"","Click here to provide smelter information")</f>
        <v>Click here to provide smelter information</v>
      </c>
      <c r="E65" s="84" t="s">
        <v>1307</v>
      </c>
      <c r="F65" s="107">
        <f>F24</f>
        <v>1</v>
      </c>
      <c r="G65" s="81">
        <f>IF(AND(COUNTIF(SmelterIdetifiedForMetal,"Tantalum")&gt;0,COUNTIF('Smelter List'!AB$5:AB$2504,"Tantalum?*")&gt;0),0,1)</f>
        <v>1</v>
      </c>
      <c r="H65" s="82">
        <f t="shared" si="14"/>
        <v>1</v>
      </c>
      <c r="I65" s="177" t="str">
        <f ca="1">OFFSET(L!$C$1,MATCH("Checker"&amp;"Comp",L!$A:$A,0)-1,SL,,)</f>
        <v>Complete</v>
      </c>
      <c r="J65" s="22" t="str">
        <f ca="1">OFFSET(L!$C$1,MATCH("Checker"&amp;ADDRESS(ROW(),COLUMN(),4),L!$A:$A,0)-1,SL,,)</f>
        <v>Provide list of tantalum smelters contributing material to supply chain on Smelter List tab</v>
      </c>
      <c r="K65" s="184">
        <f>IF(H14+H19&gt;0,1,0)</f>
        <v>1</v>
      </c>
      <c r="L65" s="22" t="e">
        <f ca="1">OFFSET(L!$C$1,MATCH("Checker"&amp;ADDRESS(ROW(),COLUMN(),4),L!$A:$A,0)-1,SL,,)</f>
        <v>#N/A</v>
      </c>
    </row>
    <row r="66" spans="1:12" ht="39">
      <c r="A66" s="102" t="s">
        <v>1867</v>
      </c>
      <c r="B66" s="102"/>
      <c r="C66" s="102" t="str">
        <f t="shared" ca="1" si="13"/>
        <v>Provide list of tin smelters contributing material to supply chain on Smelter List tab</v>
      </c>
      <c r="D66" s="108" t="str">
        <f>IF(H66=0,"","Click here to provide smelter information")</f>
        <v>Click here to provide smelter information</v>
      </c>
      <c r="E66" s="84" t="s">
        <v>807</v>
      </c>
      <c r="F66" s="107">
        <f>F25</f>
        <v>1</v>
      </c>
      <c r="G66" s="81">
        <f>IF(AND(COUNTIF(SmelterIdetifiedForMetal,"Tin")&gt;0,COUNTIF('Smelter List'!AB$5:AB$2504,"Tin?*")&gt;0),0,1)</f>
        <v>1</v>
      </c>
      <c r="H66" s="82">
        <f t="shared" si="14"/>
        <v>1</v>
      </c>
      <c r="I66" s="177" t="str">
        <f ca="1">OFFSET(L!$C$1,MATCH("Checker"&amp;"Comp",L!$A:$A,0)-1,SL,,)</f>
        <v>Complete</v>
      </c>
      <c r="J66" s="22" t="str">
        <f ca="1">OFFSET(L!$C$1,MATCH("Checker"&amp;ADDRESS(ROW(),COLUMN(),4),L!$A:$A,0)-1,SL,,)</f>
        <v>Provide list of tin smelters contributing material to supply chain on Smelter List tab</v>
      </c>
      <c r="K66" s="184">
        <f>IF(H15+H20&gt;0,1,0)</f>
        <v>1</v>
      </c>
      <c r="L66" s="22" t="e">
        <f ca="1">OFFSET(L!$C$1,MATCH("Checker"&amp;ADDRESS(ROW(),COLUMN(),4),L!$A:$A,0)-1,SL,,)</f>
        <v>#N/A</v>
      </c>
    </row>
    <row r="67" spans="1:12" ht="39">
      <c r="A67" s="102" t="s">
        <v>1868</v>
      </c>
      <c r="B67" s="102"/>
      <c r="C67" s="102" t="str">
        <f t="shared" ca="1" si="13"/>
        <v>Provide list of gold smelters contributing material to supply chain on Smelter List tab</v>
      </c>
      <c r="D67" s="108" t="str">
        <f>IF(H67=0,"","Click here to provide smelter information")</f>
        <v>Click here to provide smelter information</v>
      </c>
      <c r="E67" s="84" t="s">
        <v>807</v>
      </c>
      <c r="F67" s="107">
        <f>F26</f>
        <v>1</v>
      </c>
      <c r="G67" s="81">
        <f>IF(AND(COUNTIF(SmelterIdetifiedForMetal,"Gold")&gt;0,COUNTIF('Smelter List'!AB$5:AB$2504,"Gold?*")&gt;0),0,1)</f>
        <v>1</v>
      </c>
      <c r="H67" s="82">
        <f t="shared" si="14"/>
        <v>1</v>
      </c>
      <c r="I67" s="177" t="str">
        <f ca="1">OFFSET(L!$C$1,MATCH("Checker"&amp;"Comp",L!$A:$A,0)-1,SL,,)</f>
        <v>Complete</v>
      </c>
      <c r="J67" s="22" t="str">
        <f ca="1">OFFSET(L!$C$1,MATCH("Checker"&amp;ADDRESS(ROW(),COLUMN(),4),L!$A:$A,0)-1,SL,,)</f>
        <v>Provide list of gold smelters contributing material to supply chain on Smelter List tab</v>
      </c>
      <c r="K67" s="184">
        <f>IF(H16+H21&gt;0,1,0)</f>
        <v>1</v>
      </c>
      <c r="L67" s="22" t="e">
        <f ca="1">OFFSET(L!$C$1,MATCH("Checker"&amp;ADDRESS(ROW(),COLUMN(),4),L!$A:$A,0)-1,SL,,)</f>
        <v>#N/A</v>
      </c>
    </row>
    <row r="68" spans="1:12" ht="39">
      <c r="A68" s="102" t="s">
        <v>1869</v>
      </c>
      <c r="B68" s="102"/>
      <c r="C68" s="102" t="str">
        <f t="shared" ca="1" si="13"/>
        <v>Provide list of tungsten smelters contributing material to supply chain on Smelter List tab</v>
      </c>
      <c r="D68" s="108" t="str">
        <f>IF(H68=0,"","Click here to provide smelter information")</f>
        <v>Click here to provide smelter information</v>
      </c>
      <c r="E68" s="84" t="s">
        <v>807</v>
      </c>
      <c r="F68" s="107">
        <f>F27</f>
        <v>1</v>
      </c>
      <c r="G68" s="81">
        <f>IF(AND(COUNTIF(SmelterIdetifiedForMetal,"Tungsten")&gt;0,COUNTIF('Smelter List'!AB$5:AB$2504,"Tungsten?*")&gt;0),0,1)</f>
        <v>1</v>
      </c>
      <c r="H68" s="82">
        <f t="shared" si="14"/>
        <v>1</v>
      </c>
      <c r="I68" s="177" t="str">
        <f ca="1">OFFSET(L!$C$1,MATCH("Checker"&amp;"Comp",L!$A:$A,0)-1,SL,,)</f>
        <v>Complete</v>
      </c>
      <c r="J68" s="22" t="str">
        <f ca="1">OFFSET(L!$C$1,MATCH("Checker"&amp;ADDRESS(ROW(),COLUMN(),4),L!$A:$A,0)-1,SL,,)</f>
        <v>Provide list of tungsten smelters contributing material to supply chain on Smelter List tab</v>
      </c>
      <c r="K68" s="184">
        <f>IF(H17+H22&gt;0,1,0)</f>
        <v>1</v>
      </c>
      <c r="L68" s="22" t="e">
        <f ca="1">OFFSET(L!$C$1,MATCH("Checker"&amp;ADDRESS(ROW(),COLUMN(),4),L!$A:$A,0)-1,SL,,)</f>
        <v>#N/A</v>
      </c>
    </row>
    <row r="69" spans="1:12" ht="25.5">
      <c r="A69" s="193" t="s">
        <v>2380</v>
      </c>
      <c r="B69" s="102"/>
      <c r="C69" s="193"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52</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2" t="str">
        <f ca="1">OFFSET(L!$C$1,MATCH("Product List"&amp;ADDRESS(ROW(),COLUMN(),4),L!$A:$A,0)-1,SL,,)</f>
        <v>Completion required only if reporting level "Product (or List of Products)" selected on the 'Declaration' worksheet.</v>
      </c>
      <c r="B1" s="453"/>
      <c r="C1" s="453"/>
      <c r="D1" s="453"/>
      <c r="E1" s="145"/>
    </row>
    <row r="2" spans="1:6">
      <c r="A2" s="29"/>
      <c r="B2" s="147"/>
      <c r="C2" s="147"/>
      <c r="D2"/>
      <c r="E2" s="30"/>
    </row>
    <row r="3" spans="1:6">
      <c r="A3" s="29"/>
      <c r="B3" s="147"/>
      <c r="C3" s="147"/>
      <c r="D3" s="147"/>
      <c r="E3" s="30"/>
    </row>
    <row r="4" spans="1:6" ht="15.75" customHeight="1">
      <c r="A4" s="29"/>
      <c r="B4" s="451" t="s">
        <v>898</v>
      </c>
      <c r="C4" s="451"/>
      <c r="D4" s="451"/>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4" t="str">
        <f ca="1">OFFSET(L!$C$1,MATCH("General"&amp;"Cpy",L!$A:$A,0)-1,SL,,)</f>
        <v>© 2021 Responsible Minerals Initiative. All rights reserved.</v>
      </c>
      <c r="C1001" s="454"/>
      <c r="D1001" s="454"/>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baseColWidth="10"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45">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30">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16.7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05">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28">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56.75">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28.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56.2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70.7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42.75">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0">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28.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Regneark</vt:lpstr>
      </vt:variant>
      <vt:variant>
        <vt:i4>11</vt:i4>
      </vt:variant>
      <vt:variant>
        <vt:lpstr>Navngitte områder</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SL</vt:lpstr>
      <vt:lpstr>SmelterIdetifiedForMetal</vt:lpstr>
      <vt:lpstr>Declaration!Utskriftsområde</vt:lpstr>
      <vt:lpstr>Declaration!Utskriftstitler</vt:lpstr>
      <vt:lpstr>'Product List'!Utskriftstitler</vt:lpstr>
      <vt:lpstr>'Smelter List'!Utskriftstitler</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Knut Helge Legernæs</cp:lastModifiedBy>
  <cp:lastPrinted>2015-04-21T20:47:43Z</cp:lastPrinted>
  <dcterms:created xsi:type="dcterms:W3CDTF">2010-06-21T21:00:23Z</dcterms:created>
  <dcterms:modified xsi:type="dcterms:W3CDTF">2022-01-10T06:53:29Z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