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K:\Commercial\CRM\IR Documents\IR Documents 2023\Q2 2023\"/>
    </mc:Choice>
  </mc:AlternateContent>
  <xr:revisionPtr revIDLastSave="0" documentId="8_{51071FEF-6110-4E99-9EAE-94CC26CF021F}" xr6:coauthVersionLast="47" xr6:coauthVersionMax="47" xr10:uidLastSave="{00000000-0000-0000-0000-000000000000}"/>
  <bookViews>
    <workbookView xWindow="-110" yWindow="-110" windowWidth="19420" windowHeight="10300" xr2:uid="{00000000-000D-0000-FFFF-FFFF00000000}"/>
  </bookViews>
  <sheets>
    <sheet name="CONTENTS" sheetId="2" r:id="rId1"/>
    <sheet name="1" sheetId="27" r:id="rId2"/>
    <sheet name="2" sheetId="28" r:id="rId3"/>
    <sheet name="3" sheetId="30" r:id="rId4"/>
    <sheet name="4" sheetId="33" r:id="rId5"/>
    <sheet name="5" sheetId="41" r:id="rId6"/>
    <sheet name="6" sheetId="42" r:id="rId7"/>
    <sheet name="7" sheetId="3" r:id="rId8"/>
    <sheet name="8" sheetId="4" r:id="rId9"/>
    <sheet name="9" sheetId="5" r:id="rId10"/>
    <sheet name="10" sheetId="6" r:id="rId11"/>
    <sheet name="11" sheetId="7" r:id="rId12"/>
    <sheet name="12" sheetId="12" r:id="rId13"/>
    <sheet name="13" sheetId="13" r:id="rId14"/>
    <sheet name="14" sheetId="15" r:id="rId15"/>
    <sheet name="15" sheetId="16" r:id="rId16"/>
    <sheet name="16" sheetId="22" r:id="rId17"/>
    <sheet name="17" sheetId="47" r:id="rId18"/>
    <sheet name="18" sheetId="49" r:id="rId19"/>
  </sheets>
  <externalReferences>
    <externalReference r:id="rId20"/>
    <externalReference r:id="rId21"/>
    <externalReference r:id="rId22"/>
    <externalReference r:id="rId23"/>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'11'!$A$5:$K$65</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T19" i="33" l="1"/>
  <c r="BU19" i="33" s="1"/>
  <c r="BO19" i="33"/>
  <c r="BP19" i="33" s="1"/>
  <c r="BJ19" i="33"/>
  <c r="BK19" i="33" s="1"/>
  <c r="BE19" i="33"/>
  <c r="BF19" i="33" s="1"/>
  <c r="AZ19" i="33"/>
  <c r="BA19" i="33" s="1"/>
  <c r="AU19" i="33"/>
  <c r="AV19" i="33" s="1"/>
  <c r="AP19" i="33"/>
  <c r="AQ19" i="33" s="1"/>
  <c r="AL19" i="33"/>
  <c r="AK19" i="33"/>
  <c r="AF19" i="33"/>
  <c r="AG19" i="33" s="1"/>
  <c r="AA19" i="33"/>
  <c r="AB19" i="33" s="1"/>
  <c r="V19" i="33"/>
  <c r="W19" i="33" s="1"/>
  <c r="R19" i="33"/>
  <c r="Q19" i="33"/>
  <c r="L19" i="33"/>
  <c r="M19" i="33" s="1"/>
  <c r="H19" i="33"/>
  <c r="G19" i="33"/>
  <c r="C19" i="33"/>
  <c r="B19" i="33"/>
  <c r="BV14" i="33"/>
  <c r="BT14" i="33" s="1"/>
  <c r="BV13" i="33"/>
  <c r="BV12" i="33"/>
  <c r="BV10" i="33"/>
  <c r="BV9" i="33"/>
  <c r="O42" i="27"/>
  <c r="O41" i="27"/>
  <c r="O43" i="27"/>
  <c r="P43" i="27"/>
  <c r="P42" i="27"/>
  <c r="P41" i="27"/>
  <c r="P40" i="27"/>
  <c r="P22" i="27"/>
  <c r="P25" i="27" s="1"/>
  <c r="P29" i="27" s="1"/>
  <c r="P31" i="27" s="1"/>
  <c r="BV17" i="33"/>
  <c r="BV19" i="33" s="1"/>
  <c r="BW19" i="33" s="1"/>
  <c r="BW14" i="33"/>
  <c r="BW13" i="33"/>
  <c r="BT13" i="33"/>
  <c r="BT12" i="33"/>
  <c r="BW11" i="33"/>
  <c r="BU11" i="33"/>
  <c r="BW10" i="33"/>
  <c r="BT10" i="33"/>
  <c r="BW9" i="33"/>
  <c r="BT9" i="33"/>
  <c r="Q115" i="28"/>
  <c r="Q114" i="28"/>
  <c r="Q113" i="28"/>
  <c r="Q80" i="28"/>
  <c r="Q86" i="28" s="1"/>
  <c r="Q101" i="28" s="1"/>
  <c r="Q57" i="28"/>
  <c r="Q63" i="28" s="1"/>
  <c r="Q77" i="28" s="1"/>
  <c r="Q56" i="28"/>
  <c r="Q51" i="28"/>
  <c r="Q21" i="28"/>
  <c r="Q20" i="28"/>
  <c r="Q53" i="28" s="1"/>
  <c r="Q17" i="28"/>
  <c r="Q7" i="28"/>
  <c r="P57" i="27"/>
  <c r="P54" i="27"/>
  <c r="P52" i="27"/>
  <c r="P49" i="27"/>
  <c r="P48" i="27"/>
  <c r="P47" i="27"/>
  <c r="P51" i="27" s="1"/>
  <c r="P53" i="27" s="1"/>
  <c r="P55" i="27" s="1"/>
  <c r="Q112" i="28" s="1"/>
  <c r="P33" i="27"/>
  <c r="P18" i="27"/>
  <c r="P37" i="27" s="1"/>
  <c r="P45" i="27" s="1"/>
  <c r="P13" i="27"/>
  <c r="P15" i="27" s="1"/>
  <c r="Q107" i="28" s="1"/>
  <c r="AR17" i="33"/>
  <c r="BQ17" i="33"/>
  <c r="BQ14" i="33"/>
  <c r="BQ13" i="33"/>
  <c r="BQ12" i="33"/>
  <c r="BQ10" i="33"/>
  <c r="BQ9" i="33"/>
  <c r="BL17" i="33"/>
  <c r="P34" i="27" l="1"/>
  <c r="Q11" i="28"/>
  <c r="BW12" i="33"/>
  <c r="BW17" i="33"/>
  <c r="Q18" i="28"/>
  <c r="Q54" i="28" s="1"/>
  <c r="Q78" i="28" s="1"/>
  <c r="BR17" i="33"/>
  <c r="BR14" i="33"/>
  <c r="BO14" i="33"/>
  <c r="BR13" i="33"/>
  <c r="BO13" i="33"/>
  <c r="BR12" i="33"/>
  <c r="BO12" i="33"/>
  <c r="BR11" i="33"/>
  <c r="BP11" i="33"/>
  <c r="BO10" i="33"/>
  <c r="BR9" i="33"/>
  <c r="BO9" i="33"/>
  <c r="P115" i="28"/>
  <c r="P114" i="28"/>
  <c r="P113" i="28"/>
  <c r="P80" i="28"/>
  <c r="P86" i="28" s="1"/>
  <c r="P101" i="28" s="1"/>
  <c r="P57" i="28"/>
  <c r="P56" i="28"/>
  <c r="P51" i="28"/>
  <c r="P21" i="28"/>
  <c r="P20" i="28"/>
  <c r="P17" i="28"/>
  <c r="P11" i="28"/>
  <c r="P7" i="28"/>
  <c r="O57" i="27"/>
  <c r="O54" i="27"/>
  <c r="O52" i="27"/>
  <c r="O49" i="27"/>
  <c r="O48" i="27"/>
  <c r="O47" i="27"/>
  <c r="O51" i="27" s="1"/>
  <c r="O53" i="27" s="1"/>
  <c r="O55" i="27" s="1"/>
  <c r="P112" i="28" s="1"/>
  <c r="O33" i="27"/>
  <c r="O25" i="27"/>
  <c r="O29" i="27" s="1"/>
  <c r="O31" i="27" s="1"/>
  <c r="O34" i="27" s="1"/>
  <c r="O18" i="27"/>
  <c r="O37" i="27" s="1"/>
  <c r="O45" i="27" s="1"/>
  <c r="O13" i="27"/>
  <c r="O15" i="27" s="1"/>
  <c r="P107" i="28" s="1"/>
  <c r="BL19" i="33"/>
  <c r="BM19" i="33" s="1"/>
  <c r="BK11" i="33"/>
  <c r="BF11" i="33"/>
  <c r="BJ14" i="33"/>
  <c r="BJ13" i="33"/>
  <c r="BJ12" i="33"/>
  <c r="BE14" i="33"/>
  <c r="BE13" i="33"/>
  <c r="BE12" i="33"/>
  <c r="BJ10" i="33"/>
  <c r="BJ9" i="33"/>
  <c r="BE10" i="33"/>
  <c r="BE9" i="33"/>
  <c r="BM14" i="33"/>
  <c r="BM13" i="33"/>
  <c r="BM12" i="33"/>
  <c r="BM11" i="33"/>
  <c r="BM10" i="33"/>
  <c r="BM9" i="33"/>
  <c r="BH14" i="33"/>
  <c r="BH13" i="33"/>
  <c r="BH12" i="33"/>
  <c r="BH11" i="33"/>
  <c r="BH10" i="33"/>
  <c r="BH9" i="33"/>
  <c r="BC14" i="33"/>
  <c r="BC13" i="33"/>
  <c r="BC12" i="33"/>
  <c r="BC11" i="33"/>
  <c r="BC10" i="33"/>
  <c r="BC9" i="33"/>
  <c r="BA11" i="33"/>
  <c r="BL14" i="33"/>
  <c r="BL13" i="33"/>
  <c r="BL12" i="33"/>
  <c r="BL10" i="33"/>
  <c r="BL9" i="33"/>
  <c r="BG14" i="33"/>
  <c r="BG13" i="33"/>
  <c r="BG12" i="33"/>
  <c r="BG10" i="33"/>
  <c r="BG9" i="33"/>
  <c r="BB14" i="33"/>
  <c r="BB13" i="33"/>
  <c r="BB12" i="33"/>
  <c r="BB10" i="33"/>
  <c r="BB9" i="33"/>
  <c r="AZ10" i="33"/>
  <c r="AZ9" i="33"/>
  <c r="AW12" i="33"/>
  <c r="AW10" i="33"/>
  <c r="S13" i="22"/>
  <c r="M13" i="22"/>
  <c r="L13" i="22"/>
  <c r="G12" i="16"/>
  <c r="F12" i="16"/>
  <c r="E12" i="16"/>
  <c r="D12" i="16"/>
  <c r="D10" i="16"/>
  <c r="Q109" i="28" l="1"/>
  <c r="Q117" i="28" s="1"/>
  <c r="P63" i="28"/>
  <c r="P77" i="28" s="1"/>
  <c r="Q110" i="28"/>
  <c r="Q102" i="28"/>
  <c r="Q111" i="28" s="1"/>
  <c r="P53" i="28"/>
  <c r="P18" i="28"/>
  <c r="BR10" i="33"/>
  <c r="BQ19" i="33"/>
  <c r="BR19" i="33" s="1"/>
  <c r="I18" i="13"/>
  <c r="H18" i="13"/>
  <c r="G18" i="13"/>
  <c r="F18" i="13"/>
  <c r="I17" i="13"/>
  <c r="H17" i="13"/>
  <c r="G17" i="13"/>
  <c r="F17" i="13"/>
  <c r="J17" i="13" s="1"/>
  <c r="J15" i="13"/>
  <c r="J14" i="13"/>
  <c r="J21" i="13"/>
  <c r="J20" i="13"/>
  <c r="J19" i="13"/>
  <c r="J18" i="13"/>
  <c r="J16" i="13"/>
  <c r="J13" i="13"/>
  <c r="J12" i="13"/>
  <c r="J11" i="13"/>
  <c r="H14" i="15"/>
  <c r="G14" i="15"/>
  <c r="I13" i="15"/>
  <c r="I14" i="15" s="1"/>
  <c r="I12" i="15"/>
  <c r="I11" i="15"/>
  <c r="F14" i="15"/>
  <c r="E14" i="15"/>
  <c r="D13" i="15"/>
  <c r="D12" i="15"/>
  <c r="D11" i="15"/>
  <c r="E14" i="13"/>
  <c r="P54" i="28" l="1"/>
  <c r="E34" i="6"/>
  <c r="E30" i="6"/>
  <c r="P109" i="28" l="1"/>
  <c r="P117" i="28" s="1"/>
  <c r="P78" i="28"/>
  <c r="E24" i="6"/>
  <c r="P110" i="28" l="1"/>
  <c r="P102" i="28"/>
  <c r="P111" i="28" s="1"/>
  <c r="D8" i="5"/>
  <c r="E8" i="2"/>
  <c r="E9" i="2" s="1"/>
  <c r="E10" i="2" s="1"/>
  <c r="E11" i="2" s="1"/>
  <c r="E12" i="2" s="1"/>
  <c r="E13" i="2" s="1"/>
  <c r="E14" i="2" s="1"/>
  <c r="E15" i="2" s="1"/>
  <c r="E16" i="2" s="1"/>
  <c r="E17" i="2" s="1"/>
  <c r="E18" i="2" s="1"/>
  <c r="E19" i="2" s="1"/>
  <c r="E20" i="2" s="1"/>
  <c r="E21" i="2" s="1"/>
  <c r="E22" i="2" s="1"/>
  <c r="E23" i="2" s="1"/>
  <c r="E7" i="2"/>
  <c r="D14" i="3"/>
  <c r="D13" i="3"/>
  <c r="D12" i="3"/>
  <c r="H19" i="42"/>
  <c r="G20" i="42"/>
  <c r="F20" i="42"/>
  <c r="F19" i="42"/>
  <c r="C13" i="42"/>
  <c r="C6" i="42"/>
  <c r="C8" i="42"/>
  <c r="C12" i="41"/>
  <c r="C15" i="41"/>
  <c r="C13" i="41"/>
  <c r="E40" i="41"/>
  <c r="D40" i="41"/>
  <c r="E39" i="41"/>
  <c r="D39" i="41"/>
  <c r="E38" i="41"/>
  <c r="D38" i="41"/>
  <c r="D13" i="4" l="1"/>
  <c r="C38" i="41" l="1"/>
  <c r="C39" i="41"/>
  <c r="D32" i="41" l="1"/>
  <c r="C32" i="41"/>
  <c r="C24" i="41"/>
  <c r="H24" i="41" s="1"/>
  <c r="C16" i="41"/>
  <c r="C11" i="41"/>
  <c r="M16" i="22"/>
  <c r="M17" i="22" s="1"/>
  <c r="AZ14" i="33"/>
  <c r="AZ13" i="33"/>
  <c r="AZ12" i="33"/>
  <c r="O115" i="28"/>
  <c r="N115" i="28"/>
  <c r="O114" i="28"/>
  <c r="N114" i="28"/>
  <c r="O113" i="28"/>
  <c r="N113" i="28"/>
  <c r="O112" i="28"/>
  <c r="N112" i="28"/>
  <c r="M115" i="28"/>
  <c r="M114" i="28"/>
  <c r="M113" i="28"/>
  <c r="M112" i="28"/>
  <c r="O107" i="28"/>
  <c r="O86" i="28"/>
  <c r="O101" i="28" s="1"/>
  <c r="N86" i="28"/>
  <c r="N101" i="28" s="1"/>
  <c r="O80" i="28"/>
  <c r="N80" i="28"/>
  <c r="M80" i="28"/>
  <c r="M86" i="28" s="1"/>
  <c r="M101" i="28" s="1"/>
  <c r="O57" i="28"/>
  <c r="N57" i="28"/>
  <c r="O56" i="28"/>
  <c r="N56" i="28"/>
  <c r="M57" i="28"/>
  <c r="M56" i="28"/>
  <c r="O51" i="28"/>
  <c r="N51" i="28"/>
  <c r="M51" i="28"/>
  <c r="O21" i="28"/>
  <c r="N21" i="28"/>
  <c r="M21" i="28"/>
  <c r="O20" i="28"/>
  <c r="N20" i="28"/>
  <c r="M20" i="28"/>
  <c r="O17" i="28"/>
  <c r="N17" i="28"/>
  <c r="M17" i="28"/>
  <c r="O11" i="28"/>
  <c r="N11" i="28"/>
  <c r="M11" i="28"/>
  <c r="O7" i="28"/>
  <c r="N7" i="28"/>
  <c r="M7" i="28"/>
  <c r="L54" i="27"/>
  <c r="M54" i="27" s="1"/>
  <c r="N54" i="27" s="1"/>
  <c r="L52" i="27"/>
  <c r="M52" i="27" s="1"/>
  <c r="N52" i="27" s="1"/>
  <c r="L49" i="27"/>
  <c r="M49" i="27" s="1"/>
  <c r="N49" i="27" s="1"/>
  <c r="L48" i="27"/>
  <c r="M48" i="27" s="1"/>
  <c r="N48" i="27" s="1"/>
  <c r="N41" i="27"/>
  <c r="N43" i="27" s="1"/>
  <c r="N42" i="27"/>
  <c r="M42" i="27"/>
  <c r="M41" i="27"/>
  <c r="L42" i="27"/>
  <c r="L41" i="27"/>
  <c r="L43" i="27" s="1"/>
  <c r="N33" i="27"/>
  <c r="M33" i="27"/>
  <c r="L33" i="27"/>
  <c r="M18" i="27"/>
  <c r="L18" i="27"/>
  <c r="K18" i="27"/>
  <c r="J18" i="27"/>
  <c r="I18" i="27"/>
  <c r="H18" i="27"/>
  <c r="G18" i="27"/>
  <c r="F18" i="27"/>
  <c r="E18" i="27"/>
  <c r="D18" i="27"/>
  <c r="C18" i="27"/>
  <c r="B18" i="27"/>
  <c r="M37" i="27"/>
  <c r="M45" i="27" s="1"/>
  <c r="L37" i="27"/>
  <c r="K37" i="27"/>
  <c r="J37" i="27"/>
  <c r="I37" i="27"/>
  <c r="I45" i="27" s="1"/>
  <c r="H37" i="27"/>
  <c r="H45" i="27" s="1"/>
  <c r="G37" i="27"/>
  <c r="G45" i="27" s="1"/>
  <c r="F37" i="27"/>
  <c r="F45" i="27" s="1"/>
  <c r="E37" i="27"/>
  <c r="E45" i="27" s="1"/>
  <c r="D37" i="27"/>
  <c r="D45" i="27" s="1"/>
  <c r="C37" i="27"/>
  <c r="C45" i="27" s="1"/>
  <c r="B37" i="27"/>
  <c r="B45" i="27" s="1"/>
  <c r="L45" i="27"/>
  <c r="K45" i="27"/>
  <c r="J45" i="27"/>
  <c r="N37" i="27"/>
  <c r="N45" i="27" s="1"/>
  <c r="N18" i="27"/>
  <c r="N57" i="27"/>
  <c r="N47" i="27"/>
  <c r="N25" i="27"/>
  <c r="N29" i="27" s="1"/>
  <c r="N31" i="27" s="1"/>
  <c r="N13" i="27"/>
  <c r="N15" i="27" s="1"/>
  <c r="M57" i="27"/>
  <c r="M47" i="27"/>
  <c r="M43" i="27"/>
  <c r="M25" i="27"/>
  <c r="M29" i="27" s="1"/>
  <c r="M31" i="27" s="1"/>
  <c r="M34" i="27" s="1"/>
  <c r="M13" i="27"/>
  <c r="M15" i="27" s="1"/>
  <c r="N107" i="28" s="1"/>
  <c r="L57" i="27"/>
  <c r="L47" i="27"/>
  <c r="L51" i="27" s="1"/>
  <c r="L25" i="27"/>
  <c r="L29" i="27" s="1"/>
  <c r="L31" i="27" s="1"/>
  <c r="L13" i="27"/>
  <c r="L15" i="27" s="1"/>
  <c r="M107" i="28" s="1"/>
  <c r="G23" i="2"/>
  <c r="G22" i="2"/>
  <c r="G21" i="2"/>
  <c r="G20" i="2"/>
  <c r="G19" i="2"/>
  <c r="G18" i="2"/>
  <c r="G17" i="2"/>
  <c r="G16" i="2"/>
  <c r="G15" i="2"/>
  <c r="G14" i="2"/>
  <c r="G13" i="2"/>
  <c r="D7" i="4" s="1"/>
  <c r="G12" i="2"/>
  <c r="G11" i="2"/>
  <c r="G9" i="2"/>
  <c r="G8" i="2"/>
  <c r="G7" i="2"/>
  <c r="L17" i="22"/>
  <c r="H11" i="22"/>
  <c r="H17" i="22" s="1"/>
  <c r="D17" i="13"/>
  <c r="H10" i="12"/>
  <c r="G10" i="12"/>
  <c r="G11" i="12"/>
  <c r="F11" i="12"/>
  <c r="E11" i="12"/>
  <c r="D11" i="12"/>
  <c r="I11" i="12" s="1"/>
  <c r="D10" i="12"/>
  <c r="E23" i="6"/>
  <c r="E13" i="6"/>
  <c r="E14" i="6"/>
  <c r="E17" i="6"/>
  <c r="E31" i="6"/>
  <c r="D33" i="5"/>
  <c r="D15" i="4"/>
  <c r="N12" i="3"/>
  <c r="G35" i="42"/>
  <c r="G34" i="42"/>
  <c r="G33" i="42"/>
  <c r="G28" i="42"/>
  <c r="G26" i="42"/>
  <c r="G25" i="42"/>
  <c r="G27" i="42"/>
  <c r="D41" i="41"/>
  <c r="F32" i="41"/>
  <c r="AW14" i="33"/>
  <c r="AW9" i="33"/>
  <c r="AX14" i="33"/>
  <c r="AU14" i="33"/>
  <c r="AX13" i="33"/>
  <c r="AU13" i="33"/>
  <c r="AX12" i="33"/>
  <c r="AU12" i="33"/>
  <c r="AX11" i="33"/>
  <c r="AU11" i="33"/>
  <c r="AV11" i="33"/>
  <c r="AX10" i="33"/>
  <c r="AU10" i="33"/>
  <c r="AX9" i="33"/>
  <c r="AU9" i="33"/>
  <c r="L18" i="28"/>
  <c r="L53" i="28"/>
  <c r="K43" i="27"/>
  <c r="K57" i="27"/>
  <c r="K47" i="27"/>
  <c r="K48" i="27"/>
  <c r="K49" i="27"/>
  <c r="K51" i="27"/>
  <c r="K52" i="27"/>
  <c r="K53" i="27"/>
  <c r="K54" i="27"/>
  <c r="K55" i="27"/>
  <c r="K33" i="27"/>
  <c r="K34" i="27"/>
  <c r="K25" i="27"/>
  <c r="K29" i="27"/>
  <c r="K13" i="27"/>
  <c r="K15" i="27"/>
  <c r="AR14" i="33"/>
  <c r="AP14" i="33"/>
  <c r="AR9" i="33"/>
  <c r="AR10" i="33"/>
  <c r="AR12" i="33"/>
  <c r="AP11" i="33"/>
  <c r="AS12" i="33"/>
  <c r="AS10" i="33"/>
  <c r="AS13" i="33"/>
  <c r="AP13" i="33"/>
  <c r="AS11" i="33"/>
  <c r="AS9" i="33"/>
  <c r="AP9" i="33"/>
  <c r="J43" i="27"/>
  <c r="J33" i="27"/>
  <c r="J34" i="27"/>
  <c r="J25" i="27"/>
  <c r="J29" i="27"/>
  <c r="J13" i="27"/>
  <c r="J15" i="27"/>
  <c r="J57" i="27"/>
  <c r="J51" i="27"/>
  <c r="J53" i="27"/>
  <c r="J55" i="27"/>
  <c r="J54" i="27"/>
  <c r="J52" i="27"/>
  <c r="J49" i="27"/>
  <c r="J48" i="27"/>
  <c r="J47" i="27"/>
  <c r="AM14" i="33"/>
  <c r="AK14" i="33"/>
  <c r="AM12" i="33"/>
  <c r="AK12" i="33"/>
  <c r="AN11" i="33"/>
  <c r="AM9" i="33"/>
  <c r="AN9" i="33"/>
  <c r="AM17" i="33"/>
  <c r="AN17" i="33"/>
  <c r="AN13" i="33"/>
  <c r="AK13" i="33"/>
  <c r="I55" i="27"/>
  <c r="I53" i="27"/>
  <c r="I51" i="27"/>
  <c r="I48" i="27"/>
  <c r="I49" i="27"/>
  <c r="I52" i="27"/>
  <c r="I54" i="27"/>
  <c r="I57" i="27"/>
  <c r="I47" i="27"/>
  <c r="I43" i="27"/>
  <c r="I33" i="27"/>
  <c r="I34" i="27"/>
  <c r="I29" i="27"/>
  <c r="I25" i="27"/>
  <c r="I15" i="27"/>
  <c r="I13" i="27"/>
  <c r="I12" i="27"/>
  <c r="I10" i="27"/>
  <c r="AH11" i="33"/>
  <c r="AF11" i="33"/>
  <c r="AF10" i="33"/>
  <c r="AF12" i="33"/>
  <c r="AF13" i="33"/>
  <c r="AF14" i="33"/>
  <c r="H51" i="27"/>
  <c r="H53" i="27"/>
  <c r="H55" i="27"/>
  <c r="H49" i="27"/>
  <c r="H48" i="27"/>
  <c r="H47" i="27"/>
  <c r="H43" i="27"/>
  <c r="H33" i="27"/>
  <c r="H25" i="27"/>
  <c r="H29" i="27"/>
  <c r="H31" i="27"/>
  <c r="H34" i="27"/>
  <c r="H15" i="27"/>
  <c r="H13" i="27"/>
  <c r="H8" i="27"/>
  <c r="H10" i="27"/>
  <c r="AI17" i="33"/>
  <c r="AH17" i="33"/>
  <c r="AI14" i="33"/>
  <c r="AI13" i="33"/>
  <c r="AI10" i="33"/>
  <c r="AI9" i="33"/>
  <c r="AF9" i="33"/>
  <c r="AS14" i="33"/>
  <c r="AP10" i="33"/>
  <c r="AP12" i="33"/>
  <c r="AN14" i="33"/>
  <c r="AN12" i="33"/>
  <c r="AN10" i="33"/>
  <c r="AK9" i="33"/>
  <c r="AM19" i="33"/>
  <c r="AN19" i="33"/>
  <c r="AI12" i="33"/>
  <c r="T19" i="33"/>
  <c r="S19" i="33"/>
  <c r="AC17" i="33"/>
  <c r="X17" i="33"/>
  <c r="Y17" i="33"/>
  <c r="AC14" i="33"/>
  <c r="AA14" i="33"/>
  <c r="Y14" i="33"/>
  <c r="V14" i="33"/>
  <c r="AD13" i="33"/>
  <c r="AA13" i="33"/>
  <c r="Y13" i="33"/>
  <c r="V13" i="33"/>
  <c r="AC12" i="33"/>
  <c r="AD12" i="33"/>
  <c r="X12" i="33"/>
  <c r="V12" i="33"/>
  <c r="AC11" i="33"/>
  <c r="AA11" i="33"/>
  <c r="Y11" i="33"/>
  <c r="V11" i="33"/>
  <c r="W11" i="33"/>
  <c r="Q11" i="33"/>
  <c r="R11" i="33"/>
  <c r="AC10" i="33"/>
  <c r="AA10" i="33"/>
  <c r="X10" i="33"/>
  <c r="Y10" i="33"/>
  <c r="V10" i="33"/>
  <c r="AC9" i="33"/>
  <c r="AD9" i="33"/>
  <c r="Y9" i="33"/>
  <c r="V9" i="33"/>
  <c r="H11" i="12"/>
  <c r="E10" i="12"/>
  <c r="F10" i="12"/>
  <c r="F12" i="12" s="1"/>
  <c r="F36" i="42"/>
  <c r="E36" i="42"/>
  <c r="D36" i="42"/>
  <c r="C36" i="42"/>
  <c r="B36" i="42"/>
  <c r="G29" i="42"/>
  <c r="F29" i="42"/>
  <c r="E29" i="42"/>
  <c r="D29" i="42"/>
  <c r="C29" i="42"/>
  <c r="B29" i="42"/>
  <c r="AA9" i="33"/>
  <c r="AD10" i="33"/>
  <c r="AD14" i="33"/>
  <c r="AC19" i="33"/>
  <c r="AD19" i="33"/>
  <c r="AB11" i="33"/>
  <c r="Y12" i="33"/>
  <c r="AD17" i="33"/>
  <c r="AA12" i="33"/>
  <c r="AD11" i="33"/>
  <c r="X19" i="33"/>
  <c r="Y19" i="33"/>
  <c r="T13" i="22"/>
  <c r="T12" i="22"/>
  <c r="T14" i="22"/>
  <c r="T15" i="22"/>
  <c r="D10" i="22"/>
  <c r="D17" i="22" s="1"/>
  <c r="T10" i="22"/>
  <c r="E17" i="22"/>
  <c r="F17" i="22"/>
  <c r="G17" i="22"/>
  <c r="I17" i="22"/>
  <c r="J17" i="22"/>
  <c r="K17" i="22"/>
  <c r="N17" i="22"/>
  <c r="O17" i="22"/>
  <c r="P17" i="22"/>
  <c r="Q17" i="22"/>
  <c r="R17" i="22"/>
  <c r="S17" i="22"/>
  <c r="D14" i="15"/>
  <c r="E17" i="13"/>
  <c r="D18" i="13"/>
  <c r="C14" i="15"/>
  <c r="D10" i="5"/>
  <c r="D12" i="5" s="1"/>
  <c r="C41" i="41"/>
  <c r="F31" i="41"/>
  <c r="C18" i="41"/>
  <c r="C14" i="42" s="1"/>
  <c r="C15" i="42" s="1"/>
  <c r="G12" i="12"/>
  <c r="H12" i="12"/>
  <c r="E33" i="6"/>
  <c r="H20" i="42"/>
  <c r="B7" i="2"/>
  <c r="B8" i="2"/>
  <c r="B9" i="2"/>
  <c r="B10" i="2" s="1"/>
  <c r="B11" i="2" s="1"/>
  <c r="B12" i="2" s="1"/>
  <c r="B13" i="2" s="1"/>
  <c r="B14" i="2" s="1"/>
  <c r="B15" i="2" s="1"/>
  <c r="B16" i="2" s="1"/>
  <c r="B17" i="2" s="1"/>
  <c r="B18" i="2" s="1"/>
  <c r="B19" i="2" s="1"/>
  <c r="B20" i="2" s="1"/>
  <c r="B21" i="2" s="1"/>
  <c r="B22" i="2" s="1"/>
  <c r="B23" i="2" s="1"/>
  <c r="D20" i="42"/>
  <c r="E20" i="42"/>
  <c r="C20" i="42"/>
  <c r="AH19" i="33"/>
  <c r="AI19" i="33"/>
  <c r="AG11" i="33"/>
  <c r="AI11" i="33"/>
  <c r="AQ11" i="33"/>
  <c r="D31" i="6"/>
  <c r="M53" i="28" l="1"/>
  <c r="M63" i="28"/>
  <c r="M77" i="28" s="1"/>
  <c r="N53" i="28"/>
  <c r="O63" i="28"/>
  <c r="O77" i="28" s="1"/>
  <c r="M18" i="28"/>
  <c r="N18" i="28"/>
  <c r="O18" i="28"/>
  <c r="AS17" i="33"/>
  <c r="AW17" i="33"/>
  <c r="AR19" i="33"/>
  <c r="AS19" i="33" s="1"/>
  <c r="L54" i="28"/>
  <c r="L109" i="28" s="1"/>
  <c r="N63" i="28"/>
  <c r="N77" i="28" s="1"/>
  <c r="O53" i="28"/>
  <c r="T16" i="22"/>
  <c r="T11" i="22"/>
  <c r="E18" i="13"/>
  <c r="E26" i="6"/>
  <c r="E35" i="6" s="1"/>
  <c r="G36" i="42"/>
  <c r="D12" i="12"/>
  <c r="I10" i="12"/>
  <c r="I12" i="12" s="1"/>
  <c r="E12" i="12"/>
  <c r="E41" i="41"/>
  <c r="F40" i="41" s="1"/>
  <c r="C7" i="42" s="1"/>
  <c r="N14" i="3"/>
  <c r="D29" i="5"/>
  <c r="D31" i="5" s="1"/>
  <c r="D34" i="5" s="1"/>
  <c r="D36" i="5" s="1"/>
  <c r="N13" i="3"/>
  <c r="M22" i="3" s="1"/>
  <c r="C19" i="41"/>
  <c r="BM17" i="33"/>
  <c r="N34" i="27"/>
  <c r="L34" i="27"/>
  <c r="L53" i="27"/>
  <c r="L55" i="27" s="1"/>
  <c r="N51" i="27"/>
  <c r="N53" i="27" s="1"/>
  <c r="N55" i="27" s="1"/>
  <c r="M51" i="27"/>
  <c r="M53" i="27" s="1"/>
  <c r="M55" i="27" s="1"/>
  <c r="M21" i="3"/>
  <c r="M54" i="28" l="1"/>
  <c r="M109" i="28" s="1"/>
  <c r="M117" i="28" s="1"/>
  <c r="M78" i="28"/>
  <c r="M102" i="28" s="1"/>
  <c r="M111" i="28" s="1"/>
  <c r="O54" i="28"/>
  <c r="O109" i="28" s="1"/>
  <c r="O117" i="28" s="1"/>
  <c r="N54" i="28"/>
  <c r="N109" i="28" s="1"/>
  <c r="N117" i="28" s="1"/>
  <c r="N78" i="28"/>
  <c r="BB17" i="33"/>
  <c r="AX17" i="33"/>
  <c r="AW19" i="33"/>
  <c r="AX19" i="33" s="1"/>
  <c r="N110" i="28"/>
  <c r="N102" i="28"/>
  <c r="N111" i="28" s="1"/>
  <c r="O78" i="28"/>
  <c r="L78" i="28"/>
  <c r="L102" i="28" s="1"/>
  <c r="M110" i="28"/>
  <c r="T17" i="22"/>
  <c r="M23" i="3"/>
  <c r="F39" i="41"/>
  <c r="F38" i="41"/>
  <c r="C9" i="42" s="1"/>
  <c r="L111" i="28"/>
  <c r="BG17" i="33" l="1"/>
  <c r="BB19" i="33"/>
  <c r="BC19" i="33" s="1"/>
  <c r="BC17" i="33"/>
  <c r="O110" i="28"/>
  <c r="O102" i="28"/>
  <c r="O111" i="28" s="1"/>
  <c r="L110" i="28"/>
  <c r="BG19" i="33" l="1"/>
  <c r="BH19" i="33" s="1"/>
  <c r="BH17" i="33"/>
</calcChain>
</file>

<file path=xl/sharedStrings.xml><?xml version="1.0" encoding="utf-8"?>
<sst xmlns="http://schemas.openxmlformats.org/spreadsheetml/2006/main" count="989" uniqueCount="716">
  <si>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</si>
  <si>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</si>
  <si>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</si>
  <si>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</si>
  <si>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</si>
  <si>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</si>
  <si>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</si>
  <si>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</si>
  <si>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</si>
  <si>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</si>
  <si>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</si>
  <si>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</si>
  <si>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</si>
  <si>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</si>
  <si>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</si>
  <si>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</si>
  <si>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</si>
  <si>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</si>
  <si>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</si>
  <si>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</si>
  <si>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</si>
  <si>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</si>
  <si>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</si>
  <si>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</si>
  <si>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</si>
  <si>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</si>
  <si>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</si>
  <si>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</si>
  <si>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</si>
  <si>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</si>
  <si>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</si>
  <si>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</si>
  <si>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</si>
  <si>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</si>
  <si>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</si>
  <si>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</si>
  <si>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</si>
  <si>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</si>
  <si>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</si>
  <si>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</si>
  <si>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</si>
  <si>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</si>
  <si>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</si>
  <si>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</si>
  <si>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</si>
  <si>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</si>
  <si>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</si>
  <si>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</si>
  <si>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</si>
  <si>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</si>
  <si>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</si>
  <si>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</si>
  <si>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</si>
  <si>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</si>
  <si>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</si>
  <si>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</si>
  <si>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</si>
  <si>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</si>
  <si>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</si>
  <si>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</si>
  <si>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</si>
  <si>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</si>
  <si>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</si>
  <si>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</si>
  <si>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</si>
  <si>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</si>
  <si>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</si>
  <si>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</si>
  <si>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</si>
  <si>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</si>
  <si>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</si>
  <si>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</si>
  <si>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</si>
  <si>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</si>
  <si>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</si>
  <si>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</si>
  <si>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</si>
  <si>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</si>
  <si>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</si>
  <si>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</si>
  <si>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</si>
  <si>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</si>
  <si>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</si>
  <si>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</si>
  <si>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</si>
  <si>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</si>
  <si>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</si>
  <si>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</si>
  <si>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</si>
  <si>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</si>
  <si>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</si>
  <si>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</si>
  <si>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</si>
  <si>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</si>
  <si>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</si>
  <si>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</si>
  <si>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</si>
  <si>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</si>
  <si>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</si>
  <si>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</si>
  <si>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</si>
  <si>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</si>
  <si>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</si>
  <si>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</si>
  <si>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</si>
  <si>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</si>
  <si>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</si>
  <si>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</si>
  <si>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</si>
  <si>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</si>
  <si>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</si>
  <si>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</si>
  <si>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</si>
  <si>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</si>
  <si>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</si>
  <si>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</si>
  <si>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</si>
  <si>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</si>
  <si>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</si>
  <si>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</si>
  <si>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</si>
  <si>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</si>
  <si>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</si>
  <si>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</si>
  <si>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</si>
  <si>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</si>
  <si>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</si>
  <si>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</si>
  <si>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</si>
  <si>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</si>
  <si>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</si>
  <si>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</si>
  <si>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</si>
  <si>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</si>
  <si>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</si>
  <si>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</si>
  <si>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</si>
  <si>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</si>
  <si>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</si>
  <si>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</si>
  <si>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</si>
  <si>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</si>
  <si>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</si>
  <si>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</si>
  <si>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</si>
  <si>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</si>
  <si>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</si>
  <si>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</si>
  <si>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</si>
  <si>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</si>
  <si>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</si>
  <si>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</si>
  <si>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</si>
  <si>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</si>
  <si>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</si>
  <si>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</si>
  <si>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</si>
  <si>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&gt; 30 days ≤ 60 days</t>
  </si>
  <si>
    <t>&gt; 60 days ≤ 90 days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</si>
  <si>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</si>
  <si>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</si>
  <si>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</si>
  <si>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</si>
  <si>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</si>
  <si>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</si>
  <si>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</si>
  <si>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</si>
  <si>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</si>
  <si>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</si>
  <si>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</si>
  <si>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</si>
  <si>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</si>
  <si>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</si>
  <si>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</si>
  <si>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</si>
  <si>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</si>
  <si>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</si>
  <si>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</si>
  <si>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</si>
  <si>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</si>
  <si>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</si>
  <si>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</si>
  <si>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</si>
  <si>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</si>
  <si>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</si>
  <si>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</si>
  <si>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</si>
  <si>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</si>
  <si>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</si>
  <si>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</si>
  <si>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</si>
  <si>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</si>
  <si>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</si>
  <si>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</si>
  <si>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</si>
  <si>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</si>
  <si>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</si>
  <si>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</si>
  <si>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</si>
  <si>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</si>
  <si>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</si>
  <si>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</si>
  <si>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</si>
  <si>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</si>
  <si>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</si>
  <si>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</si>
  <si>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</si>
  <si>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</si>
  <si>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</si>
  <si>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</si>
  <si>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</si>
  <si>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</si>
  <si>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</si>
  <si>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</si>
  <si>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</si>
  <si>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</si>
  <si>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</si>
  <si>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</si>
  <si>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</si>
  <si>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</si>
  <si>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</si>
  <si>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</si>
  <si>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</si>
  <si>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</si>
  <si>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</si>
  <si>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</si>
  <si>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</si>
  <si>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</si>
  <si>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</si>
  <si>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</si>
  <si>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</si>
  <si>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</si>
  <si>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</si>
  <si>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</si>
  <si>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</si>
  <si>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</si>
  <si>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</si>
  <si>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</si>
  <si>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</si>
  <si>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</si>
  <si>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</si>
  <si>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</si>
  <si>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</si>
  <si>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</si>
  <si>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</si>
  <si>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</si>
  <si>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</si>
  <si>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</si>
  <si>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</si>
  <si>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</si>
  <si>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</si>
  <si>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</si>
  <si>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</si>
  <si>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</si>
  <si>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</si>
  <si>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</si>
  <si>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</si>
  <si>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</si>
  <si>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</si>
  <si>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</si>
  <si>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</si>
  <si>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</si>
  <si>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</si>
  <si>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</si>
  <si>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</si>
  <si>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</si>
  <si>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</si>
  <si>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</si>
  <si>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</si>
  <si>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</si>
  <si>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</si>
  <si>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</si>
  <si>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</si>
  <si>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</si>
  <si>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</si>
  <si>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</si>
  <si>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</si>
  <si>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</si>
  <si>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</si>
  <si>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</si>
  <si>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</si>
  <si>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</si>
  <si>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</si>
  <si>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</si>
  <si>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</si>
  <si>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</si>
  <si>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</si>
  <si>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</si>
  <si>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</si>
  <si>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</si>
  <si>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</si>
  <si>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</si>
  <si>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</si>
  <si>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</si>
  <si>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</si>
  <si>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</si>
  <si>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</si>
  <si>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</si>
  <si>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</si>
  <si>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</si>
  <si>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</si>
  <si>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</si>
  <si>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</si>
  <si>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</si>
  <si>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</si>
  <si>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</si>
  <si>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</si>
  <si>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</si>
  <si>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</si>
  <si>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</si>
  <si>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</si>
  <si>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</si>
  <si>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</si>
  <si>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</si>
  <si>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</si>
  <si>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</si>
  <si>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</si>
  <si>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</si>
  <si>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</si>
  <si>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</si>
  <si>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</si>
  <si>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</si>
  <si>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</si>
  <si>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</si>
  <si>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</si>
  <si>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</si>
  <si>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</si>
  <si>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</si>
  <si>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</si>
  <si>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</si>
  <si>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</si>
  <si>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</si>
  <si>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</si>
  <si>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</si>
  <si>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</si>
  <si>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</si>
  <si>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</si>
  <si>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</si>
  <si>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</si>
  <si>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</si>
  <si>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</si>
  <si>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</si>
  <si>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</si>
  <si>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</si>
  <si>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</si>
  <si>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</si>
  <si>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</si>
  <si>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</si>
  <si>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</si>
  <si>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</si>
  <si>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</si>
  <si>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</si>
  <si>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</si>
  <si>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</si>
  <si>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</si>
  <si>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</si>
  <si>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</si>
  <si>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</si>
  <si>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</si>
  <si>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</si>
  <si>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</si>
  <si>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</si>
  <si>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</si>
  <si>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</si>
  <si>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</si>
  <si>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</si>
  <si>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</si>
  <si>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</si>
  <si>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</si>
  <si>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</si>
  <si>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</si>
  <si>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</si>
  <si>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</si>
  <si>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</si>
  <si>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</si>
  <si>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</si>
  <si>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</si>
  <si>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</si>
  <si>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</si>
  <si>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</si>
  <si>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</si>
  <si>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</si>
  <si>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</si>
  <si>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</si>
  <si>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</si>
  <si>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</si>
  <si>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</si>
  <si>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</si>
  <si>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</si>
  <si>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</si>
  <si>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</si>
  <si>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</si>
  <si>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</si>
  <si>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</si>
  <si>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</si>
  <si>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</si>
  <si>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</si>
  <si>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</si>
  <si>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</si>
  <si>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</si>
  <si>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</si>
  <si>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</si>
  <si>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</si>
  <si>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</si>
  <si>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</si>
  <si>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</si>
  <si>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</si>
  <si>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</si>
  <si>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</si>
  <si>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</si>
  <si>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</si>
  <si>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</si>
  <si>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</si>
  <si>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</si>
  <si>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</si>
  <si>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</si>
  <si>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</si>
  <si>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</si>
  <si>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</si>
  <si>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</si>
  <si>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</si>
  <si>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</si>
  <si>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</si>
  <si>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</si>
  <si>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</si>
  <si>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</si>
  <si>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</si>
  <si>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</si>
  <si>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</si>
  <si>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</si>
  <si>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</si>
  <si>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</si>
  <si>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</si>
  <si>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</si>
  <si>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</si>
  <si>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</si>
  <si>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</si>
  <si>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</si>
  <si>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</si>
  <si>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</si>
  <si>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</si>
  <si>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</si>
  <si>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</si>
  <si>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</si>
  <si>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</si>
  <si>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</si>
  <si>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</si>
  <si>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</si>
  <si>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</si>
  <si>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</si>
  <si>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</si>
  <si>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</si>
  <si>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</si>
  <si>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</si>
  <si>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</si>
  <si>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</si>
  <si>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</si>
  <si>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</si>
  <si>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</si>
  <si>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</si>
  <si>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</si>
  <si>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</si>
  <si>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</si>
  <si>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</si>
  <si>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</si>
  <si>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</si>
  <si>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</si>
  <si>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</si>
  <si>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</si>
  <si>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</si>
  <si>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</si>
  <si>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</si>
  <si>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</si>
  <si>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</si>
  <si>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</si>
  <si>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</si>
  <si>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</si>
  <si>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</si>
  <si>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</si>
  <si>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</si>
  <si>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</si>
  <si>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</si>
  <si>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</si>
  <si>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</si>
  <si>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</si>
  <si>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</si>
  <si>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</si>
  <si>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</si>
  <si>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</si>
  <si>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</si>
  <si>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</si>
  <si>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</si>
  <si>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</si>
  <si>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</si>
  <si>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</si>
  <si>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</si>
  <si>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</si>
  <si>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</si>
  <si>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</si>
  <si>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</si>
  <si>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</si>
  <si>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</si>
  <si>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</si>
  <si>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</si>
  <si>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</si>
  <si>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                       -   </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</si>
  <si>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</si>
  <si>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</si>
  <si>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</si>
  <si>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</si>
  <si>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</si>
  <si>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</si>
  <si>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</si>
  <si>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</si>
  <si>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</si>
  <si>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</si>
  <si>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</si>
  <si>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</si>
  <si>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</si>
  <si>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</si>
  <si>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</si>
  <si>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</si>
  <si>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</si>
  <si>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</si>
  <si>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</si>
  <si>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</si>
  <si>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</si>
  <si>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</si>
  <si>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</si>
  <si>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</si>
  <si>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</si>
  <si>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</si>
  <si>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</si>
  <si>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</si>
  <si>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</si>
  <si>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</si>
  <si>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</si>
  <si>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</si>
  <si>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</si>
  <si>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</si>
  <si>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</si>
  <si>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</si>
  <si>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</si>
  <si>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</si>
  <si>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</si>
  <si>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</si>
  <si>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</si>
  <si>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</si>
  <si>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</si>
  <si>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</si>
  <si>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</si>
  <si>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</si>
  <si>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</si>
  <si>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</si>
  <si>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</si>
  <si>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</si>
  <si>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</si>
  <si>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</si>
  <si>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</si>
  <si>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</si>
  <si>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Pillar II requirement (SREP) - must be covered by CET1 capital</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</si>
  <si>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</si>
  <si>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</si>
  <si>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</si>
  <si>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</si>
  <si>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</si>
  <si>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</si>
  <si>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</si>
  <si>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</si>
  <si>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</si>
  <si>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</si>
  <si>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</si>
  <si>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</si>
  <si>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</si>
  <si>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</si>
  <si>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</si>
  <si>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</si>
  <si>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</si>
  <si>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</si>
  <si>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</si>
  <si>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</si>
  <si>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</si>
  <si>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NOK 200m</t>
  </si>
  <si>
    <t>NO0010886542</t>
  </si>
  <si>
    <t>26 June 2020</t>
  </si>
  <si>
    <t>26 June 2025
100 percent of nominal value
In addition "regulatory redemption right" as 100 % of nominal value with the addition of accrued interest</t>
  </si>
  <si>
    <t>Every interest payment after 26 June 2025</t>
  </si>
  <si>
    <t>3 m NIBOR (minimum 0 %) + 8.00 percent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</si>
  <si>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</si>
  <si>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</si>
  <si>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</si>
  <si>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</si>
  <si>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</si>
  <si>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</si>
  <si>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</si>
  <si>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</si>
  <si>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</si>
  <si>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</si>
  <si>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</si>
  <si>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</si>
  <si>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</si>
  <si>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</si>
  <si>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</si>
  <si>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</si>
  <si>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</si>
  <si>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</si>
  <si>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</si>
  <si>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</si>
  <si>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</si>
  <si>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</si>
  <si>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</si>
  <si>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</si>
  <si>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</si>
  <si>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</si>
  <si>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</si>
  <si>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</si>
  <si>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</si>
  <si>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</si>
  <si>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</si>
  <si>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</si>
  <si>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</si>
  <si>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</si>
  <si>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</si>
  <si>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</si>
  <si>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</si>
  <si>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</si>
  <si>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</si>
  <si>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</si>
  <si>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</si>
  <si>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</si>
  <si>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</si>
  <si>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</si>
  <si>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</si>
  <si>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</si>
  <si>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</si>
  <si>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</si>
  <si>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</si>
  <si>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</si>
  <si>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</si>
  <si>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</si>
  <si>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</si>
  <si>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</si>
  <si>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</si>
  <si>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</si>
  <si>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</si>
  <si>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</si>
  <si>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</si>
  <si>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</si>
  <si>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</si>
  <si>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</si>
  <si>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</si>
  <si>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</si>
  <si>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</si>
  <si>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</si>
  <si>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</si>
  <si>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</si>
  <si>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</si>
  <si>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</si>
  <si>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</si>
  <si>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</si>
  <si>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</si>
  <si>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</si>
  <si>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</si>
  <si>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</si>
  <si>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</si>
  <si>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</si>
  <si>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</si>
  <si>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</si>
  <si>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</si>
  <si>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</si>
  <si>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</si>
  <si>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</si>
  <si>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</si>
  <si>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&gt; 90 days</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</si>
  <si>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</si>
  <si>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</si>
  <si>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</si>
  <si>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</si>
  <si>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</si>
  <si>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</si>
  <si>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</si>
  <si>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</si>
  <si>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</si>
  <si>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</si>
  <si>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</si>
  <si>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</si>
  <si>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</si>
  <si>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</si>
  <si>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</si>
  <si>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 30 days+current</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</si>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</sst>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 #,##0.00_ ;_ * \-#,##0.00_ ;_ * &quot;-&quot;??_ ;_ @_ "/>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s>
  <cellStyleXfs count="19">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1" applyNumberFormat="0" applyFill="0" applyBorder="0" applyAlignment="0" applyProtection="0">
      <alignment horizontal="left"/>
    </xf>
    <xf numFmtId="0" fontId="18" fillId="0" borderId="0" applyNumberFormat="0" applyFill="0" applyBorder="0" applyAlignment="0" applyProtection="0"/>
    <xf numFmtId="0" fontId="7" fillId="4" borderId="6" applyFont="0" applyBorder="0">
      <alignment horizontal="center" wrapText="1"/>
    </xf>
    <xf numFmtId="3" fontId="6" fillId="5" borderId="7"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164" fontId="1"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164" fontId="1" fillId="0" borderId="0" applyFont="0" applyFill="0" applyBorder="0" applyAlignment="0" applyProtection="0"/>
    <xf numFmtId="43" fontId="1" fillId="0" borderId="0" applyFont="0" applyFill="0" applyBorder="0" applyAlignment="0" applyProtection="0"/>
  </cellStyleXfs>
  <cellXfs count="547">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5" xfId="0" applyFont="1" applyFill="1" applyBorder="1" applyAlignment="1">
      <alignment horizontal="left" vertical="top" wrapText="1"/>
    </xf>
    <xf numFmtId="0" fontId="13" fillId="2" borderId="0" xfId="0" applyFont="1" applyFill="1"/>
    <xf numFmtId="0" fontId="13" fillId="2" borderId="5" xfId="0" applyFont="1" applyFill="1" applyBorder="1" applyAlignment="1">
      <alignment horizontal="right" vertical="top" wrapText="1"/>
    </xf>
    <xf numFmtId="166" fontId="13" fillId="2" borderId="5" xfId="0" applyNumberFormat="1" applyFont="1" applyFill="1" applyBorder="1" applyAlignment="1">
      <alignment horizontal="left" vertical="top" wrapText="1"/>
    </xf>
    <xf numFmtId="0" fontId="13" fillId="2" borderId="6"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8" xfId="0" applyNumberFormat="1" applyFont="1" applyFill="1" applyBorder="1" applyAlignment="1">
      <alignment horizontal="right" vertical="center" wrapText="1"/>
    </xf>
    <xf numFmtId="168" fontId="13" fillId="2" borderId="5" xfId="0" applyNumberFormat="1" applyFont="1" applyFill="1" applyBorder="1" applyAlignment="1">
      <alignment horizontal="center" vertical="top" wrapText="1"/>
    </xf>
    <xf numFmtId="0" fontId="13" fillId="2" borderId="8" xfId="0" applyFont="1" applyFill="1" applyBorder="1" applyAlignment="1">
      <alignment horizontal="left" vertical="top" wrapText="1"/>
    </xf>
    <xf numFmtId="166" fontId="13" fillId="2" borderId="12" xfId="18" applyNumberFormat="1" applyFont="1" applyFill="1" applyBorder="1" applyAlignment="1">
      <alignment horizontal="left" vertical="top" wrapText="1"/>
    </xf>
    <xf numFmtId="168" fontId="13" fillId="2" borderId="5" xfId="0" applyNumberFormat="1" applyFont="1" applyFill="1" applyBorder="1" applyAlignment="1">
      <alignment horizontal="center" vertical="center" wrapText="1"/>
    </xf>
    <xf numFmtId="166" fontId="13" fillId="2" borderId="10" xfId="18" applyNumberFormat="1"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1" fillId="2" borderId="7" xfId="0" applyFont="1" applyFill="1" applyBorder="1" applyAlignment="1">
      <alignment horizontal="center" vertical="top" wrapText="1"/>
    </xf>
    <xf numFmtId="0" fontId="12" fillId="2" borderId="0" xfId="0" applyFont="1" applyFill="1" applyAlignment="1">
      <alignment horizontal="left" vertical="top"/>
    </xf>
    <xf numFmtId="0" fontId="12" fillId="2" borderId="11" xfId="0" applyFont="1" applyFill="1" applyBorder="1" applyAlignment="1">
      <alignment horizontal="left" vertical="top"/>
    </xf>
    <xf numFmtId="168" fontId="11" fillId="2" borderId="16" xfId="0" applyNumberFormat="1" applyFont="1" applyFill="1" applyBorder="1" applyAlignment="1">
      <alignment horizontal="center" vertical="center" wrapText="1"/>
    </xf>
    <xf numFmtId="0" fontId="11" fillId="2" borderId="17" xfId="0" applyFont="1" applyFill="1" applyBorder="1" applyAlignment="1">
      <alignment horizontal="left" vertical="top" wrapText="1"/>
    </xf>
    <xf numFmtId="168" fontId="11" fillId="2" borderId="16" xfId="0" applyNumberFormat="1" applyFont="1" applyFill="1" applyBorder="1" applyAlignment="1">
      <alignment horizontal="center" vertical="top" wrapText="1"/>
    </xf>
    <xf numFmtId="0" fontId="11" fillId="2" borderId="17" xfId="0" applyFont="1" applyFill="1" applyBorder="1" applyAlignment="1">
      <alignment horizontal="left" vertical="top"/>
    </xf>
    <xf numFmtId="169" fontId="11" fillId="2" borderId="7" xfId="1" applyNumberFormat="1" applyFont="1" applyFill="1" applyBorder="1" applyAlignment="1">
      <alignment horizontal="right" vertical="top" wrapText="1"/>
    </xf>
    <xf numFmtId="170" fontId="11" fillId="2" borderId="0" xfId="1" applyNumberFormat="1" applyFont="1" applyFill="1"/>
    <xf numFmtId="0" fontId="13" fillId="2" borderId="5"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8" xfId="0" applyFont="1" applyFill="1" applyBorder="1" applyAlignment="1">
      <alignment horizontal="right" vertical="top" wrapText="1"/>
    </xf>
    <xf numFmtId="0" fontId="13" fillId="3" borderId="5" xfId="0" applyFont="1" applyFill="1" applyBorder="1" applyAlignment="1">
      <alignment horizontal="left" vertical="top" wrapText="1"/>
    </xf>
    <xf numFmtId="166" fontId="13" fillId="2" borderId="8" xfId="0" applyNumberFormat="1" applyFont="1" applyFill="1" applyBorder="1" applyAlignment="1">
      <alignment horizontal="left" vertical="top" wrapText="1"/>
    </xf>
    <xf numFmtId="166" fontId="13" fillId="3" borderId="5" xfId="0" applyNumberFormat="1" applyFont="1" applyFill="1" applyBorder="1" applyAlignment="1">
      <alignment horizontal="left" vertical="top" wrapText="1"/>
    </xf>
    <xf numFmtId="166" fontId="13" fillId="2" borderId="7" xfId="0" applyNumberFormat="1" applyFont="1" applyFill="1" applyBorder="1" applyAlignment="1">
      <alignment horizontal="left" vertical="top" wrapText="1"/>
    </xf>
    <xf numFmtId="0" fontId="13" fillId="2" borderId="5" xfId="0" applyFont="1" applyFill="1" applyBorder="1" applyAlignment="1">
      <alignment vertical="top" wrapText="1"/>
    </xf>
    <xf numFmtId="0" fontId="13" fillId="2" borderId="4" xfId="0" applyFont="1" applyFill="1" applyBorder="1" applyAlignment="1">
      <alignment vertical="top" wrapText="1"/>
    </xf>
    <xf numFmtId="0" fontId="13" fillId="3" borderId="5" xfId="0" applyFont="1" applyFill="1" applyBorder="1" applyAlignment="1">
      <alignment vertical="top" wrapText="1"/>
    </xf>
    <xf numFmtId="0" fontId="13" fillId="3" borderId="6" xfId="0" applyFont="1" applyFill="1" applyBorder="1" applyAlignment="1">
      <alignment vertical="top" wrapText="1"/>
    </xf>
    <xf numFmtId="9" fontId="13" fillId="2" borderId="7"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5" xfId="4" applyFont="1" applyBorder="1">
      <alignment vertical="center"/>
    </xf>
    <xf numFmtId="0" fontId="12" fillId="0" borderId="13" xfId="6" applyFont="1" applyFill="1" applyBorder="1" applyAlignment="1">
      <alignment vertical="center"/>
    </xf>
    <xf numFmtId="0" fontId="11" fillId="0" borderId="0" xfId="3" applyFont="1">
      <alignment vertical="center"/>
    </xf>
    <xf numFmtId="0" fontId="11" fillId="0" borderId="11" xfId="4" applyFont="1" applyBorder="1">
      <alignment vertical="center"/>
    </xf>
    <xf numFmtId="0" fontId="11" fillId="0" borderId="20" xfId="4" applyFont="1" applyBorder="1">
      <alignment vertical="center"/>
    </xf>
    <xf numFmtId="0" fontId="11" fillId="0" borderId="20" xfId="3" applyFont="1" applyBorder="1">
      <alignment vertical="center"/>
    </xf>
    <xf numFmtId="0" fontId="11" fillId="0" borderId="7" xfId="7" applyFont="1" applyFill="1" applyBorder="1" applyAlignment="1">
      <alignment horizontal="right" vertical="center" wrapText="1"/>
    </xf>
    <xf numFmtId="0" fontId="11" fillId="4" borderId="18" xfId="3" applyFont="1" applyFill="1" applyBorder="1">
      <alignment vertical="center"/>
    </xf>
    <xf numFmtId="0" fontId="11" fillId="0" borderId="7" xfId="4" quotePrefix="1" applyFont="1" applyBorder="1" applyAlignment="1">
      <alignment horizontal="center" vertical="center"/>
    </xf>
    <xf numFmtId="0" fontId="11" fillId="3" borderId="7"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2" fillId="0" borderId="0" xfId="4" applyFont="1" applyAlignment="1">
      <alignment horizontal="center" vertical="center" wrapText="1"/>
    </xf>
    <xf numFmtId="0" fontId="11" fillId="0" borderId="0" xfId="4" quotePrefix="1" applyFont="1" applyAlignment="1">
      <alignment horizontal="center" vertical="center"/>
    </xf>
    <xf numFmtId="3" fontId="11" fillId="2" borderId="7"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4"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1" xfId="3" applyFont="1" applyFill="1" applyBorder="1" applyAlignment="1">
      <alignment vertical="top"/>
    </xf>
    <xf numFmtId="0" fontId="21" fillId="0" borderId="0" xfId="0" applyFont="1" applyAlignment="1">
      <alignment vertical="top"/>
    </xf>
    <xf numFmtId="0" fontId="21"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xf>
    <xf numFmtId="0" fontId="11" fillId="4" borderId="11" xfId="3" applyFont="1" applyFill="1" applyBorder="1" applyAlignment="1">
      <alignment vertical="top"/>
    </xf>
    <xf numFmtId="0" fontId="11" fillId="4" borderId="20" xfId="3" applyFont="1" applyFill="1" applyBorder="1" applyAlignment="1">
      <alignment vertical="top"/>
    </xf>
    <xf numFmtId="0" fontId="11" fillId="4" borderId="0" xfId="3" applyFont="1" applyFill="1" applyAlignment="1">
      <alignment vertical="top" wrapText="1"/>
    </xf>
    <xf numFmtId="0" fontId="13" fillId="2" borderId="24" xfId="0" applyFont="1" applyFill="1" applyBorder="1" applyAlignment="1">
      <alignment horizontal="left" vertical="top" wrapText="1" indent="2"/>
    </xf>
    <xf numFmtId="0" fontId="13" fillId="2" borderId="25" xfId="0" applyFont="1" applyFill="1" applyBorder="1" applyAlignment="1">
      <alignment horizontal="left" vertical="top" wrapText="1" indent="2"/>
    </xf>
    <xf numFmtId="0" fontId="13" fillId="2" borderId="25" xfId="0" applyFont="1" applyFill="1" applyBorder="1" applyAlignment="1">
      <alignment horizontal="left" vertical="top" wrapText="1" indent="1"/>
    </xf>
    <xf numFmtId="0" fontId="13" fillId="2" borderId="25" xfId="0" applyFont="1" applyFill="1" applyBorder="1" applyAlignment="1">
      <alignment horizontal="left" vertical="top" wrapText="1"/>
    </xf>
    <xf numFmtId="168" fontId="13" fillId="2" borderId="24" xfId="0" applyNumberFormat="1" applyFont="1" applyFill="1" applyBorder="1" applyAlignment="1">
      <alignment horizontal="center" vertical="top" wrapText="1"/>
    </xf>
    <xf numFmtId="0" fontId="27" fillId="2" borderId="0" xfId="0" applyFont="1" applyFill="1"/>
    <xf numFmtId="166" fontId="13" fillId="2" borderId="7" xfId="0" applyNumberFormat="1" applyFont="1" applyFill="1" applyBorder="1" applyAlignment="1">
      <alignment horizontal="right" vertical="top" wrapText="1"/>
    </xf>
    <xf numFmtId="0" fontId="22" fillId="2" borderId="0" xfId="0" applyFont="1" applyFill="1"/>
    <xf numFmtId="0" fontId="11" fillId="2" borderId="7" xfId="0" applyFont="1" applyFill="1" applyBorder="1" applyAlignment="1">
      <alignment horizontal="right" vertical="center" wrapText="1"/>
    </xf>
    <xf numFmtId="0" fontId="26" fillId="2" borderId="7" xfId="0" applyFont="1" applyFill="1" applyBorder="1" applyAlignment="1">
      <alignment horizontal="left" vertical="top" wrapText="1"/>
    </xf>
    <xf numFmtId="166" fontId="26" fillId="2" borderId="7"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20" xfId="0" applyFont="1" applyFill="1" applyBorder="1" applyAlignment="1">
      <alignment vertical="top" wrapText="1"/>
    </xf>
    <xf numFmtId="0" fontId="11" fillId="2" borderId="6" xfId="0" applyFont="1" applyFill="1" applyBorder="1" applyAlignment="1">
      <alignment horizontal="center" vertical="top" wrapText="1"/>
    </xf>
    <xf numFmtId="0" fontId="11" fillId="2" borderId="22"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9" xfId="0" applyFont="1" applyFill="1" applyBorder="1" applyAlignment="1">
      <alignment horizontal="right" vertical="top" wrapText="1"/>
    </xf>
    <xf numFmtId="0" fontId="26" fillId="2" borderId="5" xfId="0" applyFont="1" applyFill="1" applyBorder="1" applyAlignment="1">
      <alignment vertical="top" wrapText="1"/>
    </xf>
    <xf numFmtId="0" fontId="26" fillId="2" borderId="13" xfId="0" applyFont="1" applyFill="1" applyBorder="1" applyAlignment="1">
      <alignment vertical="top" wrapText="1"/>
    </xf>
    <xf numFmtId="168" fontId="26" fillId="2" borderId="25" xfId="0" applyNumberFormat="1" applyFont="1" applyFill="1" applyBorder="1" applyAlignment="1">
      <alignment horizontal="center" vertical="center" wrapText="1"/>
    </xf>
    <xf numFmtId="168" fontId="26" fillId="2" borderId="25"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8" xfId="0" applyFont="1" applyFill="1" applyBorder="1" applyAlignment="1">
      <alignment vertical="top" wrapText="1"/>
    </xf>
    <xf numFmtId="166" fontId="26" fillId="2" borderId="7"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10" xfId="0" applyFont="1" applyFill="1" applyBorder="1" applyAlignment="1">
      <alignment wrapText="1"/>
    </xf>
    <xf numFmtId="166" fontId="11" fillId="2" borderId="24"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5" xfId="18" applyNumberFormat="1" applyFont="1" applyFill="1" applyBorder="1" applyAlignment="1">
      <alignment horizontal="left" vertical="top" wrapText="1"/>
    </xf>
    <xf numFmtId="0" fontId="13" fillId="2" borderId="7" xfId="0" applyFont="1" applyFill="1" applyBorder="1" applyAlignment="1">
      <alignment horizontal="right" vertical="top" wrapText="1"/>
    </xf>
    <xf numFmtId="168" fontId="13" fillId="2" borderId="23" xfId="0" applyNumberFormat="1" applyFont="1" applyFill="1" applyBorder="1" applyAlignment="1">
      <alignment horizontal="center" vertical="top" wrapText="1"/>
    </xf>
    <xf numFmtId="164" fontId="13" fillId="2" borderId="7" xfId="18" applyNumberFormat="1" applyFont="1" applyFill="1" applyBorder="1" applyAlignment="1">
      <alignment horizontal="right" vertical="top" wrapText="1"/>
    </xf>
    <xf numFmtId="168" fontId="13" fillId="2" borderId="38" xfId="0" applyNumberFormat="1" applyFont="1" applyFill="1" applyBorder="1" applyAlignment="1">
      <alignment horizontal="center" vertical="top" wrapText="1"/>
    </xf>
    <xf numFmtId="0" fontId="13" fillId="2" borderId="39" xfId="0" applyFont="1" applyFill="1" applyBorder="1" applyAlignment="1">
      <alignment horizontal="left" vertical="top" wrapText="1"/>
    </xf>
    <xf numFmtId="0" fontId="12" fillId="2" borderId="25" xfId="0" applyFont="1" applyFill="1" applyBorder="1" applyAlignment="1">
      <alignment horizontal="left" vertical="top" wrapText="1"/>
    </xf>
    <xf numFmtId="168" fontId="13" fillId="2" borderId="7"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7" xfId="0" applyFont="1" applyFill="1" applyBorder="1"/>
    <xf numFmtId="3" fontId="11" fillId="0" borderId="7" xfId="11" quotePrefix="1" applyNumberFormat="1" applyFont="1" applyBorder="1" applyAlignment="1">
      <alignment horizontal="right"/>
    </xf>
    <xf numFmtId="0" fontId="11" fillId="0" borderId="0" xfId="9" applyFont="1"/>
    <xf numFmtId="0" fontId="12" fillId="7" borderId="7" xfId="0" applyFont="1" applyFill="1" applyBorder="1"/>
    <xf numFmtId="3" fontId="12" fillId="0" borderId="7" xfId="11" quotePrefix="1" applyNumberFormat="1" applyFont="1" applyBorder="1" applyAlignment="1">
      <alignment horizontal="right"/>
    </xf>
    <xf numFmtId="0" fontId="13" fillId="0" borderId="0" xfId="9" applyFont="1"/>
    <xf numFmtId="3" fontId="11" fillId="0" borderId="7" xfId="11" applyNumberFormat="1" applyFont="1" applyBorder="1"/>
    <xf numFmtId="0" fontId="19" fillId="7" borderId="7" xfId="0" applyFont="1" applyFill="1" applyBorder="1"/>
    <xf numFmtId="3" fontId="19" fillId="0" borderId="7" xfId="11" applyNumberFormat="1" applyFont="1" applyBorder="1"/>
    <xf numFmtId="0" fontId="11" fillId="7" borderId="7" xfId="0" applyFont="1" applyFill="1" applyBorder="1" applyAlignment="1">
      <alignment horizontal="left" indent="1"/>
    </xf>
    <xf numFmtId="0" fontId="13" fillId="0" borderId="7" xfId="9" applyFont="1" applyBorder="1"/>
    <xf numFmtId="169" fontId="11" fillId="0" borderId="7" xfId="9" applyNumberFormat="1" applyFont="1" applyBorder="1" applyAlignment="1">
      <alignment horizontal="right"/>
    </xf>
    <xf numFmtId="0" fontId="27" fillId="0" borderId="7" xfId="9" applyFont="1" applyBorder="1"/>
    <xf numFmtId="169" fontId="12" fillId="0" borderId="7"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7" xfId="0" applyFont="1" applyFill="1" applyBorder="1" applyAlignment="1">
      <alignment horizontal="right"/>
    </xf>
    <xf numFmtId="0" fontId="26" fillId="6" borderId="6" xfId="0" applyFont="1" applyFill="1" applyBorder="1" applyAlignment="1">
      <alignment wrapText="1"/>
    </xf>
    <xf numFmtId="3" fontId="26" fillId="6" borderId="6" xfId="0" applyNumberFormat="1" applyFont="1" applyFill="1" applyBorder="1" applyAlignment="1">
      <alignment wrapText="1"/>
    </xf>
    <xf numFmtId="0" fontId="26" fillId="8" borderId="7" xfId="0" applyFont="1" applyFill="1" applyBorder="1" applyAlignment="1">
      <alignment horizontal="right" wrapText="1"/>
    </xf>
    <xf numFmtId="166" fontId="26" fillId="6" borderId="7" xfId="13" applyNumberFormat="1" applyFont="1" applyFill="1" applyBorder="1" applyAlignment="1">
      <alignment horizontal="right"/>
    </xf>
    <xf numFmtId="0" fontId="35" fillId="6" borderId="8" xfId="0" applyFont="1" applyFill="1" applyBorder="1" applyAlignment="1">
      <alignment horizontal="right"/>
    </xf>
    <xf numFmtId="0" fontId="35" fillId="6" borderId="5" xfId="0" applyFont="1" applyFill="1" applyBorder="1" applyAlignment="1">
      <alignment wrapText="1"/>
    </xf>
    <xf numFmtId="166" fontId="26" fillId="6" borderId="8" xfId="13" applyNumberFormat="1" applyFont="1" applyFill="1" applyBorder="1" applyAlignment="1">
      <alignment horizontal="right"/>
    </xf>
    <xf numFmtId="0" fontId="26" fillId="8" borderId="8" xfId="0" applyFont="1" applyFill="1" applyBorder="1" applyAlignment="1">
      <alignment horizontal="right" wrapText="1"/>
    </xf>
    <xf numFmtId="0" fontId="36" fillId="6" borderId="6" xfId="0" applyFont="1" applyFill="1" applyBorder="1"/>
    <xf numFmtId="0" fontId="37" fillId="6" borderId="2" xfId="0" applyFont="1" applyFill="1" applyBorder="1"/>
    <xf numFmtId="166" fontId="37" fillId="6" borderId="9" xfId="12" applyNumberFormat="1" applyFont="1" applyFill="1" applyBorder="1" applyAlignment="1">
      <alignment horizontal="right"/>
    </xf>
    <xf numFmtId="0" fontId="37" fillId="6" borderId="2" xfId="0" applyFont="1" applyFill="1" applyBorder="1" applyAlignment="1">
      <alignment horizontal="right" wrapText="1"/>
    </xf>
    <xf numFmtId="0" fontId="26" fillId="6" borderId="10" xfId="0" applyFont="1" applyFill="1" applyBorder="1" applyAlignment="1">
      <alignment horizontal="right"/>
    </xf>
    <xf numFmtId="0" fontId="26" fillId="6" borderId="18" xfId="0" applyFont="1" applyFill="1" applyBorder="1" applyAlignment="1">
      <alignment wrapText="1"/>
    </xf>
    <xf numFmtId="166" fontId="26" fillId="6" borderId="10" xfId="13" applyNumberFormat="1" applyFont="1" applyFill="1" applyBorder="1" applyAlignment="1">
      <alignment horizontal="right"/>
    </xf>
    <xf numFmtId="0" fontId="26" fillId="8" borderId="10" xfId="0" applyFont="1" applyFill="1" applyBorder="1" applyAlignment="1">
      <alignment horizontal="right" wrapText="1"/>
    </xf>
    <xf numFmtId="166" fontId="26" fillId="0" borderId="10" xfId="13" applyNumberFormat="1" applyFont="1" applyFill="1" applyBorder="1" applyAlignment="1">
      <alignment horizontal="right"/>
    </xf>
    <xf numFmtId="166" fontId="26" fillId="0" borderId="7" xfId="13" applyNumberFormat="1" applyFont="1" applyFill="1" applyBorder="1" applyAlignment="1">
      <alignment horizontal="right"/>
    </xf>
    <xf numFmtId="0" fontId="35" fillId="6" borderId="6" xfId="0" applyFont="1" applyFill="1" applyBorder="1" applyAlignment="1">
      <alignment wrapText="1"/>
    </xf>
    <xf numFmtId="0" fontId="36" fillId="6" borderId="11"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7" xfId="0" applyNumberFormat="1" applyFont="1" applyFill="1" applyBorder="1" applyAlignment="1">
      <alignment horizontal="right" wrapText="1"/>
    </xf>
    <xf numFmtId="0" fontId="37" fillId="6" borderId="11" xfId="0" applyFont="1" applyFill="1" applyBorder="1"/>
    <xf numFmtId="174" fontId="26" fillId="6" borderId="7" xfId="1" applyNumberFormat="1" applyFont="1" applyFill="1" applyBorder="1" applyAlignment="1">
      <alignment horizontal="right"/>
    </xf>
    <xf numFmtId="169" fontId="26" fillId="9" borderId="7" xfId="1" applyNumberFormat="1" applyFont="1" applyFill="1" applyBorder="1" applyAlignment="1">
      <alignment horizontal="right"/>
    </xf>
    <xf numFmtId="166" fontId="26" fillId="9" borderId="7" xfId="13" applyNumberFormat="1" applyFont="1" applyFill="1" applyBorder="1" applyAlignment="1">
      <alignment horizontal="right"/>
    </xf>
    <xf numFmtId="0" fontId="36" fillId="6" borderId="6" xfId="0" applyFont="1" applyFill="1" applyBorder="1" applyAlignment="1">
      <alignment vertical="top"/>
    </xf>
    <xf numFmtId="0" fontId="36" fillId="6" borderId="2" xfId="0" applyFont="1" applyFill="1" applyBorder="1" applyAlignment="1">
      <alignment vertical="top" wrapText="1"/>
    </xf>
    <xf numFmtId="3" fontId="11" fillId="7" borderId="7" xfId="0" quotePrefix="1" applyNumberFormat="1" applyFont="1" applyFill="1" applyBorder="1" applyAlignment="1">
      <alignment horizontal="right"/>
    </xf>
    <xf numFmtId="3" fontId="12" fillId="7" borderId="7" xfId="0" quotePrefix="1" applyNumberFormat="1" applyFont="1" applyFill="1" applyBorder="1" applyAlignment="1">
      <alignment horizontal="right"/>
    </xf>
    <xf numFmtId="0" fontId="13" fillId="7" borderId="7" xfId="0" applyFont="1" applyFill="1" applyBorder="1"/>
    <xf numFmtId="0" fontId="11" fillId="7" borderId="7" xfId="0" applyFont="1" applyFill="1" applyBorder="1" applyAlignment="1">
      <alignment horizontal="center"/>
    </xf>
    <xf numFmtId="0" fontId="40" fillId="7" borderId="7" xfId="0" applyFont="1" applyFill="1" applyBorder="1"/>
    <xf numFmtId="0" fontId="41" fillId="7" borderId="7" xfId="0" applyFont="1" applyFill="1" applyBorder="1" applyAlignment="1">
      <alignment horizontal="center"/>
    </xf>
    <xf numFmtId="0" fontId="11" fillId="0" borderId="7" xfId="0" applyFont="1" applyBorder="1" applyAlignment="1">
      <alignment horizontal="center" wrapText="1"/>
    </xf>
    <xf numFmtId="0" fontId="13" fillId="7" borderId="7" xfId="0" applyFont="1" applyFill="1" applyBorder="1" applyAlignment="1">
      <alignment horizontal="right"/>
    </xf>
    <xf numFmtId="0" fontId="11" fillId="0" borderId="7" xfId="0" applyFont="1" applyBorder="1" applyAlignment="1">
      <alignment horizontal="center"/>
    </xf>
    <xf numFmtId="49" fontId="11" fillId="0" borderId="7" xfId="0" applyNumberFormat="1" applyFont="1" applyBorder="1" applyAlignment="1">
      <alignment horizontal="center"/>
    </xf>
    <xf numFmtId="175" fontId="11" fillId="7" borderId="7" xfId="0" applyNumberFormat="1" applyFont="1" applyFill="1" applyBorder="1" applyAlignment="1">
      <alignment horizontal="center"/>
    </xf>
    <xf numFmtId="176" fontId="11" fillId="0" borderId="7" xfId="0" applyNumberFormat="1" applyFont="1" applyBorder="1" applyAlignment="1">
      <alignment horizontal="center" wrapText="1"/>
    </xf>
    <xf numFmtId="0" fontId="11" fillId="0" borderId="7" xfId="0" applyFont="1" applyBorder="1"/>
    <xf numFmtId="0" fontId="19" fillId="0" borderId="7" xfId="0" applyFont="1" applyBorder="1"/>
    <xf numFmtId="0" fontId="19" fillId="0" borderId="7" xfId="0" applyFont="1" applyBorder="1" applyAlignment="1">
      <alignment horizontal="center"/>
    </xf>
    <xf numFmtId="0" fontId="11" fillId="0" borderId="7" xfId="0" applyFont="1" applyBorder="1" applyAlignment="1">
      <alignment horizontal="right"/>
    </xf>
    <xf numFmtId="9" fontId="11" fillId="7" borderId="7" xfId="1" quotePrefix="1" applyFont="1" applyFill="1" applyBorder="1" applyAlignment="1">
      <alignment horizontal="right"/>
    </xf>
    <xf numFmtId="9" fontId="12" fillId="7" borderId="7" xfId="1" quotePrefix="1" applyFont="1" applyFill="1" applyBorder="1" applyAlignment="1">
      <alignment horizontal="right"/>
    </xf>
    <xf numFmtId="3" fontId="11" fillId="6" borderId="7"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6" xfId="0" applyNumberFormat="1" applyFont="1" applyFill="1" applyBorder="1"/>
    <xf numFmtId="14" fontId="11" fillId="7" borderId="6" xfId="0" applyNumberFormat="1" applyFont="1" applyFill="1" applyBorder="1" applyAlignment="1">
      <alignment horizontal="left"/>
    </xf>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7" xfId="0" quotePrefix="1" applyNumberFormat="1" applyFont="1" applyFill="1" applyBorder="1" applyAlignment="1">
      <alignment horizontal="right"/>
    </xf>
    <xf numFmtId="177" fontId="12" fillId="6" borderId="7"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2" xfId="0" applyNumberFormat="1" applyFont="1" applyFill="1" applyBorder="1"/>
    <xf numFmtId="14" fontId="12" fillId="7" borderId="6" xfId="0" applyNumberFormat="1" applyFont="1" applyFill="1" applyBorder="1" applyAlignment="1">
      <alignment horizontal="left"/>
    </xf>
    <xf numFmtId="14" fontId="12" fillId="6" borderId="2"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6" xfId="0" applyNumberFormat="1" applyFont="1" applyFill="1" applyBorder="1" applyAlignment="1">
      <alignment horizontal="left"/>
    </xf>
    <xf numFmtId="14" fontId="11" fillId="6" borderId="9" xfId="0" applyNumberFormat="1" applyFont="1" applyFill="1" applyBorder="1"/>
    <xf numFmtId="14" fontId="11" fillId="6" borderId="9" xfId="0" applyNumberFormat="1" applyFont="1" applyFill="1" applyBorder="1" applyAlignment="1">
      <alignment horizontal="left"/>
    </xf>
    <xf numFmtId="10" fontId="42" fillId="6" borderId="0" xfId="0" applyNumberFormat="1" applyFont="1" applyFill="1"/>
    <xf numFmtId="166" fontId="11" fillId="6" borderId="7" xfId="13" quotePrefix="1" applyNumberFormat="1" applyFont="1" applyFill="1" applyBorder="1" applyAlignment="1">
      <alignment horizontal="right"/>
    </xf>
    <xf numFmtId="14" fontId="12" fillId="7" borderId="6" xfId="0" applyNumberFormat="1" applyFont="1" applyFill="1" applyBorder="1"/>
    <xf numFmtId="14" fontId="12" fillId="6" borderId="9" xfId="0" applyNumberFormat="1" applyFont="1" applyFill="1" applyBorder="1"/>
    <xf numFmtId="166" fontId="12" fillId="6" borderId="7" xfId="13" quotePrefix="1" applyNumberFormat="1" applyFont="1" applyFill="1" applyBorder="1" applyAlignment="1">
      <alignment horizontal="right"/>
    </xf>
    <xf numFmtId="10" fontId="43" fillId="6" borderId="0" xfId="0" applyNumberFormat="1" applyFont="1" applyFill="1"/>
    <xf numFmtId="14" fontId="11" fillId="6" borderId="9" xfId="0" applyNumberFormat="1" applyFont="1" applyFill="1" applyBorder="1" applyAlignment="1">
      <alignment horizontal="left"/>
    </xf>
    <xf numFmtId="0" fontId="13" fillId="2" borderId="7" xfId="0" applyFont="1" applyFill="1" applyBorder="1" applyAlignment="1">
      <alignment horizontal="center" vertical="top" wrapText="1"/>
    </xf>
    <xf numFmtId="0" fontId="13" fillId="2" borderId="7" xfId="0" applyFont="1" applyFill="1" applyBorder="1" applyAlignment="1">
      <alignment horizontal="left" vertical="top" wrapText="1"/>
    </xf>
    <xf numFmtId="0" fontId="33" fillId="10" borderId="0" xfId="0" applyFont="1" applyFill="1" applyAlignment="1">
      <alignment horizontal="center" vertical="center" wrapText="1"/>
    </xf>
    <xf numFmtId="0" fontId="33" fillId="10" borderId="10" xfId="0" applyFont="1" applyFill="1" applyBorder="1" applyAlignment="1">
      <alignment horizontal="center" vertical="center" wrapText="1"/>
    </xf>
    <xf numFmtId="0" fontId="17" fillId="2" borderId="0" xfId="0" applyFont="1" applyFill="1" applyBorder="1" applyAlignment="1">
      <alignment horizontal="center"/>
    </xf>
    <xf numFmtId="0" fontId="17" fillId="2" borderId="0" xfId="0" applyFont="1" applyFill="1" applyBorder="1"/>
    <xf numFmtId="0" fontId="7" fillId="2" borderId="3" xfId="0" applyFont="1" applyFill="1" applyBorder="1" applyAlignment="1">
      <alignment horizontal="right"/>
    </xf>
    <xf numFmtId="0" fontId="0" fillId="2" borderId="0" xfId="0" applyFill="1" applyBorder="1"/>
    <xf numFmtId="0" fontId="6" fillId="2" borderId="0" xfId="0" applyFont="1" applyFill="1" applyBorder="1" applyAlignment="1">
      <alignment horizontal="center"/>
    </xf>
    <xf numFmtId="0" fontId="6" fillId="2" borderId="0" xfId="0" applyFont="1" applyFill="1" applyBorder="1"/>
    <xf numFmtId="165" fontId="6" fillId="2" borderId="0" xfId="0" applyNumberFormat="1" applyFont="1" applyFill="1" applyBorder="1" applyAlignment="1">
      <alignment horizontal="left"/>
    </xf>
    <xf numFmtId="0" fontId="38" fillId="10" borderId="3" xfId="0" applyFont="1" applyFill="1" applyBorder="1" applyAlignment="1">
      <alignment vertical="center"/>
    </xf>
    <xf numFmtId="0" fontId="38" fillId="10" borderId="3" xfId="0" applyFont="1" applyFill="1" applyBorder="1" applyAlignment="1">
      <alignment vertical="center" wrapText="1"/>
    </xf>
    <xf numFmtId="168" fontId="27" fillId="2" borderId="24" xfId="0" applyNumberFormat="1" applyFont="1" applyFill="1" applyBorder="1" applyAlignment="1">
      <alignment horizontal="center" vertical="top" wrapText="1"/>
    </xf>
    <xf numFmtId="0" fontId="27" fillId="2" borderId="25"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3" xfId="0" applyFont="1" applyFill="1" applyBorder="1" applyAlignment="1">
      <alignment horizontal="left" vertical="center" wrapText="1"/>
    </xf>
    <xf numFmtId="14" fontId="12" fillId="7" borderId="0" xfId="0" applyNumberFormat="1" applyFont="1" applyFill="1" applyBorder="1" applyAlignment="1">
      <alignment horizontal="left"/>
    </xf>
    <xf numFmtId="177" fontId="12" fillId="6" borderId="0" xfId="0" quotePrefix="1" applyNumberFormat="1" applyFont="1" applyFill="1" applyBorder="1" applyAlignment="1">
      <alignment horizontal="right"/>
    </xf>
    <xf numFmtId="0" fontId="49" fillId="7" borderId="0" xfId="0" applyFont="1" applyFill="1"/>
    <xf numFmtId="0" fontId="34" fillId="10" borderId="0" xfId="0" applyFont="1" applyFill="1" applyAlignment="1">
      <alignment horizontal="left" vertical="center" wrapText="1"/>
    </xf>
    <xf numFmtId="0" fontId="34" fillId="10" borderId="18"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4" fillId="10" borderId="19" xfId="0" applyFont="1" applyFill="1" applyBorder="1" applyAlignment="1">
      <alignment horizontal="center" vertical="center" wrapText="1"/>
    </xf>
    <xf numFmtId="166" fontId="35" fillId="2" borderId="7" xfId="18" applyNumberFormat="1" applyFont="1" applyFill="1" applyBorder="1" applyAlignment="1">
      <alignment horizontal="right" vertical="top" wrapText="1"/>
    </xf>
    <xf numFmtId="166" fontId="12" fillId="2" borderId="25" xfId="18" applyNumberFormat="1" applyFont="1" applyFill="1" applyBorder="1" applyAlignment="1">
      <alignment horizontal="left" vertical="top" wrapText="1"/>
    </xf>
    <xf numFmtId="166" fontId="35" fillId="2" borderId="7" xfId="18" applyNumberFormat="1" applyFont="1" applyFill="1" applyBorder="1" applyAlignment="1">
      <alignment horizontal="left" vertical="top" wrapText="1"/>
    </xf>
    <xf numFmtId="0" fontId="27" fillId="2" borderId="7" xfId="0" applyFont="1" applyFill="1" applyBorder="1" applyAlignment="1">
      <alignment horizontal="left" vertical="top" wrapText="1"/>
    </xf>
    <xf numFmtId="166" fontId="13" fillId="11" borderId="7" xfId="0" applyNumberFormat="1" applyFont="1" applyFill="1" applyBorder="1" applyAlignment="1">
      <alignment horizontal="left" vertical="top" wrapText="1"/>
    </xf>
    <xf numFmtId="9" fontId="13" fillId="2" borderId="7"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3" xfId="0" applyFont="1" applyFill="1" applyBorder="1" applyAlignment="1">
      <alignment horizontal="left"/>
    </xf>
    <xf numFmtId="0" fontId="0" fillId="2" borderId="0" xfId="0" applyFill="1" applyAlignment="1">
      <alignment horizontal="left"/>
    </xf>
    <xf numFmtId="0" fontId="7" fillId="2" borderId="3" xfId="0" applyFont="1" applyFill="1" applyBorder="1" applyAlignment="1">
      <alignment horizontal="right" wrapText="1"/>
    </xf>
    <xf numFmtId="0" fontId="7" fillId="2" borderId="3" xfId="0" applyFont="1" applyFill="1" applyBorder="1" applyAlignment="1">
      <alignment horizontal="left" wrapText="1"/>
    </xf>
    <xf numFmtId="166" fontId="37" fillId="6" borderId="2" xfId="12" applyNumberFormat="1" applyFont="1" applyFill="1" applyBorder="1" applyAlignment="1">
      <alignment horizontal="right"/>
    </xf>
    <xf numFmtId="0" fontId="31" fillId="2" borderId="0" xfId="9" applyFont="1" applyFill="1" applyBorder="1"/>
    <xf numFmtId="0" fontId="11" fillId="2" borderId="7" xfId="0" applyFont="1" applyFill="1" applyBorder="1"/>
    <xf numFmtId="0" fontId="0" fillId="7" borderId="0" xfId="0" applyFont="1" applyFill="1"/>
    <xf numFmtId="0" fontId="0" fillId="7" borderId="0" xfId="0"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9" borderId="0" xfId="0" applyFont="1" applyFill="1" applyBorder="1" applyAlignment="1">
      <alignment vertical="center"/>
    </xf>
    <xf numFmtId="171" fontId="34" fillId="9" borderId="0" xfId="0" applyNumberFormat="1" applyFont="1" applyFill="1" applyBorder="1" applyAlignment="1">
      <alignment horizontal="center" vertical="center"/>
    </xf>
    <xf numFmtId="177" fontId="11" fillId="9" borderId="0" xfId="0" quotePrefix="1" applyNumberFormat="1" applyFont="1" applyFill="1" applyBorder="1" applyAlignment="1">
      <alignment horizontal="right"/>
    </xf>
    <xf numFmtId="177" fontId="12" fillId="9" borderId="0" xfId="0" quotePrefix="1" applyNumberFormat="1" applyFont="1" applyFill="1" applyBorder="1" applyAlignment="1">
      <alignment horizontal="right"/>
    </xf>
    <xf numFmtId="0" fontId="33" fillId="10" borderId="20" xfId="0" applyFont="1" applyFill="1" applyBorder="1" applyAlignment="1">
      <alignment vertical="center"/>
    </xf>
    <xf numFmtId="171" fontId="34" fillId="10" borderId="20"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0" fontId="33" fillId="9" borderId="0" xfId="0" applyFont="1" applyFill="1" applyBorder="1" applyAlignment="1">
      <alignment vertical="center" wrapText="1"/>
    </xf>
    <xf numFmtId="171" fontId="34" fillId="9" borderId="0" xfId="0" applyNumberFormat="1" applyFont="1" applyFill="1" applyBorder="1" applyAlignment="1">
      <alignment horizontal="center" vertical="center" wrapText="1"/>
    </xf>
    <xf numFmtId="0" fontId="42" fillId="9" borderId="0" xfId="0" applyFont="1" applyFill="1" applyBorder="1"/>
    <xf numFmtId="9" fontId="11" fillId="6" borderId="6" xfId="1" quotePrefix="1" applyFont="1" applyFill="1" applyBorder="1" applyAlignment="1">
      <alignment horizontal="right"/>
    </xf>
    <xf numFmtId="9" fontId="11" fillId="6" borderId="6" xfId="1" quotePrefix="1" applyNumberFormat="1" applyFont="1" applyFill="1" applyBorder="1" applyAlignment="1">
      <alignment horizontal="right"/>
    </xf>
    <xf numFmtId="9" fontId="11" fillId="9" borderId="11" xfId="1" quotePrefix="1" applyFont="1" applyFill="1" applyBorder="1" applyAlignment="1">
      <alignment horizontal="right"/>
    </xf>
    <xf numFmtId="0" fontId="50" fillId="0" borderId="40" xfId="0" applyFont="1" applyBorder="1" applyAlignment="1">
      <alignment vertical="center"/>
    </xf>
    <xf numFmtId="0" fontId="50" fillId="0" borderId="41" xfId="0" applyFont="1" applyBorder="1" applyAlignment="1">
      <alignment horizontal="right" vertical="center" wrapText="1"/>
    </xf>
    <xf numFmtId="0" fontId="50" fillId="0" borderId="42" xfId="0" applyFont="1" applyBorder="1" applyAlignment="1">
      <alignment horizontal="right" vertical="center" wrapText="1"/>
    </xf>
    <xf numFmtId="0" fontId="50" fillId="0" borderId="41" xfId="0" applyFont="1" applyBorder="1" applyAlignment="1">
      <alignment horizontal="right" vertical="center"/>
    </xf>
    <xf numFmtId="0" fontId="51" fillId="0" borderId="0" xfId="0" applyFont="1" applyAlignment="1">
      <alignment vertical="center"/>
    </xf>
    <xf numFmtId="178" fontId="51" fillId="0" borderId="11" xfId="17" applyNumberFormat="1" applyFont="1" applyBorder="1" applyAlignment="1">
      <alignment vertical="center"/>
    </xf>
    <xf numFmtId="178" fontId="51" fillId="0" borderId="37" xfId="17" applyNumberFormat="1" applyFont="1" applyBorder="1" applyAlignment="1">
      <alignment vertical="center"/>
    </xf>
    <xf numFmtId="178" fontId="52" fillId="0" borderId="37" xfId="17" applyNumberFormat="1" applyFont="1" applyBorder="1" applyAlignment="1">
      <alignment vertical="center"/>
    </xf>
    <xf numFmtId="0" fontId="51" fillId="0" borderId="0" xfId="0" applyFont="1" applyAlignment="1">
      <alignment vertical="center" wrapText="1"/>
    </xf>
    <xf numFmtId="178" fontId="51" fillId="0" borderId="37" xfId="17" applyNumberFormat="1" applyFont="1" applyBorder="1" applyAlignment="1">
      <alignment vertical="center" wrapText="1"/>
    </xf>
    <xf numFmtId="0" fontId="50" fillId="0" borderId="43" xfId="0" applyFont="1" applyBorder="1" applyAlignment="1">
      <alignment vertical="center"/>
    </xf>
    <xf numFmtId="178" fontId="50" fillId="0" borderId="44" xfId="17" applyNumberFormat="1" applyFont="1" applyBorder="1" applyAlignment="1">
      <alignment vertical="center"/>
    </xf>
    <xf numFmtId="0" fontId="50" fillId="0" borderId="0" xfId="0" applyFont="1" applyAlignment="1">
      <alignment vertical="center"/>
    </xf>
    <xf numFmtId="0" fontId="51" fillId="0" borderId="0" xfId="0" applyFont="1"/>
    <xf numFmtId="0" fontId="50" fillId="0" borderId="40" xfId="0" applyFont="1" applyBorder="1" applyAlignment="1">
      <alignment vertical="center" wrapText="1"/>
    </xf>
    <xf numFmtId="178" fontId="52" fillId="0" borderId="11" xfId="17" applyNumberFormat="1" applyFont="1" applyBorder="1" applyAlignment="1">
      <alignment vertical="center"/>
    </xf>
    <xf numFmtId="178" fontId="51" fillId="0" borderId="37" xfId="0" applyNumberFormat="1" applyFont="1" applyBorder="1"/>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10" xfId="0" applyFont="1" applyFill="1" applyBorder="1"/>
    <xf numFmtId="0" fontId="13" fillId="2" borderId="10" xfId="0" applyFont="1" applyFill="1" applyBorder="1"/>
    <xf numFmtId="49" fontId="13" fillId="2" borderId="10" xfId="0" quotePrefix="1" applyNumberFormat="1" applyFont="1" applyFill="1" applyBorder="1"/>
    <xf numFmtId="0" fontId="13" fillId="2" borderId="7" xfId="0" quotePrefix="1" applyFont="1" applyFill="1" applyBorder="1"/>
    <xf numFmtId="0" fontId="13" fillId="2" borderId="7" xfId="0" applyFont="1" applyFill="1" applyBorder="1"/>
    <xf numFmtId="179" fontId="13" fillId="2" borderId="7" xfId="18" applyNumberFormat="1" applyFont="1" applyFill="1" applyBorder="1"/>
    <xf numFmtId="9" fontId="13" fillId="2" borderId="7" xfId="0" applyNumberFormat="1" applyFont="1" applyFill="1" applyBorder="1"/>
    <xf numFmtId="10" fontId="13" fillId="2" borderId="7" xfId="0" applyNumberFormat="1" applyFont="1" applyFill="1" applyBorder="1"/>
    <xf numFmtId="180" fontId="13" fillId="2" borderId="0" xfId="0" applyNumberFormat="1" applyFont="1" applyFill="1"/>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0" fontId="33" fillId="10" borderId="7" xfId="0" applyFont="1" applyFill="1" applyBorder="1" applyAlignment="1">
      <alignment vertical="center" wrapText="1"/>
    </xf>
    <xf numFmtId="166" fontId="11" fillId="2" borderId="6" xfId="18" applyNumberFormat="1" applyFont="1" applyFill="1" applyBorder="1" applyAlignment="1">
      <alignment horizontal="right" vertical="top"/>
    </xf>
    <xf numFmtId="169" fontId="11" fillId="2" borderId="6" xfId="1" applyNumberFormat="1" applyFont="1" applyFill="1" applyBorder="1" applyAlignment="1">
      <alignment horizontal="right" vertical="top" wrapText="1"/>
    </xf>
    <xf numFmtId="3" fontId="6" fillId="2" borderId="0" xfId="0" applyNumberFormat="1" applyFont="1" applyFill="1" applyBorder="1"/>
    <xf numFmtId="3" fontId="6" fillId="2" borderId="0" xfId="0" applyNumberFormat="1" applyFont="1" applyFill="1" applyBorder="1" applyAlignment="1">
      <alignment vertical="center"/>
    </xf>
    <xf numFmtId="0" fontId="11" fillId="2" borderId="0" xfId="0" applyFont="1" applyFill="1" applyBorder="1" applyAlignment="1">
      <alignment horizontal="left"/>
    </xf>
    <xf numFmtId="0" fontId="11" fillId="2" borderId="0" xfId="0" applyFont="1" applyFill="1" applyBorder="1"/>
    <xf numFmtId="0" fontId="11" fillId="2" borderId="11" xfId="0" applyFont="1" applyFill="1" applyBorder="1" applyAlignment="1">
      <alignment horizontal="center" vertical="top" wrapText="1"/>
    </xf>
    <xf numFmtId="166" fontId="11" fillId="2" borderId="11" xfId="18" applyNumberFormat="1" applyFont="1" applyFill="1" applyBorder="1" applyAlignment="1">
      <alignment horizontal="right" vertical="top" wrapText="1"/>
    </xf>
    <xf numFmtId="166" fontId="11" fillId="2" borderId="11" xfId="18" applyNumberFormat="1" applyFont="1" applyFill="1" applyBorder="1" applyAlignment="1">
      <alignment horizontal="right" vertical="top"/>
    </xf>
    <xf numFmtId="166" fontId="11" fillId="2" borderId="11" xfId="18" applyNumberFormat="1" applyFont="1" applyFill="1" applyBorder="1" applyAlignment="1">
      <alignment horizontal="left" vertical="top" wrapText="1"/>
    </xf>
    <xf numFmtId="166" fontId="11" fillId="2" borderId="11" xfId="18" applyNumberFormat="1" applyFont="1" applyFill="1" applyBorder="1" applyAlignment="1">
      <alignment horizontal="left" vertical="top"/>
    </xf>
    <xf numFmtId="166" fontId="11" fillId="2" borderId="11" xfId="0" applyNumberFormat="1" applyFont="1" applyFill="1" applyBorder="1" applyAlignment="1">
      <alignment horizontal="left" vertical="top"/>
    </xf>
    <xf numFmtId="169" fontId="11" fillId="2" borderId="11" xfId="1" applyNumberFormat="1" applyFont="1" applyFill="1" applyBorder="1" applyAlignment="1">
      <alignment horizontal="right" vertical="top" wrapText="1"/>
    </xf>
    <xf numFmtId="14" fontId="11" fillId="2" borderId="6" xfId="18" applyNumberFormat="1" applyFont="1" applyFill="1" applyBorder="1" applyAlignment="1">
      <alignment horizontal="right" vertical="top" wrapText="1"/>
    </xf>
    <xf numFmtId="181" fontId="0" fillId="12" borderId="46" xfId="0" applyNumberFormat="1" applyFill="1" applyBorder="1" applyAlignment="1">
      <alignment horizontal="left" vertical="center" wrapText="1"/>
    </xf>
    <xf numFmtId="181" fontId="0" fillId="12" borderId="45" xfId="0" applyNumberFormat="1" applyFill="1" applyBorder="1" applyAlignment="1">
      <alignment horizontal="left" vertical="center" wrapText="1"/>
    </xf>
    <xf numFmtId="0" fontId="11" fillId="4" borderId="7" xfId="4" quotePrefix="1" applyFont="1" applyFill="1" applyBorder="1" applyAlignment="1">
      <alignment horizontal="left" vertical="center"/>
    </xf>
    <xf numFmtId="0" fontId="11" fillId="4" borderId="7" xfId="4" applyFont="1" applyFill="1" applyBorder="1" applyAlignment="1">
      <alignment horizontal="left" vertical="center" wrapText="1"/>
    </xf>
    <xf numFmtId="0" fontId="11" fillId="0" borderId="7" xfId="4" applyFont="1" applyBorder="1" applyAlignment="1">
      <alignment horizontal="left" vertical="center" wrapText="1"/>
    </xf>
    <xf numFmtId="0" fontId="11" fillId="0" borderId="0" xfId="3" applyFont="1" applyBorder="1">
      <alignment vertical="center"/>
    </xf>
    <xf numFmtId="0" fontId="11" fillId="4" borderId="0" xfId="4" quotePrefix="1" applyFont="1" applyFill="1" applyBorder="1" applyAlignment="1">
      <alignment horizontal="center" vertical="center"/>
    </xf>
    <xf numFmtId="0" fontId="11" fillId="4" borderId="0" xfId="3" applyFont="1" applyFill="1" applyBorder="1">
      <alignment vertical="center"/>
    </xf>
    <xf numFmtId="0" fontId="11" fillId="2" borderId="0" xfId="3" applyFont="1" applyFill="1" applyBorder="1">
      <alignment vertical="center"/>
    </xf>
    <xf numFmtId="0" fontId="11" fillId="3" borderId="7" xfId="4" applyFont="1" applyFill="1" applyBorder="1" applyAlignment="1">
      <alignment horizontal="left" vertical="center" wrapText="1" indent="1"/>
    </xf>
    <xf numFmtId="3" fontId="11" fillId="2" borderId="7" xfId="8" applyFont="1" applyFill="1" applyBorder="1" applyAlignment="1">
      <alignment horizontal="center" vertical="center"/>
      <protection locked="0"/>
    </xf>
    <xf numFmtId="166" fontId="11" fillId="4" borderId="7" xfId="18" applyNumberFormat="1" applyFont="1" applyFill="1" applyBorder="1" applyAlignment="1">
      <alignment vertical="center"/>
    </xf>
    <xf numFmtId="0" fontId="12" fillId="0" borderId="11" xfId="4" applyFont="1" applyBorder="1">
      <alignment vertical="center"/>
    </xf>
    <xf numFmtId="0" fontId="12" fillId="2" borderId="0" xfId="6" applyFont="1" applyFill="1" applyBorder="1" applyAlignment="1">
      <alignment horizontal="left" vertical="center"/>
    </xf>
    <xf numFmtId="0" fontId="11" fillId="2" borderId="7" xfId="4" quotePrefix="1" applyFont="1" applyFill="1" applyBorder="1" applyAlignment="1">
      <alignment horizontal="center" vertical="center"/>
    </xf>
    <xf numFmtId="0" fontId="11" fillId="2" borderId="7" xfId="4" applyFont="1" applyFill="1" applyBorder="1" applyAlignment="1">
      <alignment horizontal="left" vertical="center" wrapText="1" indent="3"/>
    </xf>
    <xf numFmtId="0" fontId="11" fillId="0" borderId="0" xfId="0" applyFont="1" applyBorder="1" applyAlignment="1">
      <alignment horizontal="center" vertical="center" wrapText="1"/>
    </xf>
    <xf numFmtId="0" fontId="11" fillId="2" borderId="0" xfId="4" quotePrefix="1" applyFont="1" applyFill="1" applyBorder="1" applyAlignment="1">
      <alignment horizontal="right" vertical="center"/>
    </xf>
    <xf numFmtId="0" fontId="19" fillId="2" borderId="0" xfId="4" applyFont="1" applyFill="1" applyBorder="1" applyAlignment="1">
      <alignment horizontal="left" vertical="center" wrapText="1" indent="1"/>
    </xf>
    <xf numFmtId="0" fontId="12" fillId="2" borderId="0" xfId="0" applyFont="1" applyFill="1" applyBorder="1"/>
    <xf numFmtId="0" fontId="11" fillId="2" borderId="0" xfId="4" applyFont="1" applyFill="1" applyBorder="1">
      <alignment vertical="center"/>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0" fontId="11" fillId="2" borderId="0" xfId="4" quotePrefix="1" applyFont="1" applyFill="1" applyBorder="1" applyAlignment="1">
      <alignment horizontal="center" vertical="center"/>
    </xf>
    <xf numFmtId="0" fontId="11" fillId="2" borderId="0" xfId="4" applyFont="1" applyFill="1" applyBorder="1" applyAlignment="1">
      <alignment horizontal="left" vertical="center" wrapText="1" indent="1"/>
    </xf>
    <xf numFmtId="3" fontId="11" fillId="2" borderId="0" xfId="8" applyFont="1" applyFill="1" applyBorder="1">
      <alignment horizontal="right" vertical="center"/>
      <protection locked="0"/>
    </xf>
    <xf numFmtId="0" fontId="11" fillId="2" borderId="0" xfId="4" applyFont="1" applyFill="1" applyBorder="1" applyAlignment="1">
      <alignment vertical="center" wrapText="1"/>
    </xf>
    <xf numFmtId="0" fontId="11" fillId="2" borderId="0" xfId="4" applyFont="1" applyFill="1" applyBorder="1" applyAlignment="1">
      <alignment vertical="center"/>
    </xf>
    <xf numFmtId="0" fontId="12" fillId="2" borderId="0" xfId="4" applyFont="1" applyFill="1" applyBorder="1">
      <alignment vertical="center"/>
    </xf>
    <xf numFmtId="0" fontId="11" fillId="2" borderId="7" xfId="4" applyFont="1" applyFill="1" applyBorder="1" applyAlignment="1">
      <alignment horizontal="left" vertical="center" wrapText="1" indent="1"/>
    </xf>
    <xf numFmtId="3" fontId="11" fillId="2" borderId="7" xfId="8" applyFont="1" applyFill="1" applyBorder="1">
      <alignment horizontal="right" vertical="center"/>
      <protection locked="0"/>
    </xf>
    <xf numFmtId="0" fontId="11" fillId="2" borderId="7" xfId="4" applyFont="1" applyFill="1" applyBorder="1" applyAlignment="1">
      <alignment horizontal="left" vertical="center" wrapText="1" indent="2"/>
    </xf>
    <xf numFmtId="0" fontId="11" fillId="2" borderId="7" xfId="3" applyFont="1" applyFill="1" applyBorder="1" applyAlignment="1">
      <alignment horizontal="left" vertical="center"/>
    </xf>
    <xf numFmtId="0" fontId="11" fillId="2" borderId="7" xfId="4" applyFont="1" applyFill="1" applyBorder="1" applyAlignment="1">
      <alignment horizontal="left" vertical="center"/>
    </xf>
    <xf numFmtId="0" fontId="11" fillId="2" borderId="7" xfId="4" quotePrefix="1" applyFont="1" applyFill="1" applyBorder="1" applyAlignment="1">
      <alignment horizontal="left" vertical="center"/>
    </xf>
    <xf numFmtId="3" fontId="11" fillId="2" borderId="7" xfId="8" applyFont="1" applyFill="1" applyBorder="1" applyAlignment="1">
      <alignment horizontal="left" vertical="center"/>
      <protection locked="0"/>
    </xf>
    <xf numFmtId="0" fontId="11" fillId="2" borderId="7" xfId="4" quotePrefix="1" applyFont="1" applyFill="1" applyBorder="1" applyAlignment="1">
      <alignment horizontal="right" vertical="center"/>
    </xf>
    <xf numFmtId="0" fontId="19"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xf>
    <xf numFmtId="0" fontId="11" fillId="2" borderId="7" xfId="4" quotePrefix="1" applyFont="1" applyFill="1" applyBorder="1" applyAlignment="1">
      <alignment vertical="center"/>
    </xf>
    <xf numFmtId="0" fontId="11" fillId="2" borderId="7" xfId="4" applyFont="1" applyFill="1" applyBorder="1" applyAlignment="1">
      <alignment vertical="center"/>
    </xf>
    <xf numFmtId="0" fontId="11" fillId="2" borderId="7" xfId="3" applyFont="1" applyFill="1" applyBorder="1" applyAlignment="1">
      <alignment vertical="center"/>
    </xf>
    <xf numFmtId="0" fontId="11" fillId="0" borderId="7" xfId="7" applyFont="1" applyFill="1" applyBorder="1" applyAlignment="1">
      <alignment vertical="center" wrapText="1"/>
    </xf>
    <xf numFmtId="166" fontId="13" fillId="2" borderId="5" xfId="18" applyNumberFormat="1" applyFont="1" applyFill="1" applyBorder="1" applyAlignment="1">
      <alignment horizontal="left" vertical="top" wrapText="1"/>
    </xf>
    <xf numFmtId="0" fontId="53" fillId="2" borderId="0" xfId="0" applyFont="1" applyFill="1" applyBorder="1"/>
    <xf numFmtId="0" fontId="12" fillId="13" borderId="7" xfId="0" applyFont="1" applyFill="1" applyBorder="1"/>
    <xf numFmtId="0" fontId="12" fillId="13" borderId="7" xfId="5" applyFont="1" applyFill="1" applyBorder="1" applyAlignment="1">
      <alignment vertical="center" wrapText="1"/>
    </xf>
    <xf numFmtId="0" fontId="11" fillId="13" borderId="7" xfId="5" applyFont="1" applyFill="1" applyBorder="1" applyAlignment="1">
      <alignment vertical="center"/>
    </xf>
    <xf numFmtId="0" fontId="12" fillId="13" borderId="7" xfId="5" applyFont="1" applyFill="1" applyBorder="1" applyAlignment="1">
      <alignment vertical="center"/>
    </xf>
    <xf numFmtId="166" fontId="0" fillId="2" borderId="0" xfId="0" applyNumberFormat="1" applyFill="1"/>
    <xf numFmtId="0" fontId="13" fillId="2" borderId="0" xfId="0" applyFont="1" applyFill="1" applyBorder="1" applyAlignment="1">
      <alignment horizontal="right" vertical="top" wrapText="1"/>
    </xf>
    <xf numFmtId="166" fontId="13" fillId="2" borderId="0" xfId="0" applyNumberFormat="1" applyFont="1" applyFill="1" applyBorder="1" applyAlignment="1">
      <alignment horizontal="left" vertical="top" wrapText="1"/>
    </xf>
    <xf numFmtId="164" fontId="13" fillId="2" borderId="0" xfId="18" applyNumberFormat="1" applyFont="1" applyFill="1" applyBorder="1" applyAlignment="1">
      <alignment horizontal="right" vertical="top" wrapText="1"/>
    </xf>
    <xf numFmtId="0" fontId="13" fillId="2" borderId="0" xfId="0" applyFont="1" applyFill="1" applyBorder="1" applyAlignment="1">
      <alignment horizontal="center" vertical="top" wrapText="1"/>
    </xf>
    <xf numFmtId="0" fontId="13" fillId="2" borderId="10" xfId="0" applyFont="1" applyFill="1" applyBorder="1" applyAlignment="1">
      <alignment horizontal="right" vertical="top" wrapText="1"/>
    </xf>
    <xf numFmtId="0" fontId="13" fillId="2" borderId="0" xfId="0" applyFont="1" applyFill="1" applyBorder="1" applyAlignment="1">
      <alignmen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ont="1" applyFill="1"/>
    <xf numFmtId="164" fontId="11" fillId="4" borderId="0" xfId="18" applyNumberFormat="1" applyFont="1" applyFill="1" applyAlignment="1">
      <alignment vertical="center"/>
    </xf>
    <xf numFmtId="166" fontId="0" fillId="2" borderId="0" xfId="18" applyNumberFormat="1" applyFont="1" applyFill="1"/>
    <xf numFmtId="178" fontId="51" fillId="0" borderId="37" xfId="17" applyNumberFormat="1" applyFont="1" applyFill="1" applyBorder="1" applyAlignment="1">
      <alignment vertical="center"/>
    </xf>
    <xf numFmtId="178" fontId="51" fillId="0" borderId="11" xfId="17" applyNumberFormat="1" applyFont="1" applyFill="1" applyBorder="1" applyAlignment="1">
      <alignment vertical="center"/>
    </xf>
    <xf numFmtId="178" fontId="52" fillId="0" borderId="37" xfId="17" applyNumberFormat="1" applyFont="1" applyFill="1" applyBorder="1" applyAlignment="1">
      <alignment vertical="center"/>
    </xf>
    <xf numFmtId="166" fontId="26" fillId="2" borderId="7"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9" fontId="11" fillId="7" borderId="7" xfId="1" quotePrefix="1" applyNumberFormat="1" applyFont="1" applyFill="1" applyBorder="1" applyAlignment="1">
      <alignment horizontal="right"/>
    </xf>
    <xf numFmtId="179" fontId="11" fillId="2" borderId="7" xfId="18" applyNumberFormat="1" applyFont="1" applyFill="1" applyBorder="1" applyAlignment="1">
      <alignment horizontal="right" vertical="top"/>
    </xf>
    <xf numFmtId="179" fontId="11" fillId="2" borderId="7" xfId="18" applyNumberFormat="1" applyFont="1" applyFill="1" applyBorder="1" applyAlignment="1">
      <alignment horizontal="right" vertical="top" wrapText="1"/>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166" fontId="13" fillId="3" borderId="7" xfId="0" applyNumberFormat="1" applyFont="1" applyFill="1" applyBorder="1" applyAlignment="1">
      <alignment horizontal="left" vertical="top" wrapText="1"/>
    </xf>
    <xf numFmtId="181" fontId="0" fillId="12" borderId="48" xfId="0" applyNumberFormat="1" applyFill="1" applyBorder="1" applyAlignment="1">
      <alignment horizontal="left" vertical="center" wrapText="1"/>
    </xf>
    <xf numFmtId="14" fontId="3" fillId="7" borderId="0" xfId="0" applyNumberFormat="1" applyFont="1" applyFill="1"/>
    <xf numFmtId="177" fontId="19" fillId="6" borderId="7" xfId="0" quotePrefix="1" applyNumberFormat="1" applyFont="1" applyFill="1" applyBorder="1" applyAlignment="1">
      <alignment horizontal="right"/>
    </xf>
    <xf numFmtId="177" fontId="11" fillId="6" borderId="7" xfId="1" quotePrefix="1" applyNumberFormat="1" applyFont="1" applyFill="1" applyBorder="1" applyAlignment="1">
      <alignment horizontal="right"/>
    </xf>
    <xf numFmtId="177" fontId="12" fillId="6" borderId="7" xfId="1" quotePrefix="1" applyNumberFormat="1" applyFont="1" applyFill="1" applyBorder="1" applyAlignment="1">
      <alignment horizontal="right"/>
    </xf>
    <xf numFmtId="168" fontId="27" fillId="2" borderId="7" xfId="0" applyNumberFormat="1" applyFont="1" applyFill="1" applyBorder="1" applyAlignment="1">
      <alignment horizontal="center" vertical="top" wrapText="1"/>
    </xf>
    <xf numFmtId="166" fontId="27" fillId="2" borderId="7" xfId="0" applyNumberFormat="1" applyFont="1" applyFill="1" applyBorder="1" applyAlignment="1">
      <alignment horizontal="left" vertical="top" wrapText="1"/>
    </xf>
    <xf numFmtId="166" fontId="27" fillId="2" borderId="7" xfId="0" applyNumberFormat="1" applyFont="1" applyFill="1" applyBorder="1" applyAlignment="1">
      <alignment horizontal="right" vertical="top" wrapText="1"/>
    </xf>
    <xf numFmtId="0" fontId="11" fillId="0" borderId="7" xfId="0" applyFont="1" applyFill="1" applyBorder="1" applyAlignment="1">
      <alignment horizontal="center"/>
    </xf>
    <xf numFmtId="0" fontId="33" fillId="10" borderId="18"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11" fillId="0" borderId="5" xfId="0" applyFont="1" applyBorder="1" applyAlignment="1">
      <alignment horizontal="left" wrapText="1"/>
    </xf>
    <xf numFmtId="0" fontId="11" fillId="0" borderId="4" xfId="0" applyFont="1" applyBorder="1" applyAlignment="1">
      <alignment horizontal="left" wrapText="1"/>
    </xf>
    <xf numFmtId="171" fontId="33" fillId="10" borderId="5" xfId="11" applyNumberFormat="1" applyFont="1" applyFill="1" applyBorder="1" applyAlignment="1">
      <alignment horizontal="center" vertical="center" wrapText="1"/>
    </xf>
    <xf numFmtId="171" fontId="33" fillId="10" borderId="4" xfId="11" applyNumberFormat="1" applyFont="1" applyFill="1" applyBorder="1" applyAlignment="1">
      <alignment horizontal="center" vertical="center" wrapText="1"/>
    </xf>
    <xf numFmtId="171" fontId="33" fillId="10" borderId="13" xfId="11" applyNumberFormat="1" applyFont="1" applyFill="1" applyBorder="1" applyAlignment="1">
      <alignment horizontal="center" vertical="center" wrapText="1"/>
    </xf>
    <xf numFmtId="14" fontId="12" fillId="7" borderId="6" xfId="0" applyNumberFormat="1" applyFont="1" applyFill="1" applyBorder="1" applyAlignment="1">
      <alignment horizontal="left"/>
    </xf>
    <xf numFmtId="14" fontId="12" fillId="7" borderId="9" xfId="0" applyNumberFormat="1" applyFont="1" applyFill="1" applyBorder="1" applyAlignment="1">
      <alignment horizontal="left"/>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0" fontId="33" fillId="10" borderId="0" xfId="0" applyFont="1" applyFill="1" applyAlignment="1">
      <alignment horizontal="left" vertical="center" wrapText="1"/>
    </xf>
    <xf numFmtId="14" fontId="19" fillId="7" borderId="6" xfId="0" applyNumberFormat="1" applyFont="1" applyFill="1" applyBorder="1" applyAlignment="1">
      <alignment horizontal="left"/>
    </xf>
    <xf numFmtId="14" fontId="19" fillId="7" borderId="9" xfId="0" applyNumberFormat="1" applyFont="1" applyFill="1" applyBorder="1" applyAlignment="1">
      <alignment horizontal="left"/>
    </xf>
    <xf numFmtId="0" fontId="13" fillId="2" borderId="6" xfId="0" quotePrefix="1" applyFont="1" applyFill="1" applyBorder="1" applyAlignment="1">
      <alignment horizontal="left"/>
    </xf>
    <xf numFmtId="0" fontId="13" fillId="2" borderId="2" xfId="0" quotePrefix="1" applyFont="1" applyFill="1" applyBorder="1" applyAlignment="1">
      <alignment horizontal="left"/>
    </xf>
    <xf numFmtId="0" fontId="13" fillId="2" borderId="9" xfId="0" quotePrefix="1" applyFont="1" applyFill="1" applyBorder="1" applyAlignment="1">
      <alignment horizontal="left"/>
    </xf>
    <xf numFmtId="0" fontId="13" fillId="2" borderId="7" xfId="0" quotePrefix="1" applyFont="1" applyFill="1" applyBorder="1" applyAlignment="1">
      <alignment horizontal="center"/>
    </xf>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169" fontId="13" fillId="2" borderId="7" xfId="1" applyNumberFormat="1" applyFont="1" applyFill="1" applyBorder="1" applyAlignment="1">
      <alignment horizontal="right"/>
    </xf>
    <xf numFmtId="179" fontId="13" fillId="2" borderId="7" xfId="18" applyNumberFormat="1" applyFont="1" applyFill="1" applyBorder="1" applyAlignment="1">
      <alignment horizontal="right"/>
    </xf>
    <xf numFmtId="0" fontId="13" fillId="2" borderId="7" xfId="0" applyFont="1" applyFill="1" applyBorder="1" applyAlignment="1">
      <alignment horizontal="left"/>
    </xf>
    <xf numFmtId="0" fontId="10" fillId="2" borderId="0" xfId="0" applyFont="1" applyFill="1" applyAlignment="1">
      <alignment horizontal="left" vertical="center"/>
    </xf>
    <xf numFmtId="0" fontId="13" fillId="2" borderId="6" xfId="0" applyFont="1" applyFill="1" applyBorder="1" applyAlignment="1">
      <alignment horizontal="left" wrapText="1"/>
    </xf>
    <xf numFmtId="0" fontId="13" fillId="2" borderId="9" xfId="0" applyFont="1" applyFill="1" applyBorder="1" applyAlignment="1">
      <alignment horizontal="left" wrapText="1"/>
    </xf>
    <xf numFmtId="0" fontId="11" fillId="2" borderId="5"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1" fillId="2" borderId="15" xfId="0" applyFont="1" applyFill="1" applyBorder="1" applyAlignment="1">
      <alignment horizontal="left" wrapText="1"/>
    </xf>
    <xf numFmtId="0" fontId="13" fillId="2" borderId="5" xfId="0" applyFont="1" applyFill="1" applyBorder="1" applyAlignment="1">
      <alignment horizontal="left" wrapText="1"/>
    </xf>
    <xf numFmtId="0" fontId="13" fillId="2" borderId="13" xfId="0" applyFont="1" applyFill="1" applyBorder="1" applyAlignment="1">
      <alignment horizontal="left" wrapText="1"/>
    </xf>
    <xf numFmtId="0" fontId="13" fillId="2" borderId="18" xfId="0" applyFont="1" applyFill="1" applyBorder="1" applyAlignment="1">
      <alignment horizontal="left" wrapText="1"/>
    </xf>
    <xf numFmtId="0" fontId="13" fillId="2" borderId="19" xfId="0" applyFont="1" applyFill="1" applyBorder="1" applyAlignment="1">
      <alignment horizontal="left" wrapText="1"/>
    </xf>
    <xf numFmtId="0" fontId="13" fillId="3" borderId="5"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3" xfId="0" applyFont="1" applyFill="1" applyBorder="1" applyAlignment="1">
      <alignment horizontal="left" vertical="top" wrapText="1"/>
    </xf>
    <xf numFmtId="0" fontId="11" fillId="4" borderId="11" xfId="3" applyFont="1" applyFill="1" applyBorder="1" applyAlignment="1">
      <alignment vertical="top"/>
    </xf>
    <xf numFmtId="0" fontId="11" fillId="0" borderId="0" xfId="0" applyFont="1" applyAlignment="1">
      <alignment vertical="top"/>
    </xf>
    <xf numFmtId="0" fontId="11" fillId="0" borderId="5" xfId="4" applyFont="1" applyBorder="1" applyAlignment="1">
      <alignment horizontal="center" vertical="center" wrapText="1"/>
    </xf>
    <xf numFmtId="0" fontId="11" fillId="0" borderId="13" xfId="4" applyFont="1" applyBorder="1" applyAlignment="1">
      <alignment horizontal="center" vertical="center" wrapText="1"/>
    </xf>
    <xf numFmtId="0" fontId="11" fillId="0" borderId="11" xfId="4" applyFont="1" applyBorder="1" applyAlignment="1">
      <alignment horizontal="center" vertical="center" wrapText="1"/>
    </xf>
    <xf numFmtId="0" fontId="11" fillId="0" borderId="20" xfId="4" applyFont="1" applyBorder="1" applyAlignment="1">
      <alignment horizontal="center" vertical="center" wrapText="1"/>
    </xf>
    <xf numFmtId="0" fontId="13" fillId="0" borderId="5" xfId="4" applyFont="1" applyBorder="1" applyAlignment="1">
      <alignment horizontal="center" vertical="center" wrapText="1"/>
    </xf>
    <xf numFmtId="0" fontId="13" fillId="0" borderId="13" xfId="4" applyFont="1" applyBorder="1" applyAlignment="1">
      <alignment horizontal="center" vertical="center" wrapText="1"/>
    </xf>
    <xf numFmtId="0" fontId="13" fillId="0" borderId="11" xfId="4" applyFont="1" applyBorder="1" applyAlignment="1">
      <alignment horizontal="center" vertical="center" wrapText="1"/>
    </xf>
    <xf numFmtId="0" fontId="13" fillId="0" borderId="20" xfId="4" applyFont="1" applyBorder="1" applyAlignment="1">
      <alignment horizontal="center" vertical="center" wrapText="1"/>
    </xf>
    <xf numFmtId="0" fontId="11" fillId="4" borderId="5" xfId="3" applyFont="1" applyFill="1" applyBorder="1" applyAlignment="1">
      <alignment horizontal="left" vertical="top" wrapText="1"/>
    </xf>
    <xf numFmtId="0" fontId="11" fillId="4" borderId="4" xfId="3" applyFont="1" applyFill="1" applyBorder="1" applyAlignment="1">
      <alignment horizontal="left" vertical="top" wrapText="1"/>
    </xf>
    <xf numFmtId="0" fontId="11" fillId="4" borderId="13" xfId="3" applyFont="1" applyFill="1" applyBorder="1" applyAlignment="1">
      <alignment horizontal="left" vertical="top" wrapText="1"/>
    </xf>
    <xf numFmtId="0" fontId="11" fillId="4" borderId="11"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20" xfId="3" applyFont="1" applyFill="1" applyBorder="1" applyAlignment="1">
      <alignment horizontal="left" vertical="top" wrapText="1"/>
    </xf>
    <xf numFmtId="181" fontId="0" fillId="12" borderId="45" xfId="0" applyNumberFormat="1" applyFill="1" applyBorder="1" applyAlignment="1">
      <alignment horizontal="left" vertical="center" wrapText="1"/>
    </xf>
    <xf numFmtId="0" fontId="11" fillId="2" borderId="0" xfId="4" applyFont="1" applyFill="1" applyBorder="1" applyAlignment="1">
      <alignment horizontal="center" vertical="center" wrapText="1"/>
    </xf>
    <xf numFmtId="0" fontId="11" fillId="2" borderId="0" xfId="0" applyFont="1" applyFill="1" applyBorder="1" applyAlignment="1">
      <alignment horizontal="center" vertical="center" wrapText="1"/>
    </xf>
    <xf numFmtId="0" fontId="12" fillId="0" borderId="0" xfId="4" applyFont="1" applyAlignment="1">
      <alignment horizontal="center" vertical="center" wrapText="1"/>
    </xf>
    <xf numFmtId="0" fontId="25" fillId="4" borderId="0" xfId="3" applyFont="1" applyFill="1" applyAlignment="1">
      <alignment vertical="top"/>
    </xf>
    <xf numFmtId="0" fontId="13" fillId="0" borderId="0" xfId="0" applyFont="1" applyAlignment="1">
      <alignment vertical="top"/>
    </xf>
    <xf numFmtId="0" fontId="11" fillId="4" borderId="11" xfId="3" applyFont="1" applyFill="1" applyBorder="1" applyAlignment="1">
      <alignment vertical="top" wrapText="1"/>
    </xf>
    <xf numFmtId="0" fontId="11" fillId="0" borderId="0" xfId="0" applyFont="1" applyAlignment="1">
      <alignment vertical="top" wrapText="1"/>
    </xf>
    <xf numFmtId="0" fontId="22" fillId="0" borderId="20" xfId="0" applyFont="1" applyBorder="1" applyAlignment="1">
      <alignment vertical="top"/>
    </xf>
    <xf numFmtId="0" fontId="11" fillId="4" borderId="18" xfId="3" applyFont="1" applyFill="1" applyBorder="1" applyAlignment="1">
      <alignment vertical="top" wrapText="1"/>
    </xf>
    <xf numFmtId="0" fontId="11" fillId="0" borderId="1" xfId="0" applyFont="1" applyBorder="1" applyAlignment="1">
      <alignment vertical="top"/>
    </xf>
    <xf numFmtId="0" fontId="22" fillId="0" borderId="19"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0" fontId="22" fillId="0" borderId="20" xfId="0" applyFont="1" applyBorder="1" applyAlignment="1">
      <alignment vertical="top" wrapText="1"/>
    </xf>
    <xf numFmtId="0" fontId="26" fillId="2" borderId="5"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11" xfId="0" applyFont="1" applyFill="1" applyBorder="1" applyAlignment="1">
      <alignment horizontal="left" vertical="top" wrapText="1"/>
    </xf>
    <xf numFmtId="0" fontId="26" fillId="2" borderId="20" xfId="0" applyFont="1" applyFill="1" applyBorder="1" applyAlignment="1">
      <alignment horizontal="left" vertical="top" wrapText="1"/>
    </xf>
    <xf numFmtId="0" fontId="11" fillId="2" borderId="7" xfId="0" applyFont="1" applyFill="1" applyBorder="1" applyAlignment="1">
      <alignment horizontal="center" vertical="top" wrapText="1"/>
    </xf>
    <xf numFmtId="0" fontId="13" fillId="2" borderId="18" xfId="0" applyFont="1" applyFill="1" applyBorder="1" applyAlignment="1">
      <alignment horizontal="left"/>
    </xf>
    <xf numFmtId="0" fontId="13" fillId="2" borderId="19" xfId="0" applyFont="1" applyFill="1" applyBorder="1" applyAlignment="1">
      <alignment horizontal="left"/>
    </xf>
    <xf numFmtId="0" fontId="11" fillId="2" borderId="33" xfId="0" applyFont="1" applyFill="1" applyBorder="1" applyAlignment="1">
      <alignment horizontal="right" wrapText="1"/>
    </xf>
    <xf numFmtId="0" fontId="11" fillId="2" borderId="36" xfId="0" applyFont="1" applyFill="1" applyBorder="1" applyAlignment="1">
      <alignment horizontal="right"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28" xfId="0" applyFont="1" applyFill="1" applyBorder="1" applyAlignment="1">
      <alignment horizontal="right" vertical="center" wrapText="1"/>
    </xf>
    <xf numFmtId="0" fontId="11" fillId="2" borderId="32"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35"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right" vertical="center" wrapText="1"/>
    </xf>
    <xf numFmtId="0" fontId="11" fillId="2" borderId="37"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3" fillId="2" borderId="4" xfId="0" applyFont="1" applyFill="1" applyBorder="1" applyAlignment="1">
      <alignment horizontal="left" wrapText="1"/>
    </xf>
    <xf numFmtId="0" fontId="13" fillId="2" borderId="11" xfId="0" applyFont="1" applyFill="1" applyBorder="1" applyAlignment="1">
      <alignment horizontal="left" wrapText="1"/>
    </xf>
    <xf numFmtId="0" fontId="13" fillId="2" borderId="0" xfId="0" applyFont="1" applyFill="1" applyBorder="1" applyAlignment="1">
      <alignment horizontal="left" wrapText="1"/>
    </xf>
    <xf numFmtId="0" fontId="13" fillId="2" borderId="14" xfId="0" applyFont="1" applyFill="1" applyBorder="1" applyAlignment="1">
      <alignment horizontal="left" wrapText="1"/>
    </xf>
    <xf numFmtId="0" fontId="13" fillId="2" borderId="47"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7" xfId="0" applyFont="1" applyFill="1" applyBorder="1" applyAlignment="1">
      <alignment horizontal="right"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wrapText="1"/>
    </xf>
    <xf numFmtId="0" fontId="13" fillId="2" borderId="10" xfId="0" applyFont="1" applyFill="1" applyBorder="1" applyAlignment="1">
      <alignment horizontal="left" wrapText="1"/>
    </xf>
    <xf numFmtId="0" fontId="13" fillId="2" borderId="7" xfId="0" applyFont="1" applyFill="1" applyBorder="1" applyAlignment="1">
      <alignment horizontal="center" vertical="top" wrapText="1"/>
    </xf>
    <xf numFmtId="0" fontId="13" fillId="2" borderId="0" xfId="0" applyFont="1" applyFill="1" applyBorder="1" applyAlignment="1">
      <alignment horizontal="left" vertical="top" wrapText="1"/>
    </xf>
    <xf numFmtId="0" fontId="13" fillId="2" borderId="20" xfId="0" applyFont="1" applyFill="1" applyBorder="1" applyAlignment="1">
      <alignment horizontal="left" wrapText="1"/>
    </xf>
  </cellXfs>
  <cellStyles count="19">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link"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FA922657-010E-4803-94BE-799103214C1F}"/>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9ABE8057-7EE5-49D9-9ACF-791E4721463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CC780FF0-0721-4DF7-B5B6-0E0D247A63A0}"/>
            </a:ext>
          </a:extLst>
        </xdr:cNvPr>
        <xdr:cNvSpPr txBox="1"/>
      </xdr:nvSpPr>
      <xdr:spPr>
        <a:xfrm>
          <a:off x="142875" y="3959225"/>
          <a:ext cx="8978900" cy="234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6534D9B3-56B7-436D-B585-0391FDBDA4A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7910DBEA-754B-49CA-AD49-86111AC68D1D}"/>
            </a:ext>
          </a:extLst>
        </xdr:cNvPr>
        <xdr:cNvSpPr txBox="1"/>
      </xdr:nvSpPr>
      <xdr:spPr>
        <a:xfrm>
          <a:off x="190500" y="4375150"/>
          <a:ext cx="8709025"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0B1F00D6-F9FA-4E0B-B6A7-BE0788B81159}"/>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DDA81E45-48A4-4966-9AC8-FF2FA811616D}"/>
            </a:ext>
          </a:extLst>
        </xdr:cNvPr>
        <xdr:cNvSpPr txBox="1"/>
      </xdr:nvSpPr>
      <xdr:spPr>
        <a:xfrm>
          <a:off x="190500" y="3492500"/>
          <a:ext cx="6216650" cy="181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14261D42-4ED7-42A7-8106-2F480F51938B}"/>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D5D6A1CB-A666-4DD5-8811-3E1B9DB875E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3A99A8E-3A3A-4837-B4CF-0DB452BA5A9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6EE11338-57CA-46CD-83FD-F972806725A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A527EBC9-AF63-421C-8001-01BDEA925FC8}"/>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Komplett Bank has no derivative</a:t>
          </a:r>
          <a:r>
            <a:rPr lang="nb-NO" sz="1100" b="0" baseline="0">
              <a:solidFill>
                <a:schemeClr val="dk1"/>
              </a:solidFill>
              <a:effectLst/>
              <a:latin typeface="+mn-lt"/>
              <a:ea typeface="+mn-ea"/>
              <a:cs typeface="+mn-cs"/>
            </a:rPr>
            <a:t> contracts as of 31.12.2022</a:t>
          </a:r>
          <a:endParaRPr lang="nb-NO" sz="800">
            <a:effectLst/>
          </a:endParaRPr>
        </a:p>
        <a:p>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DFA928F-A7B5-4DA5-A70E-6DC4664FBA6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BD2AFA56-BEAA-4A0B-940B-36A96DFF0D1C}"/>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Komplett Bank has no derivative</a:t>
          </a:r>
          <a:r>
            <a:rPr lang="nb-NO" sz="800" b="0" baseline="0">
              <a:latin typeface="Arial" panose="020B0604020202020204" pitchFamily="34" charset="0"/>
              <a:cs typeface="Arial" panose="020B0604020202020204" pitchFamily="34" charset="0"/>
            </a:rPr>
            <a:t> contracts as of 31.12.2022</a:t>
          </a:r>
        </a:p>
        <a:p>
          <a:endParaRPr lang="nb-NO" sz="8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BA7F448-3222-4982-ADBE-CA1A9688FF9C}"/>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BC13DFA-6597-4B30-8227-5BB86B8DD81B}"/>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C829B34B-3FA5-444E-B551-3D5A348BAA0D}"/>
            </a:ext>
          </a:extLst>
        </xdr:cNvPr>
        <xdr:cNvSpPr txBox="1"/>
      </xdr:nvSpPr>
      <xdr:spPr>
        <a:xfrm>
          <a:off x="200025" y="3222625"/>
          <a:ext cx="7851775"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1.0 per cent in for Swedish exposures. The requirement of 1.12% for Komplett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73291233-992A-4CF5-868B-74F57C33C267}"/>
            </a:ext>
          </a:extLst>
        </xdr:cNvPr>
        <xdr:cNvSpPr>
          <a:spLocks noChangeArrowheads="1"/>
        </xdr:cNvSpPr>
      </xdr:nvSpPr>
      <xdr:spPr bwMode="auto">
        <a:xfrm>
          <a:off x="190500" y="0"/>
          <a:ext cx="1143004"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83F7FF5C-6913-46DA-BE88-A7B6A176FF0A}"/>
            </a:ext>
          </a:extLst>
        </xdr:cNvPr>
        <xdr:cNvSpPr>
          <a:spLocks noChangeArrowheads="1"/>
        </xdr:cNvSpPr>
      </xdr:nvSpPr>
      <xdr:spPr bwMode="auto">
        <a:xfrm>
          <a:off x="180975" y="0"/>
          <a:ext cx="10858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3AF3DD58-3A85-4CF5-B162-6664322A239D}"/>
            </a:ext>
          </a:extLst>
        </xdr:cNvPr>
        <xdr:cNvSpPr txBox="1"/>
      </xdr:nvSpPr>
      <xdr:spPr>
        <a:xfrm>
          <a:off x="174172" y="2432050"/>
          <a:ext cx="6823529"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5A5658F0-DB88-4E4A-8228-CE0CA87BE506}"/>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EBB69E4E-A804-4304-BF9E-EDAF0AC31D58}"/>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Financials\Accounting\Regnskap\Perioderegnskap\Spread%20and%20interest%20rate%20risk\2022-12%20Markeds%20og%20renterisiko%20fondsplassering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omplettbanko365.sharepoint.com/sites/Management-Monthlyreporting/Shared%20Documents/Monthly%20reporting/Financia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readberegninger"/>
      <sheetName val="Ny modell januar 23"/>
      <sheetName val="SREP tabell desember 22"/>
      <sheetName val="Ny modell desember 22"/>
      <sheetName val="Ny modell november 22"/>
      <sheetName val="Ny modell oktober 22"/>
      <sheetName val="Ny modell september 22"/>
      <sheetName val="Ny modell august 22"/>
      <sheetName val="Ny modell juli 22"/>
      <sheetName val="Ny modell juni 22"/>
      <sheetName val="Ny modell mai 22"/>
      <sheetName val="Ny modell april 22"/>
      <sheetName val="Ny modell mars 22"/>
      <sheetName val="Holdings desember 22"/>
      <sheetName val="Holdings november 22"/>
      <sheetName val="Holdings oktober 22"/>
      <sheetName val="Holdings september 22"/>
      <sheetName val="Holdings august 22"/>
      <sheetName val="Holdings juli 22"/>
      <sheetName val="Holdings juni 22"/>
      <sheetName val="Holdings mai 22"/>
      <sheetName val="Holdings April 22"/>
      <sheetName val="Holdings Mars 22"/>
      <sheetName val="Holdings Februar 22"/>
      <sheetName val="Holdings Januar 22"/>
      <sheetName val="Rpt2 desember 22"/>
      <sheetName val="Rpt2 november 22"/>
      <sheetName val="Rpt2 oktober 22"/>
      <sheetName val="Rpt2 september 22"/>
      <sheetName val="Rpt2 august 22"/>
      <sheetName val="Rpt2 juli 22"/>
      <sheetName val="Rpt2 mai 22"/>
      <sheetName val="Rpt2 April 22"/>
      <sheetName val="Rpt2 Mars 22"/>
      <sheetName val="Rpt2 Februar 22"/>
      <sheetName val="Holdings Desember 21"/>
      <sheetName val="Rpt2 Desember 21"/>
      <sheetName val="HOLDINGS November 21"/>
      <sheetName val="HOLDINGS Oktober 21"/>
      <sheetName val="HOLDINGS September 21"/>
      <sheetName val="HOLDINGS August 21"/>
      <sheetName val="HOLDINGS Juli 21"/>
      <sheetName val="HOLDINGS April 21"/>
      <sheetName val="HOLDINGS Mars 21"/>
      <sheetName val="HOLDINGS Februar 21"/>
      <sheetName val="HOLDINGS Januar21"/>
      <sheetName val="HOLDINGS Desember20"/>
      <sheetName val="HOLDINGS November20"/>
      <sheetName val="HOLDINGS Oktober20"/>
      <sheetName val="HOLDINGS September20"/>
      <sheetName val="HOLDINGS August20"/>
      <sheetName val="HOLDINGS Juli20"/>
      <sheetName val="HOLDINGS Juni20"/>
      <sheetName val="HOLDINGS Mai20"/>
      <sheetName val="HOLDINGS April20"/>
      <sheetName val="HOLDINGS Mars20"/>
      <sheetName val="HOLDINGS Februar20"/>
      <sheetName val="HOLDINGS Januar20"/>
      <sheetName val="HOLDINGS Desember"/>
      <sheetName val="HOLDINGS November"/>
      <sheetName val="HOLDINGS Oktober"/>
      <sheetName val="HOLDINGS September"/>
      <sheetName val="HOLDINGS August"/>
      <sheetName val="HOLDINGS Juli"/>
      <sheetName val="HOLDINGS Juni"/>
      <sheetName val="HOLDINGS Mai"/>
      <sheetName val="Spread European Cov bonds"/>
      <sheetName val="TRANSACTIONS"/>
      <sheetName val="Spreadrisiko ICAP"/>
      <sheetName val="Gamel modell"/>
      <sheetName val="Lenker EUR Papirer"/>
    </sheetNames>
    <sheetDataSet>
      <sheetData sheetId="0" refreshError="1"/>
      <sheetData sheetId="1" refreshError="1"/>
      <sheetData sheetId="2" refreshError="1"/>
      <sheetData sheetId="3">
        <row r="6">
          <cell r="I6">
            <v>402963542.23000002</v>
          </cell>
          <cell r="J6">
            <v>406166646.19</v>
          </cell>
        </row>
        <row r="8">
          <cell r="I8">
            <v>99375000</v>
          </cell>
          <cell r="J8">
            <v>99375000</v>
          </cell>
        </row>
        <row r="9">
          <cell r="I9">
            <v>300000000</v>
          </cell>
          <cell r="J9">
            <v>303146681.35000002</v>
          </cell>
          <cell r="Q9">
            <v>3055718.548008</v>
          </cell>
        </row>
        <row r="11">
          <cell r="I11">
            <v>173724897.47</v>
          </cell>
          <cell r="J11">
            <v>170421646.99999997</v>
          </cell>
        </row>
        <row r="12">
          <cell r="I12">
            <v>11520909.859999999</v>
          </cell>
          <cell r="J12">
            <v>10589767.24</v>
          </cell>
          <cell r="Q12">
            <v>94471.813241467273</v>
          </cell>
        </row>
        <row r="13">
          <cell r="I13">
            <v>104507172</v>
          </cell>
          <cell r="J13">
            <v>104507172</v>
          </cell>
        </row>
        <row r="14">
          <cell r="I14">
            <v>69334931.99734199</v>
          </cell>
          <cell r="J14">
            <v>69334931.99734199</v>
          </cell>
        </row>
        <row r="15">
          <cell r="I15">
            <v>67248791.030000001</v>
          </cell>
          <cell r="J15">
            <v>60071093.019999996</v>
          </cell>
        </row>
        <row r="16">
          <cell r="I16">
            <v>35573418.840000004</v>
          </cell>
          <cell r="J16">
            <v>32668602.960000001</v>
          </cell>
          <cell r="Q16">
            <v>291438.1485212667</v>
          </cell>
        </row>
        <row r="17">
          <cell r="I17">
            <v>197265506</v>
          </cell>
          <cell r="J17">
            <v>197265506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llgardiner"/>
      <sheetName val="Budget"/>
      <sheetName val="Data"/>
      <sheetName val="Inc_bal M"/>
      <sheetName val="Inc_bal Q"/>
      <sheetName val="Inc_bal Y"/>
      <sheetName val="Inc_bal M (NO Loan)"/>
      <sheetName val="Inc_bal M (SE Loan)"/>
      <sheetName val="Inc_bal M (FI Loan)"/>
      <sheetName val="Inc_bal M (NO Card)"/>
      <sheetName val="Inc_bal M (SE Card)"/>
      <sheetName val="Inc_bal M (FI Card)"/>
      <sheetName val="Inc_bal M (NO POS)"/>
      <sheetName val="Inc_bal M (SE POS)"/>
      <sheetName val="Inc_bal M (POS)"/>
      <sheetName val="1. IS_BS_KPI"/>
      <sheetName val="1.1 IS_BS_KPI (prod)"/>
      <sheetName val="1.2 IS_BS_KPI (prod)"/>
      <sheetName val="2. Development"/>
      <sheetName val="2.2 Graphs"/>
      <sheetName val="3. Yield"/>
      <sheetName val="4. ROA"/>
      <sheetName val="5.1 OPEX"/>
      <sheetName val="5.2 Customers"/>
      <sheetName val="5.2.1 Data kunder"/>
      <sheetName val="5.3 Liq reporting"/>
      <sheetName val="6. Budgets"/>
      <sheetName val="7. Finance"/>
      <sheetName val="7.1.2 CL History"/>
      <sheetName val="7.2 Sales Report update 1"/>
      <sheetName val="7.2.1 Sales Report"/>
      <sheetName val="7.2.2 Sales Report update chrn"/>
      <sheetName val="7.2.3 Sales Report 10 pct"/>
      <sheetName val="7.2.3 Sales Report 5 pct"/>
      <sheetName val="7.1 Finance KPI"/>
      <sheetName val="8. Capital"/>
      <sheetName val="9. Defaulted loans_old"/>
      <sheetName val="9. Defaulted loans_new"/>
      <sheetName val="9.1 Dclass"/>
      <sheetName val="9.1.2 Graf"/>
      <sheetName val="9.2 Utestående_fila"/>
      <sheetName val="10. Shareholders"/>
      <sheetName val="11. Forward Flow"/>
      <sheetName val="12. Currency loan"/>
      <sheetName val="12.1 Currency deposit"/>
      <sheetName val="12.2 Currency bank"/>
      <sheetName val="12.3 Norgesbank"/>
      <sheetName val="201601"/>
      <sheetName val="201602"/>
      <sheetName val="201603"/>
      <sheetName val="201604"/>
      <sheetName val="201605"/>
      <sheetName val="201606"/>
      <sheetName val="201607"/>
      <sheetName val="201608"/>
      <sheetName val="201609"/>
      <sheetName val="201610"/>
      <sheetName val="201611"/>
      <sheetName val="201612"/>
      <sheetName val="201701"/>
      <sheetName val="201702"/>
      <sheetName val="201703"/>
      <sheetName val="201704"/>
      <sheetName val="201705"/>
      <sheetName val="201706"/>
      <sheetName val="201707"/>
      <sheetName val="201708"/>
      <sheetName val="201709"/>
      <sheetName val="201710"/>
      <sheetName val="201711"/>
      <sheetName val="201712"/>
      <sheetName val="201801"/>
      <sheetName val="201802"/>
      <sheetName val="201803"/>
      <sheetName val="201804"/>
      <sheetName val="201805"/>
      <sheetName val="201806"/>
      <sheetName val="201807"/>
      <sheetName val="201808"/>
      <sheetName val="201809"/>
      <sheetName val="201810"/>
      <sheetName val="201811"/>
      <sheetName val="201812"/>
      <sheetName val="201901"/>
      <sheetName val="201902"/>
      <sheetName val="201903"/>
      <sheetName val="201904"/>
      <sheetName val="201905"/>
      <sheetName val="201906"/>
      <sheetName val="201907"/>
      <sheetName val="201908"/>
      <sheetName val="201909"/>
      <sheetName val="201910"/>
      <sheetName val="201911"/>
      <sheetName val="201912"/>
      <sheetName val="202001"/>
      <sheetName val="202002"/>
      <sheetName val="202003"/>
      <sheetName val="202004"/>
      <sheetName val="202005"/>
      <sheetName val="202006"/>
      <sheetName val="202007"/>
      <sheetName val="202008"/>
      <sheetName val="202009"/>
      <sheetName val="202010"/>
      <sheetName val="202011"/>
      <sheetName val="202012"/>
      <sheetName val="13. ROE"/>
      <sheetName val="202101"/>
      <sheetName val="202102"/>
      <sheetName val="202103"/>
      <sheetName val="202104"/>
      <sheetName val="202105"/>
      <sheetName val="202106"/>
      <sheetName val="202107"/>
      <sheetName val="202108"/>
      <sheetName val="202109"/>
      <sheetName val="202110"/>
      <sheetName val="202111"/>
      <sheetName val="202112"/>
      <sheetName val="202201"/>
      <sheetName val="202202"/>
      <sheetName val="202203"/>
      <sheetName val="202204"/>
      <sheetName val="202205"/>
      <sheetName val="202206"/>
      <sheetName val="202207"/>
      <sheetName val="202208"/>
      <sheetName val="202209"/>
      <sheetName val="202210"/>
      <sheetName val="202211"/>
      <sheetName val="202212"/>
      <sheetName val="202301"/>
      <sheetName val="202302"/>
      <sheetName val="202303"/>
      <sheetName val="202304"/>
      <sheetName val="202308"/>
      <sheetName val="202307"/>
      <sheetName val="202306"/>
      <sheetName val="202305"/>
      <sheetName val="ORBOF "/>
      <sheetName val="APM - draf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5">
          <cell r="BU45">
            <v>4175.0971478000001</v>
          </cell>
        </row>
        <row r="46">
          <cell r="BU46">
            <v>2987.1846657300002</v>
          </cell>
        </row>
        <row r="47">
          <cell r="BU47">
            <v>2477.8280242199999</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79">
          <cell r="CJ79">
            <v>9640109.8377500009</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115" zoomScaleNormal="115" workbookViewId="0">
      <selection activeCell="C17" sqref="C17"/>
    </sheetView>
  </sheetViews>
  <sheetFormatPr defaultColWidth="9.1796875" defaultRowHeight="14.5" x14ac:dyDescent="0.35"/>
  <cols>
    <col min="1" max="1" width="2.81640625" style="3" customWidth="1"/>
    <col min="2" max="2" width="8.1796875" style="275" bestFit="1" customWidth="1"/>
    <col min="3" max="3" width="131.81640625" style="3" customWidth="1"/>
    <col min="4" max="4" width="19" style="3" bestFit="1" customWidth="1"/>
    <col min="5" max="5" width="12" style="3" bestFit="1" customWidth="1"/>
    <col min="6" max="6" width="17.453125" style="3" bestFit="1" customWidth="1"/>
    <col min="7" max="7" width="19.54296875" style="3" customWidth="1"/>
    <col min="8" max="16384" width="9.1796875" style="3"/>
  </cols>
  <sheetData>
    <row r="1" spans="1:7" x14ac:dyDescent="0.35">
      <c r="B1" s="3"/>
      <c r="D1" s="1"/>
      <c r="E1" s="1"/>
      <c r="F1" s="2"/>
    </row>
    <row r="2" spans="1:7" ht="25" x14ac:dyDescent="0.5">
      <c r="B2" s="3"/>
      <c r="C2" s="395" t="s">
        <v>715</v>
      </c>
      <c r="D2" s="243"/>
      <c r="E2" s="243"/>
      <c r="F2" s="244"/>
    </row>
    <row r="3" spans="1:7" x14ac:dyDescent="0.35">
      <c r="A3" s="246"/>
      <c r="B3" s="246"/>
      <c r="C3" s="249"/>
      <c r="D3" s="246"/>
      <c r="E3" s="246"/>
    </row>
    <row r="4" spans="1:7" x14ac:dyDescent="0.35">
      <c r="A4" s="246"/>
      <c r="B4" s="246"/>
      <c r="C4" s="246"/>
      <c r="D4" s="247"/>
      <c r="E4" s="247"/>
      <c r="F4" s="248"/>
    </row>
    <row r="5" spans="1:7" ht="30" customHeight="1" x14ac:dyDescent="0.35">
      <c r="B5" s="274" t="s">
        <v>566</v>
      </c>
      <c r="C5" s="274" t="s">
        <v>567</v>
      </c>
      <c r="D5" s="277" t="s">
        <v>572</v>
      </c>
      <c r="E5" s="277" t="s">
        <v>700</v>
      </c>
      <c r="F5" s="245" t="s">
        <v>568</v>
      </c>
      <c r="G5" s="276" t="s">
        <v>569</v>
      </c>
    </row>
    <row r="6" spans="1:7" x14ac:dyDescent="0.35">
      <c r="B6" s="275">
        <v>1</v>
      </c>
      <c r="C6" s="407" t="s">
        <v>509</v>
      </c>
      <c r="D6" s="4" t="s">
        <v>570</v>
      </c>
      <c r="E6" s="4">
        <v>1</v>
      </c>
      <c r="F6" s="5" t="s">
        <v>0</v>
      </c>
      <c r="G6" s="409">
        <v>45107</v>
      </c>
    </row>
    <row r="7" spans="1:7" x14ac:dyDescent="0.35">
      <c r="B7" s="275">
        <f t="shared" ref="B7:B12" si="0">B6+1</f>
        <v>2</v>
      </c>
      <c r="C7" s="408" t="s">
        <v>518</v>
      </c>
      <c r="D7" s="4" t="s">
        <v>570</v>
      </c>
      <c r="E7" s="4">
        <f>E6+1</f>
        <v>2</v>
      </c>
      <c r="F7" s="6" t="s">
        <v>0</v>
      </c>
      <c r="G7" s="409">
        <f>$G$6</f>
        <v>45107</v>
      </c>
    </row>
    <row r="8" spans="1:7" x14ac:dyDescent="0.35">
      <c r="B8" s="275">
        <f t="shared" si="0"/>
        <v>3</v>
      </c>
      <c r="C8" s="408" t="s">
        <v>519</v>
      </c>
      <c r="D8" s="4" t="s">
        <v>570</v>
      </c>
      <c r="E8" s="4">
        <f t="shared" ref="E8:E23" si="1">E7+1</f>
        <v>3</v>
      </c>
      <c r="F8" s="6" t="s">
        <v>0</v>
      </c>
      <c r="G8" s="409">
        <f t="shared" ref="G8:G9" si="2">$G$6</f>
        <v>45107</v>
      </c>
    </row>
    <row r="9" spans="1:7" x14ac:dyDescent="0.35">
      <c r="B9" s="275">
        <f t="shared" si="0"/>
        <v>4</v>
      </c>
      <c r="C9" s="408" t="s">
        <v>530</v>
      </c>
      <c r="D9" s="4" t="s">
        <v>571</v>
      </c>
      <c r="E9" s="4">
        <f t="shared" si="1"/>
        <v>4</v>
      </c>
      <c r="F9" s="6" t="s">
        <v>0</v>
      </c>
      <c r="G9" s="409">
        <f t="shared" si="2"/>
        <v>45107</v>
      </c>
    </row>
    <row r="10" spans="1:7" x14ac:dyDescent="0.35">
      <c r="B10" s="275">
        <f t="shared" si="0"/>
        <v>5</v>
      </c>
      <c r="C10" s="408" t="s">
        <v>470</v>
      </c>
      <c r="D10" s="4" t="s">
        <v>573</v>
      </c>
      <c r="E10" s="4">
        <f t="shared" si="1"/>
        <v>5</v>
      </c>
      <c r="F10" s="6" t="s">
        <v>1</v>
      </c>
      <c r="G10" s="409">
        <v>44926</v>
      </c>
    </row>
    <row r="11" spans="1:7" x14ac:dyDescent="0.35">
      <c r="B11" s="275">
        <f t="shared" si="0"/>
        <v>6</v>
      </c>
      <c r="C11" s="408" t="s">
        <v>495</v>
      </c>
      <c r="D11" s="4" t="s">
        <v>573</v>
      </c>
      <c r="E11" s="4">
        <f t="shared" si="1"/>
        <v>6</v>
      </c>
      <c r="F11" s="6" t="s">
        <v>1</v>
      </c>
      <c r="G11" s="409">
        <f>$G$10</f>
        <v>44926</v>
      </c>
    </row>
    <row r="12" spans="1:7" x14ac:dyDescent="0.35">
      <c r="B12" s="275">
        <f t="shared" si="0"/>
        <v>7</v>
      </c>
      <c r="C12" s="408" t="s">
        <v>3</v>
      </c>
      <c r="D12" s="4" t="s">
        <v>520</v>
      </c>
      <c r="E12" s="4">
        <f t="shared" si="1"/>
        <v>7</v>
      </c>
      <c r="F12" s="6" t="s">
        <v>1</v>
      </c>
      <c r="G12" s="409">
        <f t="shared" ref="G12:G23" si="3">$G$10</f>
        <v>44926</v>
      </c>
    </row>
    <row r="13" spans="1:7" x14ac:dyDescent="0.35">
      <c r="B13" s="275">
        <f>B12+1</f>
        <v>8</v>
      </c>
      <c r="C13" s="408" t="s">
        <v>5</v>
      </c>
      <c r="D13" s="4" t="s">
        <v>4</v>
      </c>
      <c r="E13" s="4">
        <f t="shared" si="1"/>
        <v>8</v>
      </c>
      <c r="F13" s="6" t="s">
        <v>1</v>
      </c>
      <c r="G13" s="409">
        <f t="shared" si="3"/>
        <v>44926</v>
      </c>
    </row>
    <row r="14" spans="1:7" x14ac:dyDescent="0.35">
      <c r="B14" s="275">
        <f t="shared" ref="B14:B23" si="4">B13+1</f>
        <v>9</v>
      </c>
      <c r="C14" s="408" t="s">
        <v>7</v>
      </c>
      <c r="D14" s="4" t="s">
        <v>6</v>
      </c>
      <c r="E14" s="4">
        <f t="shared" si="1"/>
        <v>9</v>
      </c>
      <c r="F14" s="6" t="s">
        <v>1</v>
      </c>
      <c r="G14" s="409">
        <f t="shared" si="3"/>
        <v>44926</v>
      </c>
    </row>
    <row r="15" spans="1:7" x14ac:dyDescent="0.35">
      <c r="B15" s="275">
        <f t="shared" si="4"/>
        <v>10</v>
      </c>
      <c r="C15" s="408" t="s">
        <v>9</v>
      </c>
      <c r="D15" s="4" t="s">
        <v>8</v>
      </c>
      <c r="E15" s="4">
        <f t="shared" si="1"/>
        <v>10</v>
      </c>
      <c r="F15" s="6" t="s">
        <v>1</v>
      </c>
      <c r="G15" s="409">
        <f t="shared" si="3"/>
        <v>44926</v>
      </c>
    </row>
    <row r="16" spans="1:7" x14ac:dyDescent="0.35">
      <c r="B16" s="275">
        <f t="shared" si="4"/>
        <v>11</v>
      </c>
      <c r="C16" s="408" t="s">
        <v>11</v>
      </c>
      <c r="D16" s="4" t="s">
        <v>10</v>
      </c>
      <c r="E16" s="4">
        <f t="shared" si="1"/>
        <v>11</v>
      </c>
      <c r="F16" s="6" t="s">
        <v>1</v>
      </c>
      <c r="G16" s="409">
        <f t="shared" si="3"/>
        <v>44926</v>
      </c>
    </row>
    <row r="17" spans="2:7" x14ac:dyDescent="0.35">
      <c r="B17" s="275">
        <f t="shared" si="4"/>
        <v>12</v>
      </c>
      <c r="C17" s="408" t="s">
        <v>13</v>
      </c>
      <c r="D17" s="4" t="s">
        <v>12</v>
      </c>
      <c r="E17" s="4">
        <f t="shared" si="1"/>
        <v>12</v>
      </c>
      <c r="F17" s="6" t="s">
        <v>1</v>
      </c>
      <c r="G17" s="409">
        <f t="shared" si="3"/>
        <v>44926</v>
      </c>
    </row>
    <row r="18" spans="2:7" x14ac:dyDescent="0.35">
      <c r="B18" s="275">
        <f t="shared" si="4"/>
        <v>13</v>
      </c>
      <c r="C18" s="408" t="s">
        <v>15</v>
      </c>
      <c r="D18" s="4" t="s">
        <v>14</v>
      </c>
      <c r="E18" s="4">
        <f t="shared" si="1"/>
        <v>13</v>
      </c>
      <c r="F18" s="6" t="s">
        <v>1</v>
      </c>
      <c r="G18" s="409">
        <f t="shared" si="3"/>
        <v>44926</v>
      </c>
    </row>
    <row r="19" spans="2:7" x14ac:dyDescent="0.35">
      <c r="B19" s="275">
        <f t="shared" si="4"/>
        <v>14</v>
      </c>
      <c r="C19" s="408" t="s">
        <v>17</v>
      </c>
      <c r="D19" s="4" t="s">
        <v>16</v>
      </c>
      <c r="E19" s="4">
        <f t="shared" si="1"/>
        <v>14</v>
      </c>
      <c r="F19" s="6" t="s">
        <v>1</v>
      </c>
      <c r="G19" s="409">
        <f t="shared" si="3"/>
        <v>44926</v>
      </c>
    </row>
    <row r="20" spans="2:7" x14ac:dyDescent="0.35">
      <c r="B20" s="275">
        <f t="shared" si="4"/>
        <v>15</v>
      </c>
      <c r="C20" s="408" t="s">
        <v>19</v>
      </c>
      <c r="D20" s="4" t="s">
        <v>18</v>
      </c>
      <c r="E20" s="4">
        <f t="shared" si="1"/>
        <v>15</v>
      </c>
      <c r="F20" s="6" t="s">
        <v>1</v>
      </c>
      <c r="G20" s="409">
        <f t="shared" si="3"/>
        <v>44926</v>
      </c>
    </row>
    <row r="21" spans="2:7" x14ac:dyDescent="0.35">
      <c r="B21" s="275">
        <f t="shared" si="4"/>
        <v>16</v>
      </c>
      <c r="C21" s="408" t="s">
        <v>21</v>
      </c>
      <c r="D21" s="4" t="s">
        <v>20</v>
      </c>
      <c r="E21" s="4">
        <f t="shared" si="1"/>
        <v>16</v>
      </c>
      <c r="F21" s="6" t="s">
        <v>1</v>
      </c>
      <c r="G21" s="409">
        <f t="shared" si="3"/>
        <v>44926</v>
      </c>
    </row>
    <row r="22" spans="2:7" x14ac:dyDescent="0.35">
      <c r="B22" s="275">
        <f t="shared" si="4"/>
        <v>17</v>
      </c>
      <c r="C22" s="408" t="s">
        <v>563</v>
      </c>
      <c r="D22" s="4" t="s">
        <v>561</v>
      </c>
      <c r="E22" s="4">
        <f t="shared" si="1"/>
        <v>17</v>
      </c>
      <c r="F22" s="6" t="s">
        <v>1</v>
      </c>
      <c r="G22" s="409">
        <f t="shared" si="3"/>
        <v>44926</v>
      </c>
    </row>
    <row r="23" spans="2:7" x14ac:dyDescent="0.35">
      <c r="B23" s="275">
        <f t="shared" si="4"/>
        <v>18</v>
      </c>
      <c r="C23" s="408" t="s">
        <v>564</v>
      </c>
      <c r="D23" s="4" t="s">
        <v>562</v>
      </c>
      <c r="E23" s="4">
        <f t="shared" si="1"/>
        <v>18</v>
      </c>
      <c r="F23" s="6" t="s">
        <v>1</v>
      </c>
      <c r="G23" s="409">
        <f t="shared" si="3"/>
        <v>44926</v>
      </c>
    </row>
    <row r="24" spans="2:7" x14ac:dyDescent="0.35">
      <c r="C24" s="407"/>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89"/>
  <sheetViews>
    <sheetView showGridLines="0" showRowColHeaders="0" zoomScaleNormal="100" workbookViewId="0"/>
  </sheetViews>
  <sheetFormatPr defaultColWidth="11.453125" defaultRowHeight="10" x14ac:dyDescent="0.2"/>
  <cols>
    <col min="1" max="1" width="2.81640625" style="23" customWidth="1"/>
    <col min="2" max="2" width="10" style="36" customWidth="1"/>
    <col min="3" max="3" width="75.1796875" style="12" customWidth="1"/>
    <col min="4" max="5" width="13.81640625" style="12" customWidth="1"/>
    <col min="6" max="16384" width="11.453125" style="12"/>
  </cols>
  <sheetData>
    <row r="1" spans="1:11" s="10" customFormat="1" ht="11.25" customHeight="1" x14ac:dyDescent="0.25">
      <c r="A1" s="7"/>
      <c r="B1" s="7"/>
      <c r="C1" s="7"/>
      <c r="D1" s="8"/>
      <c r="E1" s="8"/>
      <c r="F1" s="9"/>
      <c r="G1" s="9"/>
      <c r="H1" s="9"/>
    </row>
    <row r="2" spans="1:11" s="10" customFormat="1" ht="5.25" customHeight="1" x14ac:dyDescent="0.25">
      <c r="A2" s="7"/>
      <c r="B2" s="7"/>
      <c r="C2" s="7"/>
      <c r="D2" s="8"/>
      <c r="E2" s="8"/>
      <c r="F2" s="9"/>
      <c r="G2" s="9"/>
      <c r="H2" s="9"/>
    </row>
    <row r="3" spans="1:11" ht="12.75" customHeight="1" x14ac:dyDescent="0.2">
      <c r="A3" s="11"/>
      <c r="B3" s="461"/>
      <c r="C3" s="461"/>
      <c r="D3" s="461"/>
      <c r="E3" s="461"/>
      <c r="F3" s="461"/>
      <c r="G3" s="461"/>
      <c r="H3" s="461"/>
    </row>
    <row r="4" spans="1:11" s="10" customFormat="1" ht="5.15" customHeight="1" x14ac:dyDescent="0.25">
      <c r="A4" s="7"/>
      <c r="B4" s="7"/>
      <c r="C4" s="7"/>
      <c r="D4" s="8"/>
      <c r="E4" s="338"/>
      <c r="F4" s="339"/>
      <c r="G4" s="9"/>
      <c r="H4" s="9"/>
      <c r="J4" s="7"/>
      <c r="K4" s="7"/>
    </row>
    <row r="5" spans="1:11" s="3" customFormat="1" ht="17.5" x14ac:dyDescent="0.35">
      <c r="A5" s="13"/>
      <c r="B5" s="136" t="s">
        <v>40</v>
      </c>
      <c r="E5" s="246"/>
      <c r="F5" s="246"/>
    </row>
    <row r="6" spans="1:11" x14ac:dyDescent="0.2">
      <c r="B6" s="35"/>
      <c r="C6" s="36"/>
      <c r="D6" s="36"/>
      <c r="E6" s="340"/>
      <c r="F6" s="340"/>
      <c r="G6" s="36"/>
      <c r="H6" s="36"/>
    </row>
    <row r="7" spans="1:11" ht="10.5" x14ac:dyDescent="0.2">
      <c r="A7" s="14"/>
      <c r="B7" s="464" t="s">
        <v>22</v>
      </c>
      <c r="C7" s="465"/>
      <c r="D7" s="109" t="s">
        <v>23</v>
      </c>
      <c r="E7" s="342"/>
      <c r="F7" s="341"/>
      <c r="G7" s="38"/>
    </row>
    <row r="8" spans="1:11" ht="10.5" x14ac:dyDescent="0.2">
      <c r="A8" s="14"/>
      <c r="B8" s="466"/>
      <c r="C8" s="467"/>
      <c r="D8" s="349">
        <f>CONTENTS!G14</f>
        <v>44926</v>
      </c>
      <c r="E8" s="343"/>
      <c r="F8" s="341"/>
      <c r="G8" s="35"/>
    </row>
    <row r="9" spans="1:11" ht="10.5" x14ac:dyDescent="0.2">
      <c r="A9" s="12"/>
      <c r="B9" s="39" t="s">
        <v>41</v>
      </c>
      <c r="C9" s="35"/>
      <c r="D9" s="336"/>
      <c r="E9" s="344"/>
      <c r="F9" s="341"/>
    </row>
    <row r="10" spans="1:11" ht="20" x14ac:dyDescent="0.2">
      <c r="A10" s="12"/>
      <c r="B10" s="40">
        <v>1</v>
      </c>
      <c r="C10" s="41" t="s">
        <v>42</v>
      </c>
      <c r="D10" s="423">
        <f>'8'!D8</f>
        <v>11528.02758217</v>
      </c>
      <c r="E10" s="345"/>
      <c r="F10" s="341"/>
    </row>
    <row r="11" spans="1:11" x14ac:dyDescent="0.2">
      <c r="A11" s="12"/>
      <c r="B11" s="42">
        <v>2</v>
      </c>
      <c r="C11" s="41" t="s">
        <v>43</v>
      </c>
      <c r="D11" s="424"/>
      <c r="E11" s="345"/>
      <c r="F11" s="341"/>
    </row>
    <row r="12" spans="1:11" x14ac:dyDescent="0.2">
      <c r="A12" s="12"/>
      <c r="B12" s="42">
        <v>3</v>
      </c>
      <c r="C12" s="41" t="s">
        <v>44</v>
      </c>
      <c r="D12" s="424">
        <f>D10</f>
        <v>11528.02758217</v>
      </c>
      <c r="E12" s="345"/>
      <c r="F12" s="341"/>
    </row>
    <row r="13" spans="1:11" ht="10.5" x14ac:dyDescent="0.2">
      <c r="A13" s="12"/>
      <c r="B13" s="39" t="s">
        <v>45</v>
      </c>
      <c r="C13" s="43"/>
      <c r="D13" s="423"/>
      <c r="E13" s="346"/>
      <c r="F13" s="341"/>
    </row>
    <row r="14" spans="1:11" ht="20" x14ac:dyDescent="0.2">
      <c r="A14" s="12"/>
      <c r="B14" s="40">
        <v>4</v>
      </c>
      <c r="C14" s="41" t="s">
        <v>46</v>
      </c>
      <c r="D14" s="424"/>
      <c r="E14" s="345"/>
      <c r="F14" s="341"/>
    </row>
    <row r="15" spans="1:11" x14ac:dyDescent="0.2">
      <c r="A15" s="12"/>
      <c r="B15" s="40">
        <v>5</v>
      </c>
      <c r="C15" s="41" t="s">
        <v>47</v>
      </c>
      <c r="D15" s="424"/>
      <c r="E15" s="345"/>
      <c r="F15" s="341"/>
    </row>
    <row r="16" spans="1:11" ht="20" x14ac:dyDescent="0.2">
      <c r="A16" s="12"/>
      <c r="B16" s="40">
        <v>6</v>
      </c>
      <c r="C16" s="41" t="s">
        <v>48</v>
      </c>
      <c r="D16" s="424"/>
      <c r="E16" s="345"/>
      <c r="F16" s="341"/>
    </row>
    <row r="17" spans="1:6" x14ac:dyDescent="0.2">
      <c r="A17" s="12"/>
      <c r="B17" s="42">
        <v>7</v>
      </c>
      <c r="C17" s="41" t="s">
        <v>49</v>
      </c>
      <c r="D17" s="424"/>
      <c r="E17" s="345"/>
      <c r="F17" s="341"/>
    </row>
    <row r="18" spans="1:6" x14ac:dyDescent="0.2">
      <c r="A18" s="12"/>
      <c r="B18" s="42">
        <v>8</v>
      </c>
      <c r="C18" s="41" t="s">
        <v>50</v>
      </c>
      <c r="D18" s="424"/>
      <c r="E18" s="345"/>
      <c r="F18" s="341"/>
    </row>
    <row r="19" spans="1:6" x14ac:dyDescent="0.2">
      <c r="A19" s="12"/>
      <c r="B19" s="42">
        <v>9</v>
      </c>
      <c r="C19" s="41" t="s">
        <v>51</v>
      </c>
      <c r="D19" s="424"/>
      <c r="E19" s="345"/>
      <c r="F19" s="341"/>
    </row>
    <row r="20" spans="1:6" x14ac:dyDescent="0.2">
      <c r="A20" s="12"/>
      <c r="B20" s="42">
        <v>10</v>
      </c>
      <c r="C20" s="41" t="s">
        <v>52</v>
      </c>
      <c r="D20" s="424"/>
      <c r="E20" s="345"/>
      <c r="F20" s="341"/>
    </row>
    <row r="21" spans="1:6" x14ac:dyDescent="0.2">
      <c r="A21" s="12"/>
      <c r="B21" s="42">
        <v>11</v>
      </c>
      <c r="C21" s="41" t="s">
        <v>53</v>
      </c>
      <c r="D21" s="424"/>
      <c r="E21" s="345"/>
      <c r="F21" s="341"/>
    </row>
    <row r="22" spans="1:6" ht="10.5" x14ac:dyDescent="0.2">
      <c r="A22" s="12"/>
      <c r="B22" s="39" t="s">
        <v>54</v>
      </c>
      <c r="C22" s="43"/>
      <c r="D22" s="423"/>
      <c r="E22" s="346"/>
      <c r="F22" s="341"/>
    </row>
    <row r="23" spans="1:6" x14ac:dyDescent="0.2">
      <c r="A23" s="12"/>
      <c r="B23" s="42">
        <v>12</v>
      </c>
      <c r="C23" s="41" t="s">
        <v>55</v>
      </c>
      <c r="D23" s="424"/>
      <c r="E23" s="345"/>
      <c r="F23" s="341"/>
    </row>
    <row r="24" spans="1:6" x14ac:dyDescent="0.2">
      <c r="A24" s="12"/>
      <c r="B24" s="42">
        <v>13</v>
      </c>
      <c r="C24" s="41" t="s">
        <v>56</v>
      </c>
      <c r="D24" s="424"/>
      <c r="E24" s="345"/>
      <c r="F24" s="341"/>
    </row>
    <row r="25" spans="1:6" x14ac:dyDescent="0.2">
      <c r="A25" s="12"/>
      <c r="B25" s="42">
        <v>14</v>
      </c>
      <c r="C25" s="41" t="s">
        <v>57</v>
      </c>
      <c r="D25" s="424"/>
      <c r="E25" s="345"/>
      <c r="F25" s="341"/>
    </row>
    <row r="26" spans="1:6" x14ac:dyDescent="0.2">
      <c r="A26" s="12"/>
      <c r="B26" s="42">
        <v>15</v>
      </c>
      <c r="C26" s="41" t="s">
        <v>58</v>
      </c>
      <c r="D26" s="424"/>
      <c r="E26" s="345"/>
      <c r="F26" s="341"/>
    </row>
    <row r="27" spans="1:6" x14ac:dyDescent="0.2">
      <c r="A27" s="12"/>
      <c r="B27" s="42">
        <v>16</v>
      </c>
      <c r="C27" s="41" t="s">
        <v>59</v>
      </c>
      <c r="D27" s="424"/>
      <c r="E27" s="345"/>
      <c r="F27" s="341"/>
    </row>
    <row r="28" spans="1:6" ht="10.5" x14ac:dyDescent="0.2">
      <c r="A28" s="12"/>
      <c r="B28" s="39" t="s">
        <v>60</v>
      </c>
      <c r="C28" s="43"/>
      <c r="D28" s="423"/>
      <c r="E28" s="346"/>
      <c r="F28" s="341"/>
    </row>
    <row r="29" spans="1:6" x14ac:dyDescent="0.2">
      <c r="A29" s="12"/>
      <c r="B29" s="42">
        <v>17</v>
      </c>
      <c r="C29" s="41" t="s">
        <v>61</v>
      </c>
      <c r="D29" s="423">
        <f>'8'!D13</f>
        <v>9640.1098377500002</v>
      </c>
      <c r="E29" s="345"/>
      <c r="F29" s="341"/>
    </row>
    <row r="30" spans="1:6" x14ac:dyDescent="0.2">
      <c r="A30" s="12"/>
      <c r="B30" s="42">
        <v>18</v>
      </c>
      <c r="C30" s="41" t="s">
        <v>62</v>
      </c>
      <c r="D30" s="424"/>
      <c r="E30" s="345"/>
      <c r="F30" s="341"/>
    </row>
    <row r="31" spans="1:6" x14ac:dyDescent="0.2">
      <c r="A31" s="12"/>
      <c r="B31" s="42">
        <v>19</v>
      </c>
      <c r="C31" s="41" t="s">
        <v>63</v>
      </c>
      <c r="D31" s="424">
        <f>D29</f>
        <v>9640.1098377500002</v>
      </c>
      <c r="E31" s="345"/>
      <c r="F31" s="341"/>
    </row>
    <row r="32" spans="1:6" ht="10.5" x14ac:dyDescent="0.2">
      <c r="A32" s="12"/>
      <c r="B32" s="39" t="s">
        <v>64</v>
      </c>
      <c r="C32" s="43"/>
      <c r="D32" s="423"/>
      <c r="E32" s="346"/>
      <c r="F32" s="341"/>
    </row>
    <row r="33" spans="1:7" x14ac:dyDescent="0.2">
      <c r="A33" s="12"/>
      <c r="B33" s="42">
        <v>20</v>
      </c>
      <c r="C33" s="41" t="s">
        <v>65</v>
      </c>
      <c r="D33" s="423">
        <f>'1'!J29</f>
        <v>1641.1316196980172</v>
      </c>
      <c r="E33" s="345"/>
      <c r="F33" s="341"/>
    </row>
    <row r="34" spans="1:7" x14ac:dyDescent="0.2">
      <c r="A34" s="12"/>
      <c r="B34" s="42">
        <v>21</v>
      </c>
      <c r="C34" s="41" t="s">
        <v>66</v>
      </c>
      <c r="D34" s="423">
        <f>D12+D31</f>
        <v>21168.13741992</v>
      </c>
      <c r="E34" s="347"/>
      <c r="F34" s="341"/>
    </row>
    <row r="35" spans="1:7" ht="10.5" x14ac:dyDescent="0.2">
      <c r="A35" s="12"/>
      <c r="B35" s="39" t="s">
        <v>67</v>
      </c>
      <c r="C35" s="43"/>
      <c r="D35" s="44"/>
      <c r="E35" s="348"/>
      <c r="F35" s="341"/>
    </row>
    <row r="36" spans="1:7" x14ac:dyDescent="0.2">
      <c r="A36" s="12"/>
      <c r="B36" s="42">
        <v>22</v>
      </c>
      <c r="C36" s="41" t="s">
        <v>68</v>
      </c>
      <c r="D36" s="337">
        <f>D33/D34</f>
        <v>7.7528390294445637E-2</v>
      </c>
      <c r="E36" s="347"/>
      <c r="F36" s="341"/>
    </row>
    <row r="37" spans="1:7" ht="12" x14ac:dyDescent="0.2">
      <c r="A37" s="12"/>
      <c r="B37" s="36" t="s">
        <v>69</v>
      </c>
      <c r="E37" s="341"/>
      <c r="F37" s="341"/>
      <c r="G37" s="45"/>
    </row>
    <row r="38" spans="1:7" x14ac:dyDescent="0.2">
      <c r="A38" s="12"/>
      <c r="E38" s="341"/>
      <c r="F38" s="341"/>
    </row>
    <row r="39" spans="1:7" ht="21" customHeight="1" x14ac:dyDescent="0.2">
      <c r="A39" s="12"/>
      <c r="E39" s="341"/>
      <c r="F39" s="341"/>
    </row>
    <row r="40" spans="1:7" ht="21" customHeight="1" x14ac:dyDescent="0.2">
      <c r="A40" s="12"/>
      <c r="E40" s="341"/>
      <c r="F40" s="341"/>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ht="10.5" x14ac:dyDescent="0.2">
      <c r="A71" s="20"/>
    </row>
    <row r="72" spans="1:1" ht="10.5" x14ac:dyDescent="0.2">
      <c r="A72" s="20"/>
    </row>
    <row r="73" spans="1:1" ht="10.5" x14ac:dyDescent="0.25">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9"/>
  <sheetViews>
    <sheetView showGridLines="0" showRowColHeaders="0" zoomScaleNormal="100" workbookViewId="0">
      <selection activeCell="G19" sqref="G19"/>
    </sheetView>
  </sheetViews>
  <sheetFormatPr defaultColWidth="11.453125" defaultRowHeight="10" x14ac:dyDescent="0.2"/>
  <cols>
    <col min="1" max="1" width="2.81640625" style="23" customWidth="1"/>
    <col min="2" max="2" width="4.1796875" style="16" customWidth="1"/>
    <col min="3" max="3" width="62.81640625" style="16" customWidth="1"/>
    <col min="4" max="5" width="13.81640625" style="16" customWidth="1"/>
    <col min="6" max="16384" width="11.453125" style="16"/>
  </cols>
  <sheetData>
    <row r="1" spans="1:11" s="10" customFormat="1" ht="11.25" customHeight="1" x14ac:dyDescent="0.25">
      <c r="A1" s="7"/>
      <c r="B1" s="7"/>
      <c r="C1" s="7"/>
      <c r="D1" s="8"/>
      <c r="E1" s="8"/>
      <c r="F1" s="9"/>
      <c r="G1" s="9"/>
      <c r="H1" s="9"/>
    </row>
    <row r="2" spans="1:11" s="10" customFormat="1" ht="5.25" customHeight="1" x14ac:dyDescent="0.25">
      <c r="A2" s="7"/>
      <c r="B2" s="7"/>
      <c r="C2" s="7"/>
      <c r="D2" s="8"/>
      <c r="E2" s="8"/>
      <c r="F2" s="9"/>
      <c r="G2" s="9"/>
      <c r="H2" s="9"/>
    </row>
    <row r="3" spans="1:11" s="12" customFormat="1" ht="12.75" customHeight="1" x14ac:dyDescent="0.2">
      <c r="A3" s="11"/>
      <c r="B3" s="461"/>
      <c r="C3" s="461"/>
      <c r="D3" s="461"/>
      <c r="E3" s="461"/>
      <c r="F3" s="461"/>
      <c r="G3" s="461"/>
      <c r="H3" s="461"/>
    </row>
    <row r="4" spans="1:11" s="10" customFormat="1" ht="5.15" customHeight="1" x14ac:dyDescent="0.25">
      <c r="A4" s="7"/>
      <c r="B4" s="7"/>
      <c r="C4" s="7"/>
      <c r="D4" s="8"/>
      <c r="E4" s="8"/>
      <c r="F4" s="9"/>
      <c r="G4" s="9"/>
      <c r="H4" s="9"/>
      <c r="J4" s="7"/>
      <c r="K4" s="7"/>
    </row>
    <row r="5" spans="1:11" s="3" customFormat="1" ht="17.5" x14ac:dyDescent="0.35">
      <c r="A5" s="13"/>
      <c r="B5" s="136" t="s">
        <v>70</v>
      </c>
    </row>
    <row r="7" spans="1:11" ht="10.5" x14ac:dyDescent="0.2">
      <c r="A7" s="14"/>
      <c r="B7" s="468" t="s">
        <v>22</v>
      </c>
      <c r="C7" s="469"/>
      <c r="D7" s="46" t="s">
        <v>23</v>
      </c>
      <c r="E7" s="47" t="s">
        <v>24</v>
      </c>
    </row>
    <row r="8" spans="1:11" ht="30" x14ac:dyDescent="0.2">
      <c r="A8" s="14"/>
      <c r="B8" s="470"/>
      <c r="C8" s="471"/>
      <c r="D8" s="17" t="s">
        <v>71</v>
      </c>
      <c r="E8" s="48" t="s">
        <v>72</v>
      </c>
    </row>
    <row r="9" spans="1:11" x14ac:dyDescent="0.2">
      <c r="A9" s="12"/>
      <c r="B9" s="472" t="s">
        <v>73</v>
      </c>
      <c r="C9" s="473"/>
      <c r="D9" s="473"/>
      <c r="E9" s="474"/>
    </row>
    <row r="10" spans="1:11" x14ac:dyDescent="0.2">
      <c r="A10" s="12"/>
      <c r="B10" s="25">
        <v>1</v>
      </c>
      <c r="C10" s="15" t="s">
        <v>74</v>
      </c>
      <c r="D10" s="49"/>
      <c r="E10" s="50">
        <v>1091.2474340447</v>
      </c>
    </row>
    <row r="11" spans="1:11" x14ac:dyDescent="0.2">
      <c r="A11" s="12"/>
      <c r="B11" s="472" t="s">
        <v>75</v>
      </c>
      <c r="C11" s="473"/>
      <c r="D11" s="473"/>
      <c r="E11" s="474"/>
    </row>
    <row r="12" spans="1:11" x14ac:dyDescent="0.2">
      <c r="A12" s="12"/>
      <c r="B12" s="25">
        <v>2</v>
      </c>
      <c r="C12" s="15" t="s">
        <v>76</v>
      </c>
      <c r="D12" s="394">
        <v>9347.6081591300008</v>
      </c>
      <c r="E12" s="427"/>
    </row>
    <row r="13" spans="1:11" x14ac:dyDescent="0.2">
      <c r="A13" s="12"/>
      <c r="B13" s="25">
        <v>3</v>
      </c>
      <c r="C13" s="15" t="s">
        <v>77</v>
      </c>
      <c r="D13" s="18">
        <v>6682.4446439210296</v>
      </c>
      <c r="E13" s="50">
        <f>D13*5%</f>
        <v>334.12223219605153</v>
      </c>
    </row>
    <row r="14" spans="1:11" x14ac:dyDescent="0.2">
      <c r="A14" s="12"/>
      <c r="B14" s="25">
        <v>4</v>
      </c>
      <c r="C14" s="15" t="s">
        <v>78</v>
      </c>
      <c r="D14" s="18">
        <v>0</v>
      </c>
      <c r="E14" s="50">
        <f>D14*100%</f>
        <v>0</v>
      </c>
    </row>
    <row r="15" spans="1:11" x14ac:dyDescent="0.2">
      <c r="A15" s="12"/>
      <c r="B15" s="25">
        <v>5</v>
      </c>
      <c r="C15" s="15" t="s">
        <v>79</v>
      </c>
      <c r="D15" s="18"/>
      <c r="E15" s="50"/>
    </row>
    <row r="16" spans="1:11" ht="11.25" customHeight="1" x14ac:dyDescent="0.2">
      <c r="A16" s="12"/>
      <c r="B16" s="25">
        <v>6</v>
      </c>
      <c r="C16" s="15" t="s">
        <v>80</v>
      </c>
      <c r="D16" s="18"/>
      <c r="E16" s="50"/>
    </row>
    <row r="17" spans="1:5" x14ac:dyDescent="0.2">
      <c r="A17" s="12"/>
      <c r="B17" s="25">
        <v>7</v>
      </c>
      <c r="C17" s="15" t="s">
        <v>81</v>
      </c>
      <c r="D17" s="18">
        <v>2651.5185906531301</v>
      </c>
      <c r="E17" s="50">
        <f>D17*10%</f>
        <v>265.15185906531303</v>
      </c>
    </row>
    <row r="18" spans="1:5" x14ac:dyDescent="0.2">
      <c r="A18" s="12"/>
      <c r="B18" s="25">
        <v>8</v>
      </c>
      <c r="C18" s="15" t="s">
        <v>82</v>
      </c>
      <c r="D18" s="18"/>
      <c r="E18" s="50"/>
    </row>
    <row r="19" spans="1:5" x14ac:dyDescent="0.2">
      <c r="A19" s="12"/>
      <c r="B19" s="25">
        <v>9</v>
      </c>
      <c r="C19" s="15" t="s">
        <v>83</v>
      </c>
      <c r="D19" s="51"/>
      <c r="E19" s="50"/>
    </row>
    <row r="20" spans="1:5" x14ac:dyDescent="0.2">
      <c r="A20" s="12"/>
      <c r="B20" s="25">
        <v>10</v>
      </c>
      <c r="C20" s="15" t="s">
        <v>84</v>
      </c>
      <c r="D20" s="18"/>
      <c r="E20" s="50"/>
    </row>
    <row r="21" spans="1:5" x14ac:dyDescent="0.2">
      <c r="A21" s="12"/>
      <c r="B21" s="25">
        <v>11</v>
      </c>
      <c r="C21" s="15" t="s">
        <v>85</v>
      </c>
      <c r="D21" s="18"/>
      <c r="E21" s="50"/>
    </row>
    <row r="22" spans="1:5" x14ac:dyDescent="0.2">
      <c r="A22" s="12"/>
      <c r="B22" s="25">
        <v>12</v>
      </c>
      <c r="C22" s="15" t="s">
        <v>86</v>
      </c>
      <c r="D22" s="18"/>
      <c r="E22" s="50"/>
    </row>
    <row r="23" spans="1:5" x14ac:dyDescent="0.2">
      <c r="A23" s="12"/>
      <c r="B23" s="25">
        <v>13</v>
      </c>
      <c r="C23" s="15" t="s">
        <v>87</v>
      </c>
      <c r="D23" s="18">
        <v>1453.0150022607199</v>
      </c>
      <c r="E23" s="50">
        <f>D23*5%</f>
        <v>72.650750113035997</v>
      </c>
    </row>
    <row r="24" spans="1:5" x14ac:dyDescent="0.2">
      <c r="A24" s="12"/>
      <c r="B24" s="25">
        <v>14</v>
      </c>
      <c r="C24" s="15" t="s">
        <v>88</v>
      </c>
      <c r="D24" s="394">
        <v>3186.8479750440101</v>
      </c>
      <c r="E24" s="50">
        <f>(2272829098.64401*5%+914018876.4*20%)/1000000</f>
        <v>296.4452302122005</v>
      </c>
    </row>
    <row r="25" spans="1:5" x14ac:dyDescent="0.2">
      <c r="A25" s="12"/>
      <c r="B25" s="25">
        <v>15</v>
      </c>
      <c r="C25" s="15" t="s">
        <v>89</v>
      </c>
      <c r="D25" s="18"/>
      <c r="E25" s="50"/>
    </row>
    <row r="26" spans="1:5" x14ac:dyDescent="0.2">
      <c r="A26" s="12"/>
      <c r="B26" s="25">
        <v>16</v>
      </c>
      <c r="C26" s="15" t="s">
        <v>90</v>
      </c>
      <c r="D26" s="51"/>
      <c r="E26" s="52">
        <f>SUM(E13:E25)</f>
        <v>968.37007158660106</v>
      </c>
    </row>
    <row r="27" spans="1:5" x14ac:dyDescent="0.2">
      <c r="A27" s="12"/>
      <c r="B27" s="472" t="s">
        <v>91</v>
      </c>
      <c r="C27" s="473"/>
      <c r="D27" s="473"/>
      <c r="E27" s="474"/>
    </row>
    <row r="28" spans="1:5" x14ac:dyDescent="0.2">
      <c r="A28" s="12"/>
      <c r="B28" s="25">
        <v>17</v>
      </c>
      <c r="C28" s="15" t="s">
        <v>92</v>
      </c>
      <c r="D28" s="18"/>
      <c r="E28" s="50"/>
    </row>
    <row r="29" spans="1:5" x14ac:dyDescent="0.2">
      <c r="A29" s="12"/>
      <c r="B29" s="25">
        <v>18</v>
      </c>
      <c r="C29" s="15" t="s">
        <v>93</v>
      </c>
      <c r="D29" s="18"/>
      <c r="E29" s="50"/>
    </row>
    <row r="30" spans="1:5" x14ac:dyDescent="0.2">
      <c r="A30" s="12"/>
      <c r="B30" s="25">
        <v>19</v>
      </c>
      <c r="C30" s="15" t="s">
        <v>94</v>
      </c>
      <c r="D30" s="18">
        <v>900.87864154000602</v>
      </c>
      <c r="E30" s="52">
        <f>D30</f>
        <v>900.87864154000602</v>
      </c>
    </row>
    <row r="31" spans="1:5" x14ac:dyDescent="0.2">
      <c r="A31" s="12"/>
      <c r="B31" s="25">
        <v>20</v>
      </c>
      <c r="C31" s="15" t="s">
        <v>95</v>
      </c>
      <c r="D31" s="18">
        <f>D30</f>
        <v>900.87864154000602</v>
      </c>
      <c r="E31" s="52">
        <f>E30</f>
        <v>900.87864154000602</v>
      </c>
    </row>
    <row r="32" spans="1:5" x14ac:dyDescent="0.2">
      <c r="A32" s="12"/>
      <c r="B32" s="53"/>
      <c r="C32" s="54"/>
      <c r="D32" s="54"/>
      <c r="E32" s="48" t="s">
        <v>96</v>
      </c>
    </row>
    <row r="33" spans="1:6" x14ac:dyDescent="0.2">
      <c r="A33" s="12"/>
      <c r="B33" s="25">
        <v>21</v>
      </c>
      <c r="C33" s="15" t="s">
        <v>74</v>
      </c>
      <c r="D33" s="55"/>
      <c r="E33" s="50">
        <f>E10</f>
        <v>1091.2474340447</v>
      </c>
    </row>
    <row r="34" spans="1:6" x14ac:dyDescent="0.2">
      <c r="A34" s="12"/>
      <c r="B34" s="25">
        <v>22</v>
      </c>
      <c r="C34" s="15" t="s">
        <v>97</v>
      </c>
      <c r="D34" s="55"/>
      <c r="E34" s="50">
        <f>E26-MIN(E31,0.75*E26)</f>
        <v>242.09251789665029</v>
      </c>
      <c r="F34" s="32"/>
    </row>
    <row r="35" spans="1:6" x14ac:dyDescent="0.2">
      <c r="A35" s="12"/>
      <c r="B35" s="30">
        <v>23</v>
      </c>
      <c r="C35" s="19" t="s">
        <v>98</v>
      </c>
      <c r="D35" s="56"/>
      <c r="E35" s="57">
        <f>E33/E34</f>
        <v>4.5075636518042055</v>
      </c>
    </row>
    <row r="36" spans="1:6" x14ac:dyDescent="0.2">
      <c r="A36" s="12"/>
    </row>
    <row r="37" spans="1:6" x14ac:dyDescent="0.2">
      <c r="A37" s="12"/>
    </row>
    <row r="38" spans="1:6" x14ac:dyDescent="0.2">
      <c r="A38" s="12"/>
    </row>
    <row r="39" spans="1:6" x14ac:dyDescent="0.2">
      <c r="A39" s="12"/>
      <c r="C39" s="58"/>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ht="10.5" x14ac:dyDescent="0.2">
      <c r="A71" s="20"/>
    </row>
    <row r="72" spans="1:5" ht="10.5" x14ac:dyDescent="0.2">
      <c r="A72" s="20"/>
    </row>
    <row r="73" spans="1:5" ht="10.5" x14ac:dyDescent="0.25">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J92"/>
  <sheetViews>
    <sheetView showGridLines="0" showRowColHeaders="0" zoomScaleNormal="100" workbookViewId="0">
      <selection activeCell="F32" sqref="F32"/>
    </sheetView>
  </sheetViews>
  <sheetFormatPr defaultColWidth="8.81640625" defaultRowHeight="10" x14ac:dyDescent="0.35"/>
  <cols>
    <col min="1" max="1" width="2.81640625" style="23" customWidth="1"/>
    <col min="2" max="2" width="11.54296875" style="59" customWidth="1"/>
    <col min="3" max="3" width="50.81640625" style="59" customWidth="1"/>
    <col min="4" max="11" width="15.81640625" style="59" customWidth="1"/>
    <col min="12" max="12" width="13.81640625" style="59" customWidth="1"/>
    <col min="13" max="13" width="9.54296875" style="59" bestFit="1" customWidth="1"/>
    <col min="14" max="16384" width="8.81640625" style="59"/>
  </cols>
  <sheetData>
    <row r="1" spans="1:36" s="10" customFormat="1" ht="11.25" customHeight="1" x14ac:dyDescent="0.25">
      <c r="A1" s="7"/>
      <c r="B1" s="7"/>
      <c r="C1" s="7"/>
      <c r="D1" s="8"/>
      <c r="E1" s="8"/>
      <c r="F1" s="9"/>
      <c r="G1" s="9"/>
      <c r="H1" s="9"/>
    </row>
    <row r="2" spans="1:36" s="10" customFormat="1" ht="5.25" customHeight="1" x14ac:dyDescent="0.25">
      <c r="A2" s="7"/>
      <c r="B2" s="7"/>
      <c r="C2" s="7"/>
      <c r="D2" s="8"/>
      <c r="E2" s="8"/>
      <c r="F2" s="9"/>
      <c r="G2" s="9"/>
      <c r="H2" s="9"/>
    </row>
    <row r="3" spans="1:36" s="12" customFormat="1" ht="12.75" customHeight="1" x14ac:dyDescent="0.2">
      <c r="A3" s="11"/>
      <c r="B3" s="461"/>
      <c r="C3" s="461"/>
      <c r="D3" s="461"/>
      <c r="E3" s="461"/>
      <c r="F3" s="461"/>
      <c r="G3" s="461"/>
      <c r="H3" s="461"/>
    </row>
    <row r="4" spans="1:36" s="10" customFormat="1" ht="5.15" customHeight="1" x14ac:dyDescent="0.25">
      <c r="A4" s="7"/>
      <c r="B4" s="7"/>
      <c r="C4" s="7"/>
      <c r="D4" s="8"/>
      <c r="E4" s="8"/>
      <c r="F4" s="9"/>
      <c r="G4" s="9"/>
      <c r="H4" s="9"/>
      <c r="J4" s="7"/>
      <c r="K4" s="7"/>
    </row>
    <row r="5" spans="1:36" s="3" customFormat="1" ht="17.5" x14ac:dyDescent="0.35">
      <c r="A5" s="13"/>
      <c r="B5" s="136" t="s">
        <v>511</v>
      </c>
    </row>
    <row r="6" spans="1:36" ht="11.25" customHeight="1" x14ac:dyDescent="0.35">
      <c r="F6" s="60"/>
      <c r="G6" s="60"/>
      <c r="H6" s="60"/>
      <c r="I6" s="60"/>
      <c r="J6" s="60"/>
      <c r="K6" s="60"/>
    </row>
    <row r="7" spans="1:36" ht="10.5" x14ac:dyDescent="0.35">
      <c r="A7" s="14"/>
      <c r="C7" s="61"/>
      <c r="D7" s="61"/>
      <c r="E7" s="60"/>
      <c r="F7" s="60"/>
      <c r="G7" s="60"/>
      <c r="H7" s="60"/>
      <c r="I7" s="60"/>
      <c r="J7" s="60"/>
      <c r="K7" s="60"/>
    </row>
    <row r="8" spans="1:36" s="63" customFormat="1" ht="15" customHeight="1" x14ac:dyDescent="0.2">
      <c r="A8" s="12"/>
      <c r="B8" s="62"/>
      <c r="C8" s="62"/>
      <c r="D8" s="62"/>
      <c r="E8" s="62"/>
      <c r="F8" s="62"/>
      <c r="G8" s="62"/>
      <c r="H8" s="62"/>
      <c r="I8" s="62"/>
      <c r="J8" s="62"/>
      <c r="K8" s="59"/>
      <c r="L8" s="59"/>
      <c r="M8" s="59"/>
      <c r="N8" s="59"/>
      <c r="O8" s="59"/>
      <c r="P8" s="59"/>
      <c r="Q8" s="59"/>
      <c r="R8" s="59"/>
      <c r="S8" s="59"/>
      <c r="T8" s="59"/>
      <c r="U8" s="59"/>
      <c r="V8" s="59"/>
      <c r="W8" s="59"/>
      <c r="X8" s="59"/>
      <c r="Y8" s="59"/>
      <c r="Z8" s="59"/>
      <c r="AA8" s="59"/>
      <c r="AB8" s="59"/>
      <c r="AC8" s="59"/>
      <c r="AD8" s="59"/>
      <c r="AE8" s="59"/>
      <c r="AF8" s="59"/>
      <c r="AG8" s="59"/>
      <c r="AH8" s="59"/>
      <c r="AI8" s="59"/>
      <c r="AJ8" s="59"/>
    </row>
    <row r="9" spans="1:36" s="66" customFormat="1" ht="10.5" x14ac:dyDescent="0.2">
      <c r="A9" s="12"/>
      <c r="B9" s="64"/>
      <c r="C9" s="65"/>
      <c r="D9" s="477"/>
      <c r="E9" s="478"/>
      <c r="F9" s="481"/>
      <c r="G9" s="482"/>
      <c r="H9" s="477"/>
      <c r="I9" s="478"/>
      <c r="J9" s="481"/>
      <c r="K9" s="482"/>
    </row>
    <row r="10" spans="1:36" s="66" customFormat="1" ht="10.5" x14ac:dyDescent="0.2">
      <c r="A10" s="12"/>
      <c r="B10" s="362" t="s">
        <v>650</v>
      </c>
      <c r="C10" s="68"/>
      <c r="D10" s="479"/>
      <c r="E10" s="480"/>
      <c r="F10" s="483"/>
      <c r="G10" s="484"/>
      <c r="H10" s="479"/>
      <c r="I10" s="480"/>
      <c r="J10" s="483"/>
      <c r="K10" s="484"/>
    </row>
    <row r="11" spans="1:36" s="66" customFormat="1" ht="14.5" x14ac:dyDescent="0.2">
      <c r="A11" s="12"/>
      <c r="B11" s="67"/>
      <c r="C11" s="69"/>
      <c r="D11" s="491" t="s">
        <v>99</v>
      </c>
      <c r="E11" s="491"/>
      <c r="F11" s="491"/>
      <c r="G11" s="491" t="s">
        <v>100</v>
      </c>
      <c r="H11" s="491"/>
      <c r="I11" s="491" t="s">
        <v>101</v>
      </c>
      <c r="J11" s="491"/>
      <c r="K11" s="491"/>
      <c r="L11" s="491" t="s">
        <v>102</v>
      </c>
      <c r="M11" s="491"/>
    </row>
    <row r="12" spans="1:36" s="66" customFormat="1" ht="58" x14ac:dyDescent="0.2">
      <c r="A12" s="12"/>
      <c r="B12" s="71"/>
      <c r="C12" s="68"/>
      <c r="D12" s="350"/>
      <c r="E12" s="351" t="s">
        <v>635</v>
      </c>
      <c r="F12" s="351" t="s">
        <v>636</v>
      </c>
      <c r="G12" s="350"/>
      <c r="H12" s="351" t="s">
        <v>636</v>
      </c>
      <c r="I12" s="350"/>
      <c r="J12" s="351" t="s">
        <v>635</v>
      </c>
      <c r="K12" s="351" t="s">
        <v>636</v>
      </c>
      <c r="L12" s="350"/>
      <c r="M12" s="428" t="s">
        <v>636</v>
      </c>
      <c r="N12" s="355"/>
      <c r="O12" s="355"/>
      <c r="P12" s="355"/>
    </row>
    <row r="13" spans="1:36" x14ac:dyDescent="0.2">
      <c r="A13" s="12"/>
      <c r="B13" s="73" t="s">
        <v>637</v>
      </c>
      <c r="C13" s="359" t="s">
        <v>638</v>
      </c>
      <c r="D13" s="359">
        <v>10</v>
      </c>
      <c r="E13" s="359">
        <v>20</v>
      </c>
      <c r="F13" s="359">
        <v>30</v>
      </c>
      <c r="G13" s="359">
        <v>40</v>
      </c>
      <c r="H13" s="359">
        <v>50</v>
      </c>
      <c r="I13" s="359">
        <v>60</v>
      </c>
      <c r="J13" s="359">
        <v>70</v>
      </c>
      <c r="K13" s="359">
        <v>80</v>
      </c>
      <c r="L13" s="359">
        <v>90</v>
      </c>
      <c r="M13" s="359">
        <v>100</v>
      </c>
      <c r="N13" s="356"/>
      <c r="O13" s="357"/>
      <c r="P13" s="357"/>
    </row>
    <row r="14" spans="1:36" x14ac:dyDescent="0.2">
      <c r="A14" s="12"/>
      <c r="B14" s="353">
        <v>10</v>
      </c>
      <c r="C14" s="352" t="s">
        <v>111</v>
      </c>
      <c r="D14" s="361">
        <v>0</v>
      </c>
      <c r="E14" s="361">
        <v>0</v>
      </c>
      <c r="F14" s="361">
        <v>0</v>
      </c>
      <c r="G14" s="361">
        <v>0</v>
      </c>
      <c r="H14" s="361">
        <v>0</v>
      </c>
      <c r="I14" s="361">
        <v>2417.2948197300034</v>
      </c>
      <c r="J14" s="361">
        <v>0</v>
      </c>
      <c r="K14" s="361">
        <v>1453.5332506299999</v>
      </c>
      <c r="L14" s="361">
        <v>0</v>
      </c>
      <c r="M14" s="361">
        <v>0</v>
      </c>
      <c r="N14" s="356"/>
      <c r="O14" s="357"/>
      <c r="P14" s="357"/>
    </row>
    <row r="15" spans="1:36" x14ac:dyDescent="0.2">
      <c r="A15" s="12"/>
      <c r="B15" s="354">
        <v>20</v>
      </c>
      <c r="C15" s="352" t="s">
        <v>639</v>
      </c>
      <c r="D15" s="361">
        <v>0</v>
      </c>
      <c r="E15" s="361"/>
      <c r="F15" s="361">
        <v>0</v>
      </c>
      <c r="G15" s="361">
        <v>0</v>
      </c>
      <c r="H15" s="361">
        <v>0</v>
      </c>
      <c r="I15" s="361">
        <v>807.81879038000386</v>
      </c>
      <c r="J15" s="361">
        <v>0</v>
      </c>
      <c r="K15" s="361">
        <v>0</v>
      </c>
      <c r="L15" s="361">
        <v>0</v>
      </c>
      <c r="M15" s="361">
        <v>0</v>
      </c>
      <c r="N15" s="356"/>
      <c r="O15" s="357"/>
      <c r="P15" s="357"/>
    </row>
    <row r="16" spans="1:36" x14ac:dyDescent="0.2">
      <c r="A16" s="12"/>
      <c r="B16" s="354">
        <v>30</v>
      </c>
      <c r="C16" s="352" t="s">
        <v>640</v>
      </c>
      <c r="D16" s="361">
        <v>0</v>
      </c>
      <c r="E16" s="361">
        <v>0</v>
      </c>
      <c r="F16" s="361">
        <v>0</v>
      </c>
      <c r="G16" s="361">
        <v>0</v>
      </c>
      <c r="H16" s="361">
        <v>0</v>
      </c>
      <c r="I16" s="361">
        <v>0</v>
      </c>
      <c r="J16" s="361">
        <v>0</v>
      </c>
      <c r="K16" s="361">
        <v>0</v>
      </c>
      <c r="L16" s="361">
        <v>0</v>
      </c>
      <c r="M16" s="361">
        <v>0</v>
      </c>
      <c r="N16" s="356"/>
      <c r="O16" s="357"/>
      <c r="P16" s="357"/>
    </row>
    <row r="17" spans="1:36" x14ac:dyDescent="0.2">
      <c r="A17" s="12"/>
      <c r="B17" s="354">
        <v>40</v>
      </c>
      <c r="C17" s="352" t="s">
        <v>641</v>
      </c>
      <c r="D17" s="361">
        <v>0</v>
      </c>
      <c r="E17" s="361">
        <v>0</v>
      </c>
      <c r="F17" s="361">
        <v>0</v>
      </c>
      <c r="G17" s="361">
        <v>0</v>
      </c>
      <c r="H17" s="361">
        <v>0</v>
      </c>
      <c r="I17" s="361">
        <v>1453.5332506299999</v>
      </c>
      <c r="J17" s="361">
        <v>0</v>
      </c>
      <c r="K17" s="361">
        <v>1453.5332506299999</v>
      </c>
      <c r="L17" s="361">
        <v>1453.5332506299999</v>
      </c>
      <c r="M17" s="361">
        <v>1453.5332506299999</v>
      </c>
      <c r="N17" s="356"/>
      <c r="O17" s="357"/>
      <c r="P17" s="357"/>
    </row>
    <row r="18" spans="1:36" x14ac:dyDescent="0.2">
      <c r="A18" s="12"/>
      <c r="B18" s="354">
        <v>50</v>
      </c>
      <c r="C18" s="352" t="s">
        <v>642</v>
      </c>
      <c r="D18" s="361">
        <v>0</v>
      </c>
      <c r="E18" s="361">
        <v>0</v>
      </c>
      <c r="F18" s="361">
        <v>0</v>
      </c>
      <c r="G18" s="361">
        <v>0</v>
      </c>
      <c r="H18" s="361">
        <v>0</v>
      </c>
      <c r="I18" s="361">
        <v>94.122239589999992</v>
      </c>
      <c r="J18" s="361">
        <v>0</v>
      </c>
      <c r="K18" s="361">
        <v>94.122239589999992</v>
      </c>
      <c r="L18" s="361">
        <v>94.122239589999992</v>
      </c>
      <c r="M18" s="361">
        <v>94.122239589999992</v>
      </c>
      <c r="N18" s="356"/>
      <c r="O18" s="357"/>
      <c r="P18" s="357"/>
    </row>
    <row r="19" spans="1:36" x14ac:dyDescent="0.2">
      <c r="A19" s="12"/>
      <c r="B19" s="354">
        <v>60</v>
      </c>
      <c r="C19" s="352" t="s">
        <v>643</v>
      </c>
      <c r="D19" s="361">
        <v>0</v>
      </c>
      <c r="E19" s="361">
        <v>0</v>
      </c>
      <c r="F19" s="361">
        <v>0</v>
      </c>
      <c r="G19" s="361">
        <v>0</v>
      </c>
      <c r="H19" s="361">
        <v>0</v>
      </c>
      <c r="I19" s="361">
        <v>0</v>
      </c>
      <c r="J19" s="361">
        <v>0</v>
      </c>
      <c r="K19" s="361">
        <v>0</v>
      </c>
      <c r="L19" s="361">
        <v>0</v>
      </c>
      <c r="M19" s="361">
        <v>0</v>
      </c>
      <c r="N19" s="356"/>
      <c r="O19" s="357"/>
      <c r="P19" s="357"/>
    </row>
    <row r="20" spans="1:36" x14ac:dyDescent="0.2">
      <c r="A20" s="12"/>
      <c r="B20" s="354">
        <v>70</v>
      </c>
      <c r="C20" s="352" t="s">
        <v>644</v>
      </c>
      <c r="D20" s="361">
        <v>0</v>
      </c>
      <c r="E20" s="361">
        <v>0</v>
      </c>
      <c r="F20" s="361">
        <v>0</v>
      </c>
      <c r="G20" s="361">
        <v>0</v>
      </c>
      <c r="H20" s="361">
        <v>0</v>
      </c>
      <c r="I20" s="361">
        <v>956.88932969000007</v>
      </c>
      <c r="J20" s="361">
        <v>0</v>
      </c>
      <c r="K20" s="361">
        <v>956.88932969000007</v>
      </c>
      <c r="L20" s="361">
        <v>956.88932969000007</v>
      </c>
      <c r="M20" s="361">
        <v>956.88932969000007</v>
      </c>
      <c r="N20" s="356"/>
      <c r="O20" s="357"/>
      <c r="P20" s="357"/>
    </row>
    <row r="21" spans="1:36" x14ac:dyDescent="0.2">
      <c r="A21" s="12"/>
      <c r="B21" s="354">
        <v>80</v>
      </c>
      <c r="C21" s="352" t="s">
        <v>645</v>
      </c>
      <c r="D21" s="361">
        <v>0</v>
      </c>
      <c r="E21" s="361">
        <v>0</v>
      </c>
      <c r="F21" s="361">
        <v>0</v>
      </c>
      <c r="G21" s="361">
        <v>0</v>
      </c>
      <c r="H21" s="361">
        <v>0</v>
      </c>
      <c r="I21" s="361">
        <v>0.30314668135000006</v>
      </c>
      <c r="J21" s="361">
        <v>0</v>
      </c>
      <c r="K21" s="361">
        <v>0</v>
      </c>
      <c r="L21" s="361">
        <v>0</v>
      </c>
      <c r="M21" s="361">
        <v>0</v>
      </c>
      <c r="N21" s="356"/>
      <c r="O21" s="357"/>
      <c r="P21" s="357"/>
    </row>
    <row r="22" spans="1:36" x14ac:dyDescent="0.2">
      <c r="A22" s="12"/>
      <c r="B22" s="354">
        <v>90</v>
      </c>
      <c r="C22" s="352" t="s">
        <v>646</v>
      </c>
      <c r="D22" s="361">
        <v>0</v>
      </c>
      <c r="E22" s="361">
        <v>0</v>
      </c>
      <c r="F22" s="361">
        <v>0</v>
      </c>
      <c r="G22" s="361">
        <v>0</v>
      </c>
      <c r="H22" s="361">
        <v>0</v>
      </c>
      <c r="I22" s="361">
        <v>0</v>
      </c>
      <c r="J22" s="361">
        <v>0</v>
      </c>
      <c r="K22" s="361">
        <v>0</v>
      </c>
      <c r="L22" s="361">
        <v>0</v>
      </c>
      <c r="M22" s="361">
        <v>0</v>
      </c>
      <c r="N22" s="356"/>
      <c r="O22" s="357"/>
      <c r="P22" s="357"/>
    </row>
    <row r="23" spans="1:36" x14ac:dyDescent="0.2">
      <c r="A23" s="12"/>
      <c r="B23" s="354">
        <v>100</v>
      </c>
      <c r="C23" s="352" t="s">
        <v>647</v>
      </c>
      <c r="D23" s="361">
        <v>0</v>
      </c>
      <c r="E23" s="361">
        <v>0</v>
      </c>
      <c r="F23" s="361">
        <v>0</v>
      </c>
      <c r="G23" s="361">
        <v>0</v>
      </c>
      <c r="H23" s="361">
        <v>0</v>
      </c>
      <c r="I23" s="361">
        <v>0</v>
      </c>
      <c r="J23" s="361">
        <v>0</v>
      </c>
      <c r="K23" s="361">
        <v>0</v>
      </c>
      <c r="L23" s="361">
        <v>0</v>
      </c>
      <c r="M23" s="361">
        <v>0</v>
      </c>
      <c r="N23" s="356"/>
      <c r="O23" s="357"/>
      <c r="P23" s="357"/>
    </row>
    <row r="24" spans="1:36" x14ac:dyDescent="0.2">
      <c r="A24" s="12"/>
      <c r="B24" s="354">
        <v>110</v>
      </c>
      <c r="C24" s="352" t="s">
        <v>648</v>
      </c>
      <c r="D24" s="361">
        <v>0</v>
      </c>
      <c r="E24" s="361">
        <v>0</v>
      </c>
      <c r="F24" s="361">
        <v>0</v>
      </c>
      <c r="G24" s="361">
        <v>0</v>
      </c>
      <c r="H24" s="361">
        <v>0</v>
      </c>
      <c r="I24" s="361">
        <v>0</v>
      </c>
      <c r="J24" s="361">
        <v>0</v>
      </c>
      <c r="K24" s="361">
        <v>0</v>
      </c>
      <c r="L24" s="361">
        <v>0</v>
      </c>
      <c r="M24" s="361">
        <v>0</v>
      </c>
      <c r="N24" s="356"/>
      <c r="O24" s="357"/>
      <c r="P24" s="357"/>
    </row>
    <row r="25" spans="1:36" x14ac:dyDescent="0.2">
      <c r="A25" s="12"/>
      <c r="B25" s="354">
        <v>120</v>
      </c>
      <c r="C25" s="352" t="s">
        <v>649</v>
      </c>
      <c r="D25" s="361">
        <v>0</v>
      </c>
      <c r="E25" s="361">
        <v>0</v>
      </c>
      <c r="F25" s="361">
        <v>0</v>
      </c>
      <c r="G25" s="361">
        <v>0</v>
      </c>
      <c r="H25" s="361">
        <v>0</v>
      </c>
      <c r="I25" s="361">
        <v>155.94277872000001</v>
      </c>
      <c r="J25" s="361">
        <v>0</v>
      </c>
      <c r="K25" s="361">
        <v>0</v>
      </c>
      <c r="L25" s="361">
        <v>0</v>
      </c>
      <c r="M25" s="361">
        <v>0</v>
      </c>
      <c r="N25" s="357"/>
      <c r="O25" s="357"/>
      <c r="P25" s="357"/>
    </row>
    <row r="26" spans="1:36" s="78" customFormat="1" x14ac:dyDescent="0.2">
      <c r="A26" s="12"/>
      <c r="B26" s="76"/>
      <c r="C26" s="77"/>
      <c r="D26" s="75"/>
      <c r="E26" s="75"/>
      <c r="F26" s="75"/>
      <c r="G26" s="75"/>
      <c r="H26" s="75"/>
      <c r="I26" s="75"/>
      <c r="J26" s="75"/>
      <c r="N26" s="358"/>
      <c r="O26" s="358"/>
      <c r="P26" s="358"/>
    </row>
    <row r="27" spans="1:36" s="63" customFormat="1" ht="10.5" x14ac:dyDescent="0.25">
      <c r="A27" s="12"/>
      <c r="B27" s="369"/>
      <c r="C27" s="363"/>
      <c r="D27" s="363"/>
      <c r="E27" s="363"/>
      <c r="F27" s="363"/>
      <c r="G27" s="363"/>
      <c r="H27" s="62"/>
      <c r="J27" s="59"/>
      <c r="K27" s="59"/>
      <c r="L27" s="59"/>
      <c r="M27" s="59"/>
      <c r="N27" s="357"/>
      <c r="O27" s="357"/>
      <c r="P27" s="357"/>
      <c r="Q27" s="59"/>
      <c r="R27" s="59"/>
      <c r="S27" s="59"/>
      <c r="T27" s="59"/>
      <c r="U27" s="59"/>
      <c r="V27" s="59"/>
      <c r="W27" s="59"/>
      <c r="X27" s="59"/>
      <c r="Y27" s="59"/>
      <c r="Z27" s="59"/>
      <c r="AA27" s="59"/>
      <c r="AB27" s="59"/>
      <c r="AC27" s="59"/>
      <c r="AD27" s="59"/>
      <c r="AE27" s="59"/>
      <c r="AF27" s="59"/>
      <c r="AG27" s="59"/>
      <c r="AH27" s="59"/>
      <c r="AI27" s="59"/>
      <c r="AJ27" s="59"/>
    </row>
    <row r="28" spans="1:36" s="66" customFormat="1" ht="10.5" x14ac:dyDescent="0.2">
      <c r="A28" s="12"/>
      <c r="B28" s="379" t="s">
        <v>117</v>
      </c>
      <c r="C28" s="371"/>
      <c r="D28" s="378"/>
      <c r="E28" s="378"/>
      <c r="F28" s="492"/>
      <c r="G28" s="493"/>
      <c r="H28" s="366"/>
      <c r="I28" s="79"/>
      <c r="N28" s="355"/>
      <c r="O28" s="355"/>
      <c r="P28" s="355"/>
    </row>
    <row r="29" spans="1:36" s="66" customFormat="1" ht="36.75" customHeight="1" x14ac:dyDescent="0.2">
      <c r="A29" s="12"/>
      <c r="B29" s="370"/>
      <c r="D29" s="377" t="s">
        <v>117</v>
      </c>
      <c r="E29" s="378"/>
      <c r="F29" s="492"/>
      <c r="G29" s="492"/>
      <c r="H29" s="494"/>
      <c r="N29" s="355"/>
      <c r="O29" s="355"/>
      <c r="P29" s="355"/>
    </row>
    <row r="30" spans="1:36" s="66" customFormat="1" x14ac:dyDescent="0.2">
      <c r="A30" s="12"/>
      <c r="B30" s="73" t="s">
        <v>638</v>
      </c>
      <c r="C30" s="359" t="s">
        <v>637</v>
      </c>
      <c r="D30" s="359">
        <v>10</v>
      </c>
      <c r="E30" s="372"/>
      <c r="F30" s="373"/>
      <c r="G30" s="372"/>
      <c r="H30" s="494"/>
    </row>
    <row r="31" spans="1:36" s="66" customFormat="1" x14ac:dyDescent="0.2">
      <c r="A31" s="12"/>
      <c r="B31" s="383">
        <v>10</v>
      </c>
      <c r="C31" s="384" t="s">
        <v>651</v>
      </c>
      <c r="D31" s="364"/>
      <c r="E31" s="374"/>
      <c r="F31" s="374"/>
      <c r="G31" s="374"/>
      <c r="H31" s="80"/>
    </row>
    <row r="32" spans="1:36" x14ac:dyDescent="0.2">
      <c r="A32" s="12"/>
      <c r="B32" s="385">
        <v>20</v>
      </c>
      <c r="C32" s="380" t="s">
        <v>652</v>
      </c>
      <c r="D32" s="386"/>
      <c r="E32" s="376"/>
      <c r="F32" s="376"/>
      <c r="G32" s="376"/>
      <c r="H32" s="74"/>
      <c r="L32" s="410"/>
    </row>
    <row r="33" spans="1:10" x14ac:dyDescent="0.2">
      <c r="A33" s="12"/>
      <c r="B33" s="385">
        <v>30</v>
      </c>
      <c r="C33" s="382" t="s">
        <v>653</v>
      </c>
      <c r="D33" s="386"/>
      <c r="E33" s="376"/>
      <c r="F33" s="376"/>
      <c r="G33" s="376"/>
      <c r="H33" s="74"/>
    </row>
    <row r="34" spans="1:10" x14ac:dyDescent="0.2">
      <c r="A34" s="12"/>
      <c r="B34" s="385">
        <v>40</v>
      </c>
      <c r="C34" s="382" t="s">
        <v>654</v>
      </c>
      <c r="D34" s="386"/>
      <c r="E34" s="376"/>
      <c r="F34" s="376"/>
      <c r="G34" s="376"/>
      <c r="H34" s="74"/>
    </row>
    <row r="35" spans="1:10" x14ac:dyDescent="0.2">
      <c r="A35" s="12"/>
      <c r="B35" s="385">
        <v>50</v>
      </c>
      <c r="C35" s="382" t="s">
        <v>655</v>
      </c>
      <c r="D35" s="386"/>
      <c r="E35" s="376"/>
      <c r="F35" s="376"/>
      <c r="G35" s="376"/>
      <c r="H35" s="74"/>
    </row>
    <row r="36" spans="1:10" s="78" customFormat="1" x14ac:dyDescent="0.2">
      <c r="A36" s="12"/>
      <c r="B36" s="385">
        <v>60</v>
      </c>
      <c r="C36" s="365" t="s">
        <v>656</v>
      </c>
      <c r="D36" s="386"/>
      <c r="E36" s="376"/>
      <c r="F36" s="376"/>
      <c r="G36" s="376"/>
      <c r="H36" s="74"/>
    </row>
    <row r="37" spans="1:10" s="78" customFormat="1" x14ac:dyDescent="0.2">
      <c r="A37" s="12"/>
      <c r="B37" s="385">
        <v>70</v>
      </c>
      <c r="C37" s="365" t="s">
        <v>657</v>
      </c>
      <c r="D37" s="386"/>
      <c r="E37" s="376"/>
      <c r="F37" s="376"/>
      <c r="G37" s="376"/>
      <c r="H37" s="74"/>
    </row>
    <row r="38" spans="1:10" s="78" customFormat="1" x14ac:dyDescent="0.2">
      <c r="A38" s="12"/>
      <c r="B38" s="385">
        <v>80</v>
      </c>
      <c r="C38" s="365" t="s">
        <v>656</v>
      </c>
      <c r="D38" s="386"/>
      <c r="E38" s="376"/>
      <c r="F38" s="376"/>
      <c r="G38" s="376"/>
      <c r="H38" s="74"/>
    </row>
    <row r="39" spans="1:10" s="78" customFormat="1" x14ac:dyDescent="0.2">
      <c r="A39" s="12"/>
      <c r="B39" s="385">
        <v>90</v>
      </c>
      <c r="C39" s="365" t="s">
        <v>658</v>
      </c>
      <c r="D39" s="386"/>
      <c r="E39" s="376"/>
      <c r="F39" s="376"/>
      <c r="G39" s="376"/>
      <c r="H39" s="74"/>
    </row>
    <row r="40" spans="1:10" s="78" customFormat="1" x14ac:dyDescent="0.2">
      <c r="A40" s="12"/>
      <c r="B40" s="385">
        <v>100</v>
      </c>
      <c r="C40" s="365" t="s">
        <v>659</v>
      </c>
      <c r="D40" s="386"/>
      <c r="E40" s="376"/>
      <c r="F40" s="376"/>
      <c r="G40" s="376"/>
      <c r="H40" s="74"/>
    </row>
    <row r="41" spans="1:10" s="78" customFormat="1" x14ac:dyDescent="0.2">
      <c r="A41" s="12"/>
      <c r="B41" s="385">
        <v>110</v>
      </c>
      <c r="C41" s="382" t="s">
        <v>660</v>
      </c>
      <c r="D41" s="386"/>
      <c r="E41" s="376"/>
      <c r="F41" s="376"/>
      <c r="G41" s="376"/>
      <c r="H41" s="74"/>
    </row>
    <row r="42" spans="1:10" s="78" customFormat="1" x14ac:dyDescent="0.2">
      <c r="A42" s="12"/>
      <c r="B42" s="385">
        <v>120</v>
      </c>
      <c r="C42" s="382" t="s">
        <v>661</v>
      </c>
      <c r="D42" s="386"/>
      <c r="E42" s="376"/>
      <c r="F42" s="376"/>
      <c r="G42" s="376"/>
      <c r="H42" s="74"/>
    </row>
    <row r="43" spans="1:10" s="78" customFormat="1" x14ac:dyDescent="0.2">
      <c r="A43" s="12"/>
      <c r="B43" s="385">
        <v>170</v>
      </c>
      <c r="C43" s="365" t="s">
        <v>662</v>
      </c>
      <c r="D43" s="386"/>
      <c r="E43" s="376"/>
      <c r="F43" s="376"/>
      <c r="G43" s="376"/>
      <c r="H43" s="74"/>
    </row>
    <row r="44" spans="1:10" s="78" customFormat="1" x14ac:dyDescent="0.2">
      <c r="A44" s="12"/>
      <c r="B44" s="374"/>
      <c r="C44" s="375"/>
      <c r="D44" s="376"/>
      <c r="E44" s="376"/>
      <c r="F44" s="376"/>
      <c r="G44" s="376"/>
      <c r="H44" s="74"/>
    </row>
    <row r="45" spans="1:10" s="78" customFormat="1" x14ac:dyDescent="0.2">
      <c r="A45" s="12"/>
      <c r="B45" s="374"/>
      <c r="C45" s="375"/>
      <c r="D45" s="75"/>
      <c r="E45" s="75"/>
      <c r="F45" s="75"/>
      <c r="G45" s="75"/>
      <c r="H45" s="74"/>
    </row>
    <row r="46" spans="1:10" x14ac:dyDescent="0.2">
      <c r="A46" s="12"/>
      <c r="B46" s="374"/>
      <c r="C46" s="375"/>
      <c r="D46" s="75" t="s">
        <v>116</v>
      </c>
      <c r="E46" s="75"/>
      <c r="F46" s="75"/>
      <c r="G46" s="75"/>
      <c r="H46" s="74"/>
    </row>
    <row r="47" spans="1:10" s="78" customFormat="1" x14ac:dyDescent="0.2">
      <c r="A47" s="12"/>
      <c r="B47" s="367"/>
      <c r="C47" s="368"/>
      <c r="D47" s="75"/>
      <c r="E47" s="75"/>
      <c r="F47" s="75"/>
      <c r="G47" s="75"/>
      <c r="H47" s="75"/>
      <c r="I47" s="75"/>
      <c r="J47" s="75"/>
    </row>
    <row r="48" spans="1:10" s="78" customFormat="1" x14ac:dyDescent="0.2">
      <c r="A48" s="12"/>
      <c r="B48" s="387"/>
      <c r="C48" s="388"/>
      <c r="D48" s="360"/>
      <c r="E48" s="360"/>
      <c r="F48" s="75"/>
      <c r="G48" s="75"/>
      <c r="H48" s="75"/>
      <c r="I48" s="75"/>
      <c r="J48" s="75"/>
    </row>
    <row r="49" spans="1:11" ht="10.5" x14ac:dyDescent="0.25">
      <c r="A49" s="12"/>
      <c r="B49" s="396" t="s">
        <v>637</v>
      </c>
      <c r="C49" s="397" t="s">
        <v>638</v>
      </c>
      <c r="D49" s="398">
        <v>10</v>
      </c>
      <c r="E49" s="399"/>
      <c r="F49" s="61"/>
      <c r="G49" s="61"/>
      <c r="H49" s="61"/>
      <c r="I49" s="61"/>
      <c r="J49" s="61"/>
      <c r="K49" s="61"/>
    </row>
    <row r="50" spans="1:11" s="66" customFormat="1" ht="62.25" customHeight="1" x14ac:dyDescent="0.2">
      <c r="A50" s="12"/>
      <c r="B50" s="384">
        <v>10</v>
      </c>
      <c r="C50" s="391" t="s">
        <v>663</v>
      </c>
      <c r="D50" s="70"/>
      <c r="E50" s="393"/>
      <c r="G50" s="82"/>
    </row>
    <row r="51" spans="1:11" s="66" customFormat="1" ht="10.5" x14ac:dyDescent="0.2">
      <c r="A51" s="12"/>
      <c r="B51" s="384">
        <v>30</v>
      </c>
      <c r="C51" s="391" t="s">
        <v>664</v>
      </c>
      <c r="D51" s="70"/>
      <c r="E51" s="393"/>
      <c r="G51" s="82"/>
    </row>
    <row r="52" spans="1:11" s="66" customFormat="1" x14ac:dyDescent="0.2">
      <c r="A52" s="12"/>
      <c r="B52" s="383">
        <v>50</v>
      </c>
      <c r="C52" s="391" t="s">
        <v>665</v>
      </c>
      <c r="D52" s="72"/>
      <c r="E52" s="72"/>
      <c r="G52" s="80"/>
    </row>
    <row r="53" spans="1:11" x14ac:dyDescent="0.2">
      <c r="A53" s="12"/>
      <c r="B53" s="384">
        <v>70</v>
      </c>
      <c r="C53" s="392" t="s">
        <v>666</v>
      </c>
      <c r="D53" s="381"/>
      <c r="E53" s="81"/>
      <c r="G53" s="74"/>
    </row>
    <row r="54" spans="1:11" x14ac:dyDescent="0.2">
      <c r="A54" s="12"/>
      <c r="B54" s="389">
        <v>90</v>
      </c>
      <c r="C54" s="390" t="s">
        <v>667</v>
      </c>
      <c r="D54" s="381"/>
      <c r="E54" s="81"/>
      <c r="G54" s="74"/>
    </row>
    <row r="55" spans="1:11" x14ac:dyDescent="0.2">
      <c r="A55" s="12"/>
      <c r="B55" s="389">
        <v>110</v>
      </c>
      <c r="C55" s="390" t="s">
        <v>668</v>
      </c>
      <c r="D55" s="381"/>
      <c r="E55" s="81"/>
      <c r="G55" s="74"/>
    </row>
    <row r="56" spans="1:11" x14ac:dyDescent="0.2">
      <c r="A56" s="12"/>
      <c r="B56" s="389">
        <v>130</v>
      </c>
      <c r="C56" s="390" t="s">
        <v>669</v>
      </c>
      <c r="D56" s="381"/>
      <c r="E56" s="81"/>
      <c r="G56" s="74"/>
    </row>
    <row r="57" spans="1:11" x14ac:dyDescent="0.2">
      <c r="A57" s="12"/>
      <c r="B57" s="389">
        <v>150</v>
      </c>
      <c r="C57" s="390" t="s">
        <v>670</v>
      </c>
      <c r="D57" s="381"/>
      <c r="E57" s="81"/>
      <c r="G57" s="74"/>
    </row>
    <row r="58" spans="1:11" x14ac:dyDescent="0.2">
      <c r="A58" s="12"/>
      <c r="B58" s="389">
        <v>170</v>
      </c>
      <c r="C58" s="390" t="s">
        <v>671</v>
      </c>
      <c r="D58" s="381"/>
      <c r="E58" s="81"/>
      <c r="G58" s="74"/>
    </row>
    <row r="59" spans="1:11" x14ac:dyDescent="0.2">
      <c r="A59" s="12"/>
      <c r="B59" s="83"/>
      <c r="C59" s="84"/>
    </row>
    <row r="60" spans="1:11" x14ac:dyDescent="0.2">
      <c r="A60" s="12"/>
      <c r="B60" s="12"/>
    </row>
    <row r="61" spans="1:11" ht="10.5" x14ac:dyDescent="0.35">
      <c r="B61" s="85" t="s">
        <v>119</v>
      </c>
      <c r="D61" s="59" t="s">
        <v>120</v>
      </c>
      <c r="E61" s="59" t="s">
        <v>121</v>
      </c>
      <c r="K61" s="59" t="s">
        <v>122</v>
      </c>
    </row>
    <row r="62" spans="1:11" x14ac:dyDescent="0.2">
      <c r="A62" s="12"/>
    </row>
    <row r="63" spans="1:11" ht="11.25" customHeight="1" x14ac:dyDescent="0.2">
      <c r="A63" s="12"/>
      <c r="B63" s="485"/>
      <c r="C63" s="486"/>
      <c r="D63" s="486"/>
      <c r="E63" s="486"/>
      <c r="F63" s="486"/>
      <c r="G63" s="486"/>
      <c r="H63" s="486"/>
      <c r="I63" s="487"/>
    </row>
    <row r="64" spans="1:11" x14ac:dyDescent="0.2">
      <c r="A64" s="12"/>
      <c r="B64" s="488"/>
      <c r="C64" s="489"/>
      <c r="D64" s="489"/>
      <c r="E64" s="489"/>
      <c r="F64" s="489"/>
      <c r="G64" s="489"/>
      <c r="H64" s="489"/>
      <c r="I64" s="490"/>
    </row>
    <row r="65" spans="1:9" x14ac:dyDescent="0.2">
      <c r="A65" s="12"/>
      <c r="B65" s="488"/>
      <c r="C65" s="489"/>
      <c r="D65" s="489"/>
      <c r="E65" s="489"/>
      <c r="F65" s="489"/>
      <c r="G65" s="489"/>
      <c r="H65" s="489"/>
      <c r="I65" s="490"/>
    </row>
    <row r="66" spans="1:9" x14ac:dyDescent="0.2">
      <c r="A66" s="12"/>
      <c r="B66" s="488"/>
      <c r="C66" s="489"/>
      <c r="D66" s="489"/>
      <c r="E66" s="489"/>
      <c r="F66" s="489"/>
      <c r="G66" s="489"/>
      <c r="H66" s="489"/>
      <c r="I66" s="490"/>
    </row>
    <row r="67" spans="1:9" x14ac:dyDescent="0.2">
      <c r="A67" s="12"/>
      <c r="B67" s="488"/>
      <c r="C67" s="489"/>
      <c r="D67" s="489"/>
      <c r="E67" s="489"/>
      <c r="F67" s="489"/>
      <c r="G67" s="489"/>
      <c r="H67" s="489"/>
      <c r="I67" s="490"/>
    </row>
    <row r="68" spans="1:9" ht="10.5" x14ac:dyDescent="0.35">
      <c r="B68" s="86"/>
      <c r="C68" s="87"/>
      <c r="D68" s="87"/>
      <c r="E68" s="87"/>
      <c r="F68" s="87"/>
      <c r="G68" s="87"/>
      <c r="H68" s="87"/>
      <c r="I68" s="88"/>
    </row>
    <row r="69" spans="1:9" ht="10.5" x14ac:dyDescent="0.35">
      <c r="B69" s="497"/>
      <c r="C69" s="504"/>
      <c r="D69" s="504"/>
      <c r="E69" s="504"/>
      <c r="F69" s="504"/>
      <c r="G69" s="504"/>
      <c r="H69" s="504"/>
      <c r="I69" s="499"/>
    </row>
    <row r="70" spans="1:9" ht="10.5" x14ac:dyDescent="0.35">
      <c r="B70" s="86"/>
      <c r="C70" s="89"/>
      <c r="D70" s="89"/>
      <c r="E70" s="89"/>
      <c r="F70" s="89"/>
      <c r="G70" s="89"/>
      <c r="H70" s="89"/>
      <c r="I70" s="90"/>
    </row>
    <row r="71" spans="1:9" ht="10.5" x14ac:dyDescent="0.35">
      <c r="B71" s="91"/>
      <c r="C71" s="89"/>
      <c r="D71" s="89"/>
      <c r="E71" s="89"/>
      <c r="F71" s="89"/>
      <c r="G71" s="89"/>
      <c r="H71" s="89"/>
      <c r="I71" s="90"/>
    </row>
    <row r="72" spans="1:9" ht="10.5" x14ac:dyDescent="0.35">
      <c r="B72" s="91"/>
      <c r="C72" s="89"/>
      <c r="D72" s="89"/>
      <c r="E72" s="89"/>
      <c r="F72" s="89"/>
      <c r="G72" s="89"/>
      <c r="H72" s="89"/>
      <c r="I72" s="90"/>
    </row>
    <row r="73" spans="1:9" ht="10.5" x14ac:dyDescent="0.35">
      <c r="B73" s="497"/>
      <c r="C73" s="498"/>
      <c r="D73" s="498"/>
      <c r="E73" s="498"/>
      <c r="F73" s="498"/>
      <c r="G73" s="498"/>
      <c r="H73" s="498"/>
      <c r="I73" s="508"/>
    </row>
    <row r="74" spans="1:9" ht="10.5" x14ac:dyDescent="0.35">
      <c r="A74" s="20"/>
      <c r="B74" s="475"/>
      <c r="C74" s="476"/>
      <c r="D74" s="476"/>
      <c r="E74" s="476"/>
      <c r="F74" s="476"/>
      <c r="G74" s="476"/>
      <c r="H74" s="476"/>
      <c r="I74" s="92"/>
    </row>
    <row r="75" spans="1:9" ht="10.5" x14ac:dyDescent="0.35">
      <c r="A75" s="20"/>
      <c r="B75" s="497"/>
      <c r="C75" s="498"/>
      <c r="D75" s="498"/>
      <c r="E75" s="498"/>
      <c r="F75" s="498"/>
      <c r="G75" s="498"/>
      <c r="H75" s="498"/>
      <c r="I75" s="499"/>
    </row>
    <row r="76" spans="1:9" ht="10.5" x14ac:dyDescent="0.25">
      <c r="A76" s="21"/>
      <c r="B76" s="497"/>
      <c r="C76" s="498"/>
      <c r="D76" s="498"/>
      <c r="E76" s="498"/>
      <c r="F76" s="498"/>
      <c r="G76" s="498"/>
      <c r="H76" s="498"/>
      <c r="I76" s="499"/>
    </row>
    <row r="77" spans="1:9" ht="10.5" x14ac:dyDescent="0.2">
      <c r="A77" s="12"/>
      <c r="B77" s="475"/>
      <c r="C77" s="476"/>
      <c r="D77" s="476"/>
      <c r="E77" s="476"/>
      <c r="F77" s="476"/>
      <c r="G77" s="476"/>
      <c r="H77" s="476"/>
      <c r="I77" s="499"/>
    </row>
    <row r="78" spans="1:9" ht="10.5" x14ac:dyDescent="0.2">
      <c r="A78" s="12"/>
      <c r="B78" s="475"/>
      <c r="C78" s="476"/>
      <c r="D78" s="476"/>
      <c r="E78" s="476"/>
      <c r="F78" s="476"/>
      <c r="G78" s="476"/>
      <c r="H78" s="476"/>
      <c r="I78" s="499"/>
    </row>
    <row r="79" spans="1:9" ht="10.5" x14ac:dyDescent="0.2">
      <c r="A79" s="12"/>
      <c r="B79" s="500"/>
      <c r="C79" s="501"/>
      <c r="D79" s="501"/>
      <c r="E79" s="501"/>
      <c r="F79" s="501"/>
      <c r="G79" s="501"/>
      <c r="H79" s="501"/>
      <c r="I79" s="502"/>
    </row>
    <row r="80" spans="1:9" ht="10.5" x14ac:dyDescent="0.2">
      <c r="A80" s="12"/>
      <c r="B80" s="503"/>
      <c r="C80" s="476"/>
      <c r="D80" s="476"/>
      <c r="E80" s="476"/>
      <c r="F80" s="476"/>
      <c r="G80" s="476"/>
      <c r="H80" s="476"/>
      <c r="I80" s="504"/>
    </row>
    <row r="81" spans="1:9" ht="10.5" x14ac:dyDescent="0.2">
      <c r="A81" s="12"/>
      <c r="B81" s="503"/>
      <c r="C81" s="503"/>
      <c r="D81" s="503"/>
      <c r="E81" s="503"/>
      <c r="F81" s="503"/>
      <c r="G81" s="503"/>
      <c r="H81" s="503"/>
      <c r="I81" s="504"/>
    </row>
    <row r="82" spans="1:9" ht="10.5" x14ac:dyDescent="0.2">
      <c r="A82" s="12"/>
      <c r="B82" s="503"/>
      <c r="C82" s="503"/>
      <c r="D82" s="503"/>
      <c r="E82" s="503"/>
      <c r="F82" s="503"/>
      <c r="G82" s="503"/>
      <c r="H82" s="503"/>
      <c r="I82" s="505"/>
    </row>
    <row r="83" spans="1:9" ht="10.5" x14ac:dyDescent="0.2">
      <c r="A83" s="12"/>
      <c r="B83" s="506"/>
      <c r="C83" s="506"/>
      <c r="D83" s="506"/>
      <c r="E83" s="506"/>
      <c r="F83" s="506"/>
      <c r="G83" s="506"/>
      <c r="H83" s="506"/>
      <c r="I83" s="507"/>
    </row>
    <row r="84" spans="1:9" ht="10.5" x14ac:dyDescent="0.2">
      <c r="A84" s="12"/>
      <c r="B84" s="506"/>
      <c r="C84" s="506"/>
      <c r="D84" s="506"/>
      <c r="E84" s="506"/>
      <c r="F84" s="506"/>
      <c r="G84" s="506"/>
      <c r="H84" s="506"/>
      <c r="I84" s="507"/>
    </row>
    <row r="85" spans="1:9" x14ac:dyDescent="0.2">
      <c r="A85" s="22"/>
      <c r="B85" s="495"/>
      <c r="C85" s="496"/>
      <c r="D85" s="496"/>
      <c r="E85" s="496"/>
      <c r="F85" s="496"/>
      <c r="G85" s="496"/>
      <c r="H85" s="496"/>
    </row>
    <row r="86" spans="1:9" x14ac:dyDescent="0.2">
      <c r="A86" s="22"/>
      <c r="B86" s="495"/>
      <c r="C86" s="496"/>
      <c r="D86" s="496"/>
      <c r="E86" s="496"/>
      <c r="F86" s="496"/>
      <c r="G86" s="496"/>
      <c r="H86" s="496"/>
    </row>
    <row r="87" spans="1:9" x14ac:dyDescent="0.2">
      <c r="A87" s="22"/>
      <c r="B87" s="495"/>
      <c r="C87" s="496"/>
      <c r="D87" s="496"/>
      <c r="E87" s="496"/>
      <c r="F87" s="496"/>
      <c r="G87" s="496"/>
      <c r="H87" s="496"/>
    </row>
    <row r="88" spans="1:9" x14ac:dyDescent="0.2">
      <c r="A88" s="22"/>
      <c r="C88" s="93"/>
    </row>
    <row r="89" spans="1:9" x14ac:dyDescent="0.2">
      <c r="A89" s="22"/>
    </row>
    <row r="90" spans="1:9" x14ac:dyDescent="0.2">
      <c r="A90" s="22"/>
    </row>
    <row r="91" spans="1:9" x14ac:dyDescent="0.2">
      <c r="A91" s="22"/>
    </row>
    <row r="92" spans="1:9" x14ac:dyDescent="0.2">
      <c r="A92" s="22"/>
    </row>
  </sheetData>
  <mergeCells count="29">
    <mergeCell ref="L11:M11"/>
    <mergeCell ref="B87:H87"/>
    <mergeCell ref="B76:I76"/>
    <mergeCell ref="B77:I77"/>
    <mergeCell ref="B78:I78"/>
    <mergeCell ref="B79:I79"/>
    <mergeCell ref="B80:I80"/>
    <mergeCell ref="B81:I81"/>
    <mergeCell ref="B82:I82"/>
    <mergeCell ref="B83:I83"/>
    <mergeCell ref="B84:I84"/>
    <mergeCell ref="B85:H85"/>
    <mergeCell ref="B86:H86"/>
    <mergeCell ref="B75:I75"/>
    <mergeCell ref="B69:I69"/>
    <mergeCell ref="B73:I73"/>
    <mergeCell ref="B74:H74"/>
    <mergeCell ref="B3:H3"/>
    <mergeCell ref="D9:E10"/>
    <mergeCell ref="F9:G10"/>
    <mergeCell ref="H9:I10"/>
    <mergeCell ref="B63:I67"/>
    <mergeCell ref="D11:F11"/>
    <mergeCell ref="G11:H11"/>
    <mergeCell ref="I11:K11"/>
    <mergeCell ref="J9:K10"/>
    <mergeCell ref="F28:G28"/>
    <mergeCell ref="F29:G29"/>
    <mergeCell ref="H29:H30"/>
  </mergeCells>
  <conditionalFormatting sqref="G47:J48 H32:H46 G31:G46 D28:F29 D51 F30:F45 D46:F48 D26:J26 D31:E44 D49:G49 D52:E58 G51:G58 B51:B58">
    <cfRule type="cellIs" dxfId="2" priority="3" stopIfTrue="1" operator="lessThan">
      <formula>0</formula>
    </cfRule>
  </conditionalFormatting>
  <conditionalFormatting sqref="D45:E45">
    <cfRule type="cellIs" dxfId="1" priority="2" stopIfTrue="1" operator="lessThan">
      <formula>0</formula>
    </cfRule>
  </conditionalFormatting>
  <conditionalFormatting sqref="D50 G50 B50">
    <cfRule type="cellIs" dxfId="0" priority="1"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4"/>
  <sheetViews>
    <sheetView showGridLines="0" zoomScaleNormal="100" workbookViewId="0">
      <selection activeCell="H11" sqref="H11"/>
    </sheetView>
  </sheetViews>
  <sheetFormatPr defaultColWidth="11.453125" defaultRowHeight="14.5" x14ac:dyDescent="0.35"/>
  <cols>
    <col min="1" max="1" width="2.81640625" style="23" customWidth="1"/>
    <col min="2" max="2" width="4.1796875" style="3" customWidth="1"/>
    <col min="3" max="3" width="35.81640625" style="3" customWidth="1"/>
    <col min="4" max="8" width="11.54296875" style="3" bestFit="1" customWidth="1"/>
    <col min="9" max="9" width="12.1796875" style="3" bestFit="1" customWidth="1"/>
    <col min="10" max="16384" width="11.453125" style="3"/>
  </cols>
  <sheetData>
    <row r="1" spans="1:11" s="10" customFormat="1" ht="11.25" customHeight="1" x14ac:dyDescent="0.25">
      <c r="A1" s="7"/>
      <c r="B1" s="7"/>
      <c r="C1" s="7"/>
      <c r="D1" s="8"/>
      <c r="E1" s="8"/>
      <c r="F1" s="9"/>
      <c r="G1" s="9"/>
      <c r="H1" s="9"/>
    </row>
    <row r="2" spans="1:11" s="10" customFormat="1" ht="5.25" customHeight="1" x14ac:dyDescent="0.25">
      <c r="A2" s="7"/>
      <c r="B2" s="7"/>
      <c r="C2" s="7"/>
      <c r="D2" s="8"/>
      <c r="E2" s="8"/>
      <c r="F2" s="9"/>
      <c r="G2" s="9"/>
      <c r="H2" s="9"/>
    </row>
    <row r="3" spans="1:11" s="12" customFormat="1" ht="12.75" customHeight="1" x14ac:dyDescent="0.2">
      <c r="A3" s="11"/>
      <c r="B3" s="461"/>
      <c r="C3" s="461"/>
      <c r="D3" s="461"/>
      <c r="E3" s="461"/>
      <c r="F3" s="461"/>
      <c r="G3" s="461"/>
      <c r="H3" s="461"/>
    </row>
    <row r="4" spans="1:11" s="10" customFormat="1" ht="5.15" customHeight="1" x14ac:dyDescent="0.25">
      <c r="A4" s="7"/>
      <c r="B4" s="7"/>
      <c r="C4" s="7"/>
      <c r="D4" s="8"/>
      <c r="E4" s="8"/>
      <c r="F4" s="9"/>
      <c r="G4" s="9"/>
      <c r="H4" s="9"/>
      <c r="J4" s="7"/>
      <c r="K4" s="7"/>
    </row>
    <row r="5" spans="1:11" ht="17.5" x14ac:dyDescent="0.35">
      <c r="A5" s="13"/>
      <c r="B5" s="136" t="s">
        <v>133</v>
      </c>
    </row>
    <row r="6" spans="1:11" ht="11.25" customHeight="1" x14ac:dyDescent="0.35">
      <c r="A6" s="14"/>
      <c r="B6" s="101"/>
      <c r="C6" s="101"/>
      <c r="D6" s="101"/>
      <c r="E6" s="101"/>
      <c r="F6" s="101"/>
      <c r="G6" s="101"/>
      <c r="H6" s="101"/>
      <c r="I6" s="101"/>
    </row>
    <row r="7" spans="1:11" ht="11.25" customHeight="1" x14ac:dyDescent="0.35">
      <c r="A7" s="14"/>
      <c r="B7" s="509"/>
      <c r="C7" s="510"/>
      <c r="D7" s="513" t="s">
        <v>134</v>
      </c>
      <c r="E7" s="513"/>
      <c r="F7" s="513"/>
      <c r="G7" s="513"/>
      <c r="H7" s="513"/>
      <c r="I7" s="513"/>
    </row>
    <row r="8" spans="1:11" ht="20" x14ac:dyDescent="0.35">
      <c r="A8" s="12"/>
      <c r="B8" s="511"/>
      <c r="C8" s="512"/>
      <c r="D8" s="102" t="s">
        <v>135</v>
      </c>
      <c r="E8" s="102" t="s">
        <v>136</v>
      </c>
      <c r="F8" s="102" t="s">
        <v>137</v>
      </c>
      <c r="G8" s="102" t="s">
        <v>138</v>
      </c>
      <c r="H8" s="102" t="s">
        <v>139</v>
      </c>
      <c r="I8" s="102" t="s">
        <v>30</v>
      </c>
    </row>
    <row r="9" spans="1:11" ht="11.25" customHeight="1" x14ac:dyDescent="0.35">
      <c r="A9" s="12"/>
      <c r="B9" s="514" t="s">
        <v>22</v>
      </c>
      <c r="C9" s="515"/>
      <c r="D9" s="103"/>
      <c r="E9" s="103"/>
      <c r="F9" s="103"/>
      <c r="G9" s="103"/>
      <c r="H9" s="103"/>
      <c r="I9" s="103"/>
    </row>
    <row r="10" spans="1:11" ht="11.25" customHeight="1" x14ac:dyDescent="0.35">
      <c r="A10" s="12"/>
      <c r="B10" s="98">
        <v>1</v>
      </c>
      <c r="C10" s="97" t="s">
        <v>126</v>
      </c>
      <c r="D10" s="415">
        <f>'6'!B26</f>
        <v>0</v>
      </c>
      <c r="E10" s="104">
        <f>+'6'!C26</f>
        <v>9.6</v>
      </c>
      <c r="F10" s="104">
        <f>'6'!D26</f>
        <v>4864.5</v>
      </c>
      <c r="G10" s="104">
        <f>'6'!E26</f>
        <v>0</v>
      </c>
      <c r="H10" s="104">
        <f>'6'!F26</f>
        <v>5639.6</v>
      </c>
      <c r="I10" s="104">
        <f>SUM(D10:H10)</f>
        <v>10513.7</v>
      </c>
    </row>
    <row r="11" spans="1:11" ht="11.25" customHeight="1" x14ac:dyDescent="0.35">
      <c r="A11" s="12"/>
      <c r="B11" s="98">
        <v>2</v>
      </c>
      <c r="C11" s="97" t="s">
        <v>130</v>
      </c>
      <c r="D11" s="415">
        <f>'6'!B27+'6'!B28+'6'!B25</f>
        <v>20.7</v>
      </c>
      <c r="E11" s="104">
        <f>'6'!C27+'6'!C28+'6'!C25</f>
        <v>0</v>
      </c>
      <c r="F11" s="104">
        <f>'6'!D27+'6'!D28+'6'!D25</f>
        <v>0</v>
      </c>
      <c r="G11" s="104">
        <f>'6'!E27+'6'!E28+'6'!E25</f>
        <v>0</v>
      </c>
      <c r="H11" s="104">
        <f>'6'!F27+'6'!F28+'6'!F25</f>
        <v>2261.3000000000002</v>
      </c>
      <c r="I11" s="104">
        <f>SUM(D11:H11)</f>
        <v>2282</v>
      </c>
    </row>
    <row r="12" spans="1:11" s="105" customFormat="1" ht="11.25" customHeight="1" x14ac:dyDescent="0.35">
      <c r="A12" s="12"/>
      <c r="B12" s="252">
        <v>17</v>
      </c>
      <c r="C12" s="253" t="s">
        <v>30</v>
      </c>
      <c r="D12" s="263">
        <f>SUM(D10:D11)</f>
        <v>20.7</v>
      </c>
      <c r="E12" s="263">
        <f t="shared" ref="E12:I12" si="0">SUM(E10:E11)</f>
        <v>9.6</v>
      </c>
      <c r="F12" s="263">
        <f t="shared" si="0"/>
        <v>4864.5</v>
      </c>
      <c r="G12" s="263">
        <f t="shared" si="0"/>
        <v>0</v>
      </c>
      <c r="H12" s="263">
        <f t="shared" si="0"/>
        <v>7900.9000000000005</v>
      </c>
      <c r="I12" s="263">
        <f t="shared" si="0"/>
        <v>12795.7</v>
      </c>
    </row>
    <row r="13" spans="1:11" x14ac:dyDescent="0.35">
      <c r="A13" s="12"/>
      <c r="D13" s="106"/>
      <c r="E13" s="106"/>
      <c r="F13" s="106"/>
      <c r="G13" s="106"/>
      <c r="H13" s="106"/>
      <c r="I13" s="16"/>
    </row>
    <row r="14" spans="1:11" x14ac:dyDescent="0.35">
      <c r="A14" s="12"/>
    </row>
    <row r="15" spans="1:11" x14ac:dyDescent="0.35">
      <c r="A15" s="12"/>
    </row>
    <row r="16" spans="1:11" x14ac:dyDescent="0.35">
      <c r="A16" s="12"/>
    </row>
    <row r="17" spans="1:1" x14ac:dyDescent="0.35">
      <c r="A17" s="12"/>
    </row>
    <row r="18" spans="1:1" x14ac:dyDescent="0.35">
      <c r="A18" s="12"/>
    </row>
    <row r="19" spans="1:1" x14ac:dyDescent="0.35">
      <c r="A19" s="12"/>
    </row>
    <row r="20" spans="1:1" x14ac:dyDescent="0.35">
      <c r="A20" s="12"/>
    </row>
    <row r="21" spans="1:1" x14ac:dyDescent="0.35">
      <c r="A21" s="12"/>
    </row>
    <row r="22" spans="1:1" x14ac:dyDescent="0.35">
      <c r="A22" s="12"/>
    </row>
    <row r="23" spans="1:1" x14ac:dyDescent="0.35">
      <c r="A23" s="12"/>
    </row>
    <row r="24" spans="1:1" x14ac:dyDescent="0.35">
      <c r="A24" s="12"/>
    </row>
    <row r="25" spans="1:1" x14ac:dyDescent="0.35">
      <c r="A25" s="12"/>
    </row>
    <row r="26" spans="1:1" x14ac:dyDescent="0.35">
      <c r="A26" s="12"/>
    </row>
    <row r="27" spans="1:1" x14ac:dyDescent="0.35">
      <c r="A27" s="12"/>
    </row>
    <row r="28" spans="1:1" x14ac:dyDescent="0.35">
      <c r="A28" s="12"/>
    </row>
    <row r="29" spans="1:1" x14ac:dyDescent="0.35">
      <c r="A29" s="12"/>
    </row>
    <row r="30" spans="1:1" x14ac:dyDescent="0.35">
      <c r="A30" s="12"/>
    </row>
    <row r="31" spans="1:1" x14ac:dyDescent="0.35">
      <c r="A31" s="12"/>
    </row>
    <row r="32" spans="1:1" x14ac:dyDescent="0.35">
      <c r="A32" s="12"/>
    </row>
    <row r="33" spans="1:1" x14ac:dyDescent="0.35">
      <c r="A33" s="12"/>
    </row>
    <row r="34" spans="1:1" x14ac:dyDescent="0.35">
      <c r="A34" s="12"/>
    </row>
    <row r="35" spans="1:1" x14ac:dyDescent="0.35">
      <c r="A35" s="12"/>
    </row>
    <row r="36" spans="1:1" x14ac:dyDescent="0.35">
      <c r="A36" s="12"/>
    </row>
    <row r="37" spans="1:1" x14ac:dyDescent="0.35">
      <c r="A37" s="12"/>
    </row>
    <row r="38" spans="1:1" x14ac:dyDescent="0.35">
      <c r="A38" s="12"/>
    </row>
    <row r="39" spans="1:1" x14ac:dyDescent="0.35">
      <c r="A39" s="12"/>
    </row>
    <row r="40" spans="1:1" x14ac:dyDescent="0.35">
      <c r="A40" s="12"/>
    </row>
    <row r="41" spans="1:1" x14ac:dyDescent="0.35">
      <c r="A41" s="12"/>
    </row>
    <row r="42" spans="1:1" x14ac:dyDescent="0.35">
      <c r="A42" s="12"/>
    </row>
    <row r="43" spans="1:1" x14ac:dyDescent="0.35">
      <c r="A43" s="12"/>
    </row>
    <row r="44" spans="1:1" x14ac:dyDescent="0.35">
      <c r="A44" s="12"/>
    </row>
    <row r="45" spans="1:1" x14ac:dyDescent="0.35">
      <c r="A45" s="12"/>
    </row>
    <row r="46" spans="1:1" x14ac:dyDescent="0.35">
      <c r="A46" s="12"/>
    </row>
    <row r="47" spans="1:1" x14ac:dyDescent="0.35">
      <c r="A47" s="12"/>
    </row>
    <row r="48" spans="1:1" x14ac:dyDescent="0.35">
      <c r="A48" s="12"/>
    </row>
    <row r="49" spans="1:1" x14ac:dyDescent="0.35">
      <c r="A49" s="12"/>
    </row>
    <row r="56" spans="1:1" x14ac:dyDescent="0.35">
      <c r="A56" s="20"/>
    </row>
    <row r="57" spans="1:1" x14ac:dyDescent="0.35">
      <c r="A57" s="20"/>
    </row>
    <row r="58" spans="1:1" x14ac:dyDescent="0.35">
      <c r="A58" s="21"/>
    </row>
    <row r="59" spans="1:1" x14ac:dyDescent="0.35">
      <c r="A59" s="12"/>
    </row>
    <row r="60" spans="1:1" x14ac:dyDescent="0.35">
      <c r="A60" s="12"/>
    </row>
    <row r="61" spans="1:1" x14ac:dyDescent="0.35">
      <c r="A61" s="12"/>
    </row>
    <row r="62" spans="1:1" x14ac:dyDescent="0.35">
      <c r="A62" s="12"/>
    </row>
    <row r="63" spans="1:1" x14ac:dyDescent="0.35">
      <c r="A63" s="12"/>
    </row>
    <row r="64" spans="1:1" x14ac:dyDescent="0.35">
      <c r="A64" s="12"/>
    </row>
    <row r="65" spans="1:1" x14ac:dyDescent="0.35">
      <c r="A65" s="12"/>
    </row>
    <row r="66" spans="1:1" x14ac:dyDescent="0.35">
      <c r="A66" s="12"/>
    </row>
    <row r="67" spans="1:1" x14ac:dyDescent="0.35">
      <c r="A67" s="22"/>
    </row>
    <row r="68" spans="1:1" x14ac:dyDescent="0.35">
      <c r="A68" s="22"/>
    </row>
    <row r="69" spans="1:1" x14ac:dyDescent="0.35">
      <c r="A69" s="22"/>
    </row>
    <row r="70" spans="1:1" x14ac:dyDescent="0.35">
      <c r="A70" s="22"/>
    </row>
    <row r="71" spans="1:1" x14ac:dyDescent="0.35">
      <c r="A71" s="22"/>
    </row>
    <row r="72" spans="1:1" x14ac:dyDescent="0.35">
      <c r="A72" s="22"/>
    </row>
    <row r="73" spans="1:1" x14ac:dyDescent="0.35">
      <c r="A73" s="22"/>
    </row>
    <row r="74" spans="1:1" x14ac:dyDescent="0.3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79"/>
  <sheetViews>
    <sheetView showGridLines="0" zoomScaleNormal="100" workbookViewId="0">
      <selection activeCell="I17" sqref="I17"/>
    </sheetView>
  </sheetViews>
  <sheetFormatPr defaultColWidth="11.453125" defaultRowHeight="14.5" x14ac:dyDescent="0.35"/>
  <cols>
    <col min="1" max="1" width="2.81640625" style="23" customWidth="1"/>
    <col min="2" max="2" width="4.1796875" style="3" customWidth="1"/>
    <col min="3" max="3" width="35.81640625" style="3" customWidth="1"/>
    <col min="4" max="4" width="11.54296875" style="3" bestFit="1" customWidth="1"/>
    <col min="5" max="5" width="12.1796875" style="3" bestFit="1" customWidth="1"/>
    <col min="6" max="10" width="12.1796875" style="3" customWidth="1"/>
    <col min="11" max="16384" width="11.453125" style="3"/>
  </cols>
  <sheetData>
    <row r="1" spans="1:11" s="10" customFormat="1" ht="11.25" customHeight="1" x14ac:dyDescent="0.25">
      <c r="A1" s="7"/>
      <c r="B1" s="7"/>
      <c r="C1" s="7"/>
      <c r="D1" s="8"/>
      <c r="E1" s="8"/>
      <c r="F1" s="9"/>
      <c r="G1" s="9"/>
      <c r="H1" s="9"/>
    </row>
    <row r="2" spans="1:11" s="10" customFormat="1" ht="5.25" customHeight="1" x14ac:dyDescent="0.25">
      <c r="A2" s="7"/>
      <c r="B2" s="7"/>
      <c r="C2" s="7"/>
      <c r="D2" s="8"/>
      <c r="E2" s="8"/>
      <c r="F2" s="9"/>
      <c r="G2" s="9"/>
      <c r="H2" s="9"/>
    </row>
    <row r="3" spans="1:11" s="12" customFormat="1" ht="12.75" customHeight="1" x14ac:dyDescent="0.2">
      <c r="A3" s="11"/>
      <c r="B3" s="461"/>
      <c r="C3" s="461"/>
      <c r="D3" s="461"/>
      <c r="E3" s="461"/>
      <c r="F3" s="461"/>
      <c r="G3" s="461"/>
      <c r="H3" s="461"/>
    </row>
    <row r="4" spans="1:11" s="10" customFormat="1" ht="5.15" customHeight="1" x14ac:dyDescent="0.25">
      <c r="A4" s="7"/>
      <c r="B4" s="7"/>
      <c r="C4" s="7"/>
      <c r="D4" s="8"/>
      <c r="E4" s="8"/>
      <c r="F4" s="9"/>
      <c r="G4" s="9"/>
      <c r="H4" s="9"/>
      <c r="J4" s="7"/>
      <c r="K4" s="7"/>
    </row>
    <row r="5" spans="1:11" ht="17.5" x14ac:dyDescent="0.35">
      <c r="A5" s="13"/>
      <c r="B5" s="136" t="s">
        <v>140</v>
      </c>
    </row>
    <row r="6" spans="1:11" ht="11.25" customHeight="1" x14ac:dyDescent="0.35">
      <c r="A6" s="14"/>
      <c r="B6" s="16"/>
      <c r="C6" s="16"/>
      <c r="D6" s="16"/>
      <c r="E6" s="16"/>
      <c r="F6" s="16"/>
      <c r="G6" s="16"/>
      <c r="H6" s="16"/>
      <c r="I6" s="16"/>
      <c r="J6" s="16"/>
    </row>
    <row r="7" spans="1:11" ht="11.25" customHeight="1" x14ac:dyDescent="0.35">
      <c r="A7" s="14"/>
      <c r="B7" s="107"/>
      <c r="C7" s="108"/>
      <c r="D7" s="109" t="s">
        <v>23</v>
      </c>
      <c r="E7" s="110" t="s">
        <v>24</v>
      </c>
      <c r="F7" s="110" t="s">
        <v>25</v>
      </c>
      <c r="G7" s="110" t="s">
        <v>26</v>
      </c>
      <c r="H7" s="110" t="s">
        <v>27</v>
      </c>
      <c r="I7" s="110" t="s">
        <v>141</v>
      </c>
      <c r="J7" s="111" t="s">
        <v>142</v>
      </c>
    </row>
    <row r="8" spans="1:11" ht="11.25" customHeight="1" x14ac:dyDescent="0.35">
      <c r="A8" s="12"/>
      <c r="B8" s="107"/>
      <c r="C8" s="108"/>
      <c r="D8" s="518" t="s">
        <v>143</v>
      </c>
      <c r="E8" s="519"/>
      <c r="F8" s="520" t="s">
        <v>144</v>
      </c>
      <c r="G8" s="520" t="s">
        <v>145</v>
      </c>
      <c r="H8" s="520" t="s">
        <v>146</v>
      </c>
      <c r="I8" s="520" t="s">
        <v>147</v>
      </c>
      <c r="J8" s="112" t="s">
        <v>132</v>
      </c>
    </row>
    <row r="9" spans="1:11" ht="24" customHeight="1" x14ac:dyDescent="0.35">
      <c r="A9" s="12"/>
      <c r="B9" s="113"/>
      <c r="C9" s="114"/>
      <c r="D9" s="522" t="s">
        <v>148</v>
      </c>
      <c r="E9" s="524" t="s">
        <v>149</v>
      </c>
      <c r="F9" s="521"/>
      <c r="G9" s="521"/>
      <c r="H9" s="521"/>
      <c r="I9" s="521"/>
      <c r="J9" s="516" t="s">
        <v>508</v>
      </c>
    </row>
    <row r="10" spans="1:11" ht="11.25" customHeight="1" x14ac:dyDescent="0.35">
      <c r="A10" s="12"/>
      <c r="B10" s="514" t="s">
        <v>22</v>
      </c>
      <c r="C10" s="515"/>
      <c r="D10" s="523"/>
      <c r="E10" s="525"/>
      <c r="F10" s="521"/>
      <c r="G10" s="521"/>
      <c r="H10" s="521"/>
      <c r="I10" s="521"/>
      <c r="J10" s="517"/>
    </row>
    <row r="11" spans="1:11" ht="11.25" customHeight="1" x14ac:dyDescent="0.35">
      <c r="A11" s="12"/>
      <c r="B11" s="98"/>
      <c r="C11" s="96" t="s">
        <v>532</v>
      </c>
      <c r="D11" s="104"/>
      <c r="E11" s="104">
        <v>1056.2643296900001</v>
      </c>
      <c r="F11" s="104"/>
      <c r="G11" s="104"/>
      <c r="H11" s="104"/>
      <c r="I11" s="104"/>
      <c r="J11" s="104">
        <f t="shared" ref="J11:J13" si="0">D11+E11-F11-G11</f>
        <v>1056.2643296900001</v>
      </c>
    </row>
    <row r="12" spans="1:11" ht="11.25" customHeight="1" x14ac:dyDescent="0.35">
      <c r="A12" s="12"/>
      <c r="B12" s="98"/>
      <c r="C12" s="96" t="s">
        <v>533</v>
      </c>
      <c r="D12" s="104"/>
      <c r="E12" s="104">
        <v>0</v>
      </c>
      <c r="F12" s="104"/>
      <c r="G12" s="104"/>
      <c r="H12" s="104"/>
      <c r="I12" s="104"/>
      <c r="J12" s="104">
        <f t="shared" si="0"/>
        <v>0</v>
      </c>
    </row>
    <row r="13" spans="1:11" ht="11.25" customHeight="1" x14ac:dyDescent="0.35">
      <c r="A13" s="12"/>
      <c r="B13" s="98"/>
      <c r="C13" s="96" t="s">
        <v>128</v>
      </c>
      <c r="D13" s="104"/>
      <c r="E13" s="104">
        <v>807.81879038000397</v>
      </c>
      <c r="F13" s="104"/>
      <c r="G13" s="104"/>
      <c r="H13" s="104"/>
      <c r="I13" s="104"/>
      <c r="J13" s="104">
        <f t="shared" si="0"/>
        <v>807.81879038000397</v>
      </c>
    </row>
    <row r="14" spans="1:11" ht="11.25" customHeight="1" x14ac:dyDescent="0.35">
      <c r="A14" s="12"/>
      <c r="B14" s="98"/>
      <c r="C14" s="96" t="s">
        <v>126</v>
      </c>
      <c r="D14" s="104">
        <v>429.71739689372799</v>
      </c>
      <c r="E14" s="104">
        <f>9640.10983775-D14</f>
        <v>9210.3924408562725</v>
      </c>
      <c r="F14" s="104">
        <v>529.37707531000001</v>
      </c>
      <c r="G14" s="104"/>
      <c r="H14" s="104"/>
      <c r="I14" s="104"/>
      <c r="J14" s="104">
        <f>D14+E14-F14-G14</f>
        <v>9110.7327624400004</v>
      </c>
    </row>
    <row r="15" spans="1:11" ht="11.25" customHeight="1" x14ac:dyDescent="0.35">
      <c r="A15" s="12"/>
      <c r="B15" s="98"/>
      <c r="C15" s="96" t="s">
        <v>469</v>
      </c>
      <c r="D15" s="104"/>
      <c r="E15" s="104">
        <v>94.122239590000007</v>
      </c>
      <c r="F15" s="104"/>
      <c r="G15" s="104"/>
      <c r="H15" s="104"/>
      <c r="I15" s="104"/>
      <c r="J15" s="104">
        <f>D15+E15-F15-G15</f>
        <v>94.122239590000007</v>
      </c>
    </row>
    <row r="16" spans="1:11" ht="11.25" customHeight="1" x14ac:dyDescent="0.35">
      <c r="A16" s="12"/>
      <c r="B16" s="98"/>
      <c r="C16" s="96" t="s">
        <v>130</v>
      </c>
      <c r="D16" s="104"/>
      <c r="E16" s="104">
        <v>335.89718786999998</v>
      </c>
      <c r="F16" s="104"/>
      <c r="G16" s="104"/>
      <c r="H16" s="104"/>
      <c r="I16" s="104"/>
      <c r="J16" s="104">
        <f t="shared" ref="J16:J21" si="1">D16+E16-F16-G16</f>
        <v>335.89718786999998</v>
      </c>
    </row>
    <row r="17" spans="1:10" s="105" customFormat="1" ht="11.25" customHeight="1" x14ac:dyDescent="0.35">
      <c r="A17" s="12"/>
      <c r="B17" s="115"/>
      <c r="C17" s="131" t="s">
        <v>131</v>
      </c>
      <c r="D17" s="263">
        <f>SUM(D11:D16)</f>
        <v>429.71739689372799</v>
      </c>
      <c r="E17" s="263">
        <f>SUM(E11:E16)</f>
        <v>11504.494988386276</v>
      </c>
      <c r="F17" s="263">
        <f>SUM(F11:F16)</f>
        <v>529.37707531000001</v>
      </c>
      <c r="G17" s="263">
        <f t="shared" ref="G17:I17" si="2">SUM(G11:G16)</f>
        <v>0</v>
      </c>
      <c r="H17" s="263">
        <f t="shared" si="2"/>
        <v>0</v>
      </c>
      <c r="I17" s="263">
        <f t="shared" si="2"/>
        <v>0</v>
      </c>
      <c r="J17" s="263">
        <f t="shared" si="1"/>
        <v>11404.835309970003</v>
      </c>
    </row>
    <row r="18" spans="1:10" s="105" customFormat="1" ht="11.25" customHeight="1" x14ac:dyDescent="0.35">
      <c r="A18" s="12"/>
      <c r="B18" s="115"/>
      <c r="C18" s="131" t="s">
        <v>30</v>
      </c>
      <c r="D18" s="263">
        <f>D17</f>
        <v>429.71739689372799</v>
      </c>
      <c r="E18" s="263">
        <f>E17</f>
        <v>11504.494988386276</v>
      </c>
      <c r="F18" s="263">
        <f t="shared" ref="F18:I18" si="3">F17</f>
        <v>529.37707531000001</v>
      </c>
      <c r="G18" s="263">
        <f t="shared" si="3"/>
        <v>0</v>
      </c>
      <c r="H18" s="263">
        <f t="shared" si="3"/>
        <v>0</v>
      </c>
      <c r="I18" s="263">
        <f t="shared" si="3"/>
        <v>0</v>
      </c>
      <c r="J18" s="263">
        <f t="shared" si="1"/>
        <v>11404.835309970003</v>
      </c>
    </row>
    <row r="19" spans="1:10" ht="11.25" customHeight="1" x14ac:dyDescent="0.35">
      <c r="A19" s="12"/>
      <c r="B19" s="116"/>
      <c r="C19" s="94" t="s">
        <v>150</v>
      </c>
      <c r="D19" s="104"/>
      <c r="E19" s="104"/>
      <c r="F19" s="104"/>
      <c r="G19" s="104"/>
      <c r="H19" s="104"/>
      <c r="I19" s="104"/>
      <c r="J19" s="104">
        <f t="shared" si="1"/>
        <v>0</v>
      </c>
    </row>
    <row r="20" spans="1:10" ht="11.25" customHeight="1" x14ac:dyDescent="0.35">
      <c r="A20" s="12"/>
      <c r="B20" s="116"/>
      <c r="C20" s="95" t="s">
        <v>151</v>
      </c>
      <c r="D20" s="104"/>
      <c r="E20" s="104"/>
      <c r="F20" s="104"/>
      <c r="G20" s="104"/>
      <c r="H20" s="104"/>
      <c r="I20" s="104"/>
      <c r="J20" s="104">
        <f t="shared" si="1"/>
        <v>0</v>
      </c>
    </row>
    <row r="21" spans="1:10" ht="11.25" customHeight="1" x14ac:dyDescent="0.35">
      <c r="A21" s="12"/>
      <c r="B21" s="116"/>
      <c r="C21" s="95" t="s">
        <v>152</v>
      </c>
      <c r="D21" s="104"/>
      <c r="E21" s="104"/>
      <c r="F21" s="104"/>
      <c r="G21" s="104"/>
      <c r="H21" s="104"/>
      <c r="I21" s="104"/>
      <c r="J21" s="104">
        <f t="shared" si="1"/>
        <v>0</v>
      </c>
    </row>
    <row r="22" spans="1:10" ht="11.25" customHeight="1" x14ac:dyDescent="0.35">
      <c r="A22" s="12"/>
    </row>
    <row r="23" spans="1:10" ht="11.25" customHeight="1" x14ac:dyDescent="0.35">
      <c r="A23" s="12"/>
      <c r="E23" s="117"/>
    </row>
    <row r="24" spans="1:10" ht="11.25" customHeight="1" x14ac:dyDescent="0.35">
      <c r="A24" s="12"/>
    </row>
    <row r="25" spans="1:10" ht="11.25" customHeight="1" x14ac:dyDescent="0.35">
      <c r="A25" s="12"/>
    </row>
    <row r="26" spans="1:10" ht="11.25" customHeight="1" x14ac:dyDescent="0.35">
      <c r="A26" s="12"/>
    </row>
    <row r="27" spans="1:10" ht="11.25" customHeight="1" x14ac:dyDescent="0.35">
      <c r="A27" s="12"/>
    </row>
    <row r="28" spans="1:10" ht="11.25" customHeight="1" x14ac:dyDescent="0.35">
      <c r="A28" s="12"/>
    </row>
    <row r="29" spans="1:10" ht="11.25" customHeight="1" x14ac:dyDescent="0.35">
      <c r="A29" s="12"/>
    </row>
    <row r="30" spans="1:10" ht="11.25" customHeight="1" x14ac:dyDescent="0.35">
      <c r="A30" s="12"/>
    </row>
    <row r="31" spans="1:10" ht="11.25" customHeight="1" x14ac:dyDescent="0.35">
      <c r="A31" s="12"/>
    </row>
    <row r="32" spans="1:10" ht="11.25" customHeight="1" x14ac:dyDescent="0.35">
      <c r="A32" s="12"/>
    </row>
    <row r="33" spans="1:1" ht="11.25" customHeight="1" x14ac:dyDescent="0.35">
      <c r="A33" s="12"/>
    </row>
    <row r="34" spans="1:1" ht="11.25" customHeight="1" x14ac:dyDescent="0.35">
      <c r="A34" s="12"/>
    </row>
    <row r="35" spans="1:1" ht="11.25" customHeight="1" x14ac:dyDescent="0.35">
      <c r="A35" s="12"/>
    </row>
    <row r="36" spans="1:1" ht="11.25" customHeight="1" x14ac:dyDescent="0.35">
      <c r="A36" s="12"/>
    </row>
    <row r="37" spans="1:1" ht="11.25" customHeight="1" x14ac:dyDescent="0.35">
      <c r="A37" s="12"/>
    </row>
    <row r="38" spans="1:1" ht="11.25" customHeight="1" x14ac:dyDescent="0.35">
      <c r="A38" s="12"/>
    </row>
    <row r="39" spans="1:1" ht="11.25" customHeight="1" x14ac:dyDescent="0.35">
      <c r="A39" s="12"/>
    </row>
    <row r="40" spans="1:1" ht="11.25" customHeight="1" x14ac:dyDescent="0.35">
      <c r="A40" s="12"/>
    </row>
    <row r="41" spans="1:1" ht="11.25" customHeight="1" x14ac:dyDescent="0.35">
      <c r="A41" s="12"/>
    </row>
    <row r="42" spans="1:1" ht="11.25" customHeight="1" x14ac:dyDescent="0.35">
      <c r="A42" s="12"/>
    </row>
    <row r="43" spans="1:1" ht="11.25" customHeight="1" x14ac:dyDescent="0.35">
      <c r="A43" s="12"/>
    </row>
    <row r="44" spans="1:1" ht="11.25" customHeight="1" x14ac:dyDescent="0.35">
      <c r="A44" s="12"/>
    </row>
    <row r="45" spans="1:1" ht="11.25" customHeight="1" x14ac:dyDescent="0.35">
      <c r="A45" s="12"/>
    </row>
    <row r="46" spans="1:1" ht="11.25" customHeight="1" x14ac:dyDescent="0.35">
      <c r="A46" s="12"/>
    </row>
    <row r="47" spans="1:1" ht="11.25" customHeight="1" x14ac:dyDescent="0.35">
      <c r="A47" s="12"/>
    </row>
    <row r="48" spans="1:1" ht="11.25" customHeight="1" x14ac:dyDescent="0.35">
      <c r="A48" s="12"/>
    </row>
    <row r="49" spans="1:1" ht="11.25" customHeight="1" x14ac:dyDescent="0.35">
      <c r="A49" s="12"/>
    </row>
    <row r="50" spans="1:1" ht="11.25" customHeight="1" x14ac:dyDescent="0.35">
      <c r="A50" s="12"/>
    </row>
    <row r="51" spans="1:1" ht="11.25" customHeight="1" x14ac:dyDescent="0.35">
      <c r="A51" s="12"/>
    </row>
    <row r="52" spans="1:1" ht="11.25" customHeight="1" x14ac:dyDescent="0.35">
      <c r="A52" s="12"/>
    </row>
    <row r="53" spans="1:1" ht="11.25" customHeight="1" x14ac:dyDescent="0.35">
      <c r="A53" s="12"/>
    </row>
    <row r="54" spans="1:1" ht="11.25" customHeight="1" x14ac:dyDescent="0.35">
      <c r="A54" s="12"/>
    </row>
    <row r="55" spans="1:1" ht="11.25" customHeight="1" x14ac:dyDescent="0.35"/>
    <row r="56" spans="1:1" ht="11.25" customHeight="1" x14ac:dyDescent="0.35"/>
    <row r="57" spans="1:1" ht="11.25" customHeight="1" x14ac:dyDescent="0.35"/>
    <row r="58" spans="1:1" ht="11.25" customHeight="1" x14ac:dyDescent="0.35"/>
    <row r="59" spans="1:1" ht="11.25" customHeight="1" x14ac:dyDescent="0.35"/>
    <row r="60" spans="1:1" ht="11.25" customHeight="1" x14ac:dyDescent="0.35"/>
    <row r="61" spans="1:1" ht="11.25" customHeight="1" x14ac:dyDescent="0.35">
      <c r="A61" s="20"/>
    </row>
    <row r="62" spans="1:1" ht="11.25" customHeight="1" x14ac:dyDescent="0.35">
      <c r="A62" s="20"/>
    </row>
    <row r="63" spans="1:1" ht="11.25" customHeight="1" x14ac:dyDescent="0.35">
      <c r="A63" s="21"/>
    </row>
    <row r="64" spans="1:1" ht="11.25" customHeight="1" x14ac:dyDescent="0.35">
      <c r="A64" s="12"/>
    </row>
    <row r="65" spans="1:1" ht="11.25" customHeight="1" x14ac:dyDescent="0.35">
      <c r="A65" s="12"/>
    </row>
    <row r="66" spans="1:1" ht="11.25" customHeight="1" x14ac:dyDescent="0.35">
      <c r="A66" s="12"/>
    </row>
    <row r="67" spans="1:1" ht="11.25" customHeight="1" x14ac:dyDescent="0.35">
      <c r="A67" s="12"/>
    </row>
    <row r="68" spans="1:1" ht="11.25" customHeight="1" x14ac:dyDescent="0.35">
      <c r="A68" s="12"/>
    </row>
    <row r="69" spans="1:1" ht="11.25" customHeight="1" x14ac:dyDescent="0.35">
      <c r="A69" s="12"/>
    </row>
    <row r="70" spans="1:1" ht="11.25" customHeight="1" x14ac:dyDescent="0.35">
      <c r="A70" s="12"/>
    </row>
    <row r="71" spans="1:1" x14ac:dyDescent="0.35">
      <c r="A71" s="12"/>
    </row>
    <row r="72" spans="1:1" x14ac:dyDescent="0.35">
      <c r="A72" s="22"/>
    </row>
    <row r="73" spans="1:1" x14ac:dyDescent="0.35">
      <c r="A73" s="22"/>
    </row>
    <row r="74" spans="1:1" x14ac:dyDescent="0.35">
      <c r="A74" s="22"/>
    </row>
    <row r="75" spans="1:1" x14ac:dyDescent="0.35">
      <c r="A75" s="22"/>
    </row>
    <row r="76" spans="1:1" x14ac:dyDescent="0.35">
      <c r="A76" s="22"/>
    </row>
    <row r="77" spans="1:1" x14ac:dyDescent="0.35">
      <c r="A77" s="22"/>
    </row>
    <row r="78" spans="1:1" x14ac:dyDescent="0.35">
      <c r="A78" s="22"/>
    </row>
    <row r="79" spans="1:1" x14ac:dyDescent="0.3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80"/>
  <sheetViews>
    <sheetView showGridLines="0" zoomScaleNormal="100" workbookViewId="0">
      <selection activeCell="J37" sqref="J37"/>
    </sheetView>
  </sheetViews>
  <sheetFormatPr defaultColWidth="11.453125" defaultRowHeight="14.5" x14ac:dyDescent="0.35"/>
  <cols>
    <col min="1" max="1" width="2.81640625" style="23" customWidth="1"/>
    <col min="2" max="2" width="21.1796875" style="3" customWidth="1"/>
    <col min="3" max="9" width="12.1796875" style="3" customWidth="1"/>
    <col min="10" max="16384" width="11.453125" style="3"/>
  </cols>
  <sheetData>
    <row r="1" spans="1:12" s="10" customFormat="1" ht="11.25" customHeight="1" x14ac:dyDescent="0.25">
      <c r="A1" s="7"/>
      <c r="B1" s="7"/>
      <c r="C1" s="7"/>
      <c r="D1" s="8"/>
      <c r="E1" s="8"/>
      <c r="F1" s="9"/>
      <c r="G1" s="9"/>
      <c r="H1" s="9"/>
    </row>
    <row r="2" spans="1:12" s="10" customFormat="1" ht="5.25" customHeight="1" x14ac:dyDescent="0.25">
      <c r="A2" s="7"/>
      <c r="B2" s="7"/>
      <c r="C2" s="7"/>
      <c r="D2" s="8"/>
      <c r="E2" s="8"/>
      <c r="F2" s="9"/>
      <c r="G2" s="9"/>
      <c r="H2" s="9"/>
    </row>
    <row r="3" spans="1:12" s="12" customFormat="1" ht="12.75" customHeight="1" x14ac:dyDescent="0.2">
      <c r="A3" s="11"/>
      <c r="B3" s="461"/>
      <c r="C3" s="461"/>
      <c r="D3" s="461"/>
      <c r="E3" s="461"/>
      <c r="F3" s="461"/>
      <c r="G3" s="461"/>
      <c r="H3" s="461"/>
    </row>
    <row r="4" spans="1:12" s="10" customFormat="1" ht="5.15" customHeight="1" x14ac:dyDescent="0.25">
      <c r="A4" s="7"/>
      <c r="B4" s="7"/>
      <c r="C4" s="7"/>
      <c r="D4" s="8"/>
      <c r="E4" s="8"/>
      <c r="F4" s="9"/>
      <c r="G4" s="9"/>
      <c r="H4" s="9"/>
      <c r="J4" s="7"/>
      <c r="K4" s="7"/>
    </row>
    <row r="5" spans="1:12" ht="17.5" x14ac:dyDescent="0.35">
      <c r="A5" s="13"/>
      <c r="B5" s="136" t="s">
        <v>154</v>
      </c>
    </row>
    <row r="6" spans="1:12" ht="11.25" customHeight="1" x14ac:dyDescent="0.35">
      <c r="A6" s="14"/>
      <c r="B6" s="16"/>
      <c r="C6" s="16"/>
      <c r="D6" s="16"/>
      <c r="E6" s="16"/>
      <c r="F6" s="16"/>
      <c r="G6" s="16"/>
      <c r="H6" s="16"/>
      <c r="I6" s="16"/>
    </row>
    <row r="7" spans="1:12" ht="11.25" customHeight="1" x14ac:dyDescent="0.35">
      <c r="A7" s="14"/>
      <c r="B7" s="108"/>
      <c r="C7" s="37" t="s">
        <v>23</v>
      </c>
      <c r="D7" s="37" t="s">
        <v>24</v>
      </c>
      <c r="E7" s="37" t="s">
        <v>25</v>
      </c>
      <c r="F7" s="37" t="s">
        <v>26</v>
      </c>
      <c r="G7" s="37" t="s">
        <v>27</v>
      </c>
      <c r="H7" s="37" t="s">
        <v>141</v>
      </c>
      <c r="I7" s="37" t="s">
        <v>142</v>
      </c>
    </row>
    <row r="8" spans="1:12" ht="24.75" customHeight="1" x14ac:dyDescent="0.35">
      <c r="A8" s="12"/>
      <c r="B8" s="108"/>
      <c r="C8" s="527" t="s">
        <v>143</v>
      </c>
      <c r="D8" s="528"/>
      <c r="E8" s="526" t="s">
        <v>144</v>
      </c>
      <c r="F8" s="526" t="s">
        <v>145</v>
      </c>
      <c r="G8" s="529" t="s">
        <v>146</v>
      </c>
      <c r="H8" s="526" t="s">
        <v>153</v>
      </c>
      <c r="I8" s="102" t="s">
        <v>132</v>
      </c>
    </row>
    <row r="9" spans="1:12" ht="13.5" customHeight="1" x14ac:dyDescent="0.35">
      <c r="A9" s="12"/>
      <c r="B9" s="118"/>
      <c r="C9" s="529" t="s">
        <v>148</v>
      </c>
      <c r="D9" s="529" t="s">
        <v>149</v>
      </c>
      <c r="E9" s="526"/>
      <c r="F9" s="526"/>
      <c r="G9" s="530"/>
      <c r="H9" s="526"/>
      <c r="I9" s="526" t="s">
        <v>507</v>
      </c>
      <c r="K9" s="121"/>
    </row>
    <row r="10" spans="1:12" ht="23.25" customHeight="1" x14ac:dyDescent="0.35">
      <c r="A10" s="12"/>
      <c r="B10" s="122" t="s">
        <v>22</v>
      </c>
      <c r="C10" s="531"/>
      <c r="D10" s="531"/>
      <c r="E10" s="526"/>
      <c r="F10" s="526"/>
      <c r="G10" s="531"/>
      <c r="H10" s="526"/>
      <c r="I10" s="526"/>
      <c r="K10" s="121"/>
    </row>
    <row r="11" spans="1:12" ht="11.25" customHeight="1" x14ac:dyDescent="0.35">
      <c r="A11" s="12"/>
      <c r="B11" s="123" t="s">
        <v>28</v>
      </c>
      <c r="C11" s="119">
        <v>187.60999483000001</v>
      </c>
      <c r="D11" s="119">
        <f>4175.0971478-C11</f>
        <v>3987.4871529700004</v>
      </c>
      <c r="E11" s="119">
        <v>186.39906994923399</v>
      </c>
      <c r="F11" s="119"/>
      <c r="G11" s="119"/>
      <c r="H11" s="119"/>
      <c r="I11" s="119">
        <f>C11+D11-E11-F11</f>
        <v>3988.6980778507659</v>
      </c>
      <c r="J11" s="124"/>
    </row>
    <row r="12" spans="1:12" ht="11.25" customHeight="1" x14ac:dyDescent="0.35">
      <c r="A12" s="12"/>
      <c r="B12" s="125" t="s">
        <v>29</v>
      </c>
      <c r="C12" s="119">
        <v>111.82046416464399</v>
      </c>
      <c r="D12" s="119">
        <f>2477.82802422-C12</f>
        <v>2366.007560055356</v>
      </c>
      <c r="E12" s="119">
        <v>184.28558487142701</v>
      </c>
      <c r="F12" s="119"/>
      <c r="G12" s="119"/>
      <c r="H12" s="119"/>
      <c r="I12" s="119">
        <f t="shared" ref="I12:I13" si="0">C12+D12-E12-F12</f>
        <v>2293.5424393485728</v>
      </c>
      <c r="J12" s="124"/>
    </row>
    <row r="13" spans="1:12" ht="11.25" customHeight="1" x14ac:dyDescent="0.35">
      <c r="A13" s="12"/>
      <c r="B13" s="125" t="s">
        <v>512</v>
      </c>
      <c r="C13" s="119">
        <v>130.28693789908399</v>
      </c>
      <c r="D13" s="119">
        <f>2987.18466573-C13</f>
        <v>2856.8977278309158</v>
      </c>
      <c r="E13" s="119">
        <v>158.692908456407</v>
      </c>
      <c r="F13" s="119"/>
      <c r="G13" s="119"/>
      <c r="H13" s="119"/>
      <c r="I13" s="119">
        <f t="shared" si="0"/>
        <v>2828.4917572735926</v>
      </c>
      <c r="J13" s="124"/>
    </row>
    <row r="14" spans="1:12" s="105" customFormat="1" ht="11.25" customHeight="1" x14ac:dyDescent="0.35">
      <c r="A14" s="12"/>
      <c r="B14" s="264" t="s">
        <v>30</v>
      </c>
      <c r="C14" s="265">
        <f>SUM(C11:C13)</f>
        <v>429.71739689372805</v>
      </c>
      <c r="D14" s="265">
        <f>SUM(D11:D13)</f>
        <v>9210.3924408562725</v>
      </c>
      <c r="E14" s="265">
        <f t="shared" ref="E14:F14" si="1">SUM(E11:E13)</f>
        <v>529.37756327706802</v>
      </c>
      <c r="F14" s="265">
        <f t="shared" si="1"/>
        <v>0</v>
      </c>
      <c r="G14" s="265">
        <f t="shared" ref="G14" si="2">SUM(G11:G13)</f>
        <v>0</v>
      </c>
      <c r="H14" s="265">
        <f t="shared" ref="H14" si="3">SUM(H11:H13)</f>
        <v>0</v>
      </c>
      <c r="I14" s="265">
        <f t="shared" ref="I14" si="4">SUM(I11:I13)</f>
        <v>9110.7322744729317</v>
      </c>
      <c r="J14" s="124"/>
    </row>
    <row r="15" spans="1:12" ht="11.25" customHeight="1" x14ac:dyDescent="0.35">
      <c r="A15" s="12"/>
      <c r="K15" s="121"/>
    </row>
    <row r="16" spans="1:12" ht="11.25" customHeight="1" x14ac:dyDescent="0.35">
      <c r="A16" s="12"/>
      <c r="K16" s="121"/>
      <c r="L16" s="400"/>
    </row>
    <row r="17" spans="1:11" ht="11.25" customHeight="1" x14ac:dyDescent="0.35">
      <c r="A17" s="12"/>
      <c r="K17" s="121"/>
    </row>
    <row r="18" spans="1:11" ht="11.25" customHeight="1" x14ac:dyDescent="0.35">
      <c r="A18" s="12"/>
      <c r="K18" s="121"/>
    </row>
    <row r="19" spans="1:11" ht="11.25" customHeight="1" x14ac:dyDescent="0.35">
      <c r="A19" s="12"/>
    </row>
    <row r="20" spans="1:11" ht="11.25" customHeight="1" x14ac:dyDescent="0.35">
      <c r="A20" s="12"/>
    </row>
    <row r="21" spans="1:11" ht="11.25" customHeight="1" x14ac:dyDescent="0.35">
      <c r="A21" s="12"/>
      <c r="J21" s="411"/>
      <c r="K21" s="120"/>
    </row>
    <row r="22" spans="1:11" ht="11.25" customHeight="1" x14ac:dyDescent="0.35">
      <c r="A22" s="12"/>
      <c r="J22" s="411"/>
      <c r="K22" s="120"/>
    </row>
    <row r="23" spans="1:11" ht="11.25" customHeight="1" x14ac:dyDescent="0.35">
      <c r="A23" s="12"/>
      <c r="J23" s="411"/>
      <c r="K23" s="120"/>
    </row>
    <row r="24" spans="1:11" ht="11.25" customHeight="1" x14ac:dyDescent="0.35">
      <c r="A24" s="12"/>
      <c r="J24" s="411"/>
      <c r="K24" s="120"/>
    </row>
    <row r="25" spans="1:11" ht="11.25" customHeight="1" x14ac:dyDescent="0.35">
      <c r="A25" s="12"/>
    </row>
    <row r="26" spans="1:11" ht="11.25" customHeight="1" x14ac:dyDescent="0.35">
      <c r="A26" s="12"/>
    </row>
    <row r="27" spans="1:11" ht="11.25" customHeight="1" x14ac:dyDescent="0.35">
      <c r="A27" s="12"/>
    </row>
    <row r="28" spans="1:11" ht="11.25" customHeight="1" x14ac:dyDescent="0.35">
      <c r="A28" s="12"/>
    </row>
    <row r="29" spans="1:11" ht="11.25" customHeight="1" x14ac:dyDescent="0.35">
      <c r="A29" s="12"/>
    </row>
    <row r="30" spans="1:11" ht="11.25" customHeight="1" x14ac:dyDescent="0.35">
      <c r="A30" s="12"/>
    </row>
    <row r="31" spans="1:11" ht="11.25" customHeight="1" x14ac:dyDescent="0.35">
      <c r="A31" s="12"/>
    </row>
    <row r="32" spans="1:11" ht="11.25" customHeight="1" x14ac:dyDescent="0.35">
      <c r="A32" s="12"/>
    </row>
    <row r="33" spans="1:1" ht="11.25" customHeight="1" x14ac:dyDescent="0.35">
      <c r="A33" s="12"/>
    </row>
    <row r="34" spans="1:1" ht="11.25" customHeight="1" x14ac:dyDescent="0.35">
      <c r="A34" s="12"/>
    </row>
    <row r="35" spans="1:1" ht="11.25" customHeight="1" x14ac:dyDescent="0.35">
      <c r="A35" s="12"/>
    </row>
    <row r="36" spans="1:1" ht="11.25" customHeight="1" x14ac:dyDescent="0.35">
      <c r="A36" s="12"/>
    </row>
    <row r="37" spans="1:1" x14ac:dyDescent="0.35">
      <c r="A37" s="12"/>
    </row>
    <row r="38" spans="1:1" x14ac:dyDescent="0.35">
      <c r="A38" s="12"/>
    </row>
    <row r="39" spans="1:1" x14ac:dyDescent="0.35">
      <c r="A39" s="12"/>
    </row>
    <row r="40" spans="1:1" x14ac:dyDescent="0.35">
      <c r="A40" s="12"/>
    </row>
    <row r="41" spans="1:1" x14ac:dyDescent="0.35">
      <c r="A41" s="12"/>
    </row>
    <row r="42" spans="1:1" x14ac:dyDescent="0.35">
      <c r="A42" s="12"/>
    </row>
    <row r="43" spans="1:1" x14ac:dyDescent="0.35">
      <c r="A43" s="12"/>
    </row>
    <row r="44" spans="1:1" x14ac:dyDescent="0.35">
      <c r="A44" s="12"/>
    </row>
    <row r="45" spans="1:1" x14ac:dyDescent="0.35">
      <c r="A45" s="12"/>
    </row>
    <row r="46" spans="1:1" x14ac:dyDescent="0.35">
      <c r="A46" s="12"/>
    </row>
    <row r="47" spans="1:1" x14ac:dyDescent="0.35">
      <c r="A47" s="12"/>
    </row>
    <row r="48" spans="1:1" x14ac:dyDescent="0.35">
      <c r="A48" s="12"/>
    </row>
    <row r="49" spans="1:1" x14ac:dyDescent="0.35">
      <c r="A49" s="12"/>
    </row>
    <row r="50" spans="1:1" x14ac:dyDescent="0.35">
      <c r="A50" s="12"/>
    </row>
    <row r="51" spans="1:1" x14ac:dyDescent="0.35">
      <c r="A51" s="12"/>
    </row>
    <row r="52" spans="1:1" x14ac:dyDescent="0.35">
      <c r="A52" s="12"/>
    </row>
    <row r="53" spans="1:1" x14ac:dyDescent="0.35">
      <c r="A53" s="12"/>
    </row>
    <row r="54" spans="1:1" x14ac:dyDescent="0.35">
      <c r="A54" s="12"/>
    </row>
    <row r="55" spans="1:1" x14ac:dyDescent="0.35">
      <c r="A55" s="12"/>
    </row>
    <row r="62" spans="1:1" x14ac:dyDescent="0.35">
      <c r="A62" s="20"/>
    </row>
    <row r="63" spans="1:1" x14ac:dyDescent="0.35">
      <c r="A63" s="20"/>
    </row>
    <row r="64" spans="1:1" x14ac:dyDescent="0.35">
      <c r="A64" s="21"/>
    </row>
    <row r="65" spans="1:1" x14ac:dyDescent="0.35">
      <c r="A65" s="12"/>
    </row>
    <row r="66" spans="1:1" x14ac:dyDescent="0.35">
      <c r="A66" s="12"/>
    </row>
    <row r="67" spans="1:1" x14ac:dyDescent="0.35">
      <c r="A67" s="12"/>
    </row>
    <row r="68" spans="1:1" x14ac:dyDescent="0.35">
      <c r="A68" s="12"/>
    </row>
    <row r="69" spans="1:1" x14ac:dyDescent="0.35">
      <c r="A69" s="12"/>
    </row>
    <row r="70" spans="1:1" x14ac:dyDescent="0.35">
      <c r="A70" s="12"/>
    </row>
    <row r="71" spans="1:1" x14ac:dyDescent="0.35">
      <c r="A71" s="12"/>
    </row>
    <row r="72" spans="1:1" x14ac:dyDescent="0.35">
      <c r="A72" s="12"/>
    </row>
    <row r="73" spans="1:1" x14ac:dyDescent="0.35">
      <c r="A73" s="22"/>
    </row>
    <row r="74" spans="1:1" x14ac:dyDescent="0.35">
      <c r="A74" s="22"/>
    </row>
    <row r="75" spans="1:1" x14ac:dyDescent="0.35">
      <c r="A75" s="22"/>
    </row>
    <row r="76" spans="1:1" x14ac:dyDescent="0.35">
      <c r="A76" s="22"/>
    </row>
    <row r="77" spans="1:1" x14ac:dyDescent="0.35">
      <c r="A77" s="22"/>
    </row>
    <row r="78" spans="1:1" x14ac:dyDescent="0.35">
      <c r="A78" s="22"/>
    </row>
    <row r="79" spans="1:1" x14ac:dyDescent="0.35">
      <c r="A79" s="22"/>
    </row>
    <row r="80" spans="1:1" x14ac:dyDescent="0.3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86"/>
  <sheetViews>
    <sheetView showGridLines="0" showRowColHeaders="0" zoomScaleNormal="100" workbookViewId="0">
      <selection activeCell="J59" sqref="J59"/>
    </sheetView>
  </sheetViews>
  <sheetFormatPr defaultColWidth="11.453125" defaultRowHeight="10" x14ac:dyDescent="0.2"/>
  <cols>
    <col min="1" max="1" width="2.81640625" style="23" customWidth="1"/>
    <col min="2" max="2" width="4.1796875" style="16" customWidth="1"/>
    <col min="3" max="3" width="21.1796875" style="16" customWidth="1"/>
    <col min="4" max="9" width="11.453125" style="16" customWidth="1"/>
    <col min="10" max="11" width="11.453125" style="16"/>
    <col min="12" max="13" width="16.1796875" style="16" bestFit="1" customWidth="1"/>
    <col min="14" max="14" width="14.453125" style="16" bestFit="1" customWidth="1"/>
    <col min="15" max="17" width="16.1796875" style="16" bestFit="1" customWidth="1"/>
    <col min="18" max="16384" width="11.453125" style="16"/>
  </cols>
  <sheetData>
    <row r="1" spans="1:11" s="10" customFormat="1" ht="11.25" customHeight="1" x14ac:dyDescent="0.25">
      <c r="A1" s="7"/>
      <c r="B1" s="7"/>
      <c r="C1" s="7"/>
      <c r="D1" s="8"/>
      <c r="E1" s="8"/>
      <c r="F1" s="9"/>
      <c r="G1" s="9"/>
      <c r="H1" s="9"/>
    </row>
    <row r="2" spans="1:11" s="10" customFormat="1" ht="5.25" customHeight="1" x14ac:dyDescent="0.25">
      <c r="A2" s="7"/>
      <c r="B2" s="7"/>
      <c r="C2" s="7"/>
      <c r="D2" s="8"/>
      <c r="E2" s="8"/>
      <c r="F2" s="9"/>
      <c r="G2" s="9"/>
      <c r="H2" s="9"/>
    </row>
    <row r="3" spans="1:11" s="12" customFormat="1" ht="12.75" customHeight="1" x14ac:dyDescent="0.2">
      <c r="A3" s="11"/>
      <c r="B3" s="461"/>
      <c r="C3" s="461"/>
      <c r="D3" s="461"/>
      <c r="E3" s="461"/>
      <c r="F3" s="461"/>
      <c r="G3" s="461"/>
      <c r="H3" s="461"/>
    </row>
    <row r="4" spans="1:11" s="10" customFormat="1" ht="5.15" customHeight="1" x14ac:dyDescent="0.25">
      <c r="A4" s="7"/>
      <c r="B4" s="7"/>
      <c r="C4" s="7"/>
      <c r="D4" s="8"/>
      <c r="E4" s="8"/>
      <c r="F4" s="9"/>
      <c r="G4" s="9"/>
      <c r="H4" s="9"/>
      <c r="J4" s="7"/>
      <c r="K4" s="7"/>
    </row>
    <row r="5" spans="1:11" s="3" customFormat="1" ht="17.5" x14ac:dyDescent="0.35">
      <c r="A5" s="13"/>
      <c r="B5" s="136" t="s">
        <v>155</v>
      </c>
    </row>
    <row r="6" spans="1:11" x14ac:dyDescent="0.2">
      <c r="A6" s="12"/>
    </row>
    <row r="7" spans="1:11" x14ac:dyDescent="0.2">
      <c r="A7" s="12"/>
      <c r="B7" s="468" t="s">
        <v>22</v>
      </c>
      <c r="C7" s="532"/>
      <c r="D7" s="47" t="s">
        <v>23</v>
      </c>
      <c r="E7" s="47" t="s">
        <v>24</v>
      </c>
      <c r="F7" s="47" t="s">
        <v>25</v>
      </c>
      <c r="G7" s="47" t="s">
        <v>26</v>
      </c>
      <c r="H7" s="404"/>
      <c r="I7" s="404"/>
    </row>
    <row r="8" spans="1:11" ht="11.25" customHeight="1" x14ac:dyDescent="0.2">
      <c r="A8" s="12"/>
      <c r="B8" s="533"/>
      <c r="C8" s="534"/>
      <c r="D8" s="537" t="s">
        <v>156</v>
      </c>
      <c r="E8" s="538"/>
      <c r="F8" s="538"/>
      <c r="G8" s="539"/>
      <c r="H8" s="406"/>
      <c r="I8" s="406"/>
    </row>
    <row r="9" spans="1:11" ht="20" x14ac:dyDescent="0.2">
      <c r="A9" s="12"/>
      <c r="B9" s="535"/>
      <c r="C9" s="536"/>
      <c r="D9" s="405" t="s">
        <v>689</v>
      </c>
      <c r="E9" s="405" t="s">
        <v>157</v>
      </c>
      <c r="F9" s="405" t="s">
        <v>158</v>
      </c>
      <c r="G9" s="405" t="s">
        <v>673</v>
      </c>
      <c r="H9" s="401"/>
      <c r="I9" s="401"/>
    </row>
    <row r="10" spans="1:11" x14ac:dyDescent="0.2">
      <c r="A10" s="12"/>
      <c r="B10" s="127">
        <v>1</v>
      </c>
      <c r="C10" s="97" t="s">
        <v>159</v>
      </c>
      <c r="D10" s="52">
        <f>9640.10983775-SUM(E10:G10)</f>
        <v>8878.6519530728456</v>
      </c>
      <c r="E10" s="52">
        <v>329.36606650659297</v>
      </c>
      <c r="F10" s="52">
        <v>131.27551247026</v>
      </c>
      <c r="G10" s="52">
        <v>300.81630570030097</v>
      </c>
      <c r="H10" s="402"/>
      <c r="I10" s="402"/>
    </row>
    <row r="11" spans="1:11" x14ac:dyDescent="0.2">
      <c r="A11" s="12"/>
      <c r="B11" s="127">
        <v>2</v>
      </c>
      <c r="C11" s="97" t="s">
        <v>112</v>
      </c>
      <c r="D11" s="128">
        <v>0</v>
      </c>
      <c r="E11" s="128">
        <v>0</v>
      </c>
      <c r="F11" s="128">
        <v>0</v>
      </c>
      <c r="G11" s="128">
        <v>0</v>
      </c>
      <c r="H11" s="403"/>
      <c r="I11" s="403"/>
    </row>
    <row r="12" spans="1:11" x14ac:dyDescent="0.2">
      <c r="A12" s="12"/>
      <c r="B12" s="129">
        <v>3</v>
      </c>
      <c r="C12" s="130" t="s">
        <v>160</v>
      </c>
      <c r="D12" s="52">
        <f>SUM(D10:D11)</f>
        <v>8878.6519530728456</v>
      </c>
      <c r="E12" s="52">
        <f t="shared" ref="E12:G12" si="0">SUM(E10:E11)</f>
        <v>329.36606650659297</v>
      </c>
      <c r="F12" s="52">
        <f t="shared" si="0"/>
        <v>131.27551247026</v>
      </c>
      <c r="G12" s="52">
        <f t="shared" si="0"/>
        <v>300.81630570030097</v>
      </c>
      <c r="H12" s="402"/>
      <c r="I12" s="402"/>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ht="10.5" x14ac:dyDescent="0.2">
      <c r="A68" s="20"/>
    </row>
    <row r="69" spans="1:1" ht="10.5" x14ac:dyDescent="0.2">
      <c r="A69" s="20"/>
    </row>
    <row r="70" spans="1:1" ht="10.5" x14ac:dyDescent="0.25">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U88"/>
  <sheetViews>
    <sheetView showGridLines="0" showRowColHeaders="0" zoomScaleNormal="100" workbookViewId="0">
      <selection activeCell="P30" sqref="P30"/>
    </sheetView>
  </sheetViews>
  <sheetFormatPr defaultColWidth="11.453125" defaultRowHeight="10" x14ac:dyDescent="0.2"/>
  <cols>
    <col min="1" max="1" width="2.81640625" style="23" customWidth="1"/>
    <col min="2" max="2" width="4.1796875" style="16" customWidth="1"/>
    <col min="3" max="3" width="33.453125" style="16" customWidth="1"/>
    <col min="4" max="21" width="8.1796875" style="16" customWidth="1"/>
    <col min="22" max="16384" width="11.453125" style="16"/>
  </cols>
  <sheetData>
    <row r="1" spans="1:21" s="10" customFormat="1" ht="11.25" customHeight="1" x14ac:dyDescent="0.25">
      <c r="A1" s="7"/>
      <c r="B1" s="7"/>
      <c r="C1" s="7"/>
      <c r="D1" s="8"/>
      <c r="E1" s="8"/>
      <c r="F1" s="9"/>
      <c r="G1" s="9"/>
      <c r="H1" s="9"/>
    </row>
    <row r="2" spans="1:21" s="10" customFormat="1" ht="5.25" customHeight="1" x14ac:dyDescent="0.25">
      <c r="A2" s="7"/>
      <c r="B2" s="7"/>
      <c r="C2" s="7"/>
      <c r="D2" s="8"/>
      <c r="E2" s="8"/>
      <c r="F2" s="9"/>
      <c r="G2" s="9"/>
      <c r="H2" s="9"/>
    </row>
    <row r="3" spans="1:21" s="12" customFormat="1" ht="12.75" customHeight="1" x14ac:dyDescent="0.2">
      <c r="A3" s="11"/>
      <c r="B3" s="461"/>
      <c r="C3" s="461"/>
      <c r="D3" s="461"/>
      <c r="E3" s="461"/>
      <c r="F3" s="461"/>
      <c r="G3" s="461"/>
      <c r="H3" s="461"/>
    </row>
    <row r="4" spans="1:21" s="10" customFormat="1" ht="5.15" customHeight="1" x14ac:dyDescent="0.25">
      <c r="A4" s="7"/>
      <c r="B4" s="7"/>
      <c r="C4" s="7"/>
      <c r="D4" s="8"/>
      <c r="E4" s="8"/>
      <c r="F4" s="9"/>
      <c r="G4" s="9"/>
      <c r="H4" s="9"/>
      <c r="J4" s="7"/>
      <c r="K4" s="7"/>
    </row>
    <row r="5" spans="1:21" s="3" customFormat="1" ht="17.5" x14ac:dyDescent="0.35">
      <c r="A5" s="13"/>
      <c r="B5" s="136" t="s">
        <v>164</v>
      </c>
    </row>
    <row r="6" spans="1:21" ht="10.5" x14ac:dyDescent="0.2">
      <c r="A6" s="14"/>
    </row>
    <row r="7" spans="1:21" ht="10.5" x14ac:dyDescent="0.2">
      <c r="A7" s="14"/>
      <c r="B7" s="16" t="s">
        <v>22</v>
      </c>
    </row>
    <row r="8" spans="1:21" x14ac:dyDescent="0.2">
      <c r="A8" s="12"/>
      <c r="B8" s="541"/>
      <c r="C8" s="542" t="s">
        <v>161</v>
      </c>
      <c r="D8" s="544" t="s">
        <v>165</v>
      </c>
      <c r="E8" s="544"/>
      <c r="F8" s="544"/>
      <c r="G8" s="544"/>
      <c r="H8" s="544"/>
      <c r="I8" s="544"/>
      <c r="J8" s="544"/>
      <c r="K8" s="544"/>
      <c r="L8" s="544"/>
      <c r="M8" s="544"/>
      <c r="N8" s="544"/>
      <c r="O8" s="544"/>
      <c r="P8" s="544"/>
      <c r="Q8" s="544"/>
      <c r="R8" s="544"/>
      <c r="S8" s="544"/>
      <c r="T8" s="540" t="s">
        <v>30</v>
      </c>
      <c r="U8" s="540" t="s">
        <v>166</v>
      </c>
    </row>
    <row r="9" spans="1:21" x14ac:dyDescent="0.2">
      <c r="A9" s="12"/>
      <c r="B9" s="541"/>
      <c r="C9" s="543"/>
      <c r="D9" s="57">
        <v>0</v>
      </c>
      <c r="E9" s="57">
        <v>0.02</v>
      </c>
      <c r="F9" s="57">
        <v>0.04</v>
      </c>
      <c r="G9" s="57">
        <v>0.1</v>
      </c>
      <c r="H9" s="57">
        <v>0.2</v>
      </c>
      <c r="I9" s="57">
        <v>0.35</v>
      </c>
      <c r="J9" s="57">
        <v>0.5</v>
      </c>
      <c r="K9" s="57">
        <v>0.7</v>
      </c>
      <c r="L9" s="57">
        <v>0.75</v>
      </c>
      <c r="M9" s="57">
        <v>1</v>
      </c>
      <c r="N9" s="57">
        <v>1.5</v>
      </c>
      <c r="O9" s="57">
        <v>2.5</v>
      </c>
      <c r="P9" s="57">
        <v>3.7</v>
      </c>
      <c r="Q9" s="57">
        <v>12.5</v>
      </c>
      <c r="R9" s="126" t="s">
        <v>167</v>
      </c>
      <c r="S9" s="126" t="s">
        <v>168</v>
      </c>
      <c r="T9" s="540"/>
      <c r="U9" s="540"/>
    </row>
    <row r="10" spans="1:21" x14ac:dyDescent="0.2">
      <c r="A10" s="12"/>
      <c r="B10" s="132">
        <v>1</v>
      </c>
      <c r="C10" s="31" t="s">
        <v>127</v>
      </c>
      <c r="D10" s="52">
        <f>'13'!$E$11</f>
        <v>1056.2643296900001</v>
      </c>
      <c r="E10" s="52"/>
      <c r="F10" s="52"/>
      <c r="G10" s="52">
        <v>94.122239590000007</v>
      </c>
      <c r="H10" s="52">
        <v>303.14668134999999</v>
      </c>
      <c r="I10" s="52"/>
      <c r="J10" s="52"/>
      <c r="K10" s="52"/>
      <c r="L10" s="52"/>
      <c r="M10" s="52"/>
      <c r="N10" s="52"/>
      <c r="O10" s="52"/>
      <c r="P10" s="52"/>
      <c r="Q10" s="52"/>
      <c r="R10" s="52"/>
      <c r="S10" s="52"/>
      <c r="T10" s="100">
        <f>SUM(D10:S10)</f>
        <v>1453.5332506300001</v>
      </c>
      <c r="U10" s="52"/>
    </row>
    <row r="11" spans="1:21" x14ac:dyDescent="0.2">
      <c r="A11" s="12"/>
      <c r="B11" s="132">
        <v>2</v>
      </c>
      <c r="C11" s="31" t="s">
        <v>128</v>
      </c>
      <c r="D11" s="52"/>
      <c r="E11" s="52"/>
      <c r="F11" s="52"/>
      <c r="G11" s="52"/>
      <c r="H11" s="52">
        <f>'13'!E13</f>
        <v>807.81879038000397</v>
      </c>
      <c r="I11" s="52"/>
      <c r="J11" s="52"/>
      <c r="K11" s="52"/>
      <c r="L11" s="52"/>
      <c r="M11" s="52"/>
      <c r="N11" s="52"/>
      <c r="O11" s="52"/>
      <c r="P11" s="52"/>
      <c r="Q11" s="52"/>
      <c r="R11" s="52"/>
      <c r="S11" s="52"/>
      <c r="T11" s="100">
        <f t="shared" ref="T11:T16" si="0">SUM(D11:S11)</f>
        <v>807.81879038000397</v>
      </c>
      <c r="U11" s="52"/>
    </row>
    <row r="12" spans="1:21" x14ac:dyDescent="0.2">
      <c r="A12" s="12"/>
      <c r="B12" s="132">
        <v>3</v>
      </c>
      <c r="C12" s="31" t="s">
        <v>125</v>
      </c>
      <c r="D12" s="52"/>
      <c r="E12" s="52"/>
      <c r="F12" s="52"/>
      <c r="G12" s="52"/>
      <c r="H12" s="52"/>
      <c r="I12" s="52"/>
      <c r="J12" s="52"/>
      <c r="K12" s="52"/>
      <c r="L12" s="52"/>
      <c r="M12" s="52"/>
      <c r="N12" s="52"/>
      <c r="O12" s="52"/>
      <c r="P12" s="52"/>
      <c r="Q12" s="52"/>
      <c r="R12" s="52"/>
      <c r="S12" s="52"/>
      <c r="T12" s="100">
        <f t="shared" si="0"/>
        <v>0</v>
      </c>
      <c r="U12" s="52"/>
    </row>
    <row r="13" spans="1:21" x14ac:dyDescent="0.2">
      <c r="A13" s="12"/>
      <c r="B13" s="132">
        <v>4</v>
      </c>
      <c r="C13" s="31" t="s">
        <v>126</v>
      </c>
      <c r="D13" s="52"/>
      <c r="E13" s="52"/>
      <c r="F13" s="52"/>
      <c r="G13" s="52"/>
      <c r="H13" s="52"/>
      <c r="I13" s="52"/>
      <c r="J13" s="52"/>
      <c r="K13" s="52"/>
      <c r="L13" s="52">
        <f>SUM('15'!D10:G10)-M13</f>
        <v>9210.3924408562707</v>
      </c>
      <c r="M13" s="52">
        <f>'13'!D14</f>
        <v>429.71739689372799</v>
      </c>
      <c r="N13" s="52"/>
      <c r="O13" s="52"/>
      <c r="P13" s="52"/>
      <c r="Q13" s="52"/>
      <c r="R13" s="52"/>
      <c r="S13" s="52">
        <f>-'13'!F14</f>
        <v>-529.37707531000001</v>
      </c>
      <c r="T13" s="100">
        <f t="shared" si="0"/>
        <v>9110.7327624399986</v>
      </c>
      <c r="U13" s="52"/>
    </row>
    <row r="14" spans="1:21" x14ac:dyDescent="0.2">
      <c r="A14" s="12"/>
      <c r="B14" s="132">
        <v>5</v>
      </c>
      <c r="C14" s="31" t="s">
        <v>129</v>
      </c>
      <c r="D14" s="52"/>
      <c r="E14" s="52"/>
      <c r="F14" s="52"/>
      <c r="G14" s="52"/>
      <c r="H14" s="52"/>
      <c r="I14" s="52"/>
      <c r="J14" s="52"/>
      <c r="K14" s="52"/>
      <c r="L14" s="52"/>
      <c r="M14" s="52"/>
      <c r="N14" s="52"/>
      <c r="O14" s="52"/>
      <c r="P14" s="52"/>
      <c r="Q14" s="52"/>
      <c r="R14" s="52"/>
      <c r="S14" s="52"/>
      <c r="T14" s="100">
        <f t="shared" si="0"/>
        <v>0</v>
      </c>
      <c r="U14" s="52"/>
    </row>
    <row r="15" spans="1:21" x14ac:dyDescent="0.2">
      <c r="A15" s="12"/>
      <c r="B15" s="132">
        <v>6</v>
      </c>
      <c r="C15" s="31" t="s">
        <v>162</v>
      </c>
      <c r="D15" s="52"/>
      <c r="E15" s="52"/>
      <c r="F15" s="52"/>
      <c r="G15" s="52"/>
      <c r="H15" s="52"/>
      <c r="I15" s="52"/>
      <c r="J15" s="52"/>
      <c r="K15" s="52"/>
      <c r="L15" s="52"/>
      <c r="M15" s="52"/>
      <c r="N15" s="52"/>
      <c r="O15" s="52"/>
      <c r="P15" s="52"/>
      <c r="Q15" s="52"/>
      <c r="R15" s="52"/>
      <c r="S15" s="52"/>
      <c r="T15" s="100">
        <f t="shared" si="0"/>
        <v>0</v>
      </c>
      <c r="U15" s="52"/>
    </row>
    <row r="16" spans="1:21" x14ac:dyDescent="0.2">
      <c r="A16" s="12"/>
      <c r="B16" s="132">
        <v>7</v>
      </c>
      <c r="C16" s="31" t="s">
        <v>163</v>
      </c>
      <c r="D16" s="52"/>
      <c r="E16" s="52"/>
      <c r="F16" s="52"/>
      <c r="G16" s="52"/>
      <c r="H16" s="52"/>
      <c r="I16" s="52"/>
      <c r="J16" s="52"/>
      <c r="K16" s="52"/>
      <c r="L16" s="52"/>
      <c r="M16" s="52">
        <f>'4'!BJ14</f>
        <v>32.750506520000002</v>
      </c>
      <c r="N16" s="52"/>
      <c r="O16" s="52"/>
      <c r="P16" s="52"/>
      <c r="Q16" s="52"/>
      <c r="R16" s="52"/>
      <c r="S16" s="52"/>
      <c r="T16" s="100">
        <f t="shared" si="0"/>
        <v>32.750506520000002</v>
      </c>
      <c r="U16" s="52"/>
    </row>
    <row r="17" spans="1:21" ht="10.5" x14ac:dyDescent="0.2">
      <c r="A17" s="12"/>
      <c r="B17" s="433">
        <v>8</v>
      </c>
      <c r="C17" s="266" t="s">
        <v>30</v>
      </c>
      <c r="D17" s="434">
        <f>SUM(D10:D16)</f>
        <v>1056.2643296900001</v>
      </c>
      <c r="E17" s="434">
        <f t="shared" ref="E17:T17" si="1">SUM(E10:E16)</f>
        <v>0</v>
      </c>
      <c r="F17" s="434">
        <f t="shared" si="1"/>
        <v>0</v>
      </c>
      <c r="G17" s="434">
        <f t="shared" si="1"/>
        <v>94.122239590000007</v>
      </c>
      <c r="H17" s="434">
        <f t="shared" si="1"/>
        <v>1110.9654717300041</v>
      </c>
      <c r="I17" s="434">
        <f t="shared" si="1"/>
        <v>0</v>
      </c>
      <c r="J17" s="434">
        <f t="shared" si="1"/>
        <v>0</v>
      </c>
      <c r="K17" s="434">
        <f t="shared" si="1"/>
        <v>0</v>
      </c>
      <c r="L17" s="434">
        <f t="shared" si="1"/>
        <v>9210.3924408562707</v>
      </c>
      <c r="M17" s="434">
        <f t="shared" si="1"/>
        <v>462.46790341372798</v>
      </c>
      <c r="N17" s="434">
        <f t="shared" si="1"/>
        <v>0</v>
      </c>
      <c r="O17" s="434">
        <f t="shared" si="1"/>
        <v>0</v>
      </c>
      <c r="P17" s="434">
        <f t="shared" si="1"/>
        <v>0</v>
      </c>
      <c r="Q17" s="434">
        <f t="shared" si="1"/>
        <v>0</v>
      </c>
      <c r="R17" s="434">
        <f t="shared" si="1"/>
        <v>0</v>
      </c>
      <c r="S17" s="434">
        <f t="shared" si="1"/>
        <v>-529.37707531000001</v>
      </c>
      <c r="T17" s="435">
        <f t="shared" si="1"/>
        <v>11404.835309970003</v>
      </c>
      <c r="U17" s="52"/>
    </row>
    <row r="18" spans="1:21" x14ac:dyDescent="0.2">
      <c r="A18" s="12"/>
      <c r="P18" s="32"/>
    </row>
    <row r="19" spans="1:21" x14ac:dyDescent="0.2">
      <c r="A19" s="12"/>
    </row>
    <row r="20" spans="1:21" x14ac:dyDescent="0.2">
      <c r="A20" s="12"/>
      <c r="D20" s="32"/>
      <c r="E20" s="32"/>
      <c r="F20" s="32"/>
      <c r="G20" s="32"/>
      <c r="H20" s="32"/>
      <c r="I20" s="32"/>
      <c r="J20" s="32"/>
      <c r="K20" s="32"/>
      <c r="L20" s="32"/>
      <c r="M20" s="32"/>
      <c r="N20" s="32"/>
      <c r="O20" s="32"/>
      <c r="P20" s="32"/>
      <c r="Q20" s="32"/>
      <c r="R20" s="32"/>
      <c r="S20" s="32"/>
      <c r="T20" s="32"/>
    </row>
    <row r="21" spans="1:21" x14ac:dyDescent="0.2">
      <c r="A21" s="12"/>
    </row>
    <row r="22" spans="1:21" x14ac:dyDescent="0.2">
      <c r="A22" s="12"/>
      <c r="L22" s="32"/>
    </row>
    <row r="23" spans="1:21" x14ac:dyDescent="0.2">
      <c r="A23" s="12"/>
    </row>
    <row r="24" spans="1:21" x14ac:dyDescent="0.2">
      <c r="A24" s="12"/>
      <c r="L24" s="32"/>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ht="10.5" x14ac:dyDescent="0.2">
      <c r="A70" s="20"/>
    </row>
    <row r="71" spans="1:1" ht="10.5" x14ac:dyDescent="0.2">
      <c r="A71" s="20"/>
    </row>
    <row r="72" spans="1:1" ht="10.5" x14ac:dyDescent="0.25">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ignoredErrors>
    <ignoredError sqref="E17:T17"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6E5E-ECB2-445C-A43B-0EE7D4390D30}">
  <sheetPr>
    <pageSetUpPr fitToPage="1"/>
  </sheetPr>
  <dimension ref="A1:J86"/>
  <sheetViews>
    <sheetView showGridLines="0" zoomScaleNormal="100" workbookViewId="0">
      <selection activeCell="I26" sqref="I26"/>
    </sheetView>
  </sheetViews>
  <sheetFormatPr defaultColWidth="11.453125" defaultRowHeight="10" x14ac:dyDescent="0.2"/>
  <cols>
    <col min="1" max="1" width="2.81640625" style="23" customWidth="1"/>
    <col min="2" max="2" width="4.1796875" style="16" customWidth="1"/>
    <col min="3" max="3" width="33.453125" style="16" customWidth="1"/>
    <col min="4" max="10" width="14.81640625" style="16" customWidth="1"/>
    <col min="11" max="16384" width="11.453125" style="16"/>
  </cols>
  <sheetData>
    <row r="1" spans="1:10" s="10" customFormat="1" ht="11.25" customHeight="1" x14ac:dyDescent="0.25">
      <c r="A1" s="7"/>
      <c r="B1" s="7"/>
      <c r="C1" s="7"/>
      <c r="D1" s="8"/>
      <c r="E1" s="8"/>
      <c r="F1" s="9"/>
      <c r="G1" s="9"/>
      <c r="H1" s="9"/>
    </row>
    <row r="2" spans="1:10" s="10" customFormat="1" ht="5.25" customHeight="1" x14ac:dyDescent="0.25">
      <c r="A2" s="7"/>
      <c r="B2" s="7"/>
      <c r="C2" s="7"/>
      <c r="D2" s="8"/>
      <c r="E2" s="8"/>
      <c r="F2" s="9"/>
      <c r="G2" s="9"/>
      <c r="H2" s="9"/>
    </row>
    <row r="3" spans="1:10" s="12" customFormat="1" ht="12.75" customHeight="1" x14ac:dyDescent="0.2">
      <c r="A3" s="11"/>
      <c r="B3" s="461"/>
      <c r="C3" s="461"/>
      <c r="D3" s="461"/>
      <c r="E3" s="461"/>
      <c r="F3" s="461"/>
      <c r="G3" s="461"/>
      <c r="H3" s="461"/>
    </row>
    <row r="4" spans="1:10" s="10" customFormat="1" ht="5.15" customHeight="1" x14ac:dyDescent="0.25">
      <c r="A4" s="7"/>
      <c r="B4" s="7"/>
      <c r="C4" s="7"/>
      <c r="D4" s="8"/>
      <c r="E4" s="8"/>
      <c r="F4" s="9"/>
      <c r="G4" s="9"/>
      <c r="H4" s="9"/>
      <c r="J4" s="7"/>
    </row>
    <row r="5" spans="1:10" s="3" customFormat="1" ht="17.5" x14ac:dyDescent="0.35">
      <c r="A5" s="13"/>
      <c r="B5" s="136" t="s">
        <v>672</v>
      </c>
    </row>
    <row r="6" spans="1:10" ht="10.5" x14ac:dyDescent="0.2">
      <c r="A6" s="14"/>
    </row>
    <row r="7" spans="1:10" ht="10.5" x14ac:dyDescent="0.2">
      <c r="A7" s="14"/>
      <c r="B7" s="16" t="s">
        <v>22</v>
      </c>
    </row>
    <row r="8" spans="1:10" ht="10.5" x14ac:dyDescent="0.2">
      <c r="A8" s="14"/>
    </row>
    <row r="9" spans="1:10" x14ac:dyDescent="0.2">
      <c r="A9" s="12"/>
      <c r="B9" s="545"/>
      <c r="C9" s="546"/>
      <c r="D9" s="239" t="s">
        <v>23</v>
      </c>
      <c r="E9" s="239" t="s">
        <v>24</v>
      </c>
      <c r="F9" s="239" t="s">
        <v>25</v>
      </c>
      <c r="G9" s="239" t="s">
        <v>26</v>
      </c>
      <c r="H9" s="239" t="s">
        <v>27</v>
      </c>
      <c r="I9" s="239" t="s">
        <v>141</v>
      </c>
      <c r="J9" s="239" t="s">
        <v>142</v>
      </c>
    </row>
    <row r="10" spans="1:10" ht="20" x14ac:dyDescent="0.2">
      <c r="A10" s="12"/>
      <c r="B10" s="545"/>
      <c r="C10" s="471"/>
      <c r="D10" s="268" t="s">
        <v>534</v>
      </c>
      <c r="E10" s="268" t="s">
        <v>535</v>
      </c>
      <c r="F10" s="268" t="s">
        <v>536</v>
      </c>
      <c r="G10" s="268" t="s">
        <v>537</v>
      </c>
      <c r="H10" s="268" t="s">
        <v>538</v>
      </c>
      <c r="I10" s="268" t="s">
        <v>539</v>
      </c>
      <c r="J10" s="268" t="s">
        <v>124</v>
      </c>
    </row>
    <row r="11" spans="1:10" x14ac:dyDescent="0.2">
      <c r="A11" s="12"/>
      <c r="B11" s="132">
        <v>1</v>
      </c>
      <c r="C11" s="240" t="s">
        <v>540</v>
      </c>
      <c r="D11" s="267"/>
      <c r="E11" s="52"/>
      <c r="F11" s="52"/>
      <c r="G11" s="267"/>
      <c r="H11" s="267"/>
      <c r="I11" s="52"/>
      <c r="J11" s="52"/>
    </row>
    <row r="12" spans="1:10" x14ac:dyDescent="0.2">
      <c r="A12" s="12"/>
      <c r="B12" s="132">
        <v>2</v>
      </c>
      <c r="C12" s="240" t="s">
        <v>541</v>
      </c>
      <c r="D12" s="52"/>
      <c r="E12" s="267"/>
      <c r="F12" s="267"/>
      <c r="G12" s="267"/>
      <c r="H12" s="267"/>
      <c r="I12" s="52"/>
      <c r="J12" s="52"/>
    </row>
    <row r="13" spans="1:10" x14ac:dyDescent="0.2">
      <c r="A13" s="12"/>
      <c r="B13" s="132">
        <v>3</v>
      </c>
      <c r="C13" s="240" t="s">
        <v>21</v>
      </c>
      <c r="D13" s="267"/>
      <c r="E13" s="52"/>
      <c r="F13" s="267"/>
      <c r="G13" s="267"/>
      <c r="H13" s="52"/>
      <c r="I13" s="52"/>
      <c r="J13" s="52"/>
    </row>
    <row r="14" spans="1:10" x14ac:dyDescent="0.2">
      <c r="A14" s="12"/>
      <c r="B14" s="132">
        <v>4</v>
      </c>
      <c r="C14" s="240" t="s">
        <v>542</v>
      </c>
      <c r="D14" s="267"/>
      <c r="E14" s="267"/>
      <c r="F14" s="267"/>
      <c r="G14" s="52"/>
      <c r="H14" s="52"/>
      <c r="I14" s="52"/>
      <c r="J14" s="52"/>
    </row>
    <row r="15" spans="1:10" ht="10.5" x14ac:dyDescent="0.2">
      <c r="A15" s="12"/>
      <c r="B15" s="132">
        <v>5</v>
      </c>
      <c r="C15" s="266" t="s">
        <v>30</v>
      </c>
      <c r="D15" s="267"/>
      <c r="E15" s="267"/>
      <c r="F15" s="267"/>
      <c r="G15" s="52"/>
      <c r="H15" s="52"/>
      <c r="I15" s="52"/>
      <c r="J15" s="52"/>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ht="10.5" x14ac:dyDescent="0.2">
      <c r="A68" s="20"/>
    </row>
    <row r="69" spans="1:1" ht="10.5" x14ac:dyDescent="0.2">
      <c r="A69" s="20"/>
    </row>
    <row r="70" spans="1:1" ht="10.5" x14ac:dyDescent="0.25">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7332C-6275-4B83-88CC-3592C85524B7}">
  <sheetPr>
    <pageSetUpPr fitToPage="1"/>
  </sheetPr>
  <dimension ref="A1:H85"/>
  <sheetViews>
    <sheetView showGridLines="0" zoomScaleNormal="100" workbookViewId="0">
      <selection activeCell="F39" sqref="F39"/>
    </sheetView>
  </sheetViews>
  <sheetFormatPr defaultColWidth="11.453125" defaultRowHeight="10" x14ac:dyDescent="0.2"/>
  <cols>
    <col min="1" max="1" width="2.81640625" style="23" customWidth="1"/>
    <col min="2" max="2" width="4.1796875" style="16" customWidth="1"/>
    <col min="3" max="3" width="33.453125" style="16" customWidth="1"/>
    <col min="4" max="8" width="14.81640625" style="16" customWidth="1"/>
    <col min="9" max="16384" width="11.453125" style="16"/>
  </cols>
  <sheetData>
    <row r="1" spans="1:8" s="10" customFormat="1" ht="11.25" customHeight="1" x14ac:dyDescent="0.25">
      <c r="A1" s="7"/>
      <c r="B1" s="7"/>
      <c r="C1" s="7"/>
      <c r="D1" s="8"/>
      <c r="E1" s="8"/>
      <c r="F1" s="9"/>
      <c r="G1" s="9"/>
      <c r="H1" s="9"/>
    </row>
    <row r="2" spans="1:8" s="10" customFormat="1" ht="5.25" customHeight="1" x14ac:dyDescent="0.25">
      <c r="A2" s="7"/>
      <c r="B2" s="7"/>
      <c r="C2" s="7"/>
      <c r="D2" s="8"/>
      <c r="E2" s="8"/>
      <c r="F2" s="9"/>
      <c r="G2" s="9"/>
      <c r="H2" s="9"/>
    </row>
    <row r="3" spans="1:8" s="12" customFormat="1" ht="12.75" customHeight="1" x14ac:dyDescent="0.2">
      <c r="A3" s="11"/>
      <c r="B3" s="461"/>
      <c r="C3" s="461"/>
      <c r="D3" s="461"/>
      <c r="E3" s="461"/>
      <c r="F3" s="461"/>
      <c r="G3" s="461"/>
      <c r="H3" s="461"/>
    </row>
    <row r="4" spans="1:8" s="10" customFormat="1" ht="5.15" customHeight="1" x14ac:dyDescent="0.25">
      <c r="A4" s="7"/>
      <c r="B4" s="7"/>
      <c r="C4" s="7"/>
      <c r="D4" s="8"/>
      <c r="E4" s="8"/>
      <c r="F4" s="9"/>
      <c r="G4" s="9"/>
      <c r="H4" s="9"/>
    </row>
    <row r="5" spans="1:8" s="3" customFormat="1" ht="17.5" x14ac:dyDescent="0.35">
      <c r="A5" s="13"/>
      <c r="B5" s="136" t="s">
        <v>543</v>
      </c>
    </row>
    <row r="6" spans="1:8" ht="10.5" x14ac:dyDescent="0.2">
      <c r="A6" s="14"/>
    </row>
    <row r="7" spans="1:8" ht="10.5" x14ac:dyDescent="0.2">
      <c r="A7" s="14"/>
      <c r="B7" s="16" t="s">
        <v>22</v>
      </c>
    </row>
    <row r="8" spans="1:8" ht="10.5" x14ac:dyDescent="0.2">
      <c r="A8" s="14"/>
    </row>
    <row r="9" spans="1:8" x14ac:dyDescent="0.2">
      <c r="A9" s="12"/>
      <c r="B9" s="545"/>
      <c r="C9" s="546"/>
      <c r="D9" s="239" t="s">
        <v>23</v>
      </c>
      <c r="E9" s="239" t="s">
        <v>24</v>
      </c>
      <c r="F9" s="239" t="s">
        <v>25</v>
      </c>
      <c r="G9" s="239" t="s">
        <v>26</v>
      </c>
      <c r="H9" s="239" t="s">
        <v>27</v>
      </c>
    </row>
    <row r="10" spans="1:8" ht="30" x14ac:dyDescent="0.2">
      <c r="A10" s="12"/>
      <c r="B10" s="545"/>
      <c r="C10" s="471"/>
      <c r="D10" s="268" t="s">
        <v>545</v>
      </c>
      <c r="E10" s="268" t="s">
        <v>546</v>
      </c>
      <c r="F10" s="268" t="s">
        <v>547</v>
      </c>
      <c r="G10" s="268" t="s">
        <v>548</v>
      </c>
      <c r="H10" s="268" t="s">
        <v>549</v>
      </c>
    </row>
    <row r="11" spans="1:8" x14ac:dyDescent="0.2">
      <c r="A11" s="12"/>
      <c r="B11" s="132">
        <v>1</v>
      </c>
      <c r="C11" s="240" t="s">
        <v>118</v>
      </c>
      <c r="D11" s="52"/>
      <c r="E11" s="52"/>
      <c r="F11" s="52"/>
      <c r="G11" s="52"/>
      <c r="H11" s="52"/>
    </row>
    <row r="12" spans="1:8" x14ac:dyDescent="0.2">
      <c r="A12" s="12"/>
      <c r="B12" s="132">
        <v>2</v>
      </c>
      <c r="C12" s="240" t="s">
        <v>550</v>
      </c>
      <c r="D12" s="52"/>
      <c r="E12" s="52"/>
      <c r="F12" s="52"/>
      <c r="G12" s="52"/>
      <c r="H12" s="52"/>
    </row>
    <row r="13" spans="1:8" x14ac:dyDescent="0.2">
      <c r="A13" s="12"/>
      <c r="B13" s="132">
        <v>3</v>
      </c>
      <c r="C13" s="240" t="s">
        <v>544</v>
      </c>
      <c r="D13" s="52"/>
      <c r="E13" s="52"/>
      <c r="F13" s="52"/>
      <c r="G13" s="52"/>
      <c r="H13" s="52"/>
    </row>
    <row r="14" spans="1:8" ht="10.5" x14ac:dyDescent="0.2">
      <c r="A14" s="12"/>
      <c r="B14" s="132">
        <v>5</v>
      </c>
      <c r="C14" s="266" t="s">
        <v>30</v>
      </c>
      <c r="D14" s="52"/>
      <c r="E14" s="52"/>
      <c r="F14" s="52"/>
      <c r="G14" s="52"/>
      <c r="H14" s="52"/>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7.5" x14ac:dyDescent="0.35">
      <c r="A46" s="12"/>
      <c r="H46" s="136"/>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ht="10.5" x14ac:dyDescent="0.2">
      <c r="A67" s="20"/>
    </row>
    <row r="68" spans="1:1" ht="10.5" x14ac:dyDescent="0.2">
      <c r="A68" s="20"/>
    </row>
    <row r="69" spans="1:1" ht="10.5" x14ac:dyDescent="0.25">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P57"/>
  <sheetViews>
    <sheetView showGridLines="0" zoomScaleNormal="100" workbookViewId="0">
      <selection activeCell="Q47" sqref="Q47"/>
    </sheetView>
  </sheetViews>
  <sheetFormatPr defaultColWidth="11.453125" defaultRowHeight="15.5" x14ac:dyDescent="0.35"/>
  <cols>
    <col min="1" max="1" width="61.453125" style="135" customWidth="1"/>
    <col min="2" max="9" width="12" style="134" customWidth="1"/>
    <col min="10" max="16384" width="11.453125" style="135"/>
  </cols>
  <sheetData>
    <row r="1" spans="1:16" x14ac:dyDescent="0.35">
      <c r="A1" s="133"/>
    </row>
    <row r="2" spans="1:16" ht="6" customHeight="1" x14ac:dyDescent="0.35">
      <c r="B2" s="135"/>
      <c r="C2" s="135"/>
      <c r="D2" s="135"/>
      <c r="E2" s="135"/>
      <c r="F2" s="135"/>
      <c r="G2" s="135"/>
      <c r="H2" s="135"/>
      <c r="I2" s="135"/>
    </row>
    <row r="3" spans="1:16" ht="17.5" x14ac:dyDescent="0.35">
      <c r="A3" s="136" t="s">
        <v>509</v>
      </c>
    </row>
    <row r="4" spans="1:16" x14ac:dyDescent="0.35">
      <c r="A4" s="137"/>
    </row>
    <row r="5" spans="1:16" x14ac:dyDescent="0.35">
      <c r="A5" s="416" t="s">
        <v>169</v>
      </c>
      <c r="B5" s="254">
        <v>43830</v>
      </c>
      <c r="C5" s="254">
        <v>43921</v>
      </c>
      <c r="D5" s="254">
        <v>44012</v>
      </c>
      <c r="E5" s="254">
        <v>44104</v>
      </c>
      <c r="F5" s="254">
        <v>44196</v>
      </c>
      <c r="G5" s="254">
        <v>44286</v>
      </c>
      <c r="H5" s="254">
        <v>44377</v>
      </c>
      <c r="I5" s="254">
        <v>44469</v>
      </c>
      <c r="J5" s="254">
        <v>44561</v>
      </c>
      <c r="K5" s="254">
        <v>44651</v>
      </c>
      <c r="L5" s="254">
        <v>44742</v>
      </c>
      <c r="M5" s="254">
        <v>44834</v>
      </c>
      <c r="N5" s="254">
        <v>44926</v>
      </c>
      <c r="O5" s="254">
        <v>45015</v>
      </c>
      <c r="P5" s="254">
        <v>45107</v>
      </c>
    </row>
    <row r="6" spans="1:16" x14ac:dyDescent="0.35">
      <c r="A6" s="255" t="s">
        <v>22</v>
      </c>
      <c r="B6" s="255"/>
      <c r="C6" s="255"/>
      <c r="D6" s="255"/>
      <c r="E6" s="255"/>
      <c r="F6" s="255"/>
      <c r="G6" s="255"/>
      <c r="H6" s="255"/>
      <c r="I6" s="255"/>
      <c r="J6" s="255"/>
      <c r="K6" s="255"/>
      <c r="L6" s="255"/>
      <c r="M6" s="255"/>
      <c r="N6" s="255"/>
      <c r="O6" s="255"/>
      <c r="P6" s="255"/>
    </row>
    <row r="7" spans="1:16" s="140" customFormat="1" ht="15" customHeight="1" x14ac:dyDescent="0.2">
      <c r="A7" s="138" t="s">
        <v>574</v>
      </c>
      <c r="B7" s="139">
        <v>122.93353480999907</v>
      </c>
      <c r="C7" s="139">
        <v>133.21439408800072</v>
      </c>
      <c r="D7" s="139">
        <v>258.41224959599987</v>
      </c>
      <c r="E7" s="139">
        <v>293.36513796999952</v>
      </c>
      <c r="F7" s="139">
        <v>240.83769431599967</v>
      </c>
      <c r="G7" s="139">
        <v>228.34427184800057</v>
      </c>
      <c r="H7" s="139">
        <v>200</v>
      </c>
      <c r="I7" s="139">
        <v>177.10916110999975</v>
      </c>
      <c r="J7" s="139">
        <v>260.3619431940005</v>
      </c>
      <c r="K7" s="139">
        <v>303.3923254580011</v>
      </c>
      <c r="L7" s="139">
        <v>144.87804603000069</v>
      </c>
      <c r="M7" s="139">
        <v>205.68626843799953</v>
      </c>
      <c r="N7" s="139">
        <v>161.56375807600079</v>
      </c>
      <c r="O7" s="139">
        <v>149.17774169200004</v>
      </c>
      <c r="P7" s="139">
        <v>108.94516853599987</v>
      </c>
    </row>
    <row r="8" spans="1:16" s="140" customFormat="1" ht="15" customHeight="1" x14ac:dyDescent="0.2">
      <c r="A8" s="138" t="s">
        <v>575</v>
      </c>
      <c r="B8" s="139">
        <v>5835.7185736070669</v>
      </c>
      <c r="C8" s="139">
        <v>5896.2388511709487</v>
      </c>
      <c r="D8" s="139">
        <v>5498.7435902398074</v>
      </c>
      <c r="E8" s="139">
        <v>5450.4853382243109</v>
      </c>
      <c r="F8" s="139">
        <v>6721.3617913070493</v>
      </c>
      <c r="G8" s="139">
        <v>5040.6461602264371</v>
      </c>
      <c r="H8" s="139">
        <f>5309034.61466896/1000</f>
        <v>5309.0346146689599</v>
      </c>
      <c r="I8" s="139">
        <v>6413.8649869672809</v>
      </c>
      <c r="J8" s="139">
        <v>5229.4228076935115</v>
      </c>
      <c r="K8" s="139">
        <v>5106.4817834057385</v>
      </c>
      <c r="L8" s="139">
        <v>5136.7645837814698</v>
      </c>
      <c r="M8" s="139">
        <v>5872.0409820372415</v>
      </c>
      <c r="N8" s="139">
        <v>6728.2006887602547</v>
      </c>
      <c r="O8" s="139">
        <v>7518.87518545475</v>
      </c>
      <c r="P8" s="139">
        <v>7720.6891234991963</v>
      </c>
    </row>
    <row r="9" spans="1:16" s="140" customFormat="1" ht="15" customHeight="1" x14ac:dyDescent="0.2">
      <c r="A9" s="138" t="s">
        <v>494</v>
      </c>
      <c r="B9" s="139">
        <v>9.0778524160000025</v>
      </c>
      <c r="C9" s="139">
        <v>10.494127399999998</v>
      </c>
      <c r="D9" s="139">
        <v>30.189060099999992</v>
      </c>
      <c r="E9" s="139">
        <v>178.50827768800005</v>
      </c>
      <c r="F9" s="139">
        <v>92.798061566999991</v>
      </c>
      <c r="G9" s="139">
        <v>90.128468472999998</v>
      </c>
      <c r="H9" s="139">
        <v>80.3</v>
      </c>
      <c r="I9" s="139">
        <v>60.259492074000008</v>
      </c>
      <c r="J9" s="139">
        <v>39.94528823600001</v>
      </c>
      <c r="K9" s="139">
        <v>39.493242814999995</v>
      </c>
      <c r="L9" s="139">
        <v>39.950944560000003</v>
      </c>
      <c r="M9" s="139">
        <v>49.623753855000004</v>
      </c>
      <c r="N9" s="139">
        <v>70.041560229000012</v>
      </c>
      <c r="O9" s="139">
        <v>8.0657112859999991</v>
      </c>
      <c r="P9" s="139">
        <v>8.1272626550000009</v>
      </c>
    </row>
    <row r="10" spans="1:16" s="140" customFormat="1" ht="15" customHeight="1" x14ac:dyDescent="0.2">
      <c r="A10" s="138" t="s">
        <v>576</v>
      </c>
      <c r="B10" s="139">
        <v>884.55986672337633</v>
      </c>
      <c r="C10" s="139">
        <v>1082.8661975396581</v>
      </c>
      <c r="D10" s="139">
        <v>1164.8606085557865</v>
      </c>
      <c r="E10" s="139">
        <v>1162.2488533198286</v>
      </c>
      <c r="F10" s="139">
        <v>18.68129678</v>
      </c>
      <c r="G10" s="139">
        <v>1415.30953326394</v>
      </c>
      <c r="H10" s="139">
        <f>1374718.43776679/1000</f>
        <v>1374.71843776679</v>
      </c>
      <c r="I10" s="139">
        <f>1230820.01614656/1000</f>
        <v>1230.82001614656</v>
      </c>
      <c r="J10" s="139">
        <v>529.71988979443154</v>
      </c>
      <c r="K10" s="139">
        <v>430.66428904750114</v>
      </c>
      <c r="L10" s="139">
        <v>302.70917846676684</v>
      </c>
      <c r="M10" s="139">
        <v>286.05100560528518</v>
      </c>
      <c r="N10" s="139">
        <v>290.10465466044076</v>
      </c>
      <c r="O10" s="139">
        <v>284.00377101948914</v>
      </c>
      <c r="P10" s="139">
        <v>307.24364790542563</v>
      </c>
    </row>
    <row r="11" spans="1:16" s="140" customFormat="1" ht="15" customHeight="1" x14ac:dyDescent="0.2">
      <c r="A11" s="138" t="s">
        <v>577</v>
      </c>
      <c r="B11" s="139">
        <v>36.800030889266317</v>
      </c>
      <c r="C11" s="139">
        <v>99.100663457600177</v>
      </c>
      <c r="D11" s="139">
        <v>121.9623755166658</v>
      </c>
      <c r="E11" s="139">
        <v>131.7690306885728</v>
      </c>
      <c r="F11" s="139">
        <v>0</v>
      </c>
      <c r="G11" s="139">
        <v>0</v>
      </c>
      <c r="H11" s="139">
        <v>0</v>
      </c>
      <c r="I11" s="139">
        <v>0</v>
      </c>
      <c r="J11" s="139">
        <v>0</v>
      </c>
      <c r="K11" s="139">
        <v>0</v>
      </c>
      <c r="L11" s="139">
        <v>0</v>
      </c>
      <c r="M11" s="139">
        <v>0</v>
      </c>
      <c r="N11" s="139">
        <v>0</v>
      </c>
      <c r="O11" s="139">
        <v>0</v>
      </c>
      <c r="P11" s="139">
        <v>0</v>
      </c>
    </row>
    <row r="12" spans="1:16" s="140" customFormat="1" ht="15" customHeight="1" x14ac:dyDescent="0.2">
      <c r="A12" s="138" t="s">
        <v>115</v>
      </c>
      <c r="B12" s="139">
        <v>36.155033840000002</v>
      </c>
      <c r="C12" s="139">
        <v>33.366833320000005</v>
      </c>
      <c r="D12" s="139">
        <v>28.562787629999999</v>
      </c>
      <c r="E12" s="139">
        <v>26.359653270000003</v>
      </c>
      <c r="F12" s="139">
        <v>1653.6609161400004</v>
      </c>
      <c r="G12" s="139">
        <v>22.165789899999996</v>
      </c>
      <c r="H12" s="139">
        <v>31.3</v>
      </c>
      <c r="I12" s="139">
        <f>24886.9008/1000</f>
        <v>24.886900799999999</v>
      </c>
      <c r="J12" s="139">
        <v>295.90173419000007</v>
      </c>
      <c r="K12" s="139">
        <v>28.760434369999995</v>
      </c>
      <c r="L12" s="139">
        <v>80.283829919999988</v>
      </c>
      <c r="M12" s="139">
        <v>56.111826700000002</v>
      </c>
      <c r="N12" s="139">
        <v>32.750506520000002</v>
      </c>
      <c r="O12" s="139">
        <v>36.933944799999999</v>
      </c>
      <c r="P12" s="139">
        <v>28.537252560000002</v>
      </c>
    </row>
    <row r="13" spans="1:16" s="140" customFormat="1" ht="15" customHeight="1" x14ac:dyDescent="0.25">
      <c r="A13" s="141" t="s">
        <v>516</v>
      </c>
      <c r="B13" s="142">
        <v>6925.2448922857084</v>
      </c>
      <c r="C13" s="142">
        <v>7255.2810669762084</v>
      </c>
      <c r="D13" s="142">
        <v>7102.7306716382591</v>
      </c>
      <c r="E13" s="142">
        <v>7242.7362911607124</v>
      </c>
      <c r="F13" s="142">
        <v>8727.3397601100496</v>
      </c>
      <c r="G13" s="142">
        <v>6796.5942237113777</v>
      </c>
      <c r="H13" s="142">
        <f t="shared" ref="H13:N13" si="0">SUM(H7:H12)</f>
        <v>6995.3530524357502</v>
      </c>
      <c r="I13" s="142">
        <f t="shared" si="0"/>
        <v>7906.9405570978415</v>
      </c>
      <c r="J13" s="142">
        <f t="shared" si="0"/>
        <v>6355.3516631079438</v>
      </c>
      <c r="K13" s="142">
        <f t="shared" si="0"/>
        <v>5908.7920750962412</v>
      </c>
      <c r="L13" s="142">
        <f t="shared" si="0"/>
        <v>5704.5865827582375</v>
      </c>
      <c r="M13" s="142">
        <f t="shared" si="0"/>
        <v>6469.5138366355268</v>
      </c>
      <c r="N13" s="142">
        <f t="shared" si="0"/>
        <v>7282.6611682456978</v>
      </c>
      <c r="O13" s="142">
        <f t="shared" ref="O13:P13" si="1">SUM(O7:O12)</f>
        <v>7997.0563542522395</v>
      </c>
      <c r="P13" s="142">
        <f t="shared" si="1"/>
        <v>8173.5424551556216</v>
      </c>
    </row>
    <row r="14" spans="1:16" s="140" customFormat="1" ht="15" customHeight="1" x14ac:dyDescent="0.2">
      <c r="A14" s="138" t="s">
        <v>2</v>
      </c>
      <c r="B14" s="139">
        <v>1822.6166284750002</v>
      </c>
      <c r="C14" s="139">
        <v>1822.6166284750002</v>
      </c>
      <c r="D14" s="139">
        <v>1822.6166284750002</v>
      </c>
      <c r="E14" s="139">
        <v>1822.6166284750002</v>
      </c>
      <c r="F14" s="139">
        <v>1653.6609161400004</v>
      </c>
      <c r="G14" s="139">
        <v>1653.6609161400004</v>
      </c>
      <c r="H14" s="139">
        <v>1653.7</v>
      </c>
      <c r="I14" s="139">
        <v>1653.7</v>
      </c>
      <c r="J14" s="139">
        <v>1576.1633099749997</v>
      </c>
      <c r="K14" s="139">
        <v>1576.1633099749997</v>
      </c>
      <c r="L14" s="139">
        <v>1576.1633099749997</v>
      </c>
      <c r="M14" s="139">
        <v>1576.1633099749997</v>
      </c>
      <c r="N14" s="139">
        <v>1388.8567539199998</v>
      </c>
      <c r="O14" s="139">
        <v>1388.8567539199998</v>
      </c>
      <c r="P14" s="139">
        <v>1388.8567539200001</v>
      </c>
    </row>
    <row r="15" spans="1:16" s="140" customFormat="1" ht="15" customHeight="1" x14ac:dyDescent="0.25">
      <c r="A15" s="141" t="s">
        <v>173</v>
      </c>
      <c r="B15" s="142">
        <v>8747.861520760709</v>
      </c>
      <c r="C15" s="142">
        <v>9077.8976954512091</v>
      </c>
      <c r="D15" s="142">
        <v>8925.3473001132588</v>
      </c>
      <c r="E15" s="142">
        <v>9065.352919635714</v>
      </c>
      <c r="F15" s="142">
        <v>8727.3397601100496</v>
      </c>
      <c r="G15" s="142">
        <v>8450.2551398513788</v>
      </c>
      <c r="H15" s="142">
        <f t="shared" ref="H15:N15" si="2">H13+H14</f>
        <v>8649.0530524357509</v>
      </c>
      <c r="I15" s="142">
        <f t="shared" si="2"/>
        <v>9560.6405570978422</v>
      </c>
      <c r="J15" s="142">
        <f t="shared" si="2"/>
        <v>7931.5149730829435</v>
      </c>
      <c r="K15" s="142">
        <f t="shared" si="2"/>
        <v>7484.9553850712409</v>
      </c>
      <c r="L15" s="142">
        <f t="shared" si="2"/>
        <v>7280.7498927332372</v>
      </c>
      <c r="M15" s="142">
        <f t="shared" si="2"/>
        <v>8045.6771466105265</v>
      </c>
      <c r="N15" s="142">
        <f t="shared" si="2"/>
        <v>8671.5179221656981</v>
      </c>
      <c r="O15" s="142">
        <f t="shared" ref="O15:P15" si="3">O13+O14</f>
        <v>9385.9131081722389</v>
      </c>
      <c r="P15" s="142">
        <f t="shared" si="3"/>
        <v>9562.3992090756219</v>
      </c>
    </row>
    <row r="16" spans="1:16" s="140" customFormat="1" ht="10" x14ac:dyDescent="0.2">
      <c r="A16" s="143"/>
      <c r="B16" s="143"/>
      <c r="C16" s="143"/>
      <c r="D16" s="143"/>
      <c r="E16" s="143"/>
      <c r="F16" s="143"/>
      <c r="G16" s="143"/>
      <c r="H16" s="143"/>
      <c r="I16" s="143"/>
    </row>
    <row r="17" spans="1:16" s="140" customFormat="1" ht="10" x14ac:dyDescent="0.2">
      <c r="A17" s="143"/>
      <c r="B17" s="143"/>
      <c r="C17" s="143"/>
      <c r="D17" s="143"/>
      <c r="E17" s="143"/>
      <c r="F17" s="143"/>
      <c r="G17" s="143"/>
      <c r="H17" s="143"/>
      <c r="I17" s="143"/>
    </row>
    <row r="18" spans="1:16" s="140" customFormat="1" ht="10.5" x14ac:dyDescent="0.2">
      <c r="A18" s="416" t="s">
        <v>174</v>
      </c>
      <c r="B18" s="254">
        <f t="shared" ref="B18:M18" si="4">B5</f>
        <v>43830</v>
      </c>
      <c r="C18" s="254">
        <f t="shared" si="4"/>
        <v>43921</v>
      </c>
      <c r="D18" s="254">
        <f t="shared" si="4"/>
        <v>44012</v>
      </c>
      <c r="E18" s="254">
        <f t="shared" si="4"/>
        <v>44104</v>
      </c>
      <c r="F18" s="254">
        <f t="shared" si="4"/>
        <v>44196</v>
      </c>
      <c r="G18" s="254">
        <f t="shared" si="4"/>
        <v>44286</v>
      </c>
      <c r="H18" s="254">
        <f t="shared" si="4"/>
        <v>44377</v>
      </c>
      <c r="I18" s="254">
        <f t="shared" si="4"/>
        <v>44469</v>
      </c>
      <c r="J18" s="254">
        <f t="shared" si="4"/>
        <v>44561</v>
      </c>
      <c r="K18" s="254">
        <f t="shared" si="4"/>
        <v>44651</v>
      </c>
      <c r="L18" s="254">
        <f t="shared" si="4"/>
        <v>44742</v>
      </c>
      <c r="M18" s="254">
        <f t="shared" si="4"/>
        <v>44834</v>
      </c>
      <c r="N18" s="254">
        <f t="shared" ref="N18:O18" si="5">N5</f>
        <v>44926</v>
      </c>
      <c r="O18" s="254">
        <f t="shared" si="5"/>
        <v>45015</v>
      </c>
      <c r="P18" s="254">
        <f t="shared" ref="P18" si="6">P5</f>
        <v>45107</v>
      </c>
    </row>
    <row r="19" spans="1:16" s="140" customFormat="1" ht="10" x14ac:dyDescent="0.2">
      <c r="A19" s="255" t="s">
        <v>170</v>
      </c>
      <c r="B19" s="255"/>
      <c r="C19" s="255"/>
      <c r="D19" s="255"/>
      <c r="E19" s="255"/>
      <c r="F19" s="255"/>
      <c r="G19" s="255"/>
      <c r="H19" s="255"/>
      <c r="I19" s="255"/>
      <c r="J19" s="255"/>
      <c r="K19" s="255"/>
      <c r="L19" s="255"/>
      <c r="M19" s="255"/>
      <c r="N19" s="255"/>
      <c r="O19" s="255"/>
      <c r="P19" s="255"/>
    </row>
    <row r="20" spans="1:16" s="140" customFormat="1" ht="15" customHeight="1" x14ac:dyDescent="0.2">
      <c r="A20" s="138" t="s">
        <v>517</v>
      </c>
      <c r="B20" s="144">
        <v>184.11972800000001</v>
      </c>
      <c r="C20" s="144">
        <v>184.11972800000001</v>
      </c>
      <c r="D20" s="144">
        <v>186.36849799999999</v>
      </c>
      <c r="E20" s="144">
        <v>186.53806899999998</v>
      </c>
      <c r="F20" s="144">
        <v>186.61373900000001</v>
      </c>
      <c r="G20" s="144">
        <v>186.855142</v>
      </c>
      <c r="H20" s="144">
        <v>186.9</v>
      </c>
      <c r="I20" s="144">
        <v>186.971486</v>
      </c>
      <c r="J20" s="144">
        <v>187.13719399999999</v>
      </c>
      <c r="K20" s="144">
        <v>187.40811099999999</v>
      </c>
      <c r="L20" s="144">
        <v>187.40811099999999</v>
      </c>
      <c r="M20" s="144">
        <v>187.59012899999999</v>
      </c>
      <c r="N20" s="144">
        <v>187.59448800000001</v>
      </c>
      <c r="O20" s="144">
        <v>205.77630600000001</v>
      </c>
      <c r="P20" s="144">
        <v>229.12875700000001</v>
      </c>
    </row>
    <row r="21" spans="1:16" s="140" customFormat="1" ht="15" customHeight="1" x14ac:dyDescent="0.2">
      <c r="A21" s="138" t="s">
        <v>578</v>
      </c>
      <c r="B21" s="144">
        <v>786.67196625000008</v>
      </c>
      <c r="C21" s="144">
        <v>786.67196625000008</v>
      </c>
      <c r="D21" s="144">
        <v>786.67196625000008</v>
      </c>
      <c r="E21" s="144">
        <v>786.67196625000008</v>
      </c>
      <c r="F21" s="144">
        <v>786.67196625000008</v>
      </c>
      <c r="G21" s="144">
        <v>786.67196625000008</v>
      </c>
      <c r="H21" s="144">
        <v>786.7</v>
      </c>
      <c r="I21" s="144">
        <v>786.67196625000008</v>
      </c>
      <c r="J21" s="144">
        <v>786.67196625000008</v>
      </c>
      <c r="K21" s="144">
        <v>786.67196625000008</v>
      </c>
      <c r="L21" s="144">
        <v>786.67196625000008</v>
      </c>
      <c r="M21" s="144">
        <v>786.67196625000008</v>
      </c>
      <c r="N21" s="144">
        <v>786.67196625000008</v>
      </c>
      <c r="O21" s="144">
        <v>864.25296824999998</v>
      </c>
      <c r="P21" s="144">
        <v>937.05334130999995</v>
      </c>
    </row>
    <row r="22" spans="1:16" s="140" customFormat="1" ht="15" customHeight="1" x14ac:dyDescent="0.2">
      <c r="A22" s="138" t="s">
        <v>175</v>
      </c>
      <c r="B22" s="144">
        <v>834.2067910924028</v>
      </c>
      <c r="C22" s="144">
        <v>879.99745832000019</v>
      </c>
      <c r="D22" s="144">
        <v>952.76783010000008</v>
      </c>
      <c r="E22" s="144">
        <v>1020.9693780900004</v>
      </c>
      <c r="F22" s="144">
        <v>1021.25393809</v>
      </c>
      <c r="G22" s="144">
        <v>1144.7990243500003</v>
      </c>
      <c r="H22" s="144">
        <v>1114.5999999999999</v>
      </c>
      <c r="I22" s="144">
        <v>756.58651119000001</v>
      </c>
      <c r="J22" s="144">
        <v>790.70449304999988</v>
      </c>
      <c r="K22" s="144">
        <v>822.70568490000028</v>
      </c>
      <c r="L22" s="144">
        <v>844.73628459999998</v>
      </c>
      <c r="M22" s="144">
        <v>835.25577565000015</v>
      </c>
      <c r="N22" s="144">
        <v>779.45896609999988</v>
      </c>
      <c r="O22" s="144">
        <v>815.05296356999975</v>
      </c>
      <c r="P22" s="144">
        <f>1971.33709932491-P20-P21-P23-P24-P27-P28</f>
        <v>851.87688515000161</v>
      </c>
    </row>
    <row r="23" spans="1:16" s="140" customFormat="1" ht="15" customHeight="1" x14ac:dyDescent="0.2">
      <c r="A23" s="417" t="s">
        <v>679</v>
      </c>
      <c r="B23" s="144"/>
      <c r="C23" s="144"/>
      <c r="D23" s="144"/>
      <c r="E23" s="144"/>
      <c r="F23" s="144">
        <v>-78.479159639999992</v>
      </c>
      <c r="G23" s="144">
        <v>-161.80725911796497</v>
      </c>
      <c r="H23" s="144">
        <v>-108.3</v>
      </c>
      <c r="I23" s="144">
        <v>-52.251846920000006</v>
      </c>
      <c r="J23" s="144">
        <v>0</v>
      </c>
      <c r="K23" s="144">
        <v>-3.5278251982405266</v>
      </c>
      <c r="L23" s="144">
        <v>-6.7967932945483964</v>
      </c>
      <c r="M23" s="144">
        <v>-8.5065256556059232</v>
      </c>
      <c r="N23" s="144">
        <v>-8.9531584178710363E-2</v>
      </c>
      <c r="O23" s="144">
        <v>-3.9737190672840135</v>
      </c>
      <c r="P23" s="144">
        <v>-8.0831374945194625</v>
      </c>
    </row>
    <row r="24" spans="1:16" s="140" customFormat="1" ht="15" customHeight="1" x14ac:dyDescent="0.2">
      <c r="A24" s="138" t="s">
        <v>579</v>
      </c>
      <c r="B24" s="144">
        <v>194.29714705243907</v>
      </c>
      <c r="C24" s="144">
        <v>189.22599694264929</v>
      </c>
      <c r="D24" s="144">
        <v>174.6298422199726</v>
      </c>
      <c r="E24" s="144">
        <v>176.25840188795783</v>
      </c>
      <c r="F24" s="144">
        <v>159.4077594102026</v>
      </c>
      <c r="G24" s="144">
        <v>94.388123948871524</v>
      </c>
      <c r="H24" s="144">
        <v>99.6</v>
      </c>
      <c r="I24" s="144">
        <v>112.06613132752244</v>
      </c>
      <c r="J24" s="144">
        <v>104.45365488577715</v>
      </c>
      <c r="K24" s="144">
        <v>54.092066021821495</v>
      </c>
      <c r="L24" s="144">
        <v>129.70815445872631</v>
      </c>
      <c r="M24" s="144">
        <v>125.92110792493892</v>
      </c>
      <c r="N24" s="144">
        <v>150.30614390077906</v>
      </c>
      <c r="O24" s="144">
        <v>68.066606009155294</v>
      </c>
      <c r="P24" s="144">
        <v>78.116400141017991</v>
      </c>
    </row>
    <row r="25" spans="1:16" s="140" customFormat="1" ht="15" customHeight="1" x14ac:dyDescent="0.25">
      <c r="A25" s="141" t="s">
        <v>176</v>
      </c>
      <c r="B25" s="142">
        <v>1999.295632394842</v>
      </c>
      <c r="C25" s="142">
        <v>2040.0151495126495</v>
      </c>
      <c r="D25" s="142">
        <v>2100.4381365699728</v>
      </c>
      <c r="E25" s="142">
        <v>2170.4378152279583</v>
      </c>
      <c r="F25" s="142">
        <v>2075.4682431102028</v>
      </c>
      <c r="G25" s="142">
        <v>2050.9069974309068</v>
      </c>
      <c r="H25" s="142">
        <f t="shared" ref="H25:N25" si="7">SUM(H20:H24)</f>
        <v>2079.5</v>
      </c>
      <c r="I25" s="142">
        <f t="shared" si="7"/>
        <v>1790.0442478475227</v>
      </c>
      <c r="J25" s="142">
        <f t="shared" si="7"/>
        <v>1868.9673081857773</v>
      </c>
      <c r="K25" s="142">
        <f t="shared" si="7"/>
        <v>1847.350002973581</v>
      </c>
      <c r="L25" s="142">
        <f t="shared" si="7"/>
        <v>1941.7277230141779</v>
      </c>
      <c r="M25" s="142">
        <f t="shared" si="7"/>
        <v>1926.9324531693333</v>
      </c>
      <c r="N25" s="142">
        <f t="shared" si="7"/>
        <v>1903.9420326666004</v>
      </c>
      <c r="O25" s="142">
        <f t="shared" ref="O25:P25" si="8">SUM(O20:O24)</f>
        <v>1949.1751247618711</v>
      </c>
      <c r="P25" s="142">
        <f t="shared" si="8"/>
        <v>2088.0922461065002</v>
      </c>
    </row>
    <row r="26" spans="1:16" s="140" customFormat="1" ht="15" customHeight="1" x14ac:dyDescent="0.2">
      <c r="A26" s="145" t="s">
        <v>172</v>
      </c>
      <c r="B26" s="146"/>
      <c r="C26" s="146"/>
      <c r="D26" s="146"/>
      <c r="E26" s="146"/>
      <c r="F26" s="146"/>
      <c r="G26" s="146"/>
      <c r="H26" s="146"/>
      <c r="I26" s="146"/>
      <c r="J26" s="146"/>
      <c r="K26" s="146"/>
      <c r="L26" s="146"/>
      <c r="M26" s="146"/>
      <c r="N26" s="146"/>
      <c r="O26" s="146"/>
      <c r="P26" s="146"/>
    </row>
    <row r="27" spans="1:16" s="140" customFormat="1" ht="15" customHeight="1" x14ac:dyDescent="0.2">
      <c r="A27" s="147" t="s">
        <v>177</v>
      </c>
      <c r="B27" s="139">
        <v>-144.07205134</v>
      </c>
      <c r="C27" s="139">
        <v>-145.19074864873002</v>
      </c>
      <c r="D27" s="139">
        <v>-151.88384152999996</v>
      </c>
      <c r="E27" s="139">
        <v>-151.94825282999997</v>
      </c>
      <c r="F27" s="139">
        <v>-154.20006535000002</v>
      </c>
      <c r="G27" s="139">
        <v>-151.36952010578</v>
      </c>
      <c r="H27" s="139">
        <v>-148.04013725999999</v>
      </c>
      <c r="I27" s="139">
        <v>-224.47763316000001</v>
      </c>
      <c r="J27" s="139">
        <v>-226.95269474</v>
      </c>
      <c r="K27" s="139">
        <v>-206.95626014000004</v>
      </c>
      <c r="L27" s="139">
        <v>-184.28115120999999</v>
      </c>
      <c r="M27" s="139">
        <v>-185.66608209</v>
      </c>
      <c r="N27" s="139">
        <v>-123.19227220000001</v>
      </c>
      <c r="O27" s="139">
        <v>-120.53972715999998</v>
      </c>
      <c r="P27" s="139">
        <v>-115.94170968</v>
      </c>
    </row>
    <row r="28" spans="1:16" s="140" customFormat="1" ht="15" customHeight="1" x14ac:dyDescent="0.2">
      <c r="A28" s="147" t="s">
        <v>178</v>
      </c>
      <c r="B28" s="139">
        <v>-1.32977906364</v>
      </c>
      <c r="C28" s="139">
        <v>-1.32977906364</v>
      </c>
      <c r="D28" s="139">
        <v>-1.49820277513</v>
      </c>
      <c r="E28" s="139">
        <v>-2.5852016350800002</v>
      </c>
      <c r="F28" s="139">
        <v>-1.84802476605</v>
      </c>
      <c r="G28" s="139">
        <v>-1.84802476605</v>
      </c>
      <c r="H28" s="139">
        <v>-2.0935198185199999</v>
      </c>
      <c r="I28" s="139">
        <v>-1.291258303</v>
      </c>
      <c r="J28" s="139">
        <v>-0.88299374776000028</v>
      </c>
      <c r="K28" s="139">
        <v>-0.86897594623000007</v>
      </c>
      <c r="L28" s="139">
        <v>-0.88255077147999983</v>
      </c>
      <c r="M28" s="139">
        <v>-0.87769482716000014</v>
      </c>
      <c r="N28" s="139">
        <v>-1.4535332506299998</v>
      </c>
      <c r="O28" s="139">
        <v>-1.6050807903800002</v>
      </c>
      <c r="P28" s="139">
        <v>-0.81343710159000004</v>
      </c>
    </row>
    <row r="29" spans="1:16" s="140" customFormat="1" ht="15" customHeight="1" x14ac:dyDescent="0.25">
      <c r="A29" s="141" t="s">
        <v>179</v>
      </c>
      <c r="B29" s="142">
        <v>1853.8938019912021</v>
      </c>
      <c r="C29" s="142">
        <v>1893.4946218002794</v>
      </c>
      <c r="D29" s="142">
        <v>1947.0560922648428</v>
      </c>
      <c r="E29" s="142">
        <v>2015.9043607628782</v>
      </c>
      <c r="F29" s="142">
        <v>1919.4201529941529</v>
      </c>
      <c r="G29" s="142">
        <v>1897.6894525590769</v>
      </c>
      <c r="H29" s="142">
        <f t="shared" ref="H29:N29" si="9">H25+H27+H28</f>
        <v>1929.3663429214801</v>
      </c>
      <c r="I29" s="142">
        <f t="shared" si="9"/>
        <v>1564.2753563845226</v>
      </c>
      <c r="J29" s="142">
        <f t="shared" si="9"/>
        <v>1641.1316196980172</v>
      </c>
      <c r="K29" s="142">
        <f t="shared" si="9"/>
        <v>1639.524766887351</v>
      </c>
      <c r="L29" s="142">
        <f t="shared" si="9"/>
        <v>1756.5640210326978</v>
      </c>
      <c r="M29" s="142">
        <f t="shared" si="9"/>
        <v>1740.3886762521734</v>
      </c>
      <c r="N29" s="142">
        <f t="shared" si="9"/>
        <v>1779.2962272159705</v>
      </c>
      <c r="O29" s="142">
        <f t="shared" ref="O29:P29" si="10">O25+O27+O28</f>
        <v>1827.030316811491</v>
      </c>
      <c r="P29" s="142">
        <f t="shared" si="10"/>
        <v>1971.3370993249102</v>
      </c>
    </row>
    <row r="30" spans="1:16" s="140" customFormat="1" ht="15" customHeight="1" x14ac:dyDescent="0.2">
      <c r="A30" s="138" t="s">
        <v>180</v>
      </c>
      <c r="B30" s="139">
        <v>44.55</v>
      </c>
      <c r="C30" s="139">
        <v>44.55</v>
      </c>
      <c r="D30" s="139">
        <v>244.55</v>
      </c>
      <c r="E30" s="139">
        <v>244.55</v>
      </c>
      <c r="F30" s="139">
        <v>244.55</v>
      </c>
      <c r="G30" s="139">
        <v>199.55</v>
      </c>
      <c r="H30" s="139">
        <v>199.6</v>
      </c>
      <c r="I30" s="139">
        <v>199.55</v>
      </c>
      <c r="J30" s="139">
        <v>199.55</v>
      </c>
      <c r="K30" s="139">
        <v>199.55</v>
      </c>
      <c r="L30" s="139">
        <v>199.55</v>
      </c>
      <c r="M30" s="139">
        <v>199.55</v>
      </c>
      <c r="N30" s="139">
        <v>199.55</v>
      </c>
      <c r="O30" s="139">
        <v>199.55</v>
      </c>
      <c r="P30" s="139">
        <v>199.55</v>
      </c>
    </row>
    <row r="31" spans="1:16" s="140" customFormat="1" ht="15" customHeight="1" x14ac:dyDescent="0.25">
      <c r="A31" s="141" t="s">
        <v>181</v>
      </c>
      <c r="B31" s="142">
        <v>1898.443801991202</v>
      </c>
      <c r="C31" s="142">
        <v>1938.0446218002794</v>
      </c>
      <c r="D31" s="142">
        <v>2191.606092264843</v>
      </c>
      <c r="E31" s="142">
        <v>2260.4543607628784</v>
      </c>
      <c r="F31" s="142">
        <v>2163.9701529941531</v>
      </c>
      <c r="G31" s="142">
        <v>2097.2394525590771</v>
      </c>
      <c r="H31" s="142">
        <f>H29+H30</f>
        <v>2128.9663429214802</v>
      </c>
      <c r="I31" s="142">
        <v>2128.9663429214802</v>
      </c>
      <c r="J31" s="142">
        <v>2128.9663429214802</v>
      </c>
      <c r="K31" s="142">
        <v>2128.9663429214802</v>
      </c>
      <c r="L31" s="142">
        <f>SUM(L29:L30)</f>
        <v>1956.1140210326978</v>
      </c>
      <c r="M31" s="142">
        <f t="shared" ref="M31:N31" si="11">SUM(M29:M30)</f>
        <v>1939.9386762521733</v>
      </c>
      <c r="N31" s="142">
        <f t="shared" si="11"/>
        <v>1978.8462272159704</v>
      </c>
      <c r="O31" s="142">
        <f t="shared" ref="O31:P31" si="12">SUM(O29:O30)</f>
        <v>2026.580316811491</v>
      </c>
      <c r="P31" s="142">
        <f t="shared" si="12"/>
        <v>2170.8870993249102</v>
      </c>
    </row>
    <row r="32" spans="1:16" s="140" customFormat="1" ht="15" customHeight="1" x14ac:dyDescent="0.2">
      <c r="A32" s="138" t="s">
        <v>182</v>
      </c>
      <c r="B32" s="139">
        <v>64.859166509999994</v>
      </c>
      <c r="C32" s="139">
        <v>64.891666499999999</v>
      </c>
      <c r="D32" s="139">
        <v>64.924166490000005</v>
      </c>
      <c r="E32" s="139">
        <v>64.956666479999996</v>
      </c>
      <c r="F32" s="139">
        <v>64.989166470000001</v>
      </c>
      <c r="G32" s="139">
        <v>106.8</v>
      </c>
      <c r="H32" s="139">
        <v>65</v>
      </c>
      <c r="I32" s="139">
        <v>65</v>
      </c>
      <c r="J32" s="139">
        <v>65</v>
      </c>
      <c r="K32" s="139">
        <v>65</v>
      </c>
      <c r="L32" s="139">
        <v>65</v>
      </c>
      <c r="M32" s="139">
        <v>65</v>
      </c>
      <c r="N32" s="139">
        <v>65</v>
      </c>
      <c r="O32" s="139">
        <v>65</v>
      </c>
      <c r="P32" s="139">
        <v>165</v>
      </c>
    </row>
    <row r="33" spans="1:16" s="140" customFormat="1" ht="15" customHeight="1" x14ac:dyDescent="0.25">
      <c r="A33" s="141" t="s">
        <v>183</v>
      </c>
      <c r="B33" s="142">
        <v>64.859166509999994</v>
      </c>
      <c r="C33" s="142">
        <v>64.891666499999999</v>
      </c>
      <c r="D33" s="142">
        <v>64.924166490000005</v>
      </c>
      <c r="E33" s="142">
        <v>64.956666479999996</v>
      </c>
      <c r="F33" s="142">
        <v>64.989166470000001</v>
      </c>
      <c r="G33" s="142">
        <v>106.8</v>
      </c>
      <c r="H33" s="142">
        <f>H32</f>
        <v>65</v>
      </c>
      <c r="I33" s="142">
        <f>I32</f>
        <v>65</v>
      </c>
      <c r="J33" s="142">
        <f>J32</f>
        <v>65</v>
      </c>
      <c r="K33" s="142">
        <f>K32</f>
        <v>65</v>
      </c>
      <c r="L33" s="142">
        <f t="shared" ref="L33:N33" si="13">L32</f>
        <v>65</v>
      </c>
      <c r="M33" s="142">
        <f t="shared" si="13"/>
        <v>65</v>
      </c>
      <c r="N33" s="142">
        <f t="shared" si="13"/>
        <v>65</v>
      </c>
      <c r="O33" s="142">
        <f t="shared" ref="O33:P33" si="14">O32</f>
        <v>65</v>
      </c>
      <c r="P33" s="142">
        <f t="shared" si="14"/>
        <v>165</v>
      </c>
    </row>
    <row r="34" spans="1:16" s="140" customFormat="1" ht="10.5" x14ac:dyDescent="0.25">
      <c r="A34" s="141" t="s">
        <v>184</v>
      </c>
      <c r="B34" s="142">
        <v>1963.302968501202</v>
      </c>
      <c r="C34" s="142">
        <v>2002.9362883002793</v>
      </c>
      <c r="D34" s="142">
        <v>2256.5302587548431</v>
      </c>
      <c r="E34" s="142">
        <v>2325.4110272428784</v>
      </c>
      <c r="F34" s="142">
        <v>2228.9593194641529</v>
      </c>
      <c r="G34" s="142">
        <v>2204.0394525590773</v>
      </c>
      <c r="H34" s="142">
        <f t="shared" ref="H34:N34" si="15">H31+H33</f>
        <v>2193.9663429214802</v>
      </c>
      <c r="I34" s="142">
        <f t="shared" si="15"/>
        <v>2193.9663429214802</v>
      </c>
      <c r="J34" s="142">
        <f t="shared" si="15"/>
        <v>2193.9663429214802</v>
      </c>
      <c r="K34" s="142">
        <f t="shared" si="15"/>
        <v>2193.9663429214802</v>
      </c>
      <c r="L34" s="142">
        <f t="shared" si="15"/>
        <v>2021.1140210326978</v>
      </c>
      <c r="M34" s="142">
        <f t="shared" si="15"/>
        <v>2004.9386762521733</v>
      </c>
      <c r="N34" s="142">
        <f t="shared" si="15"/>
        <v>2043.8462272159704</v>
      </c>
      <c r="O34" s="142">
        <f t="shared" ref="O34:P34" si="16">O31+O33</f>
        <v>2091.5803168114908</v>
      </c>
      <c r="P34" s="142">
        <f t="shared" si="16"/>
        <v>2335.8870993249102</v>
      </c>
    </row>
    <row r="35" spans="1:16" s="140" customFormat="1" ht="10" x14ac:dyDescent="0.2">
      <c r="A35" s="143"/>
      <c r="B35" s="143"/>
      <c r="C35" s="143"/>
      <c r="D35" s="143"/>
      <c r="E35" s="143"/>
      <c r="F35" s="143"/>
      <c r="G35" s="143"/>
      <c r="H35" s="143"/>
      <c r="I35" s="143"/>
    </row>
    <row r="36" spans="1:16" s="140" customFormat="1" ht="10" x14ac:dyDescent="0.2">
      <c r="A36" s="143"/>
      <c r="B36" s="143"/>
      <c r="C36" s="143"/>
      <c r="D36" s="143"/>
      <c r="E36" s="143"/>
      <c r="F36" s="143"/>
      <c r="G36" s="143"/>
      <c r="H36" s="143"/>
      <c r="I36" s="143"/>
    </row>
    <row r="37" spans="1:16" s="140" customFormat="1" ht="10.5" x14ac:dyDescent="0.2">
      <c r="A37" s="416" t="s">
        <v>185</v>
      </c>
      <c r="B37" s="254">
        <f t="shared" ref="B37:M37" si="17">B18</f>
        <v>43830</v>
      </c>
      <c r="C37" s="254">
        <f t="shared" si="17"/>
        <v>43921</v>
      </c>
      <c r="D37" s="254">
        <f t="shared" si="17"/>
        <v>44012</v>
      </c>
      <c r="E37" s="254">
        <f t="shared" si="17"/>
        <v>44104</v>
      </c>
      <c r="F37" s="254">
        <f t="shared" si="17"/>
        <v>44196</v>
      </c>
      <c r="G37" s="254">
        <f t="shared" si="17"/>
        <v>44286</v>
      </c>
      <c r="H37" s="254">
        <f t="shared" si="17"/>
        <v>44377</v>
      </c>
      <c r="I37" s="254">
        <f t="shared" si="17"/>
        <v>44469</v>
      </c>
      <c r="J37" s="254">
        <f t="shared" si="17"/>
        <v>44561</v>
      </c>
      <c r="K37" s="254">
        <f t="shared" si="17"/>
        <v>44651</v>
      </c>
      <c r="L37" s="254">
        <f t="shared" si="17"/>
        <v>44742</v>
      </c>
      <c r="M37" s="254">
        <f t="shared" si="17"/>
        <v>44834</v>
      </c>
      <c r="N37" s="254">
        <f t="shared" ref="N37:O37" si="18">N18</f>
        <v>44926</v>
      </c>
      <c r="O37" s="254">
        <f t="shared" si="18"/>
        <v>45015</v>
      </c>
      <c r="P37" s="254">
        <f t="shared" ref="P37" si="19">P18</f>
        <v>45107</v>
      </c>
    </row>
    <row r="38" spans="1:16" s="140" customFormat="1" ht="15" customHeight="1" x14ac:dyDescent="0.2">
      <c r="A38" s="255" t="s">
        <v>186</v>
      </c>
      <c r="B38" s="255"/>
      <c r="C38" s="255"/>
      <c r="D38" s="255"/>
      <c r="E38" s="255"/>
      <c r="F38" s="255"/>
      <c r="G38" s="255"/>
      <c r="H38" s="255"/>
      <c r="I38" s="255"/>
      <c r="J38" s="255"/>
      <c r="K38" s="255"/>
      <c r="L38" s="255"/>
      <c r="M38" s="255"/>
      <c r="N38" s="255"/>
      <c r="O38" s="255"/>
      <c r="P38" s="255"/>
    </row>
    <row r="39" spans="1:16" s="140" customFormat="1" ht="15" customHeight="1" x14ac:dyDescent="0.2">
      <c r="A39" s="143"/>
      <c r="B39" s="152"/>
      <c r="C39" s="152"/>
      <c r="D39" s="152"/>
      <c r="E39" s="152"/>
      <c r="F39" s="152"/>
      <c r="G39" s="152"/>
      <c r="H39" s="152"/>
      <c r="I39" s="152"/>
    </row>
    <row r="40" spans="1:16" s="140" customFormat="1" ht="15" customHeight="1" x14ac:dyDescent="0.2">
      <c r="A40" s="148" t="s">
        <v>187</v>
      </c>
      <c r="B40" s="149">
        <v>0.21192537142837492</v>
      </c>
      <c r="C40" s="149">
        <v>0.20858294346598327</v>
      </c>
      <c r="D40" s="149">
        <v>0.21814905647874738</v>
      </c>
      <c r="E40" s="149">
        <v>0.22237461449475335</v>
      </c>
      <c r="F40" s="149">
        <v>0.22731983756744864</v>
      </c>
      <c r="G40" s="149">
        <v>0.22457185270176977</v>
      </c>
      <c r="H40" s="149">
        <v>0.22307862440876894</v>
      </c>
      <c r="I40" s="149">
        <v>0.18779308490174484</v>
      </c>
      <c r="J40" s="149">
        <v>0.20691275566742287</v>
      </c>
      <c r="K40" s="149">
        <v>0.21904269064280418</v>
      </c>
      <c r="L40" s="149">
        <v>0.24252624822185906</v>
      </c>
      <c r="M40" s="149">
        <v>0.22047295250108537</v>
      </c>
      <c r="N40" s="149">
        <v>0.20485519567469138</v>
      </c>
      <c r="O40" s="149">
        <v>0.19465664083558484</v>
      </c>
      <c r="P40" s="149">
        <f>P29/P$15</f>
        <v>0.20615507219714532</v>
      </c>
    </row>
    <row r="41" spans="1:16" s="140" customFormat="1" ht="15" customHeight="1" x14ac:dyDescent="0.2">
      <c r="A41" s="148" t="s">
        <v>180</v>
      </c>
      <c r="B41" s="149">
        <v>5.0926732086776279E-3</v>
      </c>
      <c r="C41" s="149">
        <v>4.9075239107754321E-3</v>
      </c>
      <c r="D41" s="149">
        <v>2.7399494022702822E-2</v>
      </c>
      <c r="E41" s="149">
        <v>2.6976335302986432E-2</v>
      </c>
      <c r="F41" s="149">
        <v>2.8021138940615337E-2</v>
      </c>
      <c r="G41" s="149">
        <v>2.3614671592449649E-2</v>
      </c>
      <c r="H41" s="149">
        <v>2.3072032351576038E-2</v>
      </c>
      <c r="I41" s="149">
        <v>2.3956210739493028E-2</v>
      </c>
      <c r="J41" s="149">
        <v>2.5159127944309467E-2</v>
      </c>
      <c r="K41" s="149">
        <v>2.6660145549832259E-2</v>
      </c>
      <c r="L41" s="149">
        <f>26.9867989595995%-L40</f>
        <v>2.7341741374135947E-2</v>
      </c>
      <c r="M41" s="149">
        <f>24.5220909193617%-M40</f>
        <v>2.4747956692531603E-2</v>
      </c>
      <c r="N41" s="149">
        <f>22.7829927859026%-N40</f>
        <v>2.2974732184334629E-2</v>
      </c>
      <c r="O41" s="149">
        <f>O30/O15</f>
        <v>2.1260584633609428E-2</v>
      </c>
      <c r="P41" s="149">
        <f>P30/P15</f>
        <v>2.0868193811717062E-2</v>
      </c>
    </row>
    <row r="42" spans="1:16" s="140" customFormat="1" ht="15" customHeight="1" x14ac:dyDescent="0.2">
      <c r="A42" s="148" t="s">
        <v>188</v>
      </c>
      <c r="B42" s="149">
        <v>7.4142882070176936E-3</v>
      </c>
      <c r="C42" s="149">
        <v>7.1483143649565678E-3</v>
      </c>
      <c r="D42" s="149">
        <v>7.2741333537997051E-3</v>
      </c>
      <c r="E42" s="149">
        <v>7.1653764675066178E-3</v>
      </c>
      <c r="F42" s="149">
        <v>7.4466181283608379E-3</v>
      </c>
      <c r="G42" s="149">
        <v>1.2638671641561655E-2</v>
      </c>
      <c r="H42" s="149">
        <v>7.5153199842267204E-3</v>
      </c>
      <c r="I42" s="149">
        <v>7.8033259737762262E-3</v>
      </c>
      <c r="J42" s="149">
        <v>8.195155682185512E-3</v>
      </c>
      <c r="K42" s="149">
        <v>8.684086498316701E-3</v>
      </c>
      <c r="L42" s="149">
        <f>27.8774094278125%-L41-L40</f>
        <v>8.9061046821299616E-3</v>
      </c>
      <c r="M42" s="149">
        <f>25.3282132871966%-M41-M40</f>
        <v>8.0612236783490221E-3</v>
      </c>
      <c r="N42" s="149">
        <f>23.5313553977702%-N41-N40</f>
        <v>7.4836261186759789E-3</v>
      </c>
      <c r="O42" s="149">
        <f>O32/O15</f>
        <v>6.9252718676252201E-3</v>
      </c>
      <c r="P42" s="149">
        <f>P32/P15</f>
        <v>1.7255083833291482E-2</v>
      </c>
    </row>
    <row r="43" spans="1:16" x14ac:dyDescent="0.35">
      <c r="A43" s="150" t="s">
        <v>509</v>
      </c>
      <c r="B43" s="151">
        <v>0.22443233284407024</v>
      </c>
      <c r="C43" s="151">
        <v>0.22063878174171525</v>
      </c>
      <c r="D43" s="151">
        <v>0.25282268385524992</v>
      </c>
      <c r="E43" s="151">
        <v>0.2565163262652464</v>
      </c>
      <c r="F43" s="151">
        <v>0.26278759463642481</v>
      </c>
      <c r="G43" s="151">
        <v>0.26082519593578107</v>
      </c>
      <c r="H43" s="151">
        <f t="shared" ref="H43:N43" si="20">H40+H41+H42</f>
        <v>0.2536659767445717</v>
      </c>
      <c r="I43" s="151">
        <f t="shared" si="20"/>
        <v>0.2195526216150141</v>
      </c>
      <c r="J43" s="151">
        <f t="shared" si="20"/>
        <v>0.24026703929391785</v>
      </c>
      <c r="K43" s="151">
        <f t="shared" si="20"/>
        <v>0.25438692269095314</v>
      </c>
      <c r="L43" s="151">
        <f t="shared" si="20"/>
        <v>0.27877409427812494</v>
      </c>
      <c r="M43" s="151">
        <f t="shared" si="20"/>
        <v>0.25328213287196599</v>
      </c>
      <c r="N43" s="151">
        <f t="shared" si="20"/>
        <v>0.23531355397770198</v>
      </c>
      <c r="O43" s="151">
        <f>SUM(O40:O42)</f>
        <v>0.22284249733681952</v>
      </c>
      <c r="P43" s="151">
        <f>SUM(P40:P42)</f>
        <v>0.24427834984215385</v>
      </c>
    </row>
    <row r="45" spans="1:16" x14ac:dyDescent="0.35">
      <c r="A45" s="416" t="s">
        <v>551</v>
      </c>
      <c r="B45" s="254">
        <f t="shared" ref="B45:I45" si="21">B37</f>
        <v>43830</v>
      </c>
      <c r="C45" s="254">
        <f t="shared" si="21"/>
        <v>43921</v>
      </c>
      <c r="D45" s="254">
        <f t="shared" si="21"/>
        <v>44012</v>
      </c>
      <c r="E45" s="254">
        <f t="shared" si="21"/>
        <v>44104</v>
      </c>
      <c r="F45" s="254">
        <f t="shared" si="21"/>
        <v>44196</v>
      </c>
      <c r="G45" s="254">
        <f t="shared" si="21"/>
        <v>44286</v>
      </c>
      <c r="H45" s="254">
        <f t="shared" si="21"/>
        <v>44377</v>
      </c>
      <c r="I45" s="254">
        <f t="shared" si="21"/>
        <v>44469</v>
      </c>
      <c r="J45" s="254">
        <f>J37</f>
        <v>44561</v>
      </c>
      <c r="K45" s="254">
        <f t="shared" ref="K45:N45" si="22">K37</f>
        <v>44651</v>
      </c>
      <c r="L45" s="254">
        <f t="shared" si="22"/>
        <v>44742</v>
      </c>
      <c r="M45" s="254">
        <f t="shared" si="22"/>
        <v>44834</v>
      </c>
      <c r="N45" s="254">
        <f t="shared" si="22"/>
        <v>44926</v>
      </c>
      <c r="O45" s="254">
        <f t="shared" ref="O45:P45" si="23">O37</f>
        <v>45015</v>
      </c>
      <c r="P45" s="254">
        <f t="shared" si="23"/>
        <v>45107</v>
      </c>
    </row>
    <row r="46" spans="1:16" x14ac:dyDescent="0.35">
      <c r="A46" s="255" t="s">
        <v>186</v>
      </c>
      <c r="B46" s="255"/>
      <c r="C46" s="255"/>
      <c r="D46" s="255"/>
      <c r="E46" s="255"/>
      <c r="F46" s="255"/>
      <c r="G46" s="255"/>
      <c r="H46" s="255"/>
      <c r="I46" s="255"/>
      <c r="J46" s="255"/>
      <c r="K46" s="255"/>
      <c r="L46" s="255"/>
      <c r="M46" s="255"/>
      <c r="N46" s="255"/>
      <c r="O46" s="255"/>
      <c r="P46" s="255"/>
    </row>
    <row r="47" spans="1:16" x14ac:dyDescent="0.35">
      <c r="A47" s="148" t="s">
        <v>554</v>
      </c>
      <c r="B47" s="149">
        <v>4.4999999999999998E-2</v>
      </c>
      <c r="C47" s="149">
        <v>4.4999999999999998E-2</v>
      </c>
      <c r="D47" s="151">
        <v>4.4999999999999998E-2</v>
      </c>
      <c r="E47" s="151">
        <v>4.4999999999999998E-2</v>
      </c>
      <c r="F47" s="151">
        <v>4.4999999999999998E-2</v>
      </c>
      <c r="G47" s="151">
        <v>4.4999999999999998E-2</v>
      </c>
      <c r="H47" s="151">
        <f t="shared" ref="H47:P47" si="24">G47</f>
        <v>4.4999999999999998E-2</v>
      </c>
      <c r="I47" s="151">
        <f t="shared" si="24"/>
        <v>4.4999999999999998E-2</v>
      </c>
      <c r="J47" s="151">
        <f t="shared" si="24"/>
        <v>4.4999999999999998E-2</v>
      </c>
      <c r="K47" s="151">
        <f t="shared" si="24"/>
        <v>4.4999999999999998E-2</v>
      </c>
      <c r="L47" s="151">
        <f t="shared" si="24"/>
        <v>4.4999999999999998E-2</v>
      </c>
      <c r="M47" s="151">
        <f t="shared" si="24"/>
        <v>4.4999999999999998E-2</v>
      </c>
      <c r="N47" s="151">
        <f t="shared" si="24"/>
        <v>4.4999999999999998E-2</v>
      </c>
      <c r="O47" s="151">
        <f t="shared" si="24"/>
        <v>4.4999999999999998E-2</v>
      </c>
      <c r="P47" s="151">
        <f t="shared" si="24"/>
        <v>4.4999999999999998E-2</v>
      </c>
    </row>
    <row r="48" spans="1:16" x14ac:dyDescent="0.35">
      <c r="A48" s="148" t="s">
        <v>552</v>
      </c>
      <c r="B48" s="149">
        <v>2.5000000000000001E-2</v>
      </c>
      <c r="C48" s="149">
        <v>2.5000000000000001E-2</v>
      </c>
      <c r="D48" s="149">
        <v>2.5000000000000001E-2</v>
      </c>
      <c r="E48" s="149">
        <v>2.5000000000000001E-2</v>
      </c>
      <c r="F48" s="149">
        <v>2.5000000000000001E-2</v>
      </c>
      <c r="G48" s="149">
        <v>2.5000000000000001E-2</v>
      </c>
      <c r="H48" s="149">
        <f>G48</f>
        <v>2.5000000000000001E-2</v>
      </c>
      <c r="I48" s="149">
        <f t="shared" ref="I48:P57" si="25">H48</f>
        <v>2.5000000000000001E-2</v>
      </c>
      <c r="J48" s="149">
        <f t="shared" si="25"/>
        <v>2.5000000000000001E-2</v>
      </c>
      <c r="K48" s="149">
        <f t="shared" si="25"/>
        <v>2.5000000000000001E-2</v>
      </c>
      <c r="L48" s="149">
        <f t="shared" ref="L48:L49" si="26">K48</f>
        <v>2.5000000000000001E-2</v>
      </c>
      <c r="M48" s="149">
        <f t="shared" ref="M48:M49" si="27">L48</f>
        <v>2.5000000000000001E-2</v>
      </c>
      <c r="N48" s="149">
        <f t="shared" ref="N48:P49" si="28">M48</f>
        <v>2.5000000000000001E-2</v>
      </c>
      <c r="O48" s="149">
        <f t="shared" si="28"/>
        <v>2.5000000000000001E-2</v>
      </c>
      <c r="P48" s="149">
        <f t="shared" si="28"/>
        <v>2.5000000000000001E-2</v>
      </c>
    </row>
    <row r="49" spans="1:16" x14ac:dyDescent="0.35">
      <c r="A49" s="148" t="s">
        <v>553</v>
      </c>
      <c r="B49" s="149">
        <v>0.03</v>
      </c>
      <c r="C49" s="149">
        <v>0.03</v>
      </c>
      <c r="D49" s="149">
        <v>0.03</v>
      </c>
      <c r="E49" s="149">
        <v>0.03</v>
      </c>
      <c r="F49" s="149">
        <v>0.03</v>
      </c>
      <c r="G49" s="149">
        <v>0.03</v>
      </c>
      <c r="H49" s="149">
        <f>G49</f>
        <v>0.03</v>
      </c>
      <c r="I49" s="149">
        <f t="shared" si="25"/>
        <v>0.03</v>
      </c>
      <c r="J49" s="149">
        <f t="shared" si="25"/>
        <v>0.03</v>
      </c>
      <c r="K49" s="149">
        <f t="shared" si="25"/>
        <v>0.03</v>
      </c>
      <c r="L49" s="149">
        <f t="shared" si="26"/>
        <v>0.03</v>
      </c>
      <c r="M49" s="149">
        <f t="shared" si="27"/>
        <v>0.03</v>
      </c>
      <c r="N49" s="149">
        <f t="shared" si="28"/>
        <v>0.03</v>
      </c>
      <c r="O49" s="149">
        <f t="shared" si="28"/>
        <v>0.03</v>
      </c>
      <c r="P49" s="149">
        <f t="shared" si="28"/>
        <v>0.03</v>
      </c>
    </row>
    <row r="50" spans="1:16" x14ac:dyDescent="0.35">
      <c r="A50" s="148" t="s">
        <v>565</v>
      </c>
      <c r="B50" s="149">
        <v>1.7999999999999999E-2</v>
      </c>
      <c r="C50" s="149">
        <v>5.2302379903421663E-3</v>
      </c>
      <c r="D50" s="149">
        <v>5.1673376256063819E-3</v>
      </c>
      <c r="E50" s="149">
        <v>4.9927406493235895E-3</v>
      </c>
      <c r="F50" s="149">
        <v>4.9092090211249988E-3</v>
      </c>
      <c r="G50" s="149">
        <v>4.8809768291311045E-3</v>
      </c>
      <c r="H50" s="149">
        <v>4.8850215231078581E-3</v>
      </c>
      <c r="I50" s="149">
        <v>4.9830902802812573E-3</v>
      </c>
      <c r="J50" s="149">
        <v>5.5778987570582915E-3</v>
      </c>
      <c r="K50" s="149">
        <v>5.598676764016988E-3</v>
      </c>
      <c r="L50" s="149">
        <v>7.2301552035649325E-3</v>
      </c>
      <c r="M50" s="149">
        <v>9.3152840237116577E-3</v>
      </c>
      <c r="N50" s="149">
        <v>1.1232260318672114E-2</v>
      </c>
      <c r="O50" s="149">
        <v>1.214964936721616E-2</v>
      </c>
      <c r="P50" s="149">
        <v>1.3715915937820424E-2</v>
      </c>
    </row>
    <row r="51" spans="1:16" x14ac:dyDescent="0.35">
      <c r="A51" s="150" t="s">
        <v>555</v>
      </c>
      <c r="B51" s="151">
        <v>0.11800000000000001</v>
      </c>
      <c r="C51" s="151">
        <v>0.10523023799034217</v>
      </c>
      <c r="D51" s="151">
        <v>0.10516733762560639</v>
      </c>
      <c r="E51" s="151">
        <v>0.1049927406493236</v>
      </c>
      <c r="F51" s="151">
        <v>0.10490920902112501</v>
      </c>
      <c r="G51" s="151">
        <v>0.10488097682913111</v>
      </c>
      <c r="H51" s="151">
        <f t="shared" ref="H51:N51" si="29">H47+H48+H49+H50</f>
        <v>0.10488502152310786</v>
      </c>
      <c r="I51" s="151">
        <f t="shared" si="29"/>
        <v>0.10498309028028126</v>
      </c>
      <c r="J51" s="151">
        <f t="shared" si="29"/>
        <v>0.10557789875705829</v>
      </c>
      <c r="K51" s="151">
        <f t="shared" si="29"/>
        <v>0.10559867676401699</v>
      </c>
      <c r="L51" s="151">
        <f t="shared" si="29"/>
        <v>0.10723015520356494</v>
      </c>
      <c r="M51" s="151">
        <f t="shared" si="29"/>
        <v>0.10931528402371166</v>
      </c>
      <c r="N51" s="151">
        <f t="shared" si="29"/>
        <v>0.11123226031867212</v>
      </c>
      <c r="O51" s="151">
        <f t="shared" ref="O51:P51" si="30">O47+O48+O49+O50</f>
        <v>0.11214964936721616</v>
      </c>
      <c r="P51" s="151">
        <f t="shared" si="30"/>
        <v>0.11371591593782043</v>
      </c>
    </row>
    <row r="52" spans="1:16" x14ac:dyDescent="0.35">
      <c r="A52" s="148" t="s">
        <v>556</v>
      </c>
      <c r="B52" s="149">
        <v>1.4999999999999999E-2</v>
      </c>
      <c r="C52" s="149">
        <v>1.4999999999999999E-2</v>
      </c>
      <c r="D52" s="149">
        <v>1.4999999999999999E-2</v>
      </c>
      <c r="E52" s="149">
        <v>1.4999999999999999E-2</v>
      </c>
      <c r="F52" s="149">
        <v>1.4999999999999999E-2</v>
      </c>
      <c r="G52" s="149">
        <v>1.4999999999999999E-2</v>
      </c>
      <c r="H52" s="149">
        <v>1.4999999999999999E-2</v>
      </c>
      <c r="I52" s="149">
        <f t="shared" si="25"/>
        <v>1.4999999999999999E-2</v>
      </c>
      <c r="J52" s="149">
        <f t="shared" si="25"/>
        <v>1.4999999999999999E-2</v>
      </c>
      <c r="K52" s="149">
        <f t="shared" si="25"/>
        <v>1.4999999999999999E-2</v>
      </c>
      <c r="L52" s="149">
        <f t="shared" ref="L52" si="31">K52</f>
        <v>1.4999999999999999E-2</v>
      </c>
      <c r="M52" s="149">
        <f t="shared" ref="M52" si="32">L52</f>
        <v>1.4999999999999999E-2</v>
      </c>
      <c r="N52" s="149">
        <f t="shared" ref="N52:P52" si="33">M52</f>
        <v>1.4999999999999999E-2</v>
      </c>
      <c r="O52" s="149">
        <f t="shared" si="33"/>
        <v>1.4999999999999999E-2</v>
      </c>
      <c r="P52" s="149">
        <f t="shared" si="33"/>
        <v>1.4999999999999999E-2</v>
      </c>
    </row>
    <row r="53" spans="1:16" x14ac:dyDescent="0.35">
      <c r="A53" s="150" t="s">
        <v>557</v>
      </c>
      <c r="B53" s="151">
        <v>0.13300000000000001</v>
      </c>
      <c r="C53" s="151">
        <v>0.12023023799034217</v>
      </c>
      <c r="D53" s="151">
        <v>0.12016733762560639</v>
      </c>
      <c r="E53" s="151">
        <v>0.1199927406493236</v>
      </c>
      <c r="F53" s="151">
        <v>0.11990920902112501</v>
      </c>
      <c r="G53" s="151">
        <v>0.11988097682913111</v>
      </c>
      <c r="H53" s="151">
        <f t="shared" ref="H53:N53" si="34">H51+H52</f>
        <v>0.11988502152310786</v>
      </c>
      <c r="I53" s="151">
        <f t="shared" si="34"/>
        <v>0.11998309028028126</v>
      </c>
      <c r="J53" s="151">
        <f t="shared" si="34"/>
        <v>0.12057789875705829</v>
      </c>
      <c r="K53" s="151">
        <f t="shared" si="34"/>
        <v>0.12059867676401699</v>
      </c>
      <c r="L53" s="151">
        <f t="shared" si="34"/>
        <v>0.12223015520356494</v>
      </c>
      <c r="M53" s="151">
        <f t="shared" si="34"/>
        <v>0.12431528402371166</v>
      </c>
      <c r="N53" s="151">
        <f t="shared" si="34"/>
        <v>0.12623226031867213</v>
      </c>
      <c r="O53" s="151">
        <f t="shared" ref="O53:P53" si="35">O51+O52</f>
        <v>0.12714964936721618</v>
      </c>
      <c r="P53" s="151">
        <f t="shared" si="35"/>
        <v>0.12871591593782045</v>
      </c>
    </row>
    <row r="54" spans="1:16" x14ac:dyDescent="0.35">
      <c r="A54" s="148" t="s">
        <v>558</v>
      </c>
      <c r="B54" s="149">
        <v>0.02</v>
      </c>
      <c r="C54" s="149">
        <v>0.02</v>
      </c>
      <c r="D54" s="149">
        <v>0.02</v>
      </c>
      <c r="E54" s="149">
        <v>0.02</v>
      </c>
      <c r="F54" s="149">
        <v>0.02</v>
      </c>
      <c r="G54" s="149">
        <v>0.02</v>
      </c>
      <c r="H54" s="149">
        <v>0.02</v>
      </c>
      <c r="I54" s="149">
        <f t="shared" si="25"/>
        <v>0.02</v>
      </c>
      <c r="J54" s="149">
        <f t="shared" si="25"/>
        <v>0.02</v>
      </c>
      <c r="K54" s="149">
        <f t="shared" si="25"/>
        <v>0.02</v>
      </c>
      <c r="L54" s="149">
        <f t="shared" ref="L54" si="36">K54</f>
        <v>0.02</v>
      </c>
      <c r="M54" s="149">
        <f t="shared" ref="M54" si="37">L54</f>
        <v>0.02</v>
      </c>
      <c r="N54" s="149">
        <f t="shared" ref="N54:P54" si="38">M54</f>
        <v>0.02</v>
      </c>
      <c r="O54" s="149">
        <f t="shared" si="38"/>
        <v>0.02</v>
      </c>
      <c r="P54" s="149">
        <f t="shared" si="38"/>
        <v>0.02</v>
      </c>
    </row>
    <row r="55" spans="1:16" x14ac:dyDescent="0.35">
      <c r="A55" s="150" t="s">
        <v>559</v>
      </c>
      <c r="B55" s="151">
        <v>0.153</v>
      </c>
      <c r="C55" s="151">
        <v>0.14023023799034218</v>
      </c>
      <c r="D55" s="151">
        <v>0.14016733762560638</v>
      </c>
      <c r="E55" s="151">
        <v>0.1399927406493236</v>
      </c>
      <c r="F55" s="151">
        <v>0.139909209021125</v>
      </c>
      <c r="G55" s="151">
        <v>0.13988097682913112</v>
      </c>
      <c r="H55" s="151">
        <f t="shared" ref="H55:N55" si="39">H53+H54</f>
        <v>0.13988502152310786</v>
      </c>
      <c r="I55" s="151">
        <f t="shared" si="39"/>
        <v>0.13998309028028125</v>
      </c>
      <c r="J55" s="151">
        <f t="shared" si="39"/>
        <v>0.14057789875705828</v>
      </c>
      <c r="K55" s="151">
        <f t="shared" si="39"/>
        <v>0.14059867676401699</v>
      </c>
      <c r="L55" s="151">
        <f t="shared" si="39"/>
        <v>0.14223015520356494</v>
      </c>
      <c r="M55" s="151">
        <f t="shared" si="39"/>
        <v>0.14431528402371166</v>
      </c>
      <c r="N55" s="151">
        <f t="shared" si="39"/>
        <v>0.14623226031867212</v>
      </c>
      <c r="O55" s="151">
        <f t="shared" ref="O55:P55" si="40">O53+O54</f>
        <v>0.14714964936721617</v>
      </c>
      <c r="P55" s="151">
        <f t="shared" si="40"/>
        <v>0.14871591593782044</v>
      </c>
    </row>
    <row r="56" spans="1:16" x14ac:dyDescent="0.35">
      <c r="A56" s="150"/>
      <c r="B56" s="151"/>
      <c r="C56" s="151"/>
      <c r="D56" s="151"/>
      <c r="E56" s="151"/>
      <c r="F56" s="151"/>
      <c r="G56" s="151"/>
      <c r="H56" s="151"/>
      <c r="I56" s="151"/>
      <c r="J56" s="151"/>
      <c r="K56" s="151"/>
      <c r="L56" s="151"/>
      <c r="M56" s="151"/>
      <c r="N56" s="151"/>
      <c r="O56" s="151"/>
      <c r="P56" s="151"/>
    </row>
    <row r="57" spans="1:16" x14ac:dyDescent="0.35">
      <c r="A57" s="150" t="s">
        <v>560</v>
      </c>
      <c r="B57" s="151">
        <v>6.5000000000000002E-2</v>
      </c>
      <c r="C57" s="151">
        <v>6.5000000000000002E-2</v>
      </c>
      <c r="D57" s="151">
        <v>6.5000000000000002E-2</v>
      </c>
      <c r="E57" s="151">
        <v>6.5000000000000002E-2</v>
      </c>
      <c r="F57" s="151">
        <v>6.5000000000000002E-2</v>
      </c>
      <c r="G57" s="151">
        <v>6.5000000000000002E-2</v>
      </c>
      <c r="H57" s="151">
        <v>6.5000000000000002E-2</v>
      </c>
      <c r="I57" s="151">
        <f t="shared" si="25"/>
        <v>6.5000000000000002E-2</v>
      </c>
      <c r="J57" s="151">
        <f t="shared" si="25"/>
        <v>6.5000000000000002E-2</v>
      </c>
      <c r="K57" s="151">
        <f t="shared" si="25"/>
        <v>6.5000000000000002E-2</v>
      </c>
      <c r="L57" s="151">
        <f t="shared" si="25"/>
        <v>6.5000000000000002E-2</v>
      </c>
      <c r="M57" s="151">
        <f t="shared" si="25"/>
        <v>6.5000000000000002E-2</v>
      </c>
      <c r="N57" s="151">
        <f t="shared" si="25"/>
        <v>6.5000000000000002E-2</v>
      </c>
      <c r="O57" s="151">
        <f t="shared" si="25"/>
        <v>6.5000000000000002E-2</v>
      </c>
      <c r="P57" s="151">
        <f t="shared" si="25"/>
        <v>6.5000000000000002E-2</v>
      </c>
    </row>
  </sheetData>
  <pageMargins left="0.39370078740157483" right="0.39370078740157483" top="0.59055118110236227" bottom="0.59055118110236227" header="0.51181102362204722" footer="0.51181102362204722"/>
  <pageSetup paperSize="9" scale="70" orientation="portrait" r:id="rId1"/>
  <headerFooter alignWithMargins="0"/>
  <ignoredErrors>
    <ignoredError sqref="I53:I54 J53:P53 J54:P5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S135"/>
  <sheetViews>
    <sheetView workbookViewId="0">
      <pane xSplit="2" ySplit="6" topLeftCell="J7" activePane="bottomRight" state="frozen"/>
      <selection pane="topRight" activeCell="C1" sqref="C1"/>
      <selection pane="bottomLeft" activeCell="A7" sqref="A7"/>
      <selection pane="bottomRight" activeCell="Q11" sqref="Q11"/>
    </sheetView>
  </sheetViews>
  <sheetFormatPr defaultColWidth="9.1796875" defaultRowHeight="14" x14ac:dyDescent="0.3"/>
  <cols>
    <col min="1" max="1" width="4.81640625" style="133" customWidth="1"/>
    <col min="2" max="2" width="58.1796875" style="133" customWidth="1"/>
    <col min="3" max="7" width="24.54296875" style="133" customWidth="1"/>
    <col min="8" max="17" width="22" style="133" customWidth="1"/>
    <col min="18" max="18" width="16.36328125" style="133" customWidth="1"/>
    <col min="19" max="19" width="18.453125" style="133" customWidth="1"/>
    <col min="20" max="16384" width="9.1796875" style="133"/>
  </cols>
  <sheetData>
    <row r="2" spans="1:19" s="153" customFormat="1" ht="6" customHeight="1" x14ac:dyDescent="0.35"/>
    <row r="3" spans="1:19" ht="17.5" x14ac:dyDescent="0.35">
      <c r="A3" s="136" t="s">
        <v>525</v>
      </c>
      <c r="S3" s="153"/>
    </row>
    <row r="4" spans="1:19" ht="15.5" x14ac:dyDescent="0.35">
      <c r="A4" s="154" t="s">
        <v>510</v>
      </c>
      <c r="S4" s="153"/>
    </row>
    <row r="5" spans="1:19" ht="17.5" x14ac:dyDescent="0.35">
      <c r="A5" s="136"/>
      <c r="S5" s="153"/>
    </row>
    <row r="6" spans="1:19" ht="22.5" customHeight="1" x14ac:dyDescent="0.35">
      <c r="A6" s="437" t="s">
        <v>189</v>
      </c>
      <c r="B6" s="438"/>
      <c r="C6" s="241" t="s">
        <v>190</v>
      </c>
      <c r="D6" s="241" t="s">
        <v>588</v>
      </c>
      <c r="E6" s="241" t="s">
        <v>675</v>
      </c>
      <c r="F6" s="241" t="s">
        <v>676</v>
      </c>
      <c r="G6" s="241" t="s">
        <v>677</v>
      </c>
      <c r="H6" s="241" t="s">
        <v>678</v>
      </c>
      <c r="I6" s="241" t="s">
        <v>685</v>
      </c>
      <c r="J6" s="241" t="s">
        <v>686</v>
      </c>
      <c r="K6" s="241" t="s">
        <v>687</v>
      </c>
      <c r="L6" s="241" t="s">
        <v>688</v>
      </c>
      <c r="M6" s="241" t="s">
        <v>690</v>
      </c>
      <c r="N6" s="241" t="s">
        <v>691</v>
      </c>
      <c r="O6" s="241" t="s">
        <v>692</v>
      </c>
      <c r="P6" s="241" t="s">
        <v>701</v>
      </c>
      <c r="Q6" s="241" t="s">
        <v>702</v>
      </c>
      <c r="R6" s="242" t="s">
        <v>191</v>
      </c>
      <c r="S6" s="153"/>
    </row>
    <row r="7" spans="1:19" ht="24.65" customHeight="1" x14ac:dyDescent="0.35">
      <c r="A7" s="155">
        <v>1</v>
      </c>
      <c r="B7" s="156" t="s">
        <v>192</v>
      </c>
      <c r="C7" s="157">
        <v>970.79169425000009</v>
      </c>
      <c r="D7" s="157">
        <v>970.79169425000009</v>
      </c>
      <c r="E7" s="157">
        <v>973.04046425000013</v>
      </c>
      <c r="F7" s="157">
        <v>973.21003525000003</v>
      </c>
      <c r="G7" s="157">
        <v>973.28570525000009</v>
      </c>
      <c r="H7" s="157">
        <v>973.52710825000008</v>
      </c>
      <c r="I7" s="157">
        <v>973.56657725000014</v>
      </c>
      <c r="J7" s="157">
        <v>973.64345225000011</v>
      </c>
      <c r="K7" s="157">
        <v>973.8091602500001</v>
      </c>
      <c r="L7" s="157">
        <v>974.08007725000004</v>
      </c>
      <c r="M7" s="157">
        <f>'1'!L20+'1'!L21</f>
        <v>974.08007725000004</v>
      </c>
      <c r="N7" s="157">
        <f>'1'!M20+'1'!M21</f>
        <v>974.26209525000013</v>
      </c>
      <c r="O7" s="157">
        <f>'1'!N20+'1'!N21</f>
        <v>974.26645425000015</v>
      </c>
      <c r="P7" s="157">
        <f>'1'!O20+'1'!O21</f>
        <v>1070.0292742500001</v>
      </c>
      <c r="Q7" s="157">
        <f>'1'!P20+'1'!P21</f>
        <v>1166.1820983099999</v>
      </c>
      <c r="R7" s="158" t="s">
        <v>193</v>
      </c>
      <c r="S7" s="153"/>
    </row>
    <row r="8" spans="1:19" ht="15.5" x14ac:dyDescent="0.35">
      <c r="A8" s="155"/>
      <c r="B8" s="156" t="s">
        <v>194</v>
      </c>
      <c r="C8" s="159"/>
      <c r="D8" s="159"/>
      <c r="E8" s="159"/>
      <c r="F8" s="159"/>
      <c r="G8" s="159"/>
      <c r="H8" s="159"/>
      <c r="I8" s="159"/>
      <c r="J8" s="159"/>
      <c r="K8" s="159"/>
      <c r="L8" s="159"/>
      <c r="M8" s="159"/>
      <c r="N8" s="159"/>
      <c r="O8" s="159"/>
      <c r="P8" s="159"/>
      <c r="Q8" s="159"/>
      <c r="R8" s="158" t="s">
        <v>195</v>
      </c>
      <c r="S8" s="153"/>
    </row>
    <row r="9" spans="1:19" ht="15.5" x14ac:dyDescent="0.35">
      <c r="A9" s="155"/>
      <c r="B9" s="156" t="s">
        <v>196</v>
      </c>
      <c r="C9" s="159"/>
      <c r="D9" s="159"/>
      <c r="E9" s="159"/>
      <c r="F9" s="159"/>
      <c r="G9" s="159"/>
      <c r="H9" s="159"/>
      <c r="I9" s="159"/>
      <c r="J9" s="159"/>
      <c r="K9" s="159"/>
      <c r="L9" s="159"/>
      <c r="M9" s="159"/>
      <c r="N9" s="159"/>
      <c r="O9" s="159"/>
      <c r="P9" s="159"/>
      <c r="Q9" s="159"/>
      <c r="R9" s="158" t="s">
        <v>195</v>
      </c>
      <c r="S9" s="153"/>
    </row>
    <row r="10" spans="1:19" ht="15.5" x14ac:dyDescent="0.35">
      <c r="A10" s="155"/>
      <c r="B10" s="156" t="s">
        <v>197</v>
      </c>
      <c r="C10" s="159"/>
      <c r="D10" s="159"/>
      <c r="E10" s="159"/>
      <c r="F10" s="159"/>
      <c r="G10" s="159"/>
      <c r="H10" s="159"/>
      <c r="I10" s="159"/>
      <c r="J10" s="159"/>
      <c r="K10" s="159"/>
      <c r="L10" s="159"/>
      <c r="M10" s="159"/>
      <c r="N10" s="159"/>
      <c r="O10" s="159"/>
      <c r="P10" s="159"/>
      <c r="Q10" s="159"/>
      <c r="R10" s="158" t="s">
        <v>195</v>
      </c>
      <c r="S10" s="153"/>
    </row>
    <row r="11" spans="1:19" ht="15.5" x14ac:dyDescent="0.35">
      <c r="A11" s="155">
        <v>2</v>
      </c>
      <c r="B11" s="156" t="s">
        <v>198</v>
      </c>
      <c r="C11" s="157">
        <v>834.2067910924028</v>
      </c>
      <c r="D11" s="157">
        <v>879.99745832000019</v>
      </c>
      <c r="E11" s="157">
        <v>952.76783010000008</v>
      </c>
      <c r="F11" s="157">
        <v>1020.9693780900005</v>
      </c>
      <c r="G11" s="157">
        <v>1085.7312417600001</v>
      </c>
      <c r="H11" s="157">
        <v>1144.7990243500001</v>
      </c>
      <c r="I11" s="157">
        <v>1114.62930022</v>
      </c>
      <c r="J11" s="157">
        <v>756.5865111899999</v>
      </c>
      <c r="K11" s="157">
        <v>790.70449304999988</v>
      </c>
      <c r="L11" s="157">
        <v>822.70568490000028</v>
      </c>
      <c r="M11" s="157">
        <f>'1'!L22</f>
        <v>844.73628459999998</v>
      </c>
      <c r="N11" s="157">
        <f>'1'!M22</f>
        <v>835.25577565000015</v>
      </c>
      <c r="O11" s="157">
        <f>'1'!N22</f>
        <v>779.45896609999988</v>
      </c>
      <c r="P11" s="157">
        <f>'1'!O22</f>
        <v>815.05296356999975</v>
      </c>
      <c r="Q11" s="157">
        <f>'1'!P22</f>
        <v>851.87688515000161</v>
      </c>
      <c r="R11" s="158" t="s">
        <v>199</v>
      </c>
      <c r="S11" s="153"/>
    </row>
    <row r="12" spans="1:19" ht="15.5" x14ac:dyDescent="0.35">
      <c r="A12" s="155">
        <v>3</v>
      </c>
      <c r="B12" s="156" t="s">
        <v>200</v>
      </c>
      <c r="C12" s="159"/>
      <c r="D12" s="159"/>
      <c r="E12" s="159"/>
      <c r="F12" s="159"/>
      <c r="G12" s="159"/>
      <c r="H12" s="159"/>
      <c r="I12" s="159"/>
      <c r="J12" s="159"/>
      <c r="K12" s="159"/>
      <c r="L12" s="159"/>
      <c r="M12" s="159"/>
      <c r="N12" s="159"/>
      <c r="O12" s="159"/>
      <c r="P12" s="159"/>
      <c r="Q12" s="159"/>
      <c r="R12" s="158" t="s">
        <v>201</v>
      </c>
      <c r="S12" s="153"/>
    </row>
    <row r="13" spans="1:19" x14ac:dyDescent="0.3">
      <c r="A13" s="155" t="s">
        <v>202</v>
      </c>
      <c r="B13" s="156" t="s">
        <v>203</v>
      </c>
      <c r="C13" s="159"/>
      <c r="D13" s="159"/>
      <c r="E13" s="159"/>
      <c r="F13" s="159"/>
      <c r="G13" s="159"/>
      <c r="H13" s="159"/>
      <c r="I13" s="159"/>
      <c r="J13" s="159"/>
      <c r="K13" s="159"/>
      <c r="L13" s="159"/>
      <c r="M13" s="159"/>
      <c r="N13" s="159"/>
      <c r="O13" s="159"/>
      <c r="P13" s="159"/>
      <c r="Q13" s="159"/>
      <c r="R13" s="158" t="s">
        <v>204</v>
      </c>
    </row>
    <row r="14" spans="1:19" ht="21" x14ac:dyDescent="0.3">
      <c r="A14" s="155">
        <v>4</v>
      </c>
      <c r="B14" s="156" t="s">
        <v>205</v>
      </c>
      <c r="C14" s="159"/>
      <c r="D14" s="159"/>
      <c r="E14" s="159"/>
      <c r="F14" s="159"/>
      <c r="G14" s="159"/>
      <c r="H14" s="159"/>
      <c r="I14" s="159"/>
      <c r="J14" s="159"/>
      <c r="K14" s="159"/>
      <c r="L14" s="159"/>
      <c r="M14" s="159"/>
      <c r="N14" s="159"/>
      <c r="O14" s="159"/>
      <c r="P14" s="159"/>
      <c r="Q14" s="159"/>
      <c r="R14" s="158" t="s">
        <v>206</v>
      </c>
    </row>
    <row r="15" spans="1:19" x14ac:dyDescent="0.3">
      <c r="A15" s="155"/>
      <c r="B15" s="156" t="s">
        <v>207</v>
      </c>
      <c r="C15" s="159"/>
      <c r="D15" s="159"/>
      <c r="E15" s="159"/>
      <c r="F15" s="159"/>
      <c r="G15" s="159"/>
      <c r="H15" s="159"/>
      <c r="I15" s="159"/>
      <c r="J15" s="159"/>
      <c r="K15" s="159"/>
      <c r="L15" s="159"/>
      <c r="M15" s="159"/>
      <c r="N15" s="159"/>
      <c r="O15" s="159"/>
      <c r="P15" s="159"/>
      <c r="Q15" s="159"/>
      <c r="R15" s="158" t="s">
        <v>208</v>
      </c>
    </row>
    <row r="16" spans="1:19" x14ac:dyDescent="0.3">
      <c r="A16" s="155">
        <v>5</v>
      </c>
      <c r="B16" s="156" t="s">
        <v>209</v>
      </c>
      <c r="C16" s="159"/>
      <c r="D16" s="159"/>
      <c r="E16" s="159"/>
      <c r="F16" s="159"/>
      <c r="G16" s="159"/>
      <c r="H16" s="159"/>
      <c r="I16" s="159"/>
      <c r="J16" s="159"/>
      <c r="K16" s="159"/>
      <c r="L16" s="159"/>
      <c r="M16" s="159"/>
      <c r="N16" s="159"/>
      <c r="O16" s="159"/>
      <c r="P16" s="159"/>
      <c r="Q16" s="159"/>
      <c r="R16" s="158" t="s">
        <v>210</v>
      </c>
    </row>
    <row r="17" spans="1:18" x14ac:dyDescent="0.3">
      <c r="A17" s="155" t="s">
        <v>211</v>
      </c>
      <c r="B17" s="156" t="s">
        <v>212</v>
      </c>
      <c r="C17" s="159"/>
      <c r="D17" s="159"/>
      <c r="E17" s="159"/>
      <c r="F17" s="159"/>
      <c r="G17" s="159">
        <v>-78.479159639999992</v>
      </c>
      <c r="H17" s="159">
        <v>-161.80725911796497</v>
      </c>
      <c r="I17" s="159">
        <v>-108.28825573691002</v>
      </c>
      <c r="J17" s="159">
        <v>-52.251846920000006</v>
      </c>
      <c r="K17" s="159">
        <v>0</v>
      </c>
      <c r="L17" s="159">
        <v>-3.5278251982405266</v>
      </c>
      <c r="M17" s="159">
        <f>'1'!L23</f>
        <v>-6.7967932945483964</v>
      </c>
      <c r="N17" s="159">
        <f>'1'!M23</f>
        <v>-8.5065256556059232</v>
      </c>
      <c r="O17" s="159">
        <f>'1'!N23</f>
        <v>-8.9531584178710363E-2</v>
      </c>
      <c r="P17" s="159">
        <f>'1'!O23</f>
        <v>-3.9737190672840135</v>
      </c>
      <c r="Q17" s="159">
        <f>'1'!P23</f>
        <v>-8.0831374945194625</v>
      </c>
      <c r="R17" s="158" t="s">
        <v>213</v>
      </c>
    </row>
    <row r="18" spans="1:18" x14ac:dyDescent="0.3">
      <c r="A18" s="160">
        <v>6</v>
      </c>
      <c r="B18" s="161" t="s">
        <v>214</v>
      </c>
      <c r="C18" s="162">
        <v>1804.998485342403</v>
      </c>
      <c r="D18" s="162">
        <v>1850.7891525700002</v>
      </c>
      <c r="E18" s="162">
        <v>1925.8082943500003</v>
      </c>
      <c r="F18" s="162">
        <v>1994.1794133400006</v>
      </c>
      <c r="G18" s="162">
        <v>1980.5377873699999</v>
      </c>
      <c r="H18" s="162">
        <v>1956.5188734820351</v>
      </c>
      <c r="I18" s="162">
        <v>1979.9076217330901</v>
      </c>
      <c r="J18" s="162">
        <v>1677.9781165200002</v>
      </c>
      <c r="K18" s="162">
        <v>1764.5136533</v>
      </c>
      <c r="L18" s="162">
        <f>(SUM(L7:L17))</f>
        <v>1793.2579369517596</v>
      </c>
      <c r="M18" s="162">
        <f t="shared" ref="M18:O18" si="0">(SUM(M7:M17))</f>
        <v>1812.0195685554515</v>
      </c>
      <c r="N18" s="162">
        <f t="shared" si="0"/>
        <v>1801.0113452443943</v>
      </c>
      <c r="O18" s="162">
        <f t="shared" si="0"/>
        <v>1753.6358887658214</v>
      </c>
      <c r="P18" s="162">
        <f t="shared" ref="P18:Q18" si="1">(SUM(P7:P17))</f>
        <v>1881.1085187527158</v>
      </c>
      <c r="Q18" s="162">
        <f t="shared" si="1"/>
        <v>2009.975845965482</v>
      </c>
      <c r="R18" s="163">
        <v>0</v>
      </c>
    </row>
    <row r="19" spans="1:18" x14ac:dyDescent="0.3">
      <c r="A19" s="164" t="s">
        <v>215</v>
      </c>
      <c r="B19" s="165"/>
      <c r="C19" s="166"/>
      <c r="D19" s="278"/>
      <c r="E19" s="278"/>
      <c r="F19" s="278"/>
      <c r="G19" s="278"/>
      <c r="H19" s="278"/>
      <c r="I19" s="278"/>
      <c r="J19" s="278"/>
      <c r="K19" s="278"/>
      <c r="L19" s="278"/>
      <c r="M19" s="278"/>
      <c r="N19" s="278"/>
      <c r="O19" s="278"/>
      <c r="P19" s="278"/>
      <c r="Q19" s="278"/>
      <c r="R19" s="167"/>
    </row>
    <row r="20" spans="1:18" x14ac:dyDescent="0.3">
      <c r="A20" s="168">
        <v>7</v>
      </c>
      <c r="B20" s="169" t="s">
        <v>216</v>
      </c>
      <c r="C20" s="170">
        <v>-1.32977906364</v>
      </c>
      <c r="D20" s="170">
        <v>-1.0055609623699999</v>
      </c>
      <c r="E20" s="170">
        <v>-1.49820277513</v>
      </c>
      <c r="F20" s="170">
        <v>-2.5852016350800002</v>
      </c>
      <c r="G20" s="170">
        <v>-1.84802476605</v>
      </c>
      <c r="H20" s="170">
        <v>-1.84802476605</v>
      </c>
      <c r="I20" s="170">
        <v>-2.0935198185199999</v>
      </c>
      <c r="J20" s="170">
        <v>-1.291258303</v>
      </c>
      <c r="K20" s="170">
        <v>-0.88299374776000028</v>
      </c>
      <c r="L20" s="170">
        <v>-0.86897594623000007</v>
      </c>
      <c r="M20" s="170">
        <f>'1'!L28</f>
        <v>-0.88255077147999983</v>
      </c>
      <c r="N20" s="170">
        <f>'1'!M28</f>
        <v>-0.87769482716000014</v>
      </c>
      <c r="O20" s="170">
        <f>'1'!N28</f>
        <v>-1.4535332506299998</v>
      </c>
      <c r="P20" s="170">
        <f>'1'!O28</f>
        <v>-1.6050807903800002</v>
      </c>
      <c r="Q20" s="170">
        <f>'1'!P28</f>
        <v>-0.81343710159000004</v>
      </c>
      <c r="R20" s="171" t="s">
        <v>217</v>
      </c>
    </row>
    <row r="21" spans="1:18" x14ac:dyDescent="0.3">
      <c r="A21" s="155">
        <v>8</v>
      </c>
      <c r="B21" s="156" t="s">
        <v>218</v>
      </c>
      <c r="C21" s="159">
        <v>-144.07205134</v>
      </c>
      <c r="D21" s="159">
        <v>-145.51496675000001</v>
      </c>
      <c r="E21" s="159">
        <v>-151.88384152999996</v>
      </c>
      <c r="F21" s="159">
        <v>-151.94825282999997</v>
      </c>
      <c r="G21" s="159">
        <v>-154.20006535000002</v>
      </c>
      <c r="H21" s="159">
        <v>-151.36952010578</v>
      </c>
      <c r="I21" s="159">
        <v>-148.04013725999999</v>
      </c>
      <c r="J21" s="159">
        <v>-224.47763316000001</v>
      </c>
      <c r="K21" s="159">
        <v>-226.95269474</v>
      </c>
      <c r="L21" s="159">
        <v>-206.95626014000004</v>
      </c>
      <c r="M21" s="159">
        <f>'1'!L27</f>
        <v>-184.28115120999999</v>
      </c>
      <c r="N21" s="159">
        <f>'1'!M27</f>
        <v>-185.66608209</v>
      </c>
      <c r="O21" s="159">
        <f>'1'!N27</f>
        <v>-123.19227220000001</v>
      </c>
      <c r="P21" s="159">
        <f>'1'!O27</f>
        <v>-120.53972715999998</v>
      </c>
      <c r="Q21" s="159">
        <f>'1'!P27</f>
        <v>-115.94170968</v>
      </c>
      <c r="R21" s="158" t="s">
        <v>219</v>
      </c>
    </row>
    <row r="22" spans="1:18" x14ac:dyDescent="0.3">
      <c r="A22" s="155">
        <v>9</v>
      </c>
      <c r="B22" s="156" t="s">
        <v>220</v>
      </c>
      <c r="C22" s="159"/>
      <c r="D22" s="159"/>
      <c r="E22" s="159"/>
      <c r="F22" s="159"/>
      <c r="G22" s="159"/>
      <c r="H22" s="159"/>
      <c r="I22" s="159"/>
      <c r="J22" s="159"/>
      <c r="K22" s="159"/>
      <c r="L22" s="159"/>
      <c r="M22" s="159"/>
      <c r="N22" s="159"/>
      <c r="O22" s="159"/>
      <c r="P22" s="159"/>
      <c r="Q22" s="159"/>
      <c r="R22" s="158">
        <v>0</v>
      </c>
    </row>
    <row r="23" spans="1:18" ht="31" x14ac:dyDescent="0.3">
      <c r="A23" s="155">
        <v>10</v>
      </c>
      <c r="B23" s="156" t="s">
        <v>221</v>
      </c>
      <c r="C23" s="172"/>
      <c r="D23" s="172"/>
      <c r="E23" s="172"/>
      <c r="F23" s="172"/>
      <c r="G23" s="172"/>
      <c r="H23" s="172"/>
      <c r="I23" s="172"/>
      <c r="J23" s="172"/>
      <c r="K23" s="172"/>
      <c r="L23" s="172"/>
      <c r="M23" s="172"/>
      <c r="N23" s="172"/>
      <c r="O23" s="172"/>
      <c r="P23" s="172"/>
      <c r="Q23" s="172"/>
      <c r="R23" s="158" t="s">
        <v>222</v>
      </c>
    </row>
    <row r="24" spans="1:18" x14ac:dyDescent="0.3">
      <c r="A24" s="155">
        <v>11</v>
      </c>
      <c r="B24" s="156" t="s">
        <v>223</v>
      </c>
      <c r="C24" s="170"/>
      <c r="D24" s="170"/>
      <c r="E24" s="170"/>
      <c r="F24" s="170"/>
      <c r="G24" s="170"/>
      <c r="H24" s="170"/>
      <c r="I24" s="170"/>
      <c r="J24" s="170"/>
      <c r="K24" s="170"/>
      <c r="L24" s="170"/>
      <c r="M24" s="170"/>
      <c r="N24" s="170"/>
      <c r="O24" s="170"/>
      <c r="P24" s="170"/>
      <c r="Q24" s="170"/>
      <c r="R24" s="158" t="s">
        <v>224</v>
      </c>
    </row>
    <row r="25" spans="1:18" ht="21" x14ac:dyDescent="0.3">
      <c r="A25" s="155">
        <v>12</v>
      </c>
      <c r="B25" s="156" t="s">
        <v>225</v>
      </c>
      <c r="C25" s="170"/>
      <c r="D25" s="170"/>
      <c r="E25" s="170"/>
      <c r="F25" s="170"/>
      <c r="G25" s="170"/>
      <c r="H25" s="170"/>
      <c r="I25" s="170"/>
      <c r="J25" s="170"/>
      <c r="K25" s="170"/>
      <c r="L25" s="170"/>
      <c r="M25" s="170"/>
      <c r="N25" s="170"/>
      <c r="O25" s="170"/>
      <c r="P25" s="170"/>
      <c r="Q25" s="170"/>
      <c r="R25" s="158" t="s">
        <v>226</v>
      </c>
    </row>
    <row r="26" spans="1:18" x14ac:dyDescent="0.3">
      <c r="A26" s="155">
        <v>13</v>
      </c>
      <c r="B26" s="156" t="s">
        <v>227</v>
      </c>
      <c r="C26" s="170"/>
      <c r="D26" s="170"/>
      <c r="E26" s="170"/>
      <c r="F26" s="170"/>
      <c r="G26" s="170"/>
      <c r="H26" s="170"/>
      <c r="I26" s="170"/>
      <c r="J26" s="170"/>
      <c r="K26" s="170"/>
      <c r="L26" s="170"/>
      <c r="M26" s="170"/>
      <c r="N26" s="170"/>
      <c r="O26" s="170"/>
      <c r="P26" s="170"/>
      <c r="Q26" s="170"/>
      <c r="R26" s="158" t="s">
        <v>228</v>
      </c>
    </row>
    <row r="27" spans="1:18" ht="21" x14ac:dyDescent="0.3">
      <c r="A27" s="155">
        <v>14</v>
      </c>
      <c r="B27" s="156" t="s">
        <v>229</v>
      </c>
      <c r="C27" s="170"/>
      <c r="D27" s="170"/>
      <c r="E27" s="170"/>
      <c r="F27" s="170"/>
      <c r="G27" s="170"/>
      <c r="H27" s="170"/>
      <c r="I27" s="170"/>
      <c r="J27" s="170"/>
      <c r="K27" s="170"/>
      <c r="L27" s="170"/>
      <c r="M27" s="170"/>
      <c r="N27" s="170"/>
      <c r="O27" s="170"/>
      <c r="P27" s="170"/>
      <c r="Q27" s="170"/>
      <c r="R27" s="158" t="s">
        <v>230</v>
      </c>
    </row>
    <row r="28" spans="1:18" x14ac:dyDescent="0.3">
      <c r="A28" s="155">
        <v>15</v>
      </c>
      <c r="B28" s="156" t="s">
        <v>231</v>
      </c>
      <c r="C28" s="170"/>
      <c r="D28" s="170"/>
      <c r="E28" s="170"/>
      <c r="F28" s="170"/>
      <c r="G28" s="170"/>
      <c r="H28" s="170"/>
      <c r="I28" s="170"/>
      <c r="J28" s="170"/>
      <c r="K28" s="170"/>
      <c r="L28" s="170"/>
      <c r="M28" s="170"/>
      <c r="N28" s="170"/>
      <c r="O28" s="170"/>
      <c r="P28" s="170"/>
      <c r="Q28" s="170"/>
      <c r="R28" s="158" t="s">
        <v>232</v>
      </c>
    </row>
    <row r="29" spans="1:18" x14ac:dyDescent="0.3">
      <c r="A29" s="155">
        <v>16</v>
      </c>
      <c r="B29" s="156" t="s">
        <v>233</v>
      </c>
      <c r="C29" s="173"/>
      <c r="D29" s="173"/>
      <c r="E29" s="173"/>
      <c r="F29" s="173"/>
      <c r="G29" s="173"/>
      <c r="H29" s="173"/>
      <c r="I29" s="173"/>
      <c r="J29" s="173"/>
      <c r="K29" s="173"/>
      <c r="L29" s="173"/>
      <c r="M29" s="173"/>
      <c r="N29" s="173"/>
      <c r="O29" s="173"/>
      <c r="P29" s="173"/>
      <c r="Q29" s="173"/>
      <c r="R29" s="158" t="s">
        <v>234</v>
      </c>
    </row>
    <row r="30" spans="1:18" ht="31" x14ac:dyDescent="0.3">
      <c r="A30" s="155">
        <v>17</v>
      </c>
      <c r="B30" s="156" t="s">
        <v>235</v>
      </c>
      <c r="C30" s="159"/>
      <c r="D30" s="159"/>
      <c r="E30" s="159"/>
      <c r="F30" s="159"/>
      <c r="G30" s="159"/>
      <c r="H30" s="159"/>
      <c r="I30" s="159"/>
      <c r="J30" s="159"/>
      <c r="K30" s="159"/>
      <c r="L30" s="159"/>
      <c r="M30" s="159"/>
      <c r="N30" s="159"/>
      <c r="O30" s="159"/>
      <c r="P30" s="159"/>
      <c r="Q30" s="159"/>
      <c r="R30" s="158" t="s">
        <v>236</v>
      </c>
    </row>
    <row r="31" spans="1:18" ht="31" x14ac:dyDescent="0.3">
      <c r="A31" s="155">
        <v>18</v>
      </c>
      <c r="B31" s="156" t="s">
        <v>237</v>
      </c>
      <c r="C31" s="159"/>
      <c r="D31" s="159"/>
      <c r="E31" s="159"/>
      <c r="F31" s="159"/>
      <c r="G31" s="159"/>
      <c r="H31" s="159"/>
      <c r="I31" s="159"/>
      <c r="J31" s="159"/>
      <c r="K31" s="159"/>
      <c r="L31" s="159"/>
      <c r="M31" s="159"/>
      <c r="N31" s="159"/>
      <c r="O31" s="159"/>
      <c r="P31" s="159"/>
      <c r="Q31" s="159"/>
      <c r="R31" s="158" t="s">
        <v>238</v>
      </c>
    </row>
    <row r="32" spans="1:18" ht="31" x14ac:dyDescent="0.3">
      <c r="A32" s="155">
        <v>19</v>
      </c>
      <c r="B32" s="156" t="s">
        <v>239</v>
      </c>
      <c r="C32" s="159"/>
      <c r="D32" s="159"/>
      <c r="E32" s="159"/>
      <c r="F32" s="159"/>
      <c r="G32" s="159"/>
      <c r="H32" s="159"/>
      <c r="I32" s="159"/>
      <c r="J32" s="159"/>
      <c r="K32" s="159"/>
      <c r="L32" s="159"/>
      <c r="M32" s="159"/>
      <c r="N32" s="159"/>
      <c r="O32" s="159"/>
      <c r="P32" s="159"/>
      <c r="Q32" s="159"/>
      <c r="R32" s="158" t="s">
        <v>240</v>
      </c>
    </row>
    <row r="33" spans="1:18" x14ac:dyDescent="0.3">
      <c r="A33" s="155">
        <v>20</v>
      </c>
      <c r="B33" s="156" t="s">
        <v>220</v>
      </c>
      <c r="C33" s="159"/>
      <c r="D33" s="159"/>
      <c r="E33" s="159"/>
      <c r="F33" s="159"/>
      <c r="G33" s="159"/>
      <c r="H33" s="159"/>
      <c r="I33" s="159"/>
      <c r="J33" s="159"/>
      <c r="K33" s="159"/>
      <c r="L33" s="159"/>
      <c r="M33" s="159"/>
      <c r="N33" s="159"/>
      <c r="O33" s="159"/>
      <c r="P33" s="159"/>
      <c r="Q33" s="159"/>
      <c r="R33" s="158">
        <v>0</v>
      </c>
    </row>
    <row r="34" spans="1:18" ht="21" x14ac:dyDescent="0.3">
      <c r="A34" s="155" t="s">
        <v>241</v>
      </c>
      <c r="B34" s="156" t="s">
        <v>242</v>
      </c>
      <c r="C34" s="159"/>
      <c r="D34" s="159"/>
      <c r="E34" s="159"/>
      <c r="F34" s="159"/>
      <c r="G34" s="159"/>
      <c r="H34" s="159"/>
      <c r="I34" s="159"/>
      <c r="J34" s="159"/>
      <c r="K34" s="159"/>
      <c r="L34" s="159"/>
      <c r="M34" s="159"/>
      <c r="N34" s="159"/>
      <c r="O34" s="159"/>
      <c r="P34" s="159"/>
      <c r="Q34" s="159"/>
      <c r="R34" s="158" t="s">
        <v>243</v>
      </c>
    </row>
    <row r="35" spans="1:18" x14ac:dyDescent="0.3">
      <c r="A35" s="155" t="s">
        <v>244</v>
      </c>
      <c r="B35" s="156" t="s">
        <v>245</v>
      </c>
      <c r="C35" s="159"/>
      <c r="D35" s="159"/>
      <c r="E35" s="159"/>
      <c r="F35" s="159"/>
      <c r="G35" s="159"/>
      <c r="H35" s="159"/>
      <c r="I35" s="159"/>
      <c r="J35" s="159"/>
      <c r="K35" s="159"/>
      <c r="L35" s="159"/>
      <c r="M35" s="159"/>
      <c r="N35" s="159"/>
      <c r="O35" s="159"/>
      <c r="P35" s="159"/>
      <c r="Q35" s="159"/>
      <c r="R35" s="158" t="s">
        <v>246</v>
      </c>
    </row>
    <row r="36" spans="1:18" ht="41" x14ac:dyDescent="0.3">
      <c r="A36" s="155" t="s">
        <v>247</v>
      </c>
      <c r="B36" s="156" t="s">
        <v>248</v>
      </c>
      <c r="C36" s="159"/>
      <c r="D36" s="159"/>
      <c r="E36" s="159"/>
      <c r="F36" s="159"/>
      <c r="G36" s="159"/>
      <c r="H36" s="159"/>
      <c r="I36" s="159"/>
      <c r="J36" s="159"/>
      <c r="K36" s="159"/>
      <c r="L36" s="159"/>
      <c r="M36" s="159"/>
      <c r="N36" s="159"/>
      <c r="O36" s="159"/>
      <c r="P36" s="159"/>
      <c r="Q36" s="159"/>
      <c r="R36" s="158" t="s">
        <v>249</v>
      </c>
    </row>
    <row r="37" spans="1:18" x14ac:dyDescent="0.3">
      <c r="A37" s="155" t="s">
        <v>250</v>
      </c>
      <c r="B37" s="156" t="s">
        <v>251</v>
      </c>
      <c r="C37" s="159"/>
      <c r="D37" s="159"/>
      <c r="E37" s="159"/>
      <c r="F37" s="159"/>
      <c r="G37" s="159"/>
      <c r="H37" s="159"/>
      <c r="I37" s="159"/>
      <c r="J37" s="159"/>
      <c r="K37" s="159"/>
      <c r="L37" s="159"/>
      <c r="M37" s="159"/>
      <c r="N37" s="159"/>
      <c r="O37" s="159"/>
      <c r="P37" s="159"/>
      <c r="Q37" s="159"/>
      <c r="R37" s="158" t="s">
        <v>252</v>
      </c>
    </row>
    <row r="38" spans="1:18" ht="21" x14ac:dyDescent="0.3">
      <c r="A38" s="155">
        <v>21</v>
      </c>
      <c r="B38" s="156" t="s">
        <v>253</v>
      </c>
      <c r="C38" s="159"/>
      <c r="D38" s="159"/>
      <c r="E38" s="159"/>
      <c r="F38" s="159"/>
      <c r="G38" s="159"/>
      <c r="H38" s="159"/>
      <c r="I38" s="159"/>
      <c r="J38" s="159"/>
      <c r="K38" s="159"/>
      <c r="L38" s="159"/>
      <c r="M38" s="159"/>
      <c r="N38" s="159"/>
      <c r="O38" s="159"/>
      <c r="P38" s="159"/>
      <c r="Q38" s="159"/>
      <c r="R38" s="158" t="s">
        <v>254</v>
      </c>
    </row>
    <row r="39" spans="1:18" x14ac:dyDescent="0.3">
      <c r="A39" s="155">
        <v>22</v>
      </c>
      <c r="B39" s="156" t="s">
        <v>255</v>
      </c>
      <c r="C39" s="159"/>
      <c r="D39" s="159"/>
      <c r="E39" s="159"/>
      <c r="F39" s="159"/>
      <c r="G39" s="159"/>
      <c r="H39" s="159"/>
      <c r="I39" s="159"/>
      <c r="J39" s="159"/>
      <c r="K39" s="159"/>
      <c r="L39" s="159"/>
      <c r="M39" s="159"/>
      <c r="N39" s="159"/>
      <c r="O39" s="159"/>
      <c r="P39" s="159"/>
      <c r="Q39" s="159"/>
      <c r="R39" s="158" t="s">
        <v>256</v>
      </c>
    </row>
    <row r="40" spans="1:18" ht="21" x14ac:dyDescent="0.3">
      <c r="A40" s="155">
        <v>23</v>
      </c>
      <c r="B40" s="156" t="s">
        <v>257</v>
      </c>
      <c r="C40" s="159"/>
      <c r="D40" s="159"/>
      <c r="E40" s="159"/>
      <c r="F40" s="159"/>
      <c r="G40" s="159"/>
      <c r="H40" s="159"/>
      <c r="I40" s="159"/>
      <c r="J40" s="159"/>
      <c r="K40" s="159"/>
      <c r="L40" s="159"/>
      <c r="M40" s="159"/>
      <c r="N40" s="159"/>
      <c r="O40" s="159"/>
      <c r="P40" s="159"/>
      <c r="Q40" s="159"/>
      <c r="R40" s="158" t="s">
        <v>258</v>
      </c>
    </row>
    <row r="41" spans="1:18" x14ac:dyDescent="0.3">
      <c r="A41" s="155">
        <v>24</v>
      </c>
      <c r="B41" s="156" t="s">
        <v>220</v>
      </c>
      <c r="C41" s="159"/>
      <c r="D41" s="159"/>
      <c r="E41" s="159"/>
      <c r="F41" s="159"/>
      <c r="G41" s="159"/>
      <c r="H41" s="159"/>
      <c r="I41" s="159"/>
      <c r="J41" s="159"/>
      <c r="K41" s="159"/>
      <c r="L41" s="159"/>
      <c r="M41" s="159"/>
      <c r="N41" s="159"/>
      <c r="O41" s="159"/>
      <c r="P41" s="159"/>
      <c r="Q41" s="159"/>
      <c r="R41" s="158">
        <v>0</v>
      </c>
    </row>
    <row r="42" spans="1:18" ht="21" x14ac:dyDescent="0.3">
      <c r="A42" s="155">
        <v>25</v>
      </c>
      <c r="B42" s="156" t="s">
        <v>259</v>
      </c>
      <c r="C42" s="159"/>
      <c r="D42" s="159"/>
      <c r="E42" s="159"/>
      <c r="F42" s="159"/>
      <c r="G42" s="159"/>
      <c r="H42" s="159"/>
      <c r="I42" s="159"/>
      <c r="J42" s="159"/>
      <c r="K42" s="159"/>
      <c r="L42" s="159"/>
      <c r="M42" s="159"/>
      <c r="N42" s="159"/>
      <c r="O42" s="159"/>
      <c r="P42" s="159"/>
      <c r="Q42" s="159"/>
      <c r="R42" s="158" t="s">
        <v>254</v>
      </c>
    </row>
    <row r="43" spans="1:18" x14ac:dyDescent="0.3">
      <c r="A43" s="155" t="s">
        <v>260</v>
      </c>
      <c r="B43" s="156" t="s">
        <v>261</v>
      </c>
      <c r="C43" s="159"/>
      <c r="D43" s="159"/>
      <c r="E43" s="159"/>
      <c r="F43" s="159"/>
      <c r="G43" s="159"/>
      <c r="H43" s="159"/>
      <c r="I43" s="159"/>
      <c r="J43" s="159"/>
      <c r="K43" s="159"/>
      <c r="L43" s="159"/>
      <c r="M43" s="159"/>
      <c r="N43" s="159"/>
      <c r="O43" s="159"/>
      <c r="P43" s="159"/>
      <c r="Q43" s="159"/>
      <c r="R43" s="158" t="s">
        <v>262</v>
      </c>
    </row>
    <row r="44" spans="1:18" x14ac:dyDescent="0.3">
      <c r="A44" s="155" t="s">
        <v>263</v>
      </c>
      <c r="B44" s="156" t="s">
        <v>264</v>
      </c>
      <c r="C44" s="159"/>
      <c r="D44" s="159"/>
      <c r="E44" s="159"/>
      <c r="F44" s="159"/>
      <c r="G44" s="159"/>
      <c r="H44" s="159"/>
      <c r="I44" s="159"/>
      <c r="J44" s="159"/>
      <c r="K44" s="159"/>
      <c r="L44" s="159"/>
      <c r="M44" s="159"/>
      <c r="N44" s="159"/>
      <c r="O44" s="159"/>
      <c r="P44" s="159"/>
      <c r="Q44" s="159"/>
      <c r="R44" s="158" t="s">
        <v>265</v>
      </c>
    </row>
    <row r="45" spans="1:18" ht="21" x14ac:dyDescent="0.3">
      <c r="A45" s="155">
        <v>26</v>
      </c>
      <c r="B45" s="156" t="s">
        <v>266</v>
      </c>
      <c r="C45" s="159"/>
      <c r="D45" s="159"/>
      <c r="E45" s="159"/>
      <c r="F45" s="159"/>
      <c r="G45" s="159"/>
      <c r="H45" s="159"/>
      <c r="I45" s="159"/>
      <c r="J45" s="159"/>
      <c r="K45" s="159"/>
      <c r="L45" s="159"/>
      <c r="M45" s="159"/>
      <c r="N45" s="159"/>
      <c r="O45" s="159"/>
      <c r="P45" s="159"/>
      <c r="Q45" s="159"/>
      <c r="R45" s="158">
        <v>0</v>
      </c>
    </row>
    <row r="46" spans="1:18" ht="21" x14ac:dyDescent="0.3">
      <c r="A46" s="155" t="s">
        <v>267</v>
      </c>
      <c r="B46" s="156" t="s">
        <v>268</v>
      </c>
      <c r="C46" s="159"/>
      <c r="D46" s="159"/>
      <c r="E46" s="159"/>
      <c r="F46" s="159"/>
      <c r="G46" s="159"/>
      <c r="H46" s="159"/>
      <c r="I46" s="159"/>
      <c r="J46" s="159"/>
      <c r="K46" s="159"/>
      <c r="L46" s="159"/>
      <c r="M46" s="159"/>
      <c r="N46" s="159"/>
      <c r="O46" s="159"/>
      <c r="P46" s="159"/>
      <c r="Q46" s="159"/>
      <c r="R46" s="158">
        <v>0</v>
      </c>
    </row>
    <row r="47" spans="1:18" x14ac:dyDescent="0.3">
      <c r="A47" s="155"/>
      <c r="B47" s="156" t="s">
        <v>269</v>
      </c>
      <c r="C47" s="159"/>
      <c r="D47" s="159"/>
      <c r="E47" s="159"/>
      <c r="F47" s="159"/>
      <c r="G47" s="159"/>
      <c r="H47" s="159"/>
      <c r="I47" s="159"/>
      <c r="J47" s="159"/>
      <c r="K47" s="159"/>
      <c r="L47" s="159"/>
      <c r="M47" s="159"/>
      <c r="N47" s="159"/>
      <c r="O47" s="159"/>
      <c r="P47" s="159"/>
      <c r="Q47" s="159"/>
      <c r="R47" s="158">
        <v>0</v>
      </c>
    </row>
    <row r="48" spans="1:18" x14ac:dyDescent="0.3">
      <c r="A48" s="155"/>
      <c r="B48" s="156" t="s">
        <v>270</v>
      </c>
      <c r="C48" s="159"/>
      <c r="D48" s="159"/>
      <c r="E48" s="159"/>
      <c r="F48" s="159"/>
      <c r="G48" s="159"/>
      <c r="H48" s="159"/>
      <c r="I48" s="159"/>
      <c r="J48" s="159"/>
      <c r="K48" s="159"/>
      <c r="L48" s="159"/>
      <c r="M48" s="159"/>
      <c r="N48" s="159"/>
      <c r="O48" s="159"/>
      <c r="P48" s="159"/>
      <c r="Q48" s="159"/>
      <c r="R48" s="158">
        <v>0</v>
      </c>
    </row>
    <row r="49" spans="1:18" x14ac:dyDescent="0.3">
      <c r="A49" s="155"/>
      <c r="B49" s="156" t="s">
        <v>271</v>
      </c>
      <c r="C49" s="159"/>
      <c r="D49" s="159"/>
      <c r="E49" s="159"/>
      <c r="F49" s="159"/>
      <c r="G49" s="159"/>
      <c r="H49" s="159"/>
      <c r="I49" s="159"/>
      <c r="J49" s="159"/>
      <c r="K49" s="159"/>
      <c r="L49" s="159"/>
      <c r="M49" s="159"/>
      <c r="N49" s="159"/>
      <c r="O49" s="159"/>
      <c r="P49" s="159"/>
      <c r="Q49" s="159"/>
      <c r="R49" s="158">
        <v>0</v>
      </c>
    </row>
    <row r="50" spans="1:18" x14ac:dyDescent="0.3">
      <c r="A50" s="155"/>
      <c r="B50" s="156" t="s">
        <v>272</v>
      </c>
      <c r="C50" s="159"/>
      <c r="D50" s="159"/>
      <c r="E50" s="159"/>
      <c r="F50" s="159"/>
      <c r="G50" s="159"/>
      <c r="H50" s="159"/>
      <c r="I50" s="159"/>
      <c r="J50" s="159"/>
      <c r="K50" s="159"/>
      <c r="L50" s="159"/>
      <c r="M50" s="159"/>
      <c r="N50" s="159"/>
      <c r="O50" s="159"/>
      <c r="P50" s="159"/>
      <c r="Q50" s="159"/>
      <c r="R50" s="158">
        <v>0</v>
      </c>
    </row>
    <row r="51" spans="1:18" ht="21" x14ac:dyDescent="0.3">
      <c r="A51" s="155" t="s">
        <v>273</v>
      </c>
      <c r="B51" s="156" t="s">
        <v>274</v>
      </c>
      <c r="C51" s="159">
        <v>194.29714705243907</v>
      </c>
      <c r="D51" s="159">
        <v>189.22599694264929</v>
      </c>
      <c r="E51" s="159">
        <v>174.6298422199726</v>
      </c>
      <c r="F51" s="159">
        <v>176.25840188795783</v>
      </c>
      <c r="G51" s="159">
        <v>159.4077594102026</v>
      </c>
      <c r="H51" s="159">
        <v>94.388123948871524</v>
      </c>
      <c r="I51" s="159">
        <v>99.632982355410917</v>
      </c>
      <c r="J51" s="159">
        <v>112.06613132752244</v>
      </c>
      <c r="K51" s="159">
        <v>104.45365488577715</v>
      </c>
      <c r="L51" s="159">
        <v>54.092066021821495</v>
      </c>
      <c r="M51" s="159">
        <f>'1'!L24</f>
        <v>129.70815445872631</v>
      </c>
      <c r="N51" s="159">
        <f>'1'!M24</f>
        <v>125.92110792493892</v>
      </c>
      <c r="O51" s="159">
        <f>'1'!N24</f>
        <v>150.30614390077906</v>
      </c>
      <c r="P51" s="159">
        <f>'1'!O24</f>
        <v>68.066606009155294</v>
      </c>
      <c r="Q51" s="159">
        <f>'1'!P24</f>
        <v>78.116400141017991</v>
      </c>
      <c r="R51" s="158">
        <v>481</v>
      </c>
    </row>
    <row r="52" spans="1:18" ht="21" x14ac:dyDescent="0.3">
      <c r="A52" s="155">
        <v>27</v>
      </c>
      <c r="B52" s="156" t="s">
        <v>275</v>
      </c>
      <c r="C52" s="159"/>
      <c r="D52" s="159"/>
      <c r="E52" s="159"/>
      <c r="F52" s="159"/>
      <c r="G52" s="159"/>
      <c r="H52" s="159"/>
      <c r="I52" s="159"/>
      <c r="J52" s="159"/>
      <c r="K52" s="159"/>
      <c r="L52" s="159"/>
      <c r="M52" s="159"/>
      <c r="N52" s="159"/>
      <c r="O52" s="159"/>
      <c r="P52" s="159"/>
      <c r="Q52" s="159"/>
      <c r="R52" s="158" t="s">
        <v>276</v>
      </c>
    </row>
    <row r="53" spans="1:18" x14ac:dyDescent="0.3">
      <c r="A53" s="155">
        <v>28</v>
      </c>
      <c r="B53" s="174" t="s">
        <v>277</v>
      </c>
      <c r="C53" s="159">
        <v>48.895316648799081</v>
      </c>
      <c r="D53" s="159">
        <v>42.705469230279277</v>
      </c>
      <c r="E53" s="159">
        <v>21.247797914842636</v>
      </c>
      <c r="F53" s="159">
        <v>21.724947422877847</v>
      </c>
      <c r="G53" s="159">
        <v>3.3596692941525816</v>
      </c>
      <c r="H53" s="159">
        <v>-58.829420922958477</v>
      </c>
      <c r="I53" s="159">
        <v>-50.500674723109086</v>
      </c>
      <c r="J53" s="159">
        <v>-113.70276013547758</v>
      </c>
      <c r="K53" s="159">
        <v>-123.38203360198284</v>
      </c>
      <c r="L53" s="159">
        <f>SUM(L20:L52)</f>
        <v>-153.73317006440854</v>
      </c>
      <c r="M53" s="159">
        <f t="shared" ref="M53:O53" si="2">SUM(M20:M52)</f>
        <v>-55.455547522753676</v>
      </c>
      <c r="N53" s="159">
        <f t="shared" si="2"/>
        <v>-60.622668992221094</v>
      </c>
      <c r="O53" s="159">
        <f t="shared" si="2"/>
        <v>25.660338450149055</v>
      </c>
      <c r="P53" s="159">
        <f t="shared" ref="P53:Q53" si="3">SUM(P20:P52)</f>
        <v>-54.078201941224691</v>
      </c>
      <c r="Q53" s="159">
        <f t="shared" si="3"/>
        <v>-38.638746640572009</v>
      </c>
      <c r="R53" s="158">
        <v>0</v>
      </c>
    </row>
    <row r="54" spans="1:18" x14ac:dyDescent="0.3">
      <c r="A54" s="155">
        <v>29</v>
      </c>
      <c r="B54" s="174" t="s">
        <v>278</v>
      </c>
      <c r="C54" s="159">
        <v>1853.8938019912021</v>
      </c>
      <c r="D54" s="159">
        <v>1893.4946218002794</v>
      </c>
      <c r="E54" s="159">
        <v>1947.0560922648428</v>
      </c>
      <c r="F54" s="159">
        <v>2015.9043607628785</v>
      </c>
      <c r="G54" s="159">
        <v>1983.8974566641525</v>
      </c>
      <c r="H54" s="159">
        <v>1897.6894525590767</v>
      </c>
      <c r="I54" s="159">
        <v>1929.406947009981</v>
      </c>
      <c r="J54" s="159">
        <v>1564.2753563845226</v>
      </c>
      <c r="K54" s="159">
        <v>1641.1316196980172</v>
      </c>
      <c r="L54" s="159">
        <f>L18+L53</f>
        <v>1639.524766887351</v>
      </c>
      <c r="M54" s="159">
        <f t="shared" ref="M54:O54" si="4">M18+M53</f>
        <v>1756.5640210326978</v>
      </c>
      <c r="N54" s="159">
        <f t="shared" si="4"/>
        <v>1740.3886762521731</v>
      </c>
      <c r="O54" s="159">
        <f t="shared" si="4"/>
        <v>1779.2962272159705</v>
      </c>
      <c r="P54" s="159">
        <f t="shared" ref="P54:Q54" si="5">P18+P53</f>
        <v>1827.030316811491</v>
      </c>
      <c r="Q54" s="159">
        <f t="shared" si="5"/>
        <v>1971.33709932491</v>
      </c>
      <c r="R54" s="158">
        <v>0</v>
      </c>
    </row>
    <row r="55" spans="1:18" x14ac:dyDescent="0.3">
      <c r="A55" s="175" t="s">
        <v>279</v>
      </c>
      <c r="B55" s="176"/>
      <c r="C55" s="177"/>
      <c r="D55" s="177"/>
      <c r="E55" s="177"/>
      <c r="F55" s="177"/>
      <c r="G55" s="177"/>
      <c r="H55" s="177"/>
      <c r="I55" s="177"/>
      <c r="J55" s="177"/>
      <c r="K55" s="177"/>
      <c r="L55" s="177"/>
      <c r="M55" s="177"/>
      <c r="N55" s="177"/>
      <c r="O55" s="177"/>
      <c r="P55" s="177"/>
      <c r="Q55" s="177"/>
      <c r="R55" s="178"/>
    </row>
    <row r="56" spans="1:18" x14ac:dyDescent="0.3">
      <c r="A56" s="155">
        <v>30</v>
      </c>
      <c r="B56" s="156" t="s">
        <v>192</v>
      </c>
      <c r="C56" s="159">
        <v>44.55</v>
      </c>
      <c r="D56" s="159">
        <v>44.55</v>
      </c>
      <c r="E56" s="159">
        <v>244.55</v>
      </c>
      <c r="F56" s="159">
        <v>244.55</v>
      </c>
      <c r="G56" s="159">
        <v>244.55</v>
      </c>
      <c r="H56" s="159">
        <v>199.55</v>
      </c>
      <c r="I56" s="159">
        <v>199.55</v>
      </c>
      <c r="J56" s="159">
        <v>199.55</v>
      </c>
      <c r="K56" s="159">
        <v>199.55</v>
      </c>
      <c r="L56" s="159">
        <v>199.55</v>
      </c>
      <c r="M56" s="159">
        <f>'1'!L30</f>
        <v>199.55</v>
      </c>
      <c r="N56" s="159">
        <f>'1'!M30</f>
        <v>199.55</v>
      </c>
      <c r="O56" s="159">
        <f>'1'!N30</f>
        <v>199.55</v>
      </c>
      <c r="P56" s="159">
        <f>'1'!O30</f>
        <v>199.55</v>
      </c>
      <c r="Q56" s="159">
        <f>'1'!P30</f>
        <v>199.55</v>
      </c>
      <c r="R56" s="158" t="s">
        <v>280</v>
      </c>
    </row>
    <row r="57" spans="1:18" x14ac:dyDescent="0.3">
      <c r="A57" s="155">
        <v>31</v>
      </c>
      <c r="B57" s="156" t="s">
        <v>281</v>
      </c>
      <c r="C57" s="159">
        <v>44.55</v>
      </c>
      <c r="D57" s="159">
        <v>44.55</v>
      </c>
      <c r="E57" s="159">
        <v>244.55</v>
      </c>
      <c r="F57" s="159">
        <v>244.55</v>
      </c>
      <c r="G57" s="159">
        <v>244.55</v>
      </c>
      <c r="H57" s="159">
        <v>199.55</v>
      </c>
      <c r="I57" s="159">
        <v>199.55</v>
      </c>
      <c r="J57" s="159">
        <v>199.55</v>
      </c>
      <c r="K57" s="159">
        <v>199.55</v>
      </c>
      <c r="L57" s="159">
        <v>199.55</v>
      </c>
      <c r="M57" s="159">
        <f>'1'!L30</f>
        <v>199.55</v>
      </c>
      <c r="N57" s="159">
        <f>'1'!M30</f>
        <v>199.55</v>
      </c>
      <c r="O57" s="159">
        <f>'1'!N30</f>
        <v>199.55</v>
      </c>
      <c r="P57" s="159">
        <f>'1'!O30</f>
        <v>199.55</v>
      </c>
      <c r="Q57" s="159">
        <f>'1'!P30</f>
        <v>199.55</v>
      </c>
      <c r="R57" s="158">
        <v>0</v>
      </c>
    </row>
    <row r="58" spans="1:18" x14ac:dyDescent="0.3">
      <c r="A58" s="155">
        <v>32</v>
      </c>
      <c r="B58" s="156" t="s">
        <v>282</v>
      </c>
      <c r="C58" s="159">
        <v>0</v>
      </c>
      <c r="D58" s="159">
        <v>0</v>
      </c>
      <c r="E58" s="159">
        <v>0</v>
      </c>
      <c r="F58" s="159">
        <v>0</v>
      </c>
      <c r="G58" s="159">
        <v>0</v>
      </c>
      <c r="H58" s="159">
        <v>0</v>
      </c>
      <c r="I58" s="159">
        <v>0</v>
      </c>
      <c r="J58" s="159">
        <v>0</v>
      </c>
      <c r="K58" s="159">
        <v>0</v>
      </c>
      <c r="L58" s="159">
        <v>0</v>
      </c>
      <c r="M58" s="159">
        <v>0</v>
      </c>
      <c r="N58" s="159">
        <v>0</v>
      </c>
      <c r="O58" s="159">
        <v>0</v>
      </c>
      <c r="P58" s="159">
        <v>0</v>
      </c>
      <c r="Q58" s="159">
        <v>0</v>
      </c>
      <c r="R58" s="158">
        <v>0</v>
      </c>
    </row>
    <row r="59" spans="1:18" ht="21" x14ac:dyDescent="0.3">
      <c r="A59" s="155">
        <v>33</v>
      </c>
      <c r="B59" s="156" t="s">
        <v>283</v>
      </c>
      <c r="C59" s="159"/>
      <c r="D59" s="159"/>
      <c r="E59" s="159"/>
      <c r="F59" s="159"/>
      <c r="G59" s="159"/>
      <c r="H59" s="159"/>
      <c r="I59" s="159"/>
      <c r="J59" s="159"/>
      <c r="K59" s="159"/>
      <c r="L59" s="159"/>
      <c r="M59" s="159"/>
      <c r="N59" s="159"/>
      <c r="O59" s="159"/>
      <c r="P59" s="159"/>
      <c r="Q59" s="159"/>
      <c r="R59" s="158" t="s">
        <v>284</v>
      </c>
    </row>
    <row r="60" spans="1:18" x14ac:dyDescent="0.3">
      <c r="A60" s="155"/>
      <c r="B60" s="156" t="s">
        <v>207</v>
      </c>
      <c r="C60" s="159"/>
      <c r="D60" s="159"/>
      <c r="E60" s="159"/>
      <c r="F60" s="159"/>
      <c r="G60" s="159"/>
      <c r="H60" s="159"/>
      <c r="I60" s="159"/>
      <c r="J60" s="159"/>
      <c r="K60" s="159"/>
      <c r="L60" s="159"/>
      <c r="M60" s="159"/>
      <c r="N60" s="159"/>
      <c r="O60" s="159"/>
      <c r="P60" s="159"/>
      <c r="Q60" s="159"/>
      <c r="R60" s="158" t="s">
        <v>285</v>
      </c>
    </row>
    <row r="61" spans="1:18" ht="21" x14ac:dyDescent="0.3">
      <c r="A61" s="155">
        <v>34</v>
      </c>
      <c r="B61" s="156" t="s">
        <v>286</v>
      </c>
      <c r="C61" s="159"/>
      <c r="D61" s="159"/>
      <c r="E61" s="159"/>
      <c r="F61" s="159"/>
      <c r="G61" s="159"/>
      <c r="H61" s="159"/>
      <c r="I61" s="159"/>
      <c r="J61" s="159"/>
      <c r="K61" s="159"/>
      <c r="L61" s="159"/>
      <c r="M61" s="159"/>
      <c r="N61" s="159"/>
      <c r="O61" s="159"/>
      <c r="P61" s="159"/>
      <c r="Q61" s="159"/>
      <c r="R61" s="158" t="s">
        <v>287</v>
      </c>
    </row>
    <row r="62" spans="1:18" x14ac:dyDescent="0.3">
      <c r="A62" s="155">
        <v>35</v>
      </c>
      <c r="B62" s="156" t="s">
        <v>288</v>
      </c>
      <c r="C62" s="159"/>
      <c r="D62" s="159"/>
      <c r="E62" s="159"/>
      <c r="F62" s="159"/>
      <c r="G62" s="159"/>
      <c r="H62" s="159"/>
      <c r="I62" s="159"/>
      <c r="J62" s="159"/>
      <c r="K62" s="159"/>
      <c r="L62" s="159"/>
      <c r="M62" s="159"/>
      <c r="N62" s="159"/>
      <c r="O62" s="159"/>
      <c r="P62" s="159"/>
      <c r="Q62" s="159"/>
      <c r="R62" s="158" t="s">
        <v>284</v>
      </c>
    </row>
    <row r="63" spans="1:18" x14ac:dyDescent="0.3">
      <c r="A63" s="155">
        <v>36</v>
      </c>
      <c r="B63" s="174" t="s">
        <v>289</v>
      </c>
      <c r="C63" s="159">
        <v>44.55</v>
      </c>
      <c r="D63" s="159">
        <v>44.55</v>
      </c>
      <c r="E63" s="159">
        <v>244.55</v>
      </c>
      <c r="F63" s="159">
        <v>244.55</v>
      </c>
      <c r="G63" s="159">
        <v>244.55</v>
      </c>
      <c r="H63" s="159">
        <v>199.55</v>
      </c>
      <c r="I63" s="159">
        <v>199.55</v>
      </c>
      <c r="J63" s="159">
        <v>199.55</v>
      </c>
      <c r="K63" s="159">
        <v>199.55</v>
      </c>
      <c r="L63" s="159">
        <v>199.55</v>
      </c>
      <c r="M63" s="159">
        <f>SUM(M56:M62)-M57-M58</f>
        <v>199.55</v>
      </c>
      <c r="N63" s="159">
        <f t="shared" ref="N63:O63" si="6">SUM(N56:N62)-N57-N58</f>
        <v>199.55</v>
      </c>
      <c r="O63" s="159">
        <f t="shared" si="6"/>
        <v>199.55</v>
      </c>
      <c r="P63" s="159">
        <f t="shared" ref="P63:Q63" si="7">SUM(P56:P62)-P57-P58</f>
        <v>199.55</v>
      </c>
      <c r="Q63" s="159">
        <f t="shared" si="7"/>
        <v>199.55</v>
      </c>
      <c r="R63" s="158">
        <v>0</v>
      </c>
    </row>
    <row r="64" spans="1:18" x14ac:dyDescent="0.3">
      <c r="A64" s="175" t="s">
        <v>290</v>
      </c>
      <c r="B64" s="176"/>
      <c r="C64" s="177"/>
      <c r="D64" s="177"/>
      <c r="E64" s="177"/>
      <c r="F64" s="177"/>
      <c r="G64" s="177"/>
      <c r="H64" s="177"/>
      <c r="I64" s="177"/>
      <c r="J64" s="177"/>
      <c r="K64" s="177"/>
      <c r="L64" s="177"/>
      <c r="M64" s="177"/>
      <c r="N64" s="177"/>
      <c r="O64" s="177"/>
      <c r="P64" s="177"/>
      <c r="Q64" s="177"/>
      <c r="R64" s="178"/>
    </row>
    <row r="65" spans="1:18" ht="21" x14ac:dyDescent="0.3">
      <c r="A65" s="155">
        <v>37</v>
      </c>
      <c r="B65" s="156" t="s">
        <v>291</v>
      </c>
      <c r="C65" s="159"/>
      <c r="D65" s="159"/>
      <c r="E65" s="159"/>
      <c r="F65" s="159"/>
      <c r="G65" s="159"/>
      <c r="H65" s="159"/>
      <c r="I65" s="159"/>
      <c r="J65" s="159"/>
      <c r="K65" s="159"/>
      <c r="L65" s="159"/>
      <c r="M65" s="159"/>
      <c r="N65" s="159"/>
      <c r="O65" s="159"/>
      <c r="P65" s="159"/>
      <c r="Q65" s="159"/>
      <c r="R65" s="158" t="s">
        <v>292</v>
      </c>
    </row>
    <row r="66" spans="1:18" ht="31" x14ac:dyDescent="0.3">
      <c r="A66" s="155">
        <v>38</v>
      </c>
      <c r="B66" s="156" t="s">
        <v>293</v>
      </c>
      <c r="C66" s="159"/>
      <c r="D66" s="159"/>
      <c r="E66" s="159"/>
      <c r="F66" s="159"/>
      <c r="G66" s="159"/>
      <c r="H66" s="159"/>
      <c r="I66" s="159"/>
      <c r="J66" s="159"/>
      <c r="K66" s="159"/>
      <c r="L66" s="159"/>
      <c r="M66" s="159"/>
      <c r="N66" s="159"/>
      <c r="O66" s="159"/>
      <c r="P66" s="159"/>
      <c r="Q66" s="159"/>
      <c r="R66" s="158" t="s">
        <v>294</v>
      </c>
    </row>
    <row r="67" spans="1:18" ht="31" x14ac:dyDescent="0.3">
      <c r="A67" s="155">
        <v>39</v>
      </c>
      <c r="B67" s="156" t="s">
        <v>295</v>
      </c>
      <c r="C67" s="159"/>
      <c r="D67" s="159"/>
      <c r="E67" s="159"/>
      <c r="F67" s="159"/>
      <c r="G67" s="159"/>
      <c r="H67" s="159"/>
      <c r="I67" s="159"/>
      <c r="J67" s="159"/>
      <c r="K67" s="159"/>
      <c r="L67" s="159"/>
      <c r="M67" s="159"/>
      <c r="N67" s="159"/>
      <c r="O67" s="159"/>
      <c r="P67" s="159"/>
      <c r="Q67" s="159"/>
      <c r="R67" s="158" t="s">
        <v>296</v>
      </c>
    </row>
    <row r="68" spans="1:18" ht="31" x14ac:dyDescent="0.3">
      <c r="A68" s="155">
        <v>40</v>
      </c>
      <c r="B68" s="156" t="s">
        <v>297</v>
      </c>
      <c r="C68" s="159"/>
      <c r="D68" s="159"/>
      <c r="E68" s="159"/>
      <c r="F68" s="159"/>
      <c r="G68" s="159"/>
      <c r="H68" s="159"/>
      <c r="I68" s="159"/>
      <c r="J68" s="159"/>
      <c r="K68" s="159"/>
      <c r="L68" s="159"/>
      <c r="M68" s="159"/>
      <c r="N68" s="159"/>
      <c r="O68" s="159"/>
      <c r="P68" s="159"/>
      <c r="Q68" s="159"/>
      <c r="R68" s="158" t="s">
        <v>298</v>
      </c>
    </row>
    <row r="69" spans="1:18" ht="31" x14ac:dyDescent="0.3">
      <c r="A69" s="155">
        <v>41</v>
      </c>
      <c r="B69" s="156" t="s">
        <v>299</v>
      </c>
      <c r="C69" s="159"/>
      <c r="D69" s="159"/>
      <c r="E69" s="159"/>
      <c r="F69" s="159"/>
      <c r="G69" s="159"/>
      <c r="H69" s="159"/>
      <c r="I69" s="159"/>
      <c r="J69" s="159"/>
      <c r="K69" s="159"/>
      <c r="L69" s="159"/>
      <c r="M69" s="159"/>
      <c r="N69" s="159"/>
      <c r="O69" s="159"/>
      <c r="P69" s="159"/>
      <c r="Q69" s="159"/>
      <c r="R69" s="158">
        <v>0</v>
      </c>
    </row>
    <row r="70" spans="1:18" ht="41" x14ac:dyDescent="0.3">
      <c r="A70" s="155" t="s">
        <v>300</v>
      </c>
      <c r="B70" s="156" t="s">
        <v>301</v>
      </c>
      <c r="C70" s="159"/>
      <c r="D70" s="159"/>
      <c r="E70" s="159"/>
      <c r="F70" s="159"/>
      <c r="G70" s="159"/>
      <c r="H70" s="159"/>
      <c r="I70" s="159"/>
      <c r="J70" s="159"/>
      <c r="K70" s="159"/>
      <c r="L70" s="159"/>
      <c r="M70" s="159"/>
      <c r="N70" s="159"/>
      <c r="O70" s="159"/>
      <c r="P70" s="159"/>
      <c r="Q70" s="159"/>
      <c r="R70" s="158" t="s">
        <v>302</v>
      </c>
    </row>
    <row r="71" spans="1:18" ht="31" x14ac:dyDescent="0.3">
      <c r="A71" s="155" t="s">
        <v>303</v>
      </c>
      <c r="B71" s="156" t="s">
        <v>304</v>
      </c>
      <c r="C71" s="159"/>
      <c r="D71" s="159"/>
      <c r="E71" s="159"/>
      <c r="F71" s="159"/>
      <c r="G71" s="159"/>
      <c r="H71" s="159"/>
      <c r="I71" s="159"/>
      <c r="J71" s="159"/>
      <c r="K71" s="159"/>
      <c r="L71" s="159"/>
      <c r="M71" s="159"/>
      <c r="N71" s="159"/>
      <c r="O71" s="159"/>
      <c r="P71" s="159"/>
      <c r="Q71" s="159"/>
      <c r="R71" s="158" t="s">
        <v>305</v>
      </c>
    </row>
    <row r="72" spans="1:18" ht="21" x14ac:dyDescent="0.3">
      <c r="A72" s="155" t="s">
        <v>306</v>
      </c>
      <c r="B72" s="156" t="s">
        <v>307</v>
      </c>
      <c r="C72" s="159"/>
      <c r="D72" s="159"/>
      <c r="E72" s="159"/>
      <c r="F72" s="159"/>
      <c r="G72" s="159"/>
      <c r="H72" s="159"/>
      <c r="I72" s="159"/>
      <c r="J72" s="159"/>
      <c r="K72" s="159"/>
      <c r="L72" s="159"/>
      <c r="M72" s="159"/>
      <c r="N72" s="159"/>
      <c r="O72" s="159"/>
      <c r="P72" s="159"/>
      <c r="Q72" s="159"/>
      <c r="R72" s="158" t="s">
        <v>308</v>
      </c>
    </row>
    <row r="73" spans="1:18" x14ac:dyDescent="0.3">
      <c r="A73" s="155"/>
      <c r="B73" s="156" t="s">
        <v>309</v>
      </c>
      <c r="C73" s="159"/>
      <c r="D73" s="159"/>
      <c r="E73" s="159"/>
      <c r="F73" s="159"/>
      <c r="G73" s="159"/>
      <c r="H73" s="159"/>
      <c r="I73" s="159"/>
      <c r="J73" s="159"/>
      <c r="K73" s="159"/>
      <c r="L73" s="159"/>
      <c r="M73" s="159"/>
      <c r="N73" s="159"/>
      <c r="O73" s="159"/>
      <c r="P73" s="159"/>
      <c r="Q73" s="159"/>
      <c r="R73" s="158">
        <v>0</v>
      </c>
    </row>
    <row r="74" spans="1:18" x14ac:dyDescent="0.3">
      <c r="A74" s="155"/>
      <c r="B74" s="156" t="s">
        <v>310</v>
      </c>
      <c r="C74" s="159"/>
      <c r="D74" s="159"/>
      <c r="E74" s="159"/>
      <c r="F74" s="159"/>
      <c r="G74" s="159"/>
      <c r="H74" s="159"/>
      <c r="I74" s="159"/>
      <c r="J74" s="159"/>
      <c r="K74" s="159"/>
      <c r="L74" s="159"/>
      <c r="M74" s="159"/>
      <c r="N74" s="159"/>
      <c r="O74" s="159"/>
      <c r="P74" s="159"/>
      <c r="Q74" s="159"/>
      <c r="R74" s="158">
        <v>0</v>
      </c>
    </row>
    <row r="75" spans="1:18" x14ac:dyDescent="0.3">
      <c r="A75" s="155">
        <v>42</v>
      </c>
      <c r="B75" s="156" t="s">
        <v>311</v>
      </c>
      <c r="C75" s="159"/>
      <c r="D75" s="159"/>
      <c r="E75" s="159"/>
      <c r="F75" s="159"/>
      <c r="G75" s="159"/>
      <c r="H75" s="159"/>
      <c r="I75" s="159"/>
      <c r="J75" s="159"/>
      <c r="K75" s="159"/>
      <c r="L75" s="159"/>
      <c r="M75" s="159"/>
      <c r="N75" s="159"/>
      <c r="O75" s="159"/>
      <c r="P75" s="159"/>
      <c r="Q75" s="159"/>
      <c r="R75" s="179" t="s">
        <v>312</v>
      </c>
    </row>
    <row r="76" spans="1:18" x14ac:dyDescent="0.3">
      <c r="A76" s="155">
        <v>43</v>
      </c>
      <c r="B76" s="174" t="s">
        <v>313</v>
      </c>
      <c r="C76" s="159"/>
      <c r="D76" s="159"/>
      <c r="E76" s="159"/>
      <c r="F76" s="159"/>
      <c r="G76" s="159"/>
      <c r="H76" s="159"/>
      <c r="I76" s="159"/>
      <c r="J76" s="159"/>
      <c r="K76" s="159"/>
      <c r="L76" s="159"/>
      <c r="M76" s="159"/>
      <c r="N76" s="159"/>
      <c r="O76" s="159"/>
      <c r="P76" s="159"/>
      <c r="Q76" s="159"/>
      <c r="R76" s="158">
        <v>0</v>
      </c>
    </row>
    <row r="77" spans="1:18" x14ac:dyDescent="0.3">
      <c r="A77" s="155">
        <v>44</v>
      </c>
      <c r="B77" s="174" t="s">
        <v>314</v>
      </c>
      <c r="C77" s="159">
        <v>44.55</v>
      </c>
      <c r="D77" s="159">
        <v>44.55</v>
      </c>
      <c r="E77" s="159">
        <v>244.55</v>
      </c>
      <c r="F77" s="159">
        <v>244.55</v>
      </c>
      <c r="G77" s="159">
        <v>244.55</v>
      </c>
      <c r="H77" s="159">
        <v>199.55</v>
      </c>
      <c r="I77" s="159">
        <v>199.55</v>
      </c>
      <c r="J77" s="159">
        <v>199.55</v>
      </c>
      <c r="K77" s="159">
        <v>199.55</v>
      </c>
      <c r="L77" s="159">
        <v>199.55</v>
      </c>
      <c r="M77" s="159">
        <f>M63</f>
        <v>199.55</v>
      </c>
      <c r="N77" s="159">
        <f t="shared" ref="N77:O77" si="8">N63</f>
        <v>199.55</v>
      </c>
      <c r="O77" s="159">
        <f t="shared" si="8"/>
        <v>199.55</v>
      </c>
      <c r="P77" s="159">
        <f t="shared" ref="P77:Q77" si="9">P63</f>
        <v>199.55</v>
      </c>
      <c r="Q77" s="159">
        <f t="shared" si="9"/>
        <v>199.55</v>
      </c>
      <c r="R77" s="158">
        <v>0</v>
      </c>
    </row>
    <row r="78" spans="1:18" x14ac:dyDescent="0.3">
      <c r="A78" s="155">
        <v>45</v>
      </c>
      <c r="B78" s="174" t="s">
        <v>315</v>
      </c>
      <c r="C78" s="159">
        <v>1898.443801991202</v>
      </c>
      <c r="D78" s="159">
        <v>1938.0446218002794</v>
      </c>
      <c r="E78" s="159">
        <v>2191.606092264843</v>
      </c>
      <c r="F78" s="159">
        <v>2260.4543607628784</v>
      </c>
      <c r="G78" s="159">
        <v>2228.4474566641525</v>
      </c>
      <c r="H78" s="159">
        <v>2097.2394525590767</v>
      </c>
      <c r="I78" s="159">
        <v>2128.9569470099809</v>
      </c>
      <c r="J78" s="159">
        <v>1763.8253563845226</v>
      </c>
      <c r="K78" s="159">
        <v>1840.6816196980171</v>
      </c>
      <c r="L78" s="159">
        <f>L54+L77</f>
        <v>1839.074766887351</v>
      </c>
      <c r="M78" s="159">
        <f t="shared" ref="M78:O78" si="10">M54+M77</f>
        <v>1956.1140210326978</v>
      </c>
      <c r="N78" s="159">
        <f t="shared" si="10"/>
        <v>1939.9386762521731</v>
      </c>
      <c r="O78" s="159">
        <f t="shared" si="10"/>
        <v>1978.8462272159704</v>
      </c>
      <c r="P78" s="159">
        <f t="shared" ref="P78:Q78" si="11">P54+P77</f>
        <v>2026.580316811491</v>
      </c>
      <c r="Q78" s="159">
        <f t="shared" si="11"/>
        <v>2170.8870993249102</v>
      </c>
      <c r="R78" s="158">
        <v>0</v>
      </c>
    </row>
    <row r="79" spans="1:18" x14ac:dyDescent="0.3">
      <c r="A79" s="180" t="s">
        <v>316</v>
      </c>
      <c r="B79" s="176"/>
      <c r="C79" s="177"/>
      <c r="D79" s="177"/>
      <c r="E79" s="177"/>
      <c r="F79" s="177"/>
      <c r="G79" s="177"/>
      <c r="H79" s="177"/>
      <c r="I79" s="177"/>
      <c r="J79" s="177"/>
      <c r="K79" s="177"/>
      <c r="L79" s="177"/>
      <c r="M79" s="177"/>
      <c r="N79" s="177"/>
      <c r="O79" s="177"/>
      <c r="P79" s="177"/>
      <c r="Q79" s="177"/>
      <c r="R79" s="178"/>
    </row>
    <row r="80" spans="1:18" x14ac:dyDescent="0.3">
      <c r="A80" s="155">
        <v>46</v>
      </c>
      <c r="B80" s="156" t="s">
        <v>192</v>
      </c>
      <c r="C80" s="159">
        <v>64.859166509999994</v>
      </c>
      <c r="D80" s="159">
        <v>64.891666499999999</v>
      </c>
      <c r="E80" s="159">
        <v>64.924166490000005</v>
      </c>
      <c r="F80" s="159">
        <v>64.956666479999996</v>
      </c>
      <c r="G80" s="159">
        <v>64.989166470000001</v>
      </c>
      <c r="H80" s="159">
        <v>106.8</v>
      </c>
      <c r="I80" s="159">
        <v>65</v>
      </c>
      <c r="J80" s="159">
        <v>65</v>
      </c>
      <c r="K80" s="159">
        <v>65</v>
      </c>
      <c r="L80" s="159">
        <v>65</v>
      </c>
      <c r="M80" s="159">
        <f>'1'!L32</f>
        <v>65</v>
      </c>
      <c r="N80" s="159">
        <f>'1'!M32</f>
        <v>65</v>
      </c>
      <c r="O80" s="159">
        <f>'1'!N32</f>
        <v>65</v>
      </c>
      <c r="P80" s="159">
        <f>'1'!O32</f>
        <v>65</v>
      </c>
      <c r="Q80" s="159">
        <f>'1'!P32</f>
        <v>165</v>
      </c>
      <c r="R80" s="158" t="s">
        <v>317</v>
      </c>
    </row>
    <row r="81" spans="1:18" ht="21" x14ac:dyDescent="0.3">
      <c r="A81" s="155">
        <v>47</v>
      </c>
      <c r="B81" s="156" t="s">
        <v>318</v>
      </c>
      <c r="C81" s="159"/>
      <c r="D81" s="159"/>
      <c r="E81" s="159"/>
      <c r="F81" s="159"/>
      <c r="G81" s="159"/>
      <c r="H81" s="159"/>
      <c r="I81" s="159"/>
      <c r="J81" s="159"/>
      <c r="K81" s="159"/>
      <c r="L81" s="159"/>
      <c r="M81" s="159"/>
      <c r="N81" s="159"/>
      <c r="O81" s="159"/>
      <c r="P81" s="159"/>
      <c r="Q81" s="159"/>
      <c r="R81" s="158" t="s">
        <v>319</v>
      </c>
    </row>
    <row r="82" spans="1:18" x14ac:dyDescent="0.3">
      <c r="A82" s="155"/>
      <c r="B82" s="156" t="s">
        <v>207</v>
      </c>
      <c r="C82" s="159"/>
      <c r="D82" s="159"/>
      <c r="E82" s="159"/>
      <c r="F82" s="159"/>
      <c r="G82" s="159"/>
      <c r="H82" s="159"/>
      <c r="I82" s="159"/>
      <c r="J82" s="159"/>
      <c r="K82" s="159"/>
      <c r="L82" s="159"/>
      <c r="M82" s="159"/>
      <c r="N82" s="159"/>
      <c r="O82" s="159"/>
      <c r="P82" s="159"/>
      <c r="Q82" s="159"/>
      <c r="R82" s="158" t="s">
        <v>320</v>
      </c>
    </row>
    <row r="83" spans="1:18" ht="31" x14ac:dyDescent="0.3">
      <c r="A83" s="155">
        <v>48</v>
      </c>
      <c r="B83" s="156" t="s">
        <v>321</v>
      </c>
      <c r="C83" s="159"/>
      <c r="D83" s="159"/>
      <c r="E83" s="159"/>
      <c r="F83" s="159"/>
      <c r="G83" s="159"/>
      <c r="H83" s="159"/>
      <c r="I83" s="159"/>
      <c r="J83" s="159"/>
      <c r="K83" s="159"/>
      <c r="L83" s="159"/>
      <c r="M83" s="159"/>
      <c r="N83" s="159"/>
      <c r="O83" s="159"/>
      <c r="P83" s="159"/>
      <c r="Q83" s="159"/>
      <c r="R83" s="158" t="s">
        <v>322</v>
      </c>
    </row>
    <row r="84" spans="1:18" x14ac:dyDescent="0.3">
      <c r="A84" s="155">
        <v>49</v>
      </c>
      <c r="B84" s="156" t="s">
        <v>288</v>
      </c>
      <c r="C84" s="159"/>
      <c r="D84" s="159"/>
      <c r="E84" s="159"/>
      <c r="F84" s="159"/>
      <c r="G84" s="159"/>
      <c r="H84" s="159"/>
      <c r="I84" s="159"/>
      <c r="J84" s="159"/>
      <c r="K84" s="159"/>
      <c r="L84" s="159"/>
      <c r="M84" s="159"/>
      <c r="N84" s="159"/>
      <c r="O84" s="159"/>
      <c r="P84" s="159"/>
      <c r="Q84" s="159"/>
      <c r="R84" s="158" t="s">
        <v>319</v>
      </c>
    </row>
    <row r="85" spans="1:18" x14ac:dyDescent="0.3">
      <c r="A85" s="155">
        <v>50</v>
      </c>
      <c r="B85" s="156" t="s">
        <v>323</v>
      </c>
      <c r="C85" s="159"/>
      <c r="D85" s="159"/>
      <c r="E85" s="159"/>
      <c r="F85" s="159"/>
      <c r="G85" s="159"/>
      <c r="H85" s="159"/>
      <c r="I85" s="159"/>
      <c r="J85" s="159"/>
      <c r="K85" s="159"/>
      <c r="L85" s="159"/>
      <c r="M85" s="159"/>
      <c r="N85" s="159"/>
      <c r="O85" s="159"/>
      <c r="P85" s="159"/>
      <c r="Q85" s="159"/>
      <c r="R85" s="158" t="s">
        <v>324</v>
      </c>
    </row>
    <row r="86" spans="1:18" x14ac:dyDescent="0.3">
      <c r="A86" s="155">
        <v>51</v>
      </c>
      <c r="B86" s="174" t="s">
        <v>325</v>
      </c>
      <c r="C86" s="159">
        <v>64.859166509999994</v>
      </c>
      <c r="D86" s="159">
        <v>64.891666499999999</v>
      </c>
      <c r="E86" s="159">
        <v>64.924166490000005</v>
      </c>
      <c r="F86" s="159">
        <v>64.956666479999996</v>
      </c>
      <c r="G86" s="159">
        <v>64.989166470000001</v>
      </c>
      <c r="H86" s="159">
        <v>106.8</v>
      </c>
      <c r="I86" s="159">
        <v>65</v>
      </c>
      <c r="J86" s="159">
        <v>65</v>
      </c>
      <c r="K86" s="159">
        <v>65</v>
      </c>
      <c r="L86" s="159">
        <v>65</v>
      </c>
      <c r="M86" s="159">
        <f>SUM(M80:M85)</f>
        <v>65</v>
      </c>
      <c r="N86" s="159">
        <f t="shared" ref="N86:O86" si="12">SUM(N80:N85)</f>
        <v>65</v>
      </c>
      <c r="O86" s="159">
        <f t="shared" si="12"/>
        <v>65</v>
      </c>
      <c r="P86" s="159">
        <f t="shared" ref="P86:Q86" si="13">SUM(P80:P85)</f>
        <v>65</v>
      </c>
      <c r="Q86" s="159">
        <f t="shared" si="13"/>
        <v>165</v>
      </c>
      <c r="R86" s="158">
        <v>0</v>
      </c>
    </row>
    <row r="87" spans="1:18" x14ac:dyDescent="0.3">
      <c r="A87" s="175" t="s">
        <v>326</v>
      </c>
      <c r="B87" s="176"/>
      <c r="C87" s="177"/>
      <c r="D87" s="177"/>
      <c r="E87" s="177"/>
      <c r="F87" s="177"/>
      <c r="G87" s="177"/>
      <c r="H87" s="177"/>
      <c r="I87" s="177"/>
      <c r="J87" s="177"/>
      <c r="K87" s="177"/>
      <c r="L87" s="177"/>
      <c r="M87" s="177"/>
      <c r="N87" s="177"/>
      <c r="O87" s="177"/>
      <c r="P87" s="177"/>
      <c r="Q87" s="177"/>
      <c r="R87" s="178"/>
    </row>
    <row r="88" spans="1:18" ht="21" x14ac:dyDescent="0.3">
      <c r="A88" s="155">
        <v>52</v>
      </c>
      <c r="B88" s="156" t="s">
        <v>327</v>
      </c>
      <c r="C88" s="159"/>
      <c r="D88" s="159"/>
      <c r="E88" s="159"/>
      <c r="F88" s="159"/>
      <c r="G88" s="159"/>
      <c r="H88" s="159"/>
      <c r="I88" s="159"/>
      <c r="J88" s="159"/>
      <c r="K88" s="159"/>
      <c r="L88" s="159"/>
      <c r="M88" s="159"/>
      <c r="N88" s="159"/>
      <c r="O88" s="159"/>
      <c r="P88" s="159"/>
      <c r="Q88" s="159"/>
      <c r="R88" s="158" t="s">
        <v>328</v>
      </c>
    </row>
    <row r="89" spans="1:18" ht="31" x14ac:dyDescent="0.3">
      <c r="A89" s="155">
        <v>53</v>
      </c>
      <c r="B89" s="156" t="s">
        <v>329</v>
      </c>
      <c r="C89" s="159"/>
      <c r="D89" s="159"/>
      <c r="E89" s="159"/>
      <c r="F89" s="159"/>
      <c r="G89" s="159"/>
      <c r="H89" s="159"/>
      <c r="I89" s="159"/>
      <c r="J89" s="159"/>
      <c r="K89" s="159"/>
      <c r="L89" s="159"/>
      <c r="M89" s="159"/>
      <c r="N89" s="159"/>
      <c r="O89" s="159"/>
      <c r="P89" s="159"/>
      <c r="Q89" s="159"/>
      <c r="R89" s="158" t="s">
        <v>330</v>
      </c>
    </row>
    <row r="90" spans="1:18" ht="41" x14ac:dyDescent="0.3">
      <c r="A90" s="155">
        <v>54</v>
      </c>
      <c r="B90" s="156" t="s">
        <v>331</v>
      </c>
      <c r="C90" s="159"/>
      <c r="D90" s="159"/>
      <c r="E90" s="159"/>
      <c r="F90" s="159"/>
      <c r="G90" s="159"/>
      <c r="H90" s="159"/>
      <c r="I90" s="159"/>
      <c r="J90" s="159"/>
      <c r="K90" s="159"/>
      <c r="L90" s="159"/>
      <c r="M90" s="159"/>
      <c r="N90" s="159"/>
      <c r="O90" s="159"/>
      <c r="P90" s="159"/>
      <c r="Q90" s="159"/>
      <c r="R90" s="158" t="s">
        <v>332</v>
      </c>
    </row>
    <row r="91" spans="1:18" x14ac:dyDescent="0.3">
      <c r="A91" s="155" t="s">
        <v>333</v>
      </c>
      <c r="B91" s="156" t="s">
        <v>334</v>
      </c>
      <c r="C91" s="159"/>
      <c r="D91" s="159"/>
      <c r="E91" s="159"/>
      <c r="F91" s="159"/>
      <c r="G91" s="159"/>
      <c r="H91" s="159"/>
      <c r="I91" s="159"/>
      <c r="J91" s="159"/>
      <c r="K91" s="159"/>
      <c r="L91" s="159"/>
      <c r="M91" s="159"/>
      <c r="N91" s="159"/>
      <c r="O91" s="159"/>
      <c r="P91" s="159"/>
      <c r="Q91" s="159"/>
      <c r="R91" s="158">
        <v>0</v>
      </c>
    </row>
    <row r="92" spans="1:18" x14ac:dyDescent="0.3">
      <c r="A92" s="155" t="s">
        <v>335</v>
      </c>
      <c r="B92" s="156" t="s">
        <v>336</v>
      </c>
      <c r="C92" s="159"/>
      <c r="D92" s="159"/>
      <c r="E92" s="159"/>
      <c r="F92" s="159"/>
      <c r="G92" s="159"/>
      <c r="H92" s="159"/>
      <c r="I92" s="159"/>
      <c r="J92" s="159"/>
      <c r="K92" s="159"/>
      <c r="L92" s="159"/>
      <c r="M92" s="159"/>
      <c r="N92" s="159"/>
      <c r="O92" s="159"/>
      <c r="P92" s="159"/>
      <c r="Q92" s="159"/>
      <c r="R92" s="158">
        <v>0</v>
      </c>
    </row>
    <row r="93" spans="1:18" ht="31" x14ac:dyDescent="0.3">
      <c r="A93" s="155">
        <v>55</v>
      </c>
      <c r="B93" s="156" t="s">
        <v>337</v>
      </c>
      <c r="C93" s="159"/>
      <c r="D93" s="159"/>
      <c r="E93" s="159"/>
      <c r="F93" s="159"/>
      <c r="G93" s="159"/>
      <c r="H93" s="159"/>
      <c r="I93" s="159"/>
      <c r="J93" s="159"/>
      <c r="K93" s="159"/>
      <c r="L93" s="159"/>
      <c r="M93" s="159"/>
      <c r="N93" s="159"/>
      <c r="O93" s="159"/>
      <c r="P93" s="159"/>
      <c r="Q93" s="159"/>
      <c r="R93" s="158" t="s">
        <v>338</v>
      </c>
    </row>
    <row r="94" spans="1:18" ht="31" x14ac:dyDescent="0.3">
      <c r="A94" s="155">
        <v>56</v>
      </c>
      <c r="B94" s="156" t="s">
        <v>339</v>
      </c>
      <c r="C94" s="159"/>
      <c r="D94" s="159"/>
      <c r="E94" s="159"/>
      <c r="F94" s="159"/>
      <c r="G94" s="159"/>
      <c r="H94" s="159"/>
      <c r="I94" s="159"/>
      <c r="J94" s="159"/>
      <c r="K94" s="159"/>
      <c r="L94" s="159"/>
      <c r="M94" s="159"/>
      <c r="N94" s="159"/>
      <c r="O94" s="159"/>
      <c r="P94" s="159"/>
      <c r="Q94" s="159"/>
      <c r="R94" s="158">
        <v>0</v>
      </c>
    </row>
    <row r="95" spans="1:18" ht="41" x14ac:dyDescent="0.3">
      <c r="A95" s="155" t="s">
        <v>340</v>
      </c>
      <c r="B95" s="156" t="s">
        <v>341</v>
      </c>
      <c r="C95" s="159"/>
      <c r="D95" s="159"/>
      <c r="E95" s="159"/>
      <c r="F95" s="159"/>
      <c r="G95" s="159"/>
      <c r="H95" s="159"/>
      <c r="I95" s="159"/>
      <c r="J95" s="159"/>
      <c r="K95" s="159"/>
      <c r="L95" s="159"/>
      <c r="M95" s="159"/>
      <c r="N95" s="159"/>
      <c r="O95" s="159"/>
      <c r="P95" s="159"/>
      <c r="Q95" s="159"/>
      <c r="R95" s="158" t="s">
        <v>342</v>
      </c>
    </row>
    <row r="96" spans="1:18" ht="31" x14ac:dyDescent="0.3">
      <c r="A96" s="155" t="s">
        <v>343</v>
      </c>
      <c r="B96" s="156" t="s">
        <v>344</v>
      </c>
      <c r="C96" s="159"/>
      <c r="D96" s="159"/>
      <c r="E96" s="159"/>
      <c r="F96" s="159"/>
      <c r="G96" s="159"/>
      <c r="H96" s="159"/>
      <c r="I96" s="159"/>
      <c r="J96" s="159"/>
      <c r="K96" s="159"/>
      <c r="L96" s="159"/>
      <c r="M96" s="159"/>
      <c r="N96" s="159"/>
      <c r="O96" s="159"/>
      <c r="P96" s="159"/>
      <c r="Q96" s="159"/>
      <c r="R96" s="158" t="s">
        <v>345</v>
      </c>
    </row>
    <row r="97" spans="1:18" ht="21" x14ac:dyDescent="0.3">
      <c r="A97" s="155" t="s">
        <v>346</v>
      </c>
      <c r="B97" s="156" t="s">
        <v>347</v>
      </c>
      <c r="C97" s="159"/>
      <c r="D97" s="159"/>
      <c r="E97" s="159"/>
      <c r="F97" s="159"/>
      <c r="G97" s="159"/>
      <c r="H97" s="159"/>
      <c r="I97" s="159"/>
      <c r="J97" s="159"/>
      <c r="K97" s="159"/>
      <c r="L97" s="159"/>
      <c r="M97" s="159"/>
      <c r="N97" s="159"/>
      <c r="O97" s="159"/>
      <c r="P97" s="159"/>
      <c r="Q97" s="159"/>
      <c r="R97" s="158" t="s">
        <v>308</v>
      </c>
    </row>
    <row r="98" spans="1:18" x14ac:dyDescent="0.3">
      <c r="A98" s="155"/>
      <c r="B98" s="156" t="s">
        <v>309</v>
      </c>
      <c r="C98" s="159"/>
      <c r="D98" s="159"/>
      <c r="E98" s="159"/>
      <c r="F98" s="159"/>
      <c r="G98" s="159"/>
      <c r="H98" s="159"/>
      <c r="I98" s="159"/>
      <c r="J98" s="159"/>
      <c r="K98" s="159"/>
      <c r="L98" s="159"/>
      <c r="M98" s="159"/>
      <c r="N98" s="159"/>
      <c r="O98" s="159"/>
      <c r="P98" s="159"/>
      <c r="Q98" s="159"/>
      <c r="R98" s="158">
        <v>0</v>
      </c>
    </row>
    <row r="99" spans="1:18" x14ac:dyDescent="0.3">
      <c r="A99" s="155"/>
      <c r="B99" s="156" t="s">
        <v>310</v>
      </c>
      <c r="C99" s="159"/>
      <c r="D99" s="159"/>
      <c r="E99" s="159"/>
      <c r="F99" s="159"/>
      <c r="G99" s="159"/>
      <c r="H99" s="159"/>
      <c r="I99" s="159"/>
      <c r="J99" s="159"/>
      <c r="K99" s="159"/>
      <c r="L99" s="159"/>
      <c r="M99" s="159"/>
      <c r="N99" s="159"/>
      <c r="O99" s="159"/>
      <c r="P99" s="159"/>
      <c r="Q99" s="159"/>
      <c r="R99" s="158">
        <v>0</v>
      </c>
    </row>
    <row r="100" spans="1:18" x14ac:dyDescent="0.3">
      <c r="A100" s="155">
        <v>57</v>
      </c>
      <c r="B100" s="174" t="s">
        <v>348</v>
      </c>
      <c r="C100" s="159"/>
      <c r="D100" s="159"/>
      <c r="E100" s="159"/>
      <c r="F100" s="159"/>
      <c r="G100" s="159"/>
      <c r="H100" s="159"/>
      <c r="I100" s="159"/>
      <c r="J100" s="159"/>
      <c r="K100" s="159"/>
      <c r="L100" s="159"/>
      <c r="M100" s="159"/>
      <c r="N100" s="159"/>
      <c r="O100" s="159"/>
      <c r="P100" s="159"/>
      <c r="Q100" s="159"/>
      <c r="R100" s="158">
        <v>0</v>
      </c>
    </row>
    <row r="101" spans="1:18" x14ac:dyDescent="0.3">
      <c r="A101" s="155">
        <v>58</v>
      </c>
      <c r="B101" s="174" t="s">
        <v>349</v>
      </c>
      <c r="C101" s="159">
        <v>64.859166509999994</v>
      </c>
      <c r="D101" s="159">
        <v>64.891666499999999</v>
      </c>
      <c r="E101" s="159">
        <v>64.924166490000005</v>
      </c>
      <c r="F101" s="159">
        <v>64.956666479999996</v>
      </c>
      <c r="G101" s="159">
        <v>64.989166470000001</v>
      </c>
      <c r="H101" s="159">
        <v>106.8</v>
      </c>
      <c r="I101" s="159">
        <v>65</v>
      </c>
      <c r="J101" s="159">
        <v>65</v>
      </c>
      <c r="K101" s="159">
        <v>65</v>
      </c>
      <c r="L101" s="159">
        <v>65</v>
      </c>
      <c r="M101" s="159">
        <f>M86</f>
        <v>65</v>
      </c>
      <c r="N101" s="159">
        <f t="shared" ref="N101:O101" si="14">N86</f>
        <v>65</v>
      </c>
      <c r="O101" s="159">
        <f t="shared" si="14"/>
        <v>65</v>
      </c>
      <c r="P101" s="159">
        <f t="shared" ref="P101:Q101" si="15">P86</f>
        <v>65</v>
      </c>
      <c r="Q101" s="159">
        <f t="shared" si="15"/>
        <v>165</v>
      </c>
      <c r="R101" s="158">
        <v>0</v>
      </c>
    </row>
    <row r="102" spans="1:18" x14ac:dyDescent="0.3">
      <c r="A102" s="155">
        <v>59</v>
      </c>
      <c r="B102" s="174" t="s">
        <v>350</v>
      </c>
      <c r="C102" s="159">
        <v>1963.302968501202</v>
      </c>
      <c r="D102" s="159">
        <v>2002.9362883002793</v>
      </c>
      <c r="E102" s="159">
        <v>2256.5302587548431</v>
      </c>
      <c r="F102" s="159">
        <v>2325.4110272428784</v>
      </c>
      <c r="G102" s="159">
        <v>2293.4366231341523</v>
      </c>
      <c r="H102" s="159">
        <v>2204.0394525590768</v>
      </c>
      <c r="I102" s="159">
        <v>2193.9569470099809</v>
      </c>
      <c r="J102" s="159">
        <v>1828.8253563845226</v>
      </c>
      <c r="K102" s="159">
        <v>1905.6816196980171</v>
      </c>
      <c r="L102" s="159">
        <f>L78+L101</f>
        <v>1904.074766887351</v>
      </c>
      <c r="M102" s="159">
        <f>M78+M101</f>
        <v>2021.1140210326978</v>
      </c>
      <c r="N102" s="159">
        <f t="shared" ref="N102:O102" si="16">N78+N101</f>
        <v>2004.9386762521731</v>
      </c>
      <c r="O102" s="159">
        <f t="shared" si="16"/>
        <v>2043.8462272159704</v>
      </c>
      <c r="P102" s="159">
        <f t="shared" ref="P102:Q102" si="17">P78+P101</f>
        <v>2091.5803168114908</v>
      </c>
      <c r="Q102" s="159">
        <f t="shared" si="17"/>
        <v>2335.8870993249102</v>
      </c>
      <c r="R102" s="158">
        <v>0</v>
      </c>
    </row>
    <row r="103" spans="1:18" ht="31" x14ac:dyDescent="0.3">
      <c r="A103" s="155" t="s">
        <v>351</v>
      </c>
      <c r="B103" s="156" t="s">
        <v>352</v>
      </c>
      <c r="C103" s="159"/>
      <c r="D103" s="159"/>
      <c r="E103" s="159"/>
      <c r="F103" s="159"/>
      <c r="G103" s="159"/>
      <c r="H103" s="159"/>
      <c r="I103" s="159"/>
      <c r="J103" s="159"/>
      <c r="K103" s="159"/>
      <c r="L103" s="159"/>
      <c r="M103" s="159"/>
      <c r="N103" s="159"/>
      <c r="O103" s="159"/>
      <c r="P103" s="159"/>
      <c r="Q103" s="159"/>
      <c r="R103" s="158">
        <v>0</v>
      </c>
    </row>
    <row r="104" spans="1:18" ht="31" x14ac:dyDescent="0.3">
      <c r="A104" s="155"/>
      <c r="B104" s="156" t="s">
        <v>353</v>
      </c>
      <c r="C104" s="159"/>
      <c r="D104" s="159"/>
      <c r="E104" s="159"/>
      <c r="F104" s="159"/>
      <c r="G104" s="159"/>
      <c r="H104" s="159"/>
      <c r="I104" s="159"/>
      <c r="J104" s="159"/>
      <c r="K104" s="159"/>
      <c r="L104" s="159"/>
      <c r="M104" s="159"/>
      <c r="N104" s="159"/>
      <c r="O104" s="159"/>
      <c r="P104" s="159"/>
      <c r="Q104" s="159"/>
      <c r="R104" s="158" t="s">
        <v>354</v>
      </c>
    </row>
    <row r="105" spans="1:18" ht="41" x14ac:dyDescent="0.3">
      <c r="A105" s="155"/>
      <c r="B105" s="156" t="s">
        <v>355</v>
      </c>
      <c r="C105" s="159"/>
      <c r="D105" s="159"/>
      <c r="E105" s="159"/>
      <c r="F105" s="159"/>
      <c r="G105" s="159"/>
      <c r="H105" s="159"/>
      <c r="I105" s="159"/>
      <c r="J105" s="159"/>
      <c r="K105" s="159"/>
      <c r="L105" s="159"/>
      <c r="M105" s="159"/>
      <c r="N105" s="159"/>
      <c r="O105" s="159"/>
      <c r="P105" s="159"/>
      <c r="Q105" s="159"/>
      <c r="R105" s="158" t="s">
        <v>356</v>
      </c>
    </row>
    <row r="106" spans="1:18" ht="41" x14ac:dyDescent="0.3">
      <c r="A106" s="155"/>
      <c r="B106" s="156" t="s">
        <v>357</v>
      </c>
      <c r="C106" s="159"/>
      <c r="D106" s="159"/>
      <c r="E106" s="159"/>
      <c r="F106" s="159"/>
      <c r="G106" s="159"/>
      <c r="H106" s="159"/>
      <c r="I106" s="159"/>
      <c r="J106" s="159"/>
      <c r="K106" s="159"/>
      <c r="L106" s="159"/>
      <c r="M106" s="159"/>
      <c r="N106" s="159"/>
      <c r="O106" s="159"/>
      <c r="P106" s="159"/>
      <c r="Q106" s="159"/>
      <c r="R106" s="158" t="s">
        <v>358</v>
      </c>
    </row>
    <row r="107" spans="1:18" x14ac:dyDescent="0.3">
      <c r="A107" s="155">
        <v>60</v>
      </c>
      <c r="B107" s="174" t="s">
        <v>359</v>
      </c>
      <c r="C107" s="159">
        <v>8747.8615207607072</v>
      </c>
      <c r="D107" s="159">
        <v>9077.8976954512073</v>
      </c>
      <c r="E107" s="159">
        <v>8925.3473001132606</v>
      </c>
      <c r="F107" s="159">
        <v>9065.352919635714</v>
      </c>
      <c r="G107" s="159">
        <v>8727.3397601100496</v>
      </c>
      <c r="H107" s="159">
        <v>8450.2551398513788</v>
      </c>
      <c r="I107" s="159">
        <v>8648.9996615477539</v>
      </c>
      <c r="J107" s="159">
        <v>8329.7814570912797</v>
      </c>
      <c r="K107" s="159">
        <v>7931.5149730829426</v>
      </c>
      <c r="L107" s="159">
        <v>7484.9553850712409</v>
      </c>
      <c r="M107" s="159">
        <f>'1'!L15</f>
        <v>7280.7498927332372</v>
      </c>
      <c r="N107" s="159">
        <f>'1'!M15</f>
        <v>8045.6771466105265</v>
      </c>
      <c r="O107" s="159">
        <f>'1'!N15</f>
        <v>8671.5179221656981</v>
      </c>
      <c r="P107" s="159">
        <f>'1'!O15</f>
        <v>9385.9131081722389</v>
      </c>
      <c r="Q107" s="159">
        <f>'1'!P15</f>
        <v>9562.3992090756219</v>
      </c>
      <c r="R107" s="158">
        <v>0</v>
      </c>
    </row>
    <row r="108" spans="1:18" x14ac:dyDescent="0.3">
      <c r="A108" s="175" t="s">
        <v>360</v>
      </c>
      <c r="B108" s="176"/>
      <c r="C108" s="177"/>
      <c r="D108" s="177"/>
      <c r="E108" s="177"/>
      <c r="F108" s="177"/>
      <c r="G108" s="177"/>
      <c r="H108" s="177"/>
      <c r="I108" s="177"/>
      <c r="J108" s="177"/>
      <c r="K108" s="177"/>
      <c r="L108" s="177"/>
      <c r="M108" s="177"/>
      <c r="N108" s="177"/>
      <c r="O108" s="177"/>
      <c r="P108" s="177"/>
      <c r="Q108" s="177"/>
      <c r="R108" s="178"/>
    </row>
    <row r="109" spans="1:18" x14ac:dyDescent="0.3">
      <c r="A109" s="155">
        <v>61</v>
      </c>
      <c r="B109" s="156" t="s">
        <v>361</v>
      </c>
      <c r="C109" s="181">
        <v>0.21192537142837498</v>
      </c>
      <c r="D109" s="181">
        <v>0.20858294346598333</v>
      </c>
      <c r="E109" s="181">
        <v>0.21814905647874736</v>
      </c>
      <c r="F109" s="181">
        <v>0.22237461449475332</v>
      </c>
      <c r="G109" s="181">
        <v>0.22731983756744861</v>
      </c>
      <c r="H109" s="181">
        <v>0.22457185270176977</v>
      </c>
      <c r="I109" s="181">
        <v>0.22307862440876894</v>
      </c>
      <c r="J109" s="181">
        <v>0.18779308490174484</v>
      </c>
      <c r="K109" s="181">
        <v>0.2069127556674229</v>
      </c>
      <c r="L109" s="181">
        <f>L54/L107</f>
        <v>0.21904269064280418</v>
      </c>
      <c r="M109" s="181">
        <f t="shared" ref="M109:O109" si="18">M54/M107</f>
        <v>0.24126141495203499</v>
      </c>
      <c r="N109" s="181">
        <f t="shared" si="18"/>
        <v>0.21631351153399961</v>
      </c>
      <c r="O109" s="181">
        <f t="shared" si="18"/>
        <v>0.20518855443610662</v>
      </c>
      <c r="P109" s="181">
        <f t="shared" ref="P109:Q109" si="19">P54/P107</f>
        <v>0.19465664083558482</v>
      </c>
      <c r="Q109" s="181">
        <f t="shared" si="19"/>
        <v>0.20615507219714529</v>
      </c>
      <c r="R109" s="158" t="s">
        <v>362</v>
      </c>
    </row>
    <row r="110" spans="1:18" x14ac:dyDescent="0.3">
      <c r="A110" s="155">
        <v>62</v>
      </c>
      <c r="B110" s="156" t="s">
        <v>363</v>
      </c>
      <c r="C110" s="181">
        <v>0.2170180446370526</v>
      </c>
      <c r="D110" s="181">
        <v>0.21349046737675875</v>
      </c>
      <c r="E110" s="181">
        <v>0.24554855050145019</v>
      </c>
      <c r="F110" s="181">
        <v>0.24935094979773975</v>
      </c>
      <c r="G110" s="181">
        <v>0.25534097650806392</v>
      </c>
      <c r="H110" s="181">
        <v>0.24818652429421942</v>
      </c>
      <c r="I110" s="181">
        <v>0.24615065676034495</v>
      </c>
      <c r="J110" s="181">
        <v>0.21174929564123787</v>
      </c>
      <c r="K110" s="181">
        <v>0.23207188361173237</v>
      </c>
      <c r="L110" s="181">
        <f>L78/L107</f>
        <v>0.24570283619263641</v>
      </c>
      <c r="M110" s="181">
        <f t="shared" ref="M110:O110" si="20">M78/M107</f>
        <v>0.26866930602643746</v>
      </c>
      <c r="N110" s="181">
        <f t="shared" si="20"/>
        <v>0.24111565016866582</v>
      </c>
      <c r="O110" s="181">
        <f t="shared" si="20"/>
        <v>0.22820067316677548</v>
      </c>
      <c r="P110" s="181">
        <f t="shared" ref="P110:Q110" si="21">P78/P107</f>
        <v>0.21591722546919423</v>
      </c>
      <c r="Q110" s="181">
        <f t="shared" si="21"/>
        <v>0.22702326600886238</v>
      </c>
      <c r="R110" s="158" t="s">
        <v>364</v>
      </c>
    </row>
    <row r="111" spans="1:18" x14ac:dyDescent="0.3">
      <c r="A111" s="155">
        <v>63</v>
      </c>
      <c r="B111" s="156" t="s">
        <v>365</v>
      </c>
      <c r="C111" s="181">
        <v>0.2244323328440703</v>
      </c>
      <c r="D111" s="181">
        <v>0.22063878174171531</v>
      </c>
      <c r="E111" s="181">
        <v>0.25282268385524992</v>
      </c>
      <c r="F111" s="181">
        <v>0.25651632626524634</v>
      </c>
      <c r="G111" s="181">
        <v>0.26278759463642476</v>
      </c>
      <c r="H111" s="181">
        <v>0.26082519593578107</v>
      </c>
      <c r="I111" s="181">
        <v>0.2536659767445717</v>
      </c>
      <c r="J111" s="181">
        <v>0.2195526216150141</v>
      </c>
      <c r="K111" s="181">
        <v>0.24026703929391785</v>
      </c>
      <c r="L111" s="181">
        <f>L102/L107</f>
        <v>0.25438692269095309</v>
      </c>
      <c r="M111" s="181">
        <f t="shared" ref="M111:O111" si="22">M102/M107</f>
        <v>0.27759695784220373</v>
      </c>
      <c r="N111" s="181">
        <f t="shared" si="22"/>
        <v>0.24919452268810108</v>
      </c>
      <c r="O111" s="181">
        <f t="shared" si="22"/>
        <v>0.23569647731357316</v>
      </c>
      <c r="P111" s="181">
        <f t="shared" ref="P111:Q111" si="23">P102/P107</f>
        <v>0.22284249733681943</v>
      </c>
      <c r="Q111" s="181">
        <f t="shared" si="23"/>
        <v>0.24427834984215385</v>
      </c>
      <c r="R111" s="158" t="s">
        <v>366</v>
      </c>
    </row>
    <row r="112" spans="1:18" ht="41" x14ac:dyDescent="0.3">
      <c r="A112" s="155">
        <v>64</v>
      </c>
      <c r="B112" s="156" t="s">
        <v>367</v>
      </c>
      <c r="C112" s="182">
        <v>0.15260000000000001</v>
      </c>
      <c r="D112" s="182">
        <v>0.14023023799034218</v>
      </c>
      <c r="E112" s="182">
        <v>0.1401673376256064</v>
      </c>
      <c r="F112" s="182">
        <v>0.1399927406493236</v>
      </c>
      <c r="G112" s="182">
        <v>0.13988097682913112</v>
      </c>
      <c r="H112" s="182">
        <v>0.13988097682913112</v>
      </c>
      <c r="I112" s="182">
        <v>0.13988502152310786</v>
      </c>
      <c r="J112" s="182">
        <v>0.13998309028028127</v>
      </c>
      <c r="K112" s="182">
        <v>0.14057789875705828</v>
      </c>
      <c r="L112" s="182">
        <v>0.14059867676401697</v>
      </c>
      <c r="M112" s="182">
        <f>'1'!L55</f>
        <v>0.14223015520356494</v>
      </c>
      <c r="N112" s="182">
        <f>'1'!M55</f>
        <v>0.14431528402371166</v>
      </c>
      <c r="O112" s="182">
        <f>'1'!N55</f>
        <v>0.14623226031867212</v>
      </c>
      <c r="P112" s="182">
        <f>'1'!O55</f>
        <v>0.14714964936721617</v>
      </c>
      <c r="Q112" s="182">
        <f>'1'!P55</f>
        <v>0.14871591593782044</v>
      </c>
      <c r="R112" s="158" t="s">
        <v>368</v>
      </c>
    </row>
    <row r="113" spans="1:18" x14ac:dyDescent="0.3">
      <c r="A113" s="155">
        <v>65</v>
      </c>
      <c r="B113" s="156" t="s">
        <v>369</v>
      </c>
      <c r="C113" s="182">
        <v>2.5000000000000001E-2</v>
      </c>
      <c r="D113" s="182">
        <v>2.5000000000000001E-2</v>
      </c>
      <c r="E113" s="182">
        <v>2.5000000000000001E-2</v>
      </c>
      <c r="F113" s="182">
        <v>2.5000000000000001E-2</v>
      </c>
      <c r="G113" s="182">
        <v>2.5000000000000001E-2</v>
      </c>
      <c r="H113" s="182">
        <v>2.5000000000000001E-2</v>
      </c>
      <c r="I113" s="182">
        <v>2.5000000000000001E-2</v>
      </c>
      <c r="J113" s="182">
        <v>2.5000000000000001E-2</v>
      </c>
      <c r="K113" s="182">
        <v>2.5000000000000001E-2</v>
      </c>
      <c r="L113" s="182">
        <v>2.5000000000000001E-2</v>
      </c>
      <c r="M113" s="182">
        <f>'1'!L48</f>
        <v>2.5000000000000001E-2</v>
      </c>
      <c r="N113" s="182">
        <f>'1'!M48</f>
        <v>2.5000000000000001E-2</v>
      </c>
      <c r="O113" s="182">
        <f>'1'!N48</f>
        <v>2.5000000000000001E-2</v>
      </c>
      <c r="P113" s="182">
        <f>'1'!O48</f>
        <v>2.5000000000000001E-2</v>
      </c>
      <c r="Q113" s="182">
        <f>'1'!P48</f>
        <v>2.5000000000000001E-2</v>
      </c>
      <c r="R113" s="158">
        <v>0</v>
      </c>
    </row>
    <row r="114" spans="1:18" x14ac:dyDescent="0.3">
      <c r="A114" s="155">
        <v>66</v>
      </c>
      <c r="B114" s="156" t="s">
        <v>370</v>
      </c>
      <c r="C114" s="182">
        <v>1.7600000000000001E-2</v>
      </c>
      <c r="D114" s="182">
        <v>5.2302379903421663E-3</v>
      </c>
      <c r="E114" s="182">
        <v>5.1673376256063819E-3</v>
      </c>
      <c r="F114" s="182">
        <v>4.9927406493235895E-3</v>
      </c>
      <c r="G114" s="182">
        <v>4.8809768291311045E-3</v>
      </c>
      <c r="H114" s="182">
        <v>4.8809768291311045E-3</v>
      </c>
      <c r="I114" s="182">
        <v>4.8850215231078581E-3</v>
      </c>
      <c r="J114" s="182">
        <v>4.9830902802812573E-3</v>
      </c>
      <c r="K114" s="182">
        <v>5.5778987570582915E-3</v>
      </c>
      <c r="L114" s="182">
        <v>5.598676764016988E-3</v>
      </c>
      <c r="M114" s="182">
        <f>'1'!L50</f>
        <v>7.2301552035649325E-3</v>
      </c>
      <c r="N114" s="182">
        <f>'1'!M50</f>
        <v>9.3152840237116577E-3</v>
      </c>
      <c r="O114" s="182">
        <f>'1'!N50</f>
        <v>1.1232260318672114E-2</v>
      </c>
      <c r="P114" s="182">
        <f>'1'!O50</f>
        <v>1.214964936721616E-2</v>
      </c>
      <c r="Q114" s="182">
        <f>'1'!P50</f>
        <v>1.3715915937820424E-2</v>
      </c>
      <c r="R114" s="158">
        <v>0</v>
      </c>
    </row>
    <row r="115" spans="1:18" x14ac:dyDescent="0.3">
      <c r="A115" s="155">
        <v>67</v>
      </c>
      <c r="B115" s="156" t="s">
        <v>371</v>
      </c>
      <c r="C115" s="182">
        <v>0.03</v>
      </c>
      <c r="D115" s="182">
        <v>0.03</v>
      </c>
      <c r="E115" s="182">
        <v>0.03</v>
      </c>
      <c r="F115" s="182">
        <v>0.03</v>
      </c>
      <c r="G115" s="182">
        <v>0.03</v>
      </c>
      <c r="H115" s="182">
        <v>0.03</v>
      </c>
      <c r="I115" s="182">
        <v>0.03</v>
      </c>
      <c r="J115" s="182">
        <v>0.03</v>
      </c>
      <c r="K115" s="182">
        <v>0.03</v>
      </c>
      <c r="L115" s="182">
        <v>0.03</v>
      </c>
      <c r="M115" s="182">
        <f>'1'!L49</f>
        <v>0.03</v>
      </c>
      <c r="N115" s="182">
        <f>'1'!M49</f>
        <v>0.03</v>
      </c>
      <c r="O115" s="182">
        <f>'1'!N49</f>
        <v>0.03</v>
      </c>
      <c r="P115" s="182">
        <f>'1'!O49</f>
        <v>0.03</v>
      </c>
      <c r="Q115" s="182">
        <f>'1'!P49</f>
        <v>0.03</v>
      </c>
      <c r="R115" s="158">
        <v>0</v>
      </c>
    </row>
    <row r="116" spans="1:18" ht="21" x14ac:dyDescent="0.3">
      <c r="A116" s="155" t="s">
        <v>372</v>
      </c>
      <c r="B116" s="156" t="s">
        <v>373</v>
      </c>
      <c r="C116" s="159"/>
      <c r="D116" s="159"/>
      <c r="E116" s="159"/>
      <c r="F116" s="159"/>
      <c r="G116" s="159"/>
      <c r="H116" s="159"/>
      <c r="I116" s="159"/>
      <c r="J116" s="159"/>
      <c r="K116" s="159"/>
      <c r="L116" s="159"/>
      <c r="M116" s="159"/>
      <c r="N116" s="159"/>
      <c r="O116" s="159"/>
      <c r="P116" s="159"/>
      <c r="Q116" s="159"/>
      <c r="R116" s="158" t="s">
        <v>374</v>
      </c>
    </row>
    <row r="117" spans="1:18" ht="21" x14ac:dyDescent="0.3">
      <c r="A117" s="155">
        <v>68</v>
      </c>
      <c r="B117" s="156" t="s">
        <v>375</v>
      </c>
      <c r="C117" s="182">
        <v>0.21192537142837498</v>
      </c>
      <c r="D117" s="182">
        <v>0.20858294346598333</v>
      </c>
      <c r="E117" s="182">
        <v>0.21814905647874736</v>
      </c>
      <c r="F117" s="182">
        <v>0.22237461449475332</v>
      </c>
      <c r="G117" s="182">
        <v>0.22731983756744861</v>
      </c>
      <c r="H117" s="182">
        <v>0.22457185270176977</v>
      </c>
      <c r="I117" s="182">
        <v>0.22307862440876894</v>
      </c>
      <c r="J117" s="182">
        <v>0.18779308490174484</v>
      </c>
      <c r="K117" s="182">
        <v>0.2069127556674229</v>
      </c>
      <c r="L117" s="182">
        <v>0.21904269064280418</v>
      </c>
      <c r="M117" s="182">
        <f>M109</f>
        <v>0.24126141495203499</v>
      </c>
      <c r="N117" s="182">
        <f t="shared" ref="N117:O117" si="24">N109</f>
        <v>0.21631351153399961</v>
      </c>
      <c r="O117" s="182">
        <f t="shared" si="24"/>
        <v>0.20518855443610662</v>
      </c>
      <c r="P117" s="182">
        <f t="shared" ref="P117:Q117" si="25">P109</f>
        <v>0.19465664083558482</v>
      </c>
      <c r="Q117" s="182">
        <f t="shared" si="25"/>
        <v>0.20615507219714529</v>
      </c>
      <c r="R117" s="158" t="s">
        <v>376</v>
      </c>
    </row>
    <row r="118" spans="1:18" x14ac:dyDescent="0.3">
      <c r="A118" s="155">
        <v>69</v>
      </c>
      <c r="B118" s="156" t="s">
        <v>377</v>
      </c>
      <c r="C118" s="159"/>
      <c r="D118" s="159"/>
      <c r="E118" s="159"/>
      <c r="F118" s="159"/>
      <c r="G118" s="159"/>
      <c r="H118" s="159"/>
      <c r="I118" s="159"/>
      <c r="J118" s="159"/>
      <c r="K118" s="159"/>
      <c r="L118" s="159"/>
      <c r="M118" s="159"/>
      <c r="N118" s="159"/>
      <c r="O118" s="159"/>
      <c r="P118" s="159"/>
      <c r="Q118" s="159"/>
      <c r="R118" s="158">
        <v>0</v>
      </c>
    </row>
    <row r="119" spans="1:18" x14ac:dyDescent="0.3">
      <c r="A119" s="155">
        <v>70</v>
      </c>
      <c r="B119" s="156" t="s">
        <v>377</v>
      </c>
      <c r="C119" s="159"/>
      <c r="D119" s="159"/>
      <c r="E119" s="159"/>
      <c r="F119" s="159"/>
      <c r="G119" s="159"/>
      <c r="H119" s="159"/>
      <c r="I119" s="159"/>
      <c r="J119" s="159"/>
      <c r="K119" s="159"/>
      <c r="L119" s="159"/>
      <c r="M119" s="159"/>
      <c r="N119" s="159"/>
      <c r="O119" s="159"/>
      <c r="P119" s="159"/>
      <c r="Q119" s="159"/>
      <c r="R119" s="158">
        <v>0</v>
      </c>
    </row>
    <row r="120" spans="1:18" x14ac:dyDescent="0.3">
      <c r="A120" s="155">
        <v>71</v>
      </c>
      <c r="B120" s="156" t="s">
        <v>377</v>
      </c>
      <c r="C120" s="159"/>
      <c r="D120" s="159"/>
      <c r="E120" s="159"/>
      <c r="F120" s="159"/>
      <c r="G120" s="159"/>
      <c r="H120" s="159"/>
      <c r="I120" s="159"/>
      <c r="J120" s="159"/>
      <c r="K120" s="159"/>
      <c r="L120" s="159"/>
      <c r="M120" s="159"/>
      <c r="N120" s="159"/>
      <c r="O120" s="159"/>
      <c r="P120" s="159"/>
      <c r="Q120" s="159"/>
      <c r="R120" s="158">
        <v>0</v>
      </c>
    </row>
    <row r="121" spans="1:18" x14ac:dyDescent="0.3">
      <c r="A121" s="175" t="s">
        <v>378</v>
      </c>
      <c r="B121" s="176"/>
      <c r="C121" s="177"/>
      <c r="D121" s="177"/>
      <c r="E121" s="177"/>
      <c r="F121" s="177"/>
      <c r="G121" s="177"/>
      <c r="H121" s="177"/>
      <c r="I121" s="177"/>
      <c r="J121" s="177"/>
      <c r="K121" s="177"/>
      <c r="L121" s="177"/>
      <c r="M121" s="177"/>
      <c r="N121" s="177"/>
      <c r="O121" s="177"/>
      <c r="P121" s="177"/>
      <c r="Q121" s="177"/>
      <c r="R121" s="178"/>
    </row>
    <row r="122" spans="1:18" ht="41" x14ac:dyDescent="0.3">
      <c r="A122" s="155">
        <v>72</v>
      </c>
      <c r="B122" s="156" t="s">
        <v>379</v>
      </c>
      <c r="C122" s="159"/>
      <c r="D122" s="159"/>
      <c r="E122" s="159"/>
      <c r="F122" s="159"/>
      <c r="G122" s="159"/>
      <c r="H122" s="159"/>
      <c r="I122" s="159"/>
      <c r="J122" s="159"/>
      <c r="K122" s="159"/>
      <c r="L122" s="159"/>
      <c r="M122" s="159"/>
      <c r="N122" s="159"/>
      <c r="O122" s="159"/>
      <c r="P122" s="159"/>
      <c r="Q122" s="159"/>
      <c r="R122" s="158" t="s">
        <v>380</v>
      </c>
    </row>
    <row r="123" spans="1:18" ht="31" x14ac:dyDescent="0.3">
      <c r="A123" s="155">
        <v>73</v>
      </c>
      <c r="B123" s="156" t="s">
        <v>381</v>
      </c>
      <c r="C123" s="159"/>
      <c r="D123" s="159"/>
      <c r="E123" s="159"/>
      <c r="F123" s="159"/>
      <c r="G123" s="159"/>
      <c r="H123" s="159"/>
      <c r="I123" s="159"/>
      <c r="J123" s="159"/>
      <c r="K123" s="159"/>
      <c r="L123" s="159"/>
      <c r="M123" s="159"/>
      <c r="N123" s="159"/>
      <c r="O123" s="159"/>
      <c r="P123" s="159"/>
      <c r="Q123" s="159"/>
      <c r="R123" s="158" t="s">
        <v>382</v>
      </c>
    </row>
    <row r="124" spans="1:18" x14ac:dyDescent="0.3">
      <c r="A124" s="155">
        <v>74</v>
      </c>
      <c r="B124" s="156" t="s">
        <v>220</v>
      </c>
      <c r="C124" s="159"/>
      <c r="D124" s="159"/>
      <c r="E124" s="159"/>
      <c r="F124" s="159"/>
      <c r="G124" s="159"/>
      <c r="H124" s="159"/>
      <c r="I124" s="159"/>
      <c r="J124" s="159"/>
      <c r="K124" s="159"/>
      <c r="L124" s="159"/>
      <c r="M124" s="159"/>
      <c r="N124" s="159"/>
      <c r="O124" s="159"/>
      <c r="P124" s="159"/>
      <c r="Q124" s="159"/>
      <c r="R124" s="158">
        <v>0</v>
      </c>
    </row>
    <row r="125" spans="1:18" ht="21" x14ac:dyDescent="0.3">
      <c r="A125" s="155">
        <v>75</v>
      </c>
      <c r="B125" s="156" t="s">
        <v>383</v>
      </c>
      <c r="C125" s="159"/>
      <c r="D125" s="159"/>
      <c r="E125" s="159"/>
      <c r="F125" s="159"/>
      <c r="G125" s="159"/>
      <c r="H125" s="159"/>
      <c r="I125" s="159"/>
      <c r="J125" s="159"/>
      <c r="K125" s="159"/>
      <c r="L125" s="159"/>
      <c r="M125" s="159"/>
      <c r="N125" s="159"/>
      <c r="O125" s="159"/>
      <c r="P125" s="159"/>
      <c r="Q125" s="159"/>
      <c r="R125" s="158" t="s">
        <v>384</v>
      </c>
    </row>
    <row r="126" spans="1:18" x14ac:dyDescent="0.3">
      <c r="A126" s="175" t="s">
        <v>385</v>
      </c>
      <c r="B126" s="176"/>
      <c r="C126" s="177"/>
      <c r="D126" s="177"/>
      <c r="E126" s="177"/>
      <c r="F126" s="177"/>
      <c r="G126" s="177"/>
      <c r="H126" s="177"/>
      <c r="I126" s="177"/>
      <c r="J126" s="177"/>
      <c r="K126" s="177"/>
      <c r="L126" s="177"/>
      <c r="M126" s="177"/>
      <c r="N126" s="177"/>
      <c r="O126" s="177"/>
      <c r="P126" s="177"/>
      <c r="Q126" s="177"/>
      <c r="R126" s="178"/>
    </row>
    <row r="127" spans="1:18" ht="21" x14ac:dyDescent="0.3">
      <c r="A127" s="155">
        <v>76</v>
      </c>
      <c r="B127" s="156" t="s">
        <v>386</v>
      </c>
      <c r="C127" s="159"/>
      <c r="D127" s="159"/>
      <c r="E127" s="159"/>
      <c r="F127" s="159"/>
      <c r="G127" s="159"/>
      <c r="H127" s="159"/>
      <c r="I127" s="159"/>
      <c r="J127" s="159"/>
      <c r="K127" s="159"/>
      <c r="L127" s="159"/>
      <c r="M127" s="159"/>
      <c r="N127" s="159"/>
      <c r="O127" s="159"/>
      <c r="P127" s="159"/>
      <c r="Q127" s="159"/>
      <c r="R127" s="158">
        <v>62</v>
      </c>
    </row>
    <row r="128" spans="1:18" ht="21" x14ac:dyDescent="0.3">
      <c r="A128" s="155">
        <v>78</v>
      </c>
      <c r="B128" s="156" t="s">
        <v>387</v>
      </c>
      <c r="C128" s="183"/>
      <c r="D128" s="183"/>
      <c r="E128" s="183"/>
      <c r="F128" s="183"/>
      <c r="G128" s="183"/>
      <c r="H128" s="183"/>
      <c r="I128" s="183"/>
      <c r="J128" s="183"/>
      <c r="K128" s="183"/>
      <c r="L128" s="183"/>
      <c r="M128" s="183"/>
      <c r="N128" s="183"/>
      <c r="O128" s="183"/>
      <c r="P128" s="183"/>
      <c r="Q128" s="183"/>
      <c r="R128" s="158">
        <v>62</v>
      </c>
    </row>
    <row r="129" spans="1:18" ht="15" customHeight="1" x14ac:dyDescent="0.3">
      <c r="A129" s="184" t="s">
        <v>388</v>
      </c>
      <c r="B129" s="185"/>
      <c r="C129" s="185"/>
      <c r="D129" s="185"/>
      <c r="E129" s="185"/>
      <c r="F129" s="185"/>
      <c r="G129" s="185"/>
      <c r="H129" s="185"/>
      <c r="I129" s="185"/>
      <c r="J129" s="185"/>
      <c r="K129" s="185"/>
      <c r="L129" s="185"/>
      <c r="M129" s="185"/>
      <c r="N129" s="185"/>
      <c r="O129" s="185"/>
      <c r="P129" s="185"/>
      <c r="Q129" s="185"/>
      <c r="R129" s="185"/>
    </row>
    <row r="130" spans="1:18" x14ac:dyDescent="0.3">
      <c r="A130" s="155">
        <v>80</v>
      </c>
      <c r="B130" s="156" t="s">
        <v>389</v>
      </c>
      <c r="C130" s="159"/>
      <c r="D130" s="159"/>
      <c r="E130" s="159"/>
      <c r="F130" s="159"/>
      <c r="G130" s="159"/>
      <c r="H130" s="159"/>
      <c r="I130" s="159"/>
      <c r="J130" s="159"/>
      <c r="K130" s="159"/>
      <c r="L130" s="159"/>
      <c r="M130" s="159"/>
      <c r="N130" s="159"/>
      <c r="O130" s="159"/>
      <c r="P130" s="159"/>
      <c r="Q130" s="159"/>
      <c r="R130" s="158" t="s">
        <v>390</v>
      </c>
    </row>
    <row r="131" spans="1:18" ht="21" x14ac:dyDescent="0.3">
      <c r="A131" s="155">
        <v>81</v>
      </c>
      <c r="B131" s="156" t="s">
        <v>391</v>
      </c>
      <c r="C131" s="159"/>
      <c r="D131" s="159"/>
      <c r="E131" s="159"/>
      <c r="F131" s="159"/>
      <c r="G131" s="159"/>
      <c r="H131" s="159"/>
      <c r="I131" s="159"/>
      <c r="J131" s="159"/>
      <c r="K131" s="159"/>
      <c r="L131" s="159"/>
      <c r="M131" s="159"/>
      <c r="N131" s="159"/>
      <c r="O131" s="159"/>
      <c r="P131" s="159"/>
      <c r="Q131" s="159"/>
      <c r="R131" s="158" t="s">
        <v>390</v>
      </c>
    </row>
    <row r="132" spans="1:18" ht="26.25" customHeight="1" x14ac:dyDescent="0.3">
      <c r="A132" s="155">
        <v>82</v>
      </c>
      <c r="B132" s="156" t="s">
        <v>392</v>
      </c>
      <c r="C132" s="159"/>
      <c r="D132" s="159"/>
      <c r="E132" s="159"/>
      <c r="F132" s="159"/>
      <c r="G132" s="159"/>
      <c r="H132" s="159"/>
      <c r="I132" s="159"/>
      <c r="J132" s="159"/>
      <c r="K132" s="159"/>
      <c r="L132" s="159"/>
      <c r="M132" s="159"/>
      <c r="N132" s="159"/>
      <c r="O132" s="159"/>
      <c r="P132" s="159"/>
      <c r="Q132" s="159"/>
      <c r="R132" s="158" t="s">
        <v>393</v>
      </c>
    </row>
    <row r="133" spans="1:18" ht="21" x14ac:dyDescent="0.3">
      <c r="A133" s="155">
        <v>83</v>
      </c>
      <c r="B133" s="156" t="s">
        <v>394</v>
      </c>
      <c r="C133" s="159"/>
      <c r="D133" s="159"/>
      <c r="E133" s="159"/>
      <c r="F133" s="159"/>
      <c r="G133" s="159"/>
      <c r="H133" s="159"/>
      <c r="I133" s="159"/>
      <c r="J133" s="159"/>
      <c r="K133" s="159"/>
      <c r="L133" s="159"/>
      <c r="M133" s="159"/>
      <c r="N133" s="159"/>
      <c r="O133" s="159"/>
      <c r="P133" s="159"/>
      <c r="Q133" s="159"/>
      <c r="R133" s="158" t="s">
        <v>393</v>
      </c>
    </row>
    <row r="134" spans="1:18" x14ac:dyDescent="0.3">
      <c r="A134" s="155">
        <v>84</v>
      </c>
      <c r="B134" s="156" t="s">
        <v>395</v>
      </c>
      <c r="C134" s="159"/>
      <c r="D134" s="159"/>
      <c r="E134" s="159"/>
      <c r="F134" s="159"/>
      <c r="G134" s="159"/>
      <c r="H134" s="159"/>
      <c r="I134" s="159"/>
      <c r="J134" s="159"/>
      <c r="K134" s="159"/>
      <c r="L134" s="159"/>
      <c r="M134" s="159"/>
      <c r="N134" s="159"/>
      <c r="O134" s="159"/>
      <c r="P134" s="159"/>
      <c r="Q134" s="159"/>
      <c r="R134" s="158" t="s">
        <v>396</v>
      </c>
    </row>
    <row r="135" spans="1:18" ht="21" x14ac:dyDescent="0.3">
      <c r="A135" s="155">
        <v>85</v>
      </c>
      <c r="B135" s="156" t="s">
        <v>397</v>
      </c>
      <c r="C135" s="159"/>
      <c r="D135" s="159"/>
      <c r="E135" s="159"/>
      <c r="F135" s="159"/>
      <c r="G135" s="159"/>
      <c r="H135" s="159"/>
      <c r="I135" s="159"/>
      <c r="J135" s="159"/>
      <c r="K135" s="159"/>
      <c r="L135" s="159"/>
      <c r="M135" s="159"/>
      <c r="N135" s="159"/>
      <c r="O135" s="159"/>
      <c r="P135" s="159"/>
      <c r="Q135" s="159"/>
      <c r="R135" s="158" t="s">
        <v>396</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E54"/>
  <sheetViews>
    <sheetView workbookViewId="0">
      <pane xSplit="2" ySplit="6" topLeftCell="C7" activePane="bottomRight" state="frozen"/>
      <selection pane="topRight" activeCell="C1" sqref="C1"/>
      <selection pane="bottomLeft" activeCell="A7" sqref="A7"/>
      <selection pane="bottomRight" activeCell="E28" sqref="E28"/>
    </sheetView>
  </sheetViews>
  <sheetFormatPr defaultColWidth="9.1796875" defaultRowHeight="14.5" x14ac:dyDescent="0.35"/>
  <cols>
    <col min="1" max="1" width="9.1796875" style="154"/>
    <col min="2" max="2" width="74.81640625" style="154" bestFit="1" customWidth="1"/>
    <col min="3" max="5" width="36" style="154" customWidth="1"/>
    <col min="6" max="249" width="9.1796875" style="154"/>
    <col min="250" max="250" width="74.81640625" style="154" bestFit="1" customWidth="1"/>
    <col min="251" max="256" width="29.453125" style="154" customWidth="1"/>
    <col min="257" max="505" width="9.1796875" style="154"/>
    <col min="506" max="506" width="74.81640625" style="154" bestFit="1" customWidth="1"/>
    <col min="507" max="512" width="29.453125" style="154" customWidth="1"/>
    <col min="513" max="761" width="9.1796875" style="154"/>
    <col min="762" max="762" width="74.81640625" style="154" bestFit="1" customWidth="1"/>
    <col min="763" max="768" width="29.453125" style="154" customWidth="1"/>
    <col min="769" max="1017" width="9.1796875" style="154"/>
    <col min="1018" max="1018" width="74.81640625" style="154" bestFit="1" customWidth="1"/>
    <col min="1019" max="1024" width="29.453125" style="154" customWidth="1"/>
    <col min="1025" max="1273" width="9.1796875" style="154"/>
    <col min="1274" max="1274" width="74.81640625" style="154" bestFit="1" customWidth="1"/>
    <col min="1275" max="1280" width="29.453125" style="154" customWidth="1"/>
    <col min="1281" max="1529" width="9.1796875" style="154"/>
    <col min="1530" max="1530" width="74.81640625" style="154" bestFit="1" customWidth="1"/>
    <col min="1531" max="1536" width="29.453125" style="154" customWidth="1"/>
    <col min="1537" max="1785" width="9.1796875" style="154"/>
    <col min="1786" max="1786" width="74.81640625" style="154" bestFit="1" customWidth="1"/>
    <col min="1787" max="1792" width="29.453125" style="154" customWidth="1"/>
    <col min="1793" max="2041" width="9.1796875" style="154"/>
    <col min="2042" max="2042" width="74.81640625" style="154" bestFit="1" customWidth="1"/>
    <col min="2043" max="2048" width="29.453125" style="154" customWidth="1"/>
    <col min="2049" max="2297" width="9.1796875" style="154"/>
    <col min="2298" max="2298" width="74.81640625" style="154" bestFit="1" customWidth="1"/>
    <col min="2299" max="2304" width="29.453125" style="154" customWidth="1"/>
    <col min="2305" max="2553" width="9.1796875" style="154"/>
    <col min="2554" max="2554" width="74.81640625" style="154" bestFit="1" customWidth="1"/>
    <col min="2555" max="2560" width="29.453125" style="154" customWidth="1"/>
    <col min="2561" max="2809" width="9.1796875" style="154"/>
    <col min="2810" max="2810" width="74.81640625" style="154" bestFit="1" customWidth="1"/>
    <col min="2811" max="2816" width="29.453125" style="154" customWidth="1"/>
    <col min="2817" max="3065" width="9.1796875" style="154"/>
    <col min="3066" max="3066" width="74.81640625" style="154" bestFit="1" customWidth="1"/>
    <col min="3067" max="3072" width="29.453125" style="154" customWidth="1"/>
    <col min="3073" max="3321" width="9.1796875" style="154"/>
    <col min="3322" max="3322" width="74.81640625" style="154" bestFit="1" customWidth="1"/>
    <col min="3323" max="3328" width="29.453125" style="154" customWidth="1"/>
    <col min="3329" max="3577" width="9.1796875" style="154"/>
    <col min="3578" max="3578" width="74.81640625" style="154" bestFit="1" customWidth="1"/>
    <col min="3579" max="3584" width="29.453125" style="154" customWidth="1"/>
    <col min="3585" max="3833" width="9.1796875" style="154"/>
    <col min="3834" max="3834" width="74.81640625" style="154" bestFit="1" customWidth="1"/>
    <col min="3835" max="3840" width="29.453125" style="154" customWidth="1"/>
    <col min="3841" max="4089" width="9.1796875" style="154"/>
    <col min="4090" max="4090" width="74.81640625" style="154" bestFit="1" customWidth="1"/>
    <col min="4091" max="4096" width="29.453125" style="154" customWidth="1"/>
    <col min="4097" max="4345" width="9.1796875" style="154"/>
    <col min="4346" max="4346" width="74.81640625" style="154" bestFit="1" customWidth="1"/>
    <col min="4347" max="4352" width="29.453125" style="154" customWidth="1"/>
    <col min="4353" max="4601" width="9.1796875" style="154"/>
    <col min="4602" max="4602" width="74.81640625" style="154" bestFit="1" customWidth="1"/>
    <col min="4603" max="4608" width="29.453125" style="154" customWidth="1"/>
    <col min="4609" max="4857" width="9.1796875" style="154"/>
    <col min="4858" max="4858" width="74.81640625" style="154" bestFit="1" customWidth="1"/>
    <col min="4859" max="4864" width="29.453125" style="154" customWidth="1"/>
    <col min="4865" max="5113" width="9.1796875" style="154"/>
    <col min="5114" max="5114" width="74.81640625" style="154" bestFit="1" customWidth="1"/>
    <col min="5115" max="5120" width="29.453125" style="154" customWidth="1"/>
    <col min="5121" max="5369" width="9.1796875" style="154"/>
    <col min="5370" max="5370" width="74.81640625" style="154" bestFit="1" customWidth="1"/>
    <col min="5371" max="5376" width="29.453125" style="154" customWidth="1"/>
    <col min="5377" max="5625" width="9.1796875" style="154"/>
    <col min="5626" max="5626" width="74.81640625" style="154" bestFit="1" customWidth="1"/>
    <col min="5627" max="5632" width="29.453125" style="154" customWidth="1"/>
    <col min="5633" max="5881" width="9.1796875" style="154"/>
    <col min="5882" max="5882" width="74.81640625" style="154" bestFit="1" customWidth="1"/>
    <col min="5883" max="5888" width="29.453125" style="154" customWidth="1"/>
    <col min="5889" max="6137" width="9.1796875" style="154"/>
    <col min="6138" max="6138" width="74.81640625" style="154" bestFit="1" customWidth="1"/>
    <col min="6139" max="6144" width="29.453125" style="154" customWidth="1"/>
    <col min="6145" max="6393" width="9.1796875" style="154"/>
    <col min="6394" max="6394" width="74.81640625" style="154" bestFit="1" customWidth="1"/>
    <col min="6395" max="6400" width="29.453125" style="154" customWidth="1"/>
    <col min="6401" max="6649" width="9.1796875" style="154"/>
    <col min="6650" max="6650" width="74.81640625" style="154" bestFit="1" customWidth="1"/>
    <col min="6651" max="6656" width="29.453125" style="154" customWidth="1"/>
    <col min="6657" max="6905" width="9.1796875" style="154"/>
    <col min="6906" max="6906" width="74.81640625" style="154" bestFit="1" customWidth="1"/>
    <col min="6907" max="6912" width="29.453125" style="154" customWidth="1"/>
    <col min="6913" max="7161" width="9.1796875" style="154"/>
    <col min="7162" max="7162" width="74.81640625" style="154" bestFit="1" customWidth="1"/>
    <col min="7163" max="7168" width="29.453125" style="154" customWidth="1"/>
    <col min="7169" max="7417" width="9.1796875" style="154"/>
    <col min="7418" max="7418" width="74.81640625" style="154" bestFit="1" customWidth="1"/>
    <col min="7419" max="7424" width="29.453125" style="154" customWidth="1"/>
    <col min="7425" max="7673" width="9.1796875" style="154"/>
    <col min="7674" max="7674" width="74.81640625" style="154" bestFit="1" customWidth="1"/>
    <col min="7675" max="7680" width="29.453125" style="154" customWidth="1"/>
    <col min="7681" max="7929" width="9.1796875" style="154"/>
    <col min="7930" max="7930" width="74.81640625" style="154" bestFit="1" customWidth="1"/>
    <col min="7931" max="7936" width="29.453125" style="154" customWidth="1"/>
    <col min="7937" max="8185" width="9.1796875" style="154"/>
    <col min="8186" max="8186" width="74.81640625" style="154" bestFit="1" customWidth="1"/>
    <col min="8187" max="8192" width="29.453125" style="154" customWidth="1"/>
    <col min="8193" max="8441" width="9.1796875" style="154"/>
    <col min="8442" max="8442" width="74.81640625" style="154" bestFit="1" customWidth="1"/>
    <col min="8443" max="8448" width="29.453125" style="154" customWidth="1"/>
    <col min="8449" max="8697" width="9.1796875" style="154"/>
    <col min="8698" max="8698" width="74.81640625" style="154" bestFit="1" customWidth="1"/>
    <col min="8699" max="8704" width="29.453125" style="154" customWidth="1"/>
    <col min="8705" max="8953" width="9.1796875" style="154"/>
    <col min="8954" max="8954" width="74.81640625" style="154" bestFit="1" customWidth="1"/>
    <col min="8955" max="8960" width="29.453125" style="154" customWidth="1"/>
    <col min="8961" max="9209" width="9.1796875" style="154"/>
    <col min="9210" max="9210" width="74.81640625" style="154" bestFit="1" customWidth="1"/>
    <col min="9211" max="9216" width="29.453125" style="154" customWidth="1"/>
    <col min="9217" max="9465" width="9.1796875" style="154"/>
    <col min="9466" max="9466" width="74.81640625" style="154" bestFit="1" customWidth="1"/>
    <col min="9467" max="9472" width="29.453125" style="154" customWidth="1"/>
    <col min="9473" max="9721" width="9.1796875" style="154"/>
    <col min="9722" max="9722" width="74.81640625" style="154" bestFit="1" customWidth="1"/>
    <col min="9723" max="9728" width="29.453125" style="154" customWidth="1"/>
    <col min="9729" max="9977" width="9.1796875" style="154"/>
    <col min="9978" max="9978" width="74.81640625" style="154" bestFit="1" customWidth="1"/>
    <col min="9979" max="9984" width="29.453125" style="154" customWidth="1"/>
    <col min="9985" max="10233" width="9.1796875" style="154"/>
    <col min="10234" max="10234" width="74.81640625" style="154" bestFit="1" customWidth="1"/>
    <col min="10235" max="10240" width="29.453125" style="154" customWidth="1"/>
    <col min="10241" max="10489" width="9.1796875" style="154"/>
    <col min="10490" max="10490" width="74.81640625" style="154" bestFit="1" customWidth="1"/>
    <col min="10491" max="10496" width="29.453125" style="154" customWidth="1"/>
    <col min="10497" max="10745" width="9.1796875" style="154"/>
    <col min="10746" max="10746" width="74.81640625" style="154" bestFit="1" customWidth="1"/>
    <col min="10747" max="10752" width="29.453125" style="154" customWidth="1"/>
    <col min="10753" max="11001" width="9.1796875" style="154"/>
    <col min="11002" max="11002" width="74.81640625" style="154" bestFit="1" customWidth="1"/>
    <col min="11003" max="11008" width="29.453125" style="154" customWidth="1"/>
    <col min="11009" max="11257" width="9.1796875" style="154"/>
    <col min="11258" max="11258" width="74.81640625" style="154" bestFit="1" customWidth="1"/>
    <col min="11259" max="11264" width="29.453125" style="154" customWidth="1"/>
    <col min="11265" max="11513" width="9.1796875" style="154"/>
    <col min="11514" max="11514" width="74.81640625" style="154" bestFit="1" customWidth="1"/>
    <col min="11515" max="11520" width="29.453125" style="154" customWidth="1"/>
    <col min="11521" max="11769" width="9.1796875" style="154"/>
    <col min="11770" max="11770" width="74.81640625" style="154" bestFit="1" customWidth="1"/>
    <col min="11771" max="11776" width="29.453125" style="154" customWidth="1"/>
    <col min="11777" max="12025" width="9.1796875" style="154"/>
    <col min="12026" max="12026" width="74.81640625" style="154" bestFit="1" customWidth="1"/>
    <col min="12027" max="12032" width="29.453125" style="154" customWidth="1"/>
    <col min="12033" max="12281" width="9.1796875" style="154"/>
    <col min="12282" max="12282" width="74.81640625" style="154" bestFit="1" customWidth="1"/>
    <col min="12283" max="12288" width="29.453125" style="154" customWidth="1"/>
    <col min="12289" max="12537" width="9.1796875" style="154"/>
    <col min="12538" max="12538" width="74.81640625" style="154" bestFit="1" customWidth="1"/>
    <col min="12539" max="12544" width="29.453125" style="154" customWidth="1"/>
    <col min="12545" max="12793" width="9.1796875" style="154"/>
    <col min="12794" max="12794" width="74.81640625" style="154" bestFit="1" customWidth="1"/>
    <col min="12795" max="12800" width="29.453125" style="154" customWidth="1"/>
    <col min="12801" max="13049" width="9.1796875" style="154"/>
    <col min="13050" max="13050" width="74.81640625" style="154" bestFit="1" customWidth="1"/>
    <col min="13051" max="13056" width="29.453125" style="154" customWidth="1"/>
    <col min="13057" max="13305" width="9.1796875" style="154"/>
    <col min="13306" max="13306" width="74.81640625" style="154" bestFit="1" customWidth="1"/>
    <col min="13307" max="13312" width="29.453125" style="154" customWidth="1"/>
    <col min="13313" max="13561" width="9.1796875" style="154"/>
    <col min="13562" max="13562" width="74.81640625" style="154" bestFit="1" customWidth="1"/>
    <col min="13563" max="13568" width="29.453125" style="154" customWidth="1"/>
    <col min="13569" max="13817" width="9.1796875" style="154"/>
    <col min="13818" max="13818" width="74.81640625" style="154" bestFit="1" customWidth="1"/>
    <col min="13819" max="13824" width="29.453125" style="154" customWidth="1"/>
    <col min="13825" max="14073" width="9.1796875" style="154"/>
    <col min="14074" max="14074" width="74.81640625" style="154" bestFit="1" customWidth="1"/>
    <col min="14075" max="14080" width="29.453125" style="154" customWidth="1"/>
    <col min="14081" max="14329" width="9.1796875" style="154"/>
    <col min="14330" max="14330" width="74.81640625" style="154" bestFit="1" customWidth="1"/>
    <col min="14331" max="14336" width="29.453125" style="154" customWidth="1"/>
    <col min="14337" max="14585" width="9.1796875" style="154"/>
    <col min="14586" max="14586" width="74.81640625" style="154" bestFit="1" customWidth="1"/>
    <col min="14587" max="14592" width="29.453125" style="154" customWidth="1"/>
    <col min="14593" max="14841" width="9.1796875" style="154"/>
    <col min="14842" max="14842" width="74.81640625" style="154" bestFit="1" customWidth="1"/>
    <col min="14843" max="14848" width="29.453125" style="154" customWidth="1"/>
    <col min="14849" max="15097" width="9.1796875" style="154"/>
    <col min="15098" max="15098" width="74.81640625" style="154" bestFit="1" customWidth="1"/>
    <col min="15099" max="15104" width="29.453125" style="154" customWidth="1"/>
    <col min="15105" max="15353" width="9.1796875" style="154"/>
    <col min="15354" max="15354" width="74.81640625" style="154" bestFit="1" customWidth="1"/>
    <col min="15355" max="15360" width="29.453125" style="154" customWidth="1"/>
    <col min="15361" max="15609" width="9.1796875" style="154"/>
    <col min="15610" max="15610" width="74.81640625" style="154" bestFit="1" customWidth="1"/>
    <col min="15611" max="15616" width="29.453125" style="154" customWidth="1"/>
    <col min="15617" max="15865" width="9.1796875" style="154"/>
    <col min="15866" max="15866" width="74.81640625" style="154" bestFit="1" customWidth="1"/>
    <col min="15867" max="15872" width="29.453125" style="154" customWidth="1"/>
    <col min="15873" max="16121" width="9.1796875" style="154"/>
    <col min="16122" max="16122" width="74.81640625" style="154" bestFit="1" customWidth="1"/>
    <col min="16123" max="16128" width="29.453125" style="154" customWidth="1"/>
    <col min="16129" max="16384" width="9.1796875" style="154"/>
  </cols>
  <sheetData>
    <row r="1" spans="1:5" x14ac:dyDescent="0.35">
      <c r="A1" s="133"/>
      <c r="B1" s="133"/>
    </row>
    <row r="2" spans="1:5" s="153" customFormat="1" ht="6" customHeight="1" x14ac:dyDescent="0.35"/>
    <row r="3" spans="1:5" ht="17.5" x14ac:dyDescent="0.35">
      <c r="A3" s="136" t="s">
        <v>398</v>
      </c>
    </row>
    <row r="4" spans="1:5" x14ac:dyDescent="0.35">
      <c r="A4" s="154" t="s">
        <v>515</v>
      </c>
    </row>
    <row r="6" spans="1:5" ht="15" customHeight="1" x14ac:dyDescent="0.35">
      <c r="A6" s="250" t="s">
        <v>399</v>
      </c>
      <c r="B6" s="251"/>
      <c r="C6" s="251"/>
      <c r="D6" s="251"/>
      <c r="E6" s="251"/>
    </row>
    <row r="7" spans="1:5" x14ac:dyDescent="0.35">
      <c r="A7" s="188">
        <v>1</v>
      </c>
      <c r="B7" s="188" t="s">
        <v>400</v>
      </c>
      <c r="C7" s="436" t="s">
        <v>704</v>
      </c>
      <c r="D7" s="436" t="s">
        <v>704</v>
      </c>
      <c r="E7" s="436" t="s">
        <v>703</v>
      </c>
    </row>
    <row r="8" spans="1:5" x14ac:dyDescent="0.35">
      <c r="A8" s="188">
        <v>2</v>
      </c>
      <c r="B8" s="188" t="s">
        <v>401</v>
      </c>
      <c r="C8" s="189" t="s">
        <v>680</v>
      </c>
      <c r="D8" s="189" t="s">
        <v>583</v>
      </c>
      <c r="E8" s="189" t="s">
        <v>708</v>
      </c>
    </row>
    <row r="9" spans="1:5" x14ac:dyDescent="0.35">
      <c r="A9" s="188">
        <v>3</v>
      </c>
      <c r="B9" s="188" t="s">
        <v>402</v>
      </c>
      <c r="C9" s="189" t="s">
        <v>403</v>
      </c>
      <c r="D9" s="189" t="s">
        <v>403</v>
      </c>
      <c r="E9" s="189" t="s">
        <v>403</v>
      </c>
    </row>
    <row r="10" spans="1:5" x14ac:dyDescent="0.35">
      <c r="A10" s="188"/>
      <c r="B10" s="190" t="s">
        <v>404</v>
      </c>
      <c r="C10" s="191"/>
      <c r="D10" s="191"/>
      <c r="E10" s="191"/>
    </row>
    <row r="11" spans="1:5" x14ac:dyDescent="0.35">
      <c r="A11" s="188">
        <v>4</v>
      </c>
      <c r="B11" s="188" t="s">
        <v>405</v>
      </c>
      <c r="C11" s="189" t="s">
        <v>188</v>
      </c>
      <c r="D11" s="189" t="s">
        <v>406</v>
      </c>
      <c r="E11" s="189" t="s">
        <v>188</v>
      </c>
    </row>
    <row r="12" spans="1:5" x14ac:dyDescent="0.35">
      <c r="A12" s="188">
        <v>5</v>
      </c>
      <c r="B12" s="188" t="s">
        <v>407</v>
      </c>
      <c r="C12" s="189" t="s">
        <v>188</v>
      </c>
      <c r="D12" s="189" t="s">
        <v>406</v>
      </c>
      <c r="E12" s="189" t="s">
        <v>188</v>
      </c>
    </row>
    <row r="13" spans="1:5" x14ac:dyDescent="0.35">
      <c r="A13" s="188">
        <v>6</v>
      </c>
      <c r="B13" s="188" t="s">
        <v>408</v>
      </c>
      <c r="C13" s="189" t="s">
        <v>409</v>
      </c>
      <c r="D13" s="189" t="s">
        <v>409</v>
      </c>
      <c r="E13" s="189" t="s">
        <v>409</v>
      </c>
    </row>
    <row r="14" spans="1:5" x14ac:dyDescent="0.35">
      <c r="A14" s="188">
        <v>7</v>
      </c>
      <c r="B14" s="188" t="s">
        <v>410</v>
      </c>
      <c r="C14" s="192" t="s">
        <v>707</v>
      </c>
      <c r="D14" s="192" t="s">
        <v>706</v>
      </c>
      <c r="E14" s="192" t="s">
        <v>707</v>
      </c>
    </row>
    <row r="15" spans="1:5" x14ac:dyDescent="0.35">
      <c r="A15" s="188">
        <v>8</v>
      </c>
      <c r="B15" s="188" t="s">
        <v>411</v>
      </c>
      <c r="C15" s="189" t="s">
        <v>580</v>
      </c>
      <c r="D15" s="189" t="s">
        <v>582</v>
      </c>
      <c r="E15" s="189" t="s">
        <v>705</v>
      </c>
    </row>
    <row r="16" spans="1:5" x14ac:dyDescent="0.35">
      <c r="A16" s="188">
        <v>9</v>
      </c>
      <c r="B16" s="188" t="s">
        <v>412</v>
      </c>
      <c r="C16" s="189" t="s">
        <v>581</v>
      </c>
      <c r="D16" s="189" t="s">
        <v>582</v>
      </c>
      <c r="E16" s="189" t="s">
        <v>705</v>
      </c>
    </row>
    <row r="17" spans="1:5" x14ac:dyDescent="0.35">
      <c r="A17" s="193" t="s">
        <v>413</v>
      </c>
      <c r="B17" s="188" t="s">
        <v>414</v>
      </c>
      <c r="C17" s="189">
        <v>100</v>
      </c>
      <c r="D17" s="189">
        <v>100</v>
      </c>
      <c r="E17" s="189">
        <v>100</v>
      </c>
    </row>
    <row r="18" spans="1:5" x14ac:dyDescent="0.35">
      <c r="A18" s="193" t="s">
        <v>415</v>
      </c>
      <c r="B18" s="188" t="s">
        <v>416</v>
      </c>
      <c r="C18" s="189">
        <v>100</v>
      </c>
      <c r="D18" s="189">
        <v>100</v>
      </c>
      <c r="E18" s="189">
        <v>100</v>
      </c>
    </row>
    <row r="19" spans="1:5" x14ac:dyDescent="0.35">
      <c r="A19" s="188">
        <v>10</v>
      </c>
      <c r="B19" s="188" t="s">
        <v>417</v>
      </c>
      <c r="C19" s="189" t="s">
        <v>418</v>
      </c>
      <c r="D19" s="189" t="s">
        <v>419</v>
      </c>
      <c r="E19" s="189" t="s">
        <v>419</v>
      </c>
    </row>
    <row r="20" spans="1:5" x14ac:dyDescent="0.35">
      <c r="A20" s="188">
        <v>11</v>
      </c>
      <c r="B20" s="188" t="s">
        <v>420</v>
      </c>
      <c r="C20" s="195" t="s">
        <v>681</v>
      </c>
      <c r="D20" s="195" t="s">
        <v>584</v>
      </c>
      <c r="E20" s="196" t="s">
        <v>711</v>
      </c>
    </row>
    <row r="21" spans="1:5" x14ac:dyDescent="0.35">
      <c r="A21" s="188">
        <v>12</v>
      </c>
      <c r="B21" s="188" t="s">
        <v>421</v>
      </c>
      <c r="C21" s="189" t="s">
        <v>422</v>
      </c>
      <c r="D21" s="189" t="s">
        <v>423</v>
      </c>
      <c r="E21" s="189" t="s">
        <v>422</v>
      </c>
    </row>
    <row r="22" spans="1:5" x14ac:dyDescent="0.35">
      <c r="A22" s="188">
        <v>13</v>
      </c>
      <c r="B22" s="188" t="s">
        <v>424</v>
      </c>
      <c r="C22" s="196">
        <v>47910</v>
      </c>
      <c r="D22" s="196" t="s">
        <v>425</v>
      </c>
      <c r="E22" s="196" t="s">
        <v>709</v>
      </c>
    </row>
    <row r="23" spans="1:5" x14ac:dyDescent="0.35">
      <c r="A23" s="188">
        <v>14</v>
      </c>
      <c r="B23" s="188" t="s">
        <v>426</v>
      </c>
      <c r="C23" s="189" t="s">
        <v>427</v>
      </c>
      <c r="D23" s="189" t="s">
        <v>427</v>
      </c>
      <c r="E23" s="189" t="s">
        <v>427</v>
      </c>
    </row>
    <row r="24" spans="1:5" ht="48" customHeight="1" x14ac:dyDescent="0.35">
      <c r="A24" s="188">
        <v>15</v>
      </c>
      <c r="B24" s="188" t="s">
        <v>428</v>
      </c>
      <c r="C24" s="197" t="s">
        <v>682</v>
      </c>
      <c r="D24" s="197" t="s">
        <v>585</v>
      </c>
      <c r="E24" s="197" t="s">
        <v>710</v>
      </c>
    </row>
    <row r="25" spans="1:5" x14ac:dyDescent="0.35">
      <c r="A25" s="198">
        <v>16</v>
      </c>
      <c r="B25" s="198" t="s">
        <v>429</v>
      </c>
      <c r="C25" s="192" t="s">
        <v>683</v>
      </c>
      <c r="D25" s="192" t="s">
        <v>586</v>
      </c>
      <c r="E25" s="192" t="s">
        <v>712</v>
      </c>
    </row>
    <row r="26" spans="1:5" x14ac:dyDescent="0.35">
      <c r="A26" s="198"/>
      <c r="B26" s="199" t="s">
        <v>430</v>
      </c>
      <c r="C26" s="200"/>
      <c r="D26" s="200"/>
      <c r="E26" s="200"/>
    </row>
    <row r="27" spans="1:5" x14ac:dyDescent="0.35">
      <c r="A27" s="198">
        <v>17</v>
      </c>
      <c r="B27" s="198" t="s">
        <v>431</v>
      </c>
      <c r="C27" s="194" t="s">
        <v>432</v>
      </c>
      <c r="D27" s="194" t="s">
        <v>432</v>
      </c>
      <c r="E27" s="194" t="s">
        <v>432</v>
      </c>
    </row>
    <row r="28" spans="1:5" x14ac:dyDescent="0.35">
      <c r="A28" s="198">
        <v>18</v>
      </c>
      <c r="B28" s="198" t="s">
        <v>433</v>
      </c>
      <c r="C28" s="192" t="s">
        <v>684</v>
      </c>
      <c r="D28" s="192" t="s">
        <v>587</v>
      </c>
      <c r="E28" s="192" t="s">
        <v>713</v>
      </c>
    </row>
    <row r="29" spans="1:5" x14ac:dyDescent="0.35">
      <c r="A29" s="198">
        <v>19</v>
      </c>
      <c r="B29" s="198" t="s">
        <v>434</v>
      </c>
      <c r="C29" s="194" t="s">
        <v>435</v>
      </c>
      <c r="D29" s="194" t="s">
        <v>435</v>
      </c>
      <c r="E29" s="194" t="s">
        <v>435</v>
      </c>
    </row>
    <row r="30" spans="1:5" x14ac:dyDescent="0.35">
      <c r="A30" s="201" t="s">
        <v>241</v>
      </c>
      <c r="B30" s="198" t="s">
        <v>436</v>
      </c>
      <c r="C30" s="194" t="s">
        <v>437</v>
      </c>
      <c r="D30" s="194" t="s">
        <v>438</v>
      </c>
      <c r="E30" s="194" t="s">
        <v>437</v>
      </c>
    </row>
    <row r="31" spans="1:5" x14ac:dyDescent="0.35">
      <c r="A31" s="201" t="s">
        <v>244</v>
      </c>
      <c r="B31" s="198" t="s">
        <v>439</v>
      </c>
      <c r="C31" s="194" t="s">
        <v>437</v>
      </c>
      <c r="D31" s="194" t="s">
        <v>438</v>
      </c>
      <c r="E31" s="194" t="s">
        <v>437</v>
      </c>
    </row>
    <row r="32" spans="1:5" x14ac:dyDescent="0.35">
      <c r="A32" s="198">
        <v>21</v>
      </c>
      <c r="B32" s="198" t="s">
        <v>440</v>
      </c>
      <c r="C32" s="194" t="s">
        <v>435</v>
      </c>
      <c r="D32" s="194" t="s">
        <v>435</v>
      </c>
      <c r="E32" s="194" t="s">
        <v>435</v>
      </c>
    </row>
    <row r="33" spans="1:5" x14ac:dyDescent="0.35">
      <c r="A33" s="198">
        <v>22</v>
      </c>
      <c r="B33" s="198" t="s">
        <v>441</v>
      </c>
      <c r="C33" s="194" t="s">
        <v>442</v>
      </c>
      <c r="D33" s="194" t="s">
        <v>442</v>
      </c>
      <c r="E33" s="194" t="s">
        <v>442</v>
      </c>
    </row>
    <row r="34" spans="1:5" x14ac:dyDescent="0.35">
      <c r="A34" s="198">
        <v>23</v>
      </c>
      <c r="B34" s="198" t="s">
        <v>443</v>
      </c>
      <c r="C34" s="194" t="s">
        <v>444</v>
      </c>
      <c r="D34" s="194" t="s">
        <v>444</v>
      </c>
      <c r="E34" s="194" t="s">
        <v>444</v>
      </c>
    </row>
    <row r="35" spans="1:5" x14ac:dyDescent="0.35">
      <c r="A35" s="198">
        <v>24</v>
      </c>
      <c r="B35" s="198" t="s">
        <v>445</v>
      </c>
      <c r="C35" s="194" t="s">
        <v>446</v>
      </c>
      <c r="D35" s="194" t="s">
        <v>446</v>
      </c>
      <c r="E35" s="194" t="s">
        <v>446</v>
      </c>
    </row>
    <row r="36" spans="1:5" x14ac:dyDescent="0.35">
      <c r="A36" s="198">
        <v>25</v>
      </c>
      <c r="B36" s="198" t="s">
        <v>447</v>
      </c>
      <c r="C36" s="194" t="s">
        <v>446</v>
      </c>
      <c r="D36" s="194" t="s">
        <v>446</v>
      </c>
      <c r="E36" s="194" t="s">
        <v>446</v>
      </c>
    </row>
    <row r="37" spans="1:5" x14ac:dyDescent="0.35">
      <c r="A37" s="198">
        <v>26</v>
      </c>
      <c r="B37" s="198" t="s">
        <v>448</v>
      </c>
      <c r="C37" s="194" t="s">
        <v>446</v>
      </c>
      <c r="D37" s="194" t="s">
        <v>446</v>
      </c>
      <c r="E37" s="194" t="s">
        <v>446</v>
      </c>
    </row>
    <row r="38" spans="1:5" x14ac:dyDescent="0.35">
      <c r="A38" s="198">
        <v>27</v>
      </c>
      <c r="B38" s="198" t="s">
        <v>449</v>
      </c>
      <c r="C38" s="194" t="s">
        <v>446</v>
      </c>
      <c r="D38" s="194" t="s">
        <v>446</v>
      </c>
      <c r="E38" s="194" t="s">
        <v>446</v>
      </c>
    </row>
    <row r="39" spans="1:5" x14ac:dyDescent="0.35">
      <c r="A39" s="198">
        <v>28</v>
      </c>
      <c r="B39" s="198" t="s">
        <v>450</v>
      </c>
      <c r="C39" s="194" t="s">
        <v>446</v>
      </c>
      <c r="D39" s="194" t="s">
        <v>446</v>
      </c>
      <c r="E39" s="194" t="s">
        <v>446</v>
      </c>
    </row>
    <row r="40" spans="1:5" x14ac:dyDescent="0.35">
      <c r="A40" s="198">
        <v>29</v>
      </c>
      <c r="B40" s="198" t="s">
        <v>451</v>
      </c>
      <c r="C40" s="194" t="s">
        <v>446</v>
      </c>
      <c r="D40" s="194" t="s">
        <v>446</v>
      </c>
      <c r="E40" s="194" t="s">
        <v>446</v>
      </c>
    </row>
    <row r="41" spans="1:5" x14ac:dyDescent="0.35">
      <c r="A41" s="198">
        <v>30</v>
      </c>
      <c r="B41" s="198" t="s">
        <v>452</v>
      </c>
      <c r="C41" s="194" t="s">
        <v>435</v>
      </c>
      <c r="D41" s="194" t="s">
        <v>427</v>
      </c>
      <c r="E41" s="194" t="s">
        <v>435</v>
      </c>
    </row>
    <row r="42" spans="1:5" x14ac:dyDescent="0.35">
      <c r="A42" s="198">
        <v>31</v>
      </c>
      <c r="B42" s="198" t="s">
        <v>453</v>
      </c>
      <c r="C42" s="192" t="s">
        <v>446</v>
      </c>
      <c r="D42" s="192" t="s">
        <v>454</v>
      </c>
      <c r="E42" s="192" t="s">
        <v>446</v>
      </c>
    </row>
    <row r="43" spans="1:5" x14ac:dyDescent="0.35">
      <c r="A43" s="198">
        <v>32</v>
      </c>
      <c r="B43" s="198" t="s">
        <v>455</v>
      </c>
      <c r="C43" s="194" t="s">
        <v>446</v>
      </c>
      <c r="D43" s="194" t="s">
        <v>456</v>
      </c>
      <c r="E43" s="194" t="s">
        <v>446</v>
      </c>
    </row>
    <row r="44" spans="1:5" x14ac:dyDescent="0.35">
      <c r="A44" s="198">
        <v>33</v>
      </c>
      <c r="B44" s="198" t="s">
        <v>457</v>
      </c>
      <c r="C44" s="194" t="s">
        <v>446</v>
      </c>
      <c r="D44" s="194" t="s">
        <v>458</v>
      </c>
      <c r="E44" s="194" t="s">
        <v>446</v>
      </c>
    </row>
    <row r="45" spans="1:5" ht="38.4" customHeight="1" x14ac:dyDescent="0.35">
      <c r="A45" s="198">
        <v>34</v>
      </c>
      <c r="B45" s="198" t="s">
        <v>459</v>
      </c>
      <c r="C45" s="192" t="s">
        <v>446</v>
      </c>
      <c r="D45" s="192" t="s">
        <v>460</v>
      </c>
      <c r="E45" s="192" t="s">
        <v>446</v>
      </c>
    </row>
    <row r="46" spans="1:5" x14ac:dyDescent="0.35">
      <c r="A46" s="198">
        <v>35</v>
      </c>
      <c r="B46" s="198" t="s">
        <v>461</v>
      </c>
      <c r="C46" s="194" t="s">
        <v>462</v>
      </c>
      <c r="D46" s="194" t="s">
        <v>188</v>
      </c>
      <c r="E46" s="194" t="s">
        <v>462</v>
      </c>
    </row>
    <row r="47" spans="1:5" ht="39.75" customHeight="1" x14ac:dyDescent="0.35">
      <c r="A47" s="198">
        <v>36</v>
      </c>
      <c r="B47" s="198" t="s">
        <v>463</v>
      </c>
      <c r="C47" s="194" t="s">
        <v>435</v>
      </c>
      <c r="D47" s="194" t="s">
        <v>435</v>
      </c>
      <c r="E47" s="194" t="s">
        <v>435</v>
      </c>
    </row>
    <row r="48" spans="1:5" x14ac:dyDescent="0.35">
      <c r="A48" s="198">
        <v>37</v>
      </c>
      <c r="B48" s="198" t="s">
        <v>464</v>
      </c>
      <c r="C48" s="194" t="s">
        <v>446</v>
      </c>
      <c r="D48" s="194" t="s">
        <v>446</v>
      </c>
      <c r="E48" s="194" t="s">
        <v>446</v>
      </c>
    </row>
    <row r="49" spans="1:2" ht="15" customHeight="1" x14ac:dyDescent="0.35">
      <c r="A49" s="439" t="s">
        <v>465</v>
      </c>
      <c r="B49" s="440"/>
    </row>
    <row r="50" spans="1:2" x14ac:dyDescent="0.35">
      <c r="A50" s="282"/>
      <c r="B50" s="282"/>
    </row>
    <row r="51" spans="1:2" x14ac:dyDescent="0.35">
      <c r="A51" s="282"/>
      <c r="B51" s="282"/>
    </row>
    <row r="52" spans="1:2" x14ac:dyDescent="0.35">
      <c r="A52" s="282"/>
      <c r="B52" s="282"/>
    </row>
    <row r="53" spans="1:2" x14ac:dyDescent="0.35">
      <c r="A53" s="282"/>
      <c r="B53" s="282"/>
    </row>
    <row r="54" spans="1:2" x14ac:dyDescent="0.35">
      <c r="A54" s="282"/>
      <c r="B54" s="282"/>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BW21"/>
  <sheetViews>
    <sheetView workbookViewId="0">
      <pane xSplit="1" topLeftCell="BD1" activePane="topRight" state="frozen"/>
      <selection pane="topRight" activeCell="BV19" sqref="BV19"/>
    </sheetView>
  </sheetViews>
  <sheetFormatPr defaultColWidth="11.453125" defaultRowHeight="14.5" x14ac:dyDescent="0.35"/>
  <cols>
    <col min="1" max="1" width="53.81640625" style="154" customWidth="1"/>
    <col min="2" max="2" width="12.81640625" style="154" customWidth="1"/>
    <col min="3" max="3" width="12.81640625" style="133" customWidth="1"/>
    <col min="4" max="4" width="12.81640625" style="154" customWidth="1"/>
    <col min="5" max="5" width="10" style="154" bestFit="1" customWidth="1"/>
    <col min="6" max="6" width="2.81640625" style="246" customWidth="1"/>
    <col min="7" max="7" width="9.1796875" style="281" customWidth="1"/>
    <col min="8" max="9" width="9.1796875" style="154" customWidth="1"/>
    <col min="10" max="10" width="17.1796875" style="154" customWidth="1"/>
    <col min="11" max="11" width="2.81640625" style="154" customWidth="1"/>
    <col min="12" max="14" width="9.1796875" style="154" customWidth="1"/>
    <col min="15" max="15" width="16.81640625" style="154" customWidth="1"/>
    <col min="16" max="16" width="2.81640625" style="154" customWidth="1"/>
    <col min="17" max="19" width="9.1796875" style="154" customWidth="1"/>
    <col min="20" max="20" width="11.453125" style="154" customWidth="1"/>
    <col min="21" max="24" width="9.1796875" style="154" customWidth="1"/>
    <col min="25" max="25" width="12" style="154" customWidth="1"/>
    <col min="26" max="29" width="9.1796875" style="154" customWidth="1"/>
    <col min="30" max="30" width="10.54296875" style="154" customWidth="1"/>
    <col min="31" max="34" width="9.1796875" style="154" customWidth="1"/>
    <col min="35" max="35" width="11.453125" style="154" customWidth="1"/>
    <col min="36" max="253" width="9.1796875" style="154" customWidth="1"/>
    <col min="254" max="16384" width="11.453125" style="154"/>
  </cols>
  <sheetData>
    <row r="1" spans="1:75" x14ac:dyDescent="0.35">
      <c r="A1" s="133"/>
    </row>
    <row r="2" spans="1:75" s="153" customFormat="1" ht="6" customHeight="1" x14ac:dyDescent="0.35">
      <c r="F2" s="279"/>
    </row>
    <row r="3" spans="1:75" s="153" customFormat="1" ht="6" customHeight="1" x14ac:dyDescent="0.35">
      <c r="F3" s="279"/>
    </row>
    <row r="4" spans="1:75" ht="17.5" x14ac:dyDescent="0.35">
      <c r="A4" s="136" t="s">
        <v>526</v>
      </c>
      <c r="G4" s="133"/>
      <c r="H4" s="133"/>
      <c r="I4" s="133"/>
      <c r="J4" s="133"/>
    </row>
    <row r="5" spans="1:75" ht="17.5" x14ac:dyDescent="0.35">
      <c r="A5" s="136"/>
      <c r="G5" s="133"/>
      <c r="H5" s="133"/>
      <c r="I5" s="133"/>
      <c r="J5" s="133"/>
    </row>
    <row r="6" spans="1:75" x14ac:dyDescent="0.35">
      <c r="A6" s="416"/>
      <c r="B6" s="441">
        <v>43830</v>
      </c>
      <c r="C6" s="442"/>
      <c r="D6" s="442"/>
      <c r="E6" s="443"/>
      <c r="F6" s="418"/>
      <c r="G6" s="441">
        <v>43921</v>
      </c>
      <c r="H6" s="442"/>
      <c r="I6" s="442"/>
      <c r="J6" s="443"/>
      <c r="L6" s="441">
        <v>44012</v>
      </c>
      <c r="M6" s="442"/>
      <c r="N6" s="442"/>
      <c r="O6" s="443"/>
      <c r="Q6" s="441">
        <v>44104</v>
      </c>
      <c r="R6" s="442"/>
      <c r="S6" s="442"/>
      <c r="T6" s="443"/>
      <c r="V6" s="441">
        <v>44196</v>
      </c>
      <c r="W6" s="442"/>
      <c r="X6" s="442"/>
      <c r="Y6" s="443"/>
      <c r="AA6" s="441">
        <v>44286</v>
      </c>
      <c r="AB6" s="442"/>
      <c r="AC6" s="442"/>
      <c r="AD6" s="443"/>
      <c r="AF6" s="441">
        <v>44377</v>
      </c>
      <c r="AG6" s="442"/>
      <c r="AH6" s="442"/>
      <c r="AI6" s="443"/>
      <c r="AK6" s="441">
        <v>44469</v>
      </c>
      <c r="AL6" s="442"/>
      <c r="AM6" s="442"/>
      <c r="AN6" s="443"/>
      <c r="AP6" s="441">
        <v>44561</v>
      </c>
      <c r="AQ6" s="442"/>
      <c r="AR6" s="442"/>
      <c r="AS6" s="443"/>
      <c r="AU6" s="441">
        <v>44651</v>
      </c>
      <c r="AV6" s="442"/>
      <c r="AW6" s="442"/>
      <c r="AX6" s="443"/>
      <c r="AZ6" s="441">
        <v>44742</v>
      </c>
      <c r="BA6" s="442"/>
      <c r="BB6" s="442"/>
      <c r="BC6" s="443"/>
      <c r="BE6" s="441">
        <v>44834</v>
      </c>
      <c r="BF6" s="442"/>
      <c r="BG6" s="442"/>
      <c r="BH6" s="443"/>
      <c r="BJ6" s="441">
        <v>44926</v>
      </c>
      <c r="BK6" s="442"/>
      <c r="BL6" s="442"/>
      <c r="BM6" s="443"/>
      <c r="BO6" s="441">
        <v>45015</v>
      </c>
      <c r="BP6" s="442"/>
      <c r="BQ6" s="442"/>
      <c r="BR6" s="443"/>
      <c r="BT6" s="441">
        <v>45107</v>
      </c>
      <c r="BU6" s="442"/>
      <c r="BV6" s="442"/>
      <c r="BW6" s="443"/>
    </row>
    <row r="7" spans="1:75" ht="20" x14ac:dyDescent="0.35">
      <c r="A7" s="259" t="s">
        <v>22</v>
      </c>
      <c r="B7" s="260" t="s">
        <v>466</v>
      </c>
      <c r="C7" s="261" t="s">
        <v>467</v>
      </c>
      <c r="D7" s="261" t="s">
        <v>468</v>
      </c>
      <c r="E7" s="262" t="s">
        <v>123</v>
      </c>
      <c r="F7" s="419"/>
      <c r="G7" s="260" t="s">
        <v>466</v>
      </c>
      <c r="H7" s="261" t="s">
        <v>467</v>
      </c>
      <c r="I7" s="261" t="s">
        <v>468</v>
      </c>
      <c r="J7" s="262" t="s">
        <v>123</v>
      </c>
      <c r="L7" s="260" t="s">
        <v>466</v>
      </c>
      <c r="M7" s="261" t="s">
        <v>467</v>
      </c>
      <c r="N7" s="261" t="s">
        <v>468</v>
      </c>
      <c r="O7" s="262" t="s">
        <v>123</v>
      </c>
      <c r="Q7" s="260" t="s">
        <v>466</v>
      </c>
      <c r="R7" s="261" t="s">
        <v>467</v>
      </c>
      <c r="S7" s="261" t="s">
        <v>468</v>
      </c>
      <c r="T7" s="262" t="s">
        <v>123</v>
      </c>
      <c r="V7" s="260" t="s">
        <v>466</v>
      </c>
      <c r="W7" s="261" t="s">
        <v>467</v>
      </c>
      <c r="X7" s="261" t="s">
        <v>468</v>
      </c>
      <c r="Y7" s="262" t="s">
        <v>123</v>
      </c>
      <c r="AA7" s="260" t="s">
        <v>466</v>
      </c>
      <c r="AB7" s="261" t="s">
        <v>467</v>
      </c>
      <c r="AC7" s="261" t="s">
        <v>468</v>
      </c>
      <c r="AD7" s="262" t="s">
        <v>123</v>
      </c>
      <c r="AF7" s="260" t="s">
        <v>466</v>
      </c>
      <c r="AG7" s="261" t="s">
        <v>467</v>
      </c>
      <c r="AH7" s="261" t="s">
        <v>468</v>
      </c>
      <c r="AI7" s="262" t="s">
        <v>123</v>
      </c>
      <c r="AK7" s="260" t="s">
        <v>466</v>
      </c>
      <c r="AL7" s="261" t="s">
        <v>467</v>
      </c>
      <c r="AM7" s="261" t="s">
        <v>468</v>
      </c>
      <c r="AN7" s="262" t="s">
        <v>123</v>
      </c>
      <c r="AP7" s="260" t="s">
        <v>466</v>
      </c>
      <c r="AQ7" s="261" t="s">
        <v>467</v>
      </c>
      <c r="AR7" s="261" t="s">
        <v>468</v>
      </c>
      <c r="AS7" s="262" t="s">
        <v>123</v>
      </c>
      <c r="AU7" s="260" t="s">
        <v>466</v>
      </c>
      <c r="AV7" s="261" t="s">
        <v>467</v>
      </c>
      <c r="AW7" s="261" t="s">
        <v>468</v>
      </c>
      <c r="AX7" s="262" t="s">
        <v>123</v>
      </c>
      <c r="AZ7" s="260" t="s">
        <v>466</v>
      </c>
      <c r="BA7" s="261" t="s">
        <v>467</v>
      </c>
      <c r="BB7" s="261" t="s">
        <v>468</v>
      </c>
      <c r="BC7" s="262" t="s">
        <v>123</v>
      </c>
      <c r="BE7" s="260" t="s">
        <v>466</v>
      </c>
      <c r="BF7" s="261" t="s">
        <v>467</v>
      </c>
      <c r="BG7" s="261" t="s">
        <v>468</v>
      </c>
      <c r="BH7" s="262" t="s">
        <v>123</v>
      </c>
      <c r="BJ7" s="260" t="s">
        <v>466</v>
      </c>
      <c r="BK7" s="261" t="s">
        <v>467</v>
      </c>
      <c r="BL7" s="261" t="s">
        <v>468</v>
      </c>
      <c r="BM7" s="262" t="s">
        <v>123</v>
      </c>
      <c r="BO7" s="260" t="s">
        <v>466</v>
      </c>
      <c r="BP7" s="261" t="s">
        <v>467</v>
      </c>
      <c r="BQ7" s="261" t="s">
        <v>468</v>
      </c>
      <c r="BR7" s="262" t="s">
        <v>123</v>
      </c>
      <c r="BT7" s="260" t="s">
        <v>466</v>
      </c>
      <c r="BU7" s="261" t="s">
        <v>467</v>
      </c>
      <c r="BV7" s="261" t="s">
        <v>468</v>
      </c>
      <c r="BW7" s="262" t="s">
        <v>123</v>
      </c>
    </row>
    <row r="8" spans="1:75" x14ac:dyDescent="0.35">
      <c r="A8" s="141" t="s">
        <v>527</v>
      </c>
      <c r="B8" s="187"/>
      <c r="C8" s="203"/>
      <c r="D8" s="187"/>
      <c r="E8" s="187"/>
      <c r="F8" s="420"/>
      <c r="G8" s="186"/>
      <c r="H8" s="203"/>
      <c r="I8" s="187"/>
      <c r="J8" s="187"/>
      <c r="L8" s="186"/>
      <c r="M8" s="203"/>
      <c r="N8" s="187"/>
      <c r="O8" s="187"/>
      <c r="Q8" s="186"/>
      <c r="R8" s="203"/>
      <c r="S8" s="187"/>
      <c r="T8" s="187"/>
      <c r="V8" s="186"/>
      <c r="W8" s="203"/>
      <c r="X8" s="187"/>
      <c r="Y8" s="187"/>
      <c r="AA8" s="186"/>
      <c r="AB8" s="203"/>
      <c r="AC8" s="187"/>
      <c r="AD8" s="187"/>
      <c r="AF8" s="186"/>
      <c r="AG8" s="203"/>
      <c r="AH8" s="187"/>
      <c r="AI8" s="187"/>
      <c r="AK8" s="186"/>
      <c r="AL8" s="203"/>
      <c r="AM8" s="187"/>
      <c r="AN8" s="187"/>
      <c r="AP8" s="186"/>
      <c r="AQ8" s="203"/>
      <c r="AR8" s="187"/>
      <c r="AS8" s="187"/>
      <c r="AU8" s="186"/>
      <c r="AV8" s="203"/>
      <c r="AW8" s="187"/>
      <c r="AX8" s="187"/>
      <c r="AZ8" s="186"/>
      <c r="BA8" s="203"/>
      <c r="BB8" s="187"/>
      <c r="BC8" s="187"/>
      <c r="BE8" s="186"/>
      <c r="BF8" s="203"/>
      <c r="BG8" s="187"/>
      <c r="BH8" s="187"/>
      <c r="BJ8" s="186"/>
      <c r="BK8" s="203"/>
      <c r="BL8" s="187"/>
      <c r="BM8" s="187"/>
      <c r="BO8" s="186"/>
      <c r="BP8" s="203"/>
      <c r="BQ8" s="187"/>
      <c r="BR8" s="187"/>
      <c r="BT8" s="186"/>
      <c r="BU8" s="203"/>
      <c r="BV8" s="187"/>
      <c r="BW8" s="187"/>
    </row>
    <row r="9" spans="1:75" x14ac:dyDescent="0.35">
      <c r="A9" s="280" t="s">
        <v>589</v>
      </c>
      <c r="B9" s="186">
        <v>614.66767404999541</v>
      </c>
      <c r="C9" s="202">
        <v>0.2</v>
      </c>
      <c r="D9" s="186">
        <v>122.93353480999909</v>
      </c>
      <c r="E9" s="186">
        <v>9.8346827847999272</v>
      </c>
      <c r="F9" s="421"/>
      <c r="G9" s="186">
        <v>666.07197044000361</v>
      </c>
      <c r="H9" s="202">
        <v>0.2</v>
      </c>
      <c r="I9" s="186">
        <v>133.21439408800072</v>
      </c>
      <c r="J9" s="186">
        <v>10.657151527040057</v>
      </c>
      <c r="L9" s="186">
        <v>1292.0612479799993</v>
      </c>
      <c r="M9" s="202">
        <v>0.2</v>
      </c>
      <c r="N9" s="186">
        <v>258.41224959599987</v>
      </c>
      <c r="O9" s="186">
        <v>20.672979967679989</v>
      </c>
      <c r="Q9" s="186">
        <v>1466.8256898499976</v>
      </c>
      <c r="R9" s="202">
        <v>0.2</v>
      </c>
      <c r="S9" s="186">
        <v>293.36513796999952</v>
      </c>
      <c r="T9" s="186">
        <v>23.469211037599962</v>
      </c>
      <c r="V9" s="186">
        <f>X9/W9</f>
        <v>1204.1884715799983</v>
      </c>
      <c r="W9" s="202">
        <v>0.2</v>
      </c>
      <c r="X9" s="186">
        <v>240.83769431599967</v>
      </c>
      <c r="Y9" s="186">
        <f>X9*0.08</f>
        <v>19.267015545279975</v>
      </c>
      <c r="AA9" s="186">
        <f>AC9/AB9</f>
        <v>1141.7213592400049</v>
      </c>
      <c r="AB9" s="202">
        <v>0.2</v>
      </c>
      <c r="AC9" s="186">
        <f>228344.271848001/1000</f>
        <v>228.344271848001</v>
      </c>
      <c r="AD9" s="186">
        <f>AC9*0.08</f>
        <v>18.267541747840081</v>
      </c>
      <c r="AF9" s="186">
        <f>AH9/AG9</f>
        <v>1000</v>
      </c>
      <c r="AG9" s="202">
        <v>0.2</v>
      </c>
      <c r="AH9" s="186">
        <v>200</v>
      </c>
      <c r="AI9" s="186">
        <f>AH9*0.08</f>
        <v>16</v>
      </c>
      <c r="AK9" s="186">
        <f>AM9/AL9</f>
        <v>885.5458055499987</v>
      </c>
      <c r="AL9" s="202">
        <v>0.2</v>
      </c>
      <c r="AM9" s="186">
        <f>'1'!I7</f>
        <v>177.10916110999975</v>
      </c>
      <c r="AN9" s="186">
        <f>AM9*0.08</f>
        <v>14.16873288879998</v>
      </c>
      <c r="AP9" s="186">
        <f>AR9/AQ9</f>
        <v>1301.8097159700023</v>
      </c>
      <c r="AQ9" s="202">
        <v>0.2</v>
      </c>
      <c r="AR9" s="186">
        <f>'1'!J7</f>
        <v>260.3619431940005</v>
      </c>
      <c r="AS9" s="186">
        <f>AR9*0.08</f>
        <v>20.828955455520042</v>
      </c>
      <c r="AU9" s="186">
        <f>AW9/AV9</f>
        <v>1516.9616272900055</v>
      </c>
      <c r="AV9" s="202">
        <v>0.2</v>
      </c>
      <c r="AW9" s="186">
        <f>'1'!K7</f>
        <v>303.3923254580011</v>
      </c>
      <c r="AX9" s="186">
        <f>AW9*0.08</f>
        <v>24.271386036640088</v>
      </c>
      <c r="AZ9" s="186">
        <f>BB9/BA9</f>
        <v>724.39023015000339</v>
      </c>
      <c r="BA9" s="202">
        <v>0.2</v>
      </c>
      <c r="BB9" s="186">
        <f>'1'!L7</f>
        <v>144.87804603000069</v>
      </c>
      <c r="BC9" s="186">
        <f>BB9*0.08</f>
        <v>11.590243682400056</v>
      </c>
      <c r="BE9" s="186">
        <f>BG9/BF9</f>
        <v>1028.4313421899976</v>
      </c>
      <c r="BF9" s="202">
        <v>0.2</v>
      </c>
      <c r="BG9" s="186">
        <f>'1'!M7</f>
        <v>205.68626843799953</v>
      </c>
      <c r="BH9" s="186">
        <f>BG9*0.08</f>
        <v>16.454901475039964</v>
      </c>
      <c r="BJ9" s="186">
        <f>BL9/BK9</f>
        <v>807.81879038000397</v>
      </c>
      <c r="BK9" s="202">
        <v>0.2</v>
      </c>
      <c r="BL9" s="186">
        <f>'1'!N7</f>
        <v>161.56375807600079</v>
      </c>
      <c r="BM9" s="186">
        <f>BL9*0.08</f>
        <v>12.925100646080065</v>
      </c>
      <c r="BO9" s="186">
        <f>BQ9/BP9</f>
        <v>745.8887084600002</v>
      </c>
      <c r="BP9" s="202">
        <v>0.2</v>
      </c>
      <c r="BQ9" s="186">
        <f>'1'!O7</f>
        <v>149.17774169200004</v>
      </c>
      <c r="BR9" s="186">
        <f>BQ9*0.08</f>
        <v>11.934219335360003</v>
      </c>
      <c r="BT9" s="186">
        <f>BV9/BU9</f>
        <v>544.72584267999935</v>
      </c>
      <c r="BU9" s="202">
        <v>0.2</v>
      </c>
      <c r="BV9" s="186">
        <f>'1'!P7</f>
        <v>108.94516853599987</v>
      </c>
      <c r="BW9" s="186">
        <f>BV9*0.08</f>
        <v>8.7156134828799896</v>
      </c>
    </row>
    <row r="10" spans="1:75" x14ac:dyDescent="0.35">
      <c r="A10" s="280" t="s">
        <v>594</v>
      </c>
      <c r="B10" s="186">
        <v>7780.9580981427553</v>
      </c>
      <c r="C10" s="202">
        <v>0.75</v>
      </c>
      <c r="D10" s="186">
        <v>5835.718573607066</v>
      </c>
      <c r="E10" s="186">
        <v>466.85748588856529</v>
      </c>
      <c r="F10" s="421"/>
      <c r="G10" s="186">
        <v>7861.6518015612655</v>
      </c>
      <c r="H10" s="202">
        <v>0.75</v>
      </c>
      <c r="I10" s="186">
        <v>5896.2388511709487</v>
      </c>
      <c r="J10" s="186">
        <v>471.69910809367593</v>
      </c>
      <c r="L10" s="186">
        <v>7331.6581203197429</v>
      </c>
      <c r="M10" s="202">
        <v>0.75</v>
      </c>
      <c r="N10" s="186">
        <v>5498.7435902398074</v>
      </c>
      <c r="O10" s="186">
        <v>439.89948721918461</v>
      </c>
      <c r="Q10" s="186">
        <v>7267.3137842990809</v>
      </c>
      <c r="R10" s="202">
        <v>0.75</v>
      </c>
      <c r="S10" s="186">
        <v>5450.4853382243109</v>
      </c>
      <c r="T10" s="186">
        <v>436.0388270579449</v>
      </c>
      <c r="V10" s="186">
        <f t="shared" ref="V10:V14" si="0">X10/W10</f>
        <v>7196.8397988926126</v>
      </c>
      <c r="W10" s="202">
        <v>0.75</v>
      </c>
      <c r="X10" s="186">
        <f>5397629.84916946/1000</f>
        <v>5397.6298491694597</v>
      </c>
      <c r="Y10" s="186">
        <f t="shared" ref="Y10:Y14" si="1">X10*0.08</f>
        <v>431.8103879335568</v>
      </c>
      <c r="AA10" s="186">
        <f t="shared" ref="AA10:AA14" si="2">AC10/AB10</f>
        <v>6720.8615469685865</v>
      </c>
      <c r="AB10" s="202">
        <v>0.75</v>
      </c>
      <c r="AC10" s="186">
        <f>5040646.16022644/1000</f>
        <v>5040.6461602264399</v>
      </c>
      <c r="AD10" s="186">
        <f t="shared" ref="AD10:AD14" si="3">AC10*0.08</f>
        <v>403.2516928181152</v>
      </c>
      <c r="AF10" s="186">
        <f t="shared" ref="AF10:AF14" si="4">AH10/AG10</f>
        <v>7078.7128195586129</v>
      </c>
      <c r="AG10" s="202">
        <v>0.75</v>
      </c>
      <c r="AH10" s="186">
        <v>5309.0346146689599</v>
      </c>
      <c r="AI10" s="186">
        <f t="shared" ref="AI10:AI14" si="5">AH10*0.08</f>
        <v>424.72276917351678</v>
      </c>
      <c r="AK10" s="186">
        <v>8551.8199826230411</v>
      </c>
      <c r="AL10" s="202">
        <v>0.75</v>
      </c>
      <c r="AM10" s="186">
        <v>6413.8649869672809</v>
      </c>
      <c r="AN10" s="186">
        <f t="shared" ref="AN10:AN14" si="6">AM10*0.08</f>
        <v>513.10919895738243</v>
      </c>
      <c r="AP10" s="186">
        <f t="shared" ref="AP10:AP14" si="7">AR10/AQ10</f>
        <v>6972.5637435913486</v>
      </c>
      <c r="AQ10" s="202">
        <v>0.75</v>
      </c>
      <c r="AR10" s="186">
        <f>'1'!J8</f>
        <v>5229.4228076935115</v>
      </c>
      <c r="AS10" s="186">
        <f t="shared" ref="AS10:AS14" si="8">AR10*0.08</f>
        <v>418.3538246154809</v>
      </c>
      <c r="AU10" s="186">
        <f t="shared" ref="AU10" si="9">AW10/AV10</f>
        <v>6808.6423778743183</v>
      </c>
      <c r="AV10" s="202">
        <v>0.75</v>
      </c>
      <c r="AW10" s="186">
        <f>'1'!K8</f>
        <v>5106.4817834057385</v>
      </c>
      <c r="AX10" s="186">
        <f t="shared" ref="AX10:AX14" si="10">AW10*0.08</f>
        <v>408.51854267245909</v>
      </c>
      <c r="AZ10" s="186">
        <f>BB10/BA10</f>
        <v>6849.0194450419594</v>
      </c>
      <c r="BA10" s="202">
        <v>0.75</v>
      </c>
      <c r="BB10" s="186">
        <f>'1'!L8</f>
        <v>5136.7645837814698</v>
      </c>
      <c r="BC10" s="186">
        <f t="shared" ref="BC10:BC14" si="11">BB10*0.08</f>
        <v>410.94116670251759</v>
      </c>
      <c r="BE10" s="186">
        <f>BG10/BF10</f>
        <v>7829.3879760496557</v>
      </c>
      <c r="BF10" s="202">
        <v>0.75</v>
      </c>
      <c r="BG10" s="186">
        <f>'1'!M8</f>
        <v>5872.0409820372415</v>
      </c>
      <c r="BH10" s="186">
        <f t="shared" ref="BH10:BH14" si="12">BG10*0.08</f>
        <v>469.76327856297934</v>
      </c>
      <c r="BJ10" s="186">
        <f>BL10/BK10</f>
        <v>8970.934251680339</v>
      </c>
      <c r="BK10" s="202">
        <v>0.75</v>
      </c>
      <c r="BL10" s="186">
        <f>'1'!N8</f>
        <v>6728.2006887602547</v>
      </c>
      <c r="BM10" s="186">
        <f t="shared" ref="BM10:BM14" si="13">BL10*0.08</f>
        <v>538.25605510082039</v>
      </c>
      <c r="BO10" s="186">
        <f>BQ10/BP10</f>
        <v>10025.166913939667</v>
      </c>
      <c r="BP10" s="202">
        <v>0.75</v>
      </c>
      <c r="BQ10" s="186">
        <f>'1'!O8</f>
        <v>7518.87518545475</v>
      </c>
      <c r="BR10" s="186">
        <f t="shared" ref="BR10:BR14" si="14">BQ10*0.08</f>
        <v>601.51001483638004</v>
      </c>
      <c r="BT10" s="186">
        <f>BV10/BU10</f>
        <v>10294.252164665595</v>
      </c>
      <c r="BU10" s="202">
        <v>0.75</v>
      </c>
      <c r="BV10" s="186">
        <f>'1'!P8</f>
        <v>7720.6891234991963</v>
      </c>
      <c r="BW10" s="186">
        <f t="shared" ref="BW10:BW14" si="15">BV10*0.08</f>
        <v>617.65512987993577</v>
      </c>
    </row>
    <row r="11" spans="1:75" x14ac:dyDescent="0.35">
      <c r="A11" s="280" t="s">
        <v>590</v>
      </c>
      <c r="B11" s="186">
        <v>90.778524160000032</v>
      </c>
      <c r="C11" s="202">
        <v>0.1</v>
      </c>
      <c r="D11" s="186">
        <v>9.0778524160000043</v>
      </c>
      <c r="E11" s="186">
        <v>0.72622819328000032</v>
      </c>
      <c r="F11" s="421"/>
      <c r="G11" s="186">
        <v>104.94127399999998</v>
      </c>
      <c r="H11" s="202">
        <v>0.1</v>
      </c>
      <c r="I11" s="186">
        <v>10.494127399999998</v>
      </c>
      <c r="J11" s="186">
        <v>0.8395301919999999</v>
      </c>
      <c r="L11" s="186">
        <v>301.89060099999989</v>
      </c>
      <c r="M11" s="202">
        <v>0.1</v>
      </c>
      <c r="N11" s="186">
        <v>30.189060099999992</v>
      </c>
      <c r="O11" s="186">
        <v>2.4151248079999994</v>
      </c>
      <c r="Q11" s="186">
        <f>2585201.63508/1000</f>
        <v>2585.20163508</v>
      </c>
      <c r="R11" s="202">
        <f>S11/Q11</f>
        <v>6.905004053290259E-2</v>
      </c>
      <c r="S11" s="186">
        <v>178.50827768800005</v>
      </c>
      <c r="T11" s="186">
        <v>14.280662215040005</v>
      </c>
      <c r="V11" s="186">
        <f>1848024.76605/1000</f>
        <v>1848.0247660499999</v>
      </c>
      <c r="W11" s="202">
        <f>X11/V11</f>
        <v>5.021472832604304E-2</v>
      </c>
      <c r="X11" s="186">
        <v>92.798061566999991</v>
      </c>
      <c r="Y11" s="186">
        <f t="shared" si="1"/>
        <v>7.4238449253599992</v>
      </c>
      <c r="AA11" s="186">
        <f>2287427.73183/1000</f>
        <v>2287.4277318300001</v>
      </c>
      <c r="AB11" s="202">
        <f>AC11/AA11</f>
        <v>3.9401668178996388E-2</v>
      </c>
      <c r="AC11" s="186">
        <f>90128.468473/1000</f>
        <v>90.128468472999998</v>
      </c>
      <c r="AD11" s="186">
        <f t="shared" si="3"/>
        <v>7.2102774778400001</v>
      </c>
      <c r="AF11" s="186">
        <f>2093519.81852/1000</f>
        <v>2093.5198185200002</v>
      </c>
      <c r="AG11" s="202">
        <f>AH11/AF11</f>
        <v>4.3051165637741952E-2</v>
      </c>
      <c r="AH11" s="186">
        <f>90128.468473/1000</f>
        <v>90.128468472999998</v>
      </c>
      <c r="AI11" s="186">
        <f t="shared" si="5"/>
        <v>7.2102774778400001</v>
      </c>
      <c r="AK11" s="186">
        <v>1291.2583030000001</v>
      </c>
      <c r="AL11" s="422">
        <v>4.6667263965697807E-2</v>
      </c>
      <c r="AM11" s="186">
        <v>60.259492074000008</v>
      </c>
      <c r="AN11" s="186">
        <f t="shared" si="6"/>
        <v>4.8207593659200008</v>
      </c>
      <c r="AP11" s="186">
        <f>882993.74776/1000</f>
        <v>882.99374776000002</v>
      </c>
      <c r="AQ11" s="422">
        <f>AR11/AP11</f>
        <v>4.5238472341773868E-2</v>
      </c>
      <c r="AR11" s="186">
        <v>39.94528823600001</v>
      </c>
      <c r="AS11" s="186">
        <f t="shared" si="8"/>
        <v>3.1956230588800008</v>
      </c>
      <c r="AU11" s="186">
        <f>882993.74776/1000</f>
        <v>882.99374776000002</v>
      </c>
      <c r="AV11" s="422">
        <f>AW11/AU11</f>
        <v>4.5238472341773868E-2</v>
      </c>
      <c r="AW11" s="186">
        <v>39.94528823600001</v>
      </c>
      <c r="AX11" s="186">
        <f t="shared" si="10"/>
        <v>3.1956230588800008</v>
      </c>
      <c r="AZ11" s="186">
        <v>882.55077147999998</v>
      </c>
      <c r="BA11" s="422">
        <f>BB11/AZ11</f>
        <v>4.5267587827274768E-2</v>
      </c>
      <c r="BB11" s="186">
        <v>39.950944560000003</v>
      </c>
      <c r="BC11" s="186">
        <f t="shared" si="11"/>
        <v>3.1960755648000005</v>
      </c>
      <c r="BE11" s="186">
        <v>877.69482716000005</v>
      </c>
      <c r="BF11" s="422">
        <f>BG11/BE11</f>
        <v>5.6538733417821313E-2</v>
      </c>
      <c r="BG11" s="186">
        <v>49.623753854999997</v>
      </c>
      <c r="BH11" s="186">
        <f t="shared" si="12"/>
        <v>3.9699003083999997</v>
      </c>
      <c r="BJ11" s="186">
        <v>1453.5332506300001</v>
      </c>
      <c r="BK11" s="422">
        <f>BL11/BJ11</f>
        <v>4.8187105591593532E-2</v>
      </c>
      <c r="BL11" s="186">
        <v>70.041560228999998</v>
      </c>
      <c r="BM11" s="186">
        <f t="shared" si="13"/>
        <v>5.60332481832</v>
      </c>
      <c r="BO11" s="186">
        <v>1605.0807903800001</v>
      </c>
      <c r="BP11" s="422">
        <f>BQ11/BO11</f>
        <v>5.0251123397286801E-3</v>
      </c>
      <c r="BQ11" s="186">
        <v>8.0657112860000009</v>
      </c>
      <c r="BR11" s="186">
        <f t="shared" si="14"/>
        <v>0.64525690288000004</v>
      </c>
      <c r="BT11" s="186">
        <v>813.43710159</v>
      </c>
      <c r="BU11" s="422">
        <f>BV11/BT11</f>
        <v>9.9912613269223811E-3</v>
      </c>
      <c r="BV11" s="186">
        <v>8.1272626549999991</v>
      </c>
      <c r="BW11" s="186">
        <f t="shared" si="15"/>
        <v>0.65018101239999992</v>
      </c>
    </row>
    <row r="12" spans="1:75" x14ac:dyDescent="0.35">
      <c r="A12" s="280" t="s">
        <v>591</v>
      </c>
      <c r="B12" s="186">
        <v>884.55986672337633</v>
      </c>
      <c r="C12" s="202">
        <v>1</v>
      </c>
      <c r="D12" s="186">
        <v>884.55986672337633</v>
      </c>
      <c r="E12" s="186">
        <v>70.764789337870113</v>
      </c>
      <c r="F12" s="421"/>
      <c r="G12" s="186">
        <v>1082.8661975396581</v>
      </c>
      <c r="H12" s="202">
        <v>1</v>
      </c>
      <c r="I12" s="186">
        <v>1082.8661975396581</v>
      </c>
      <c r="J12" s="186">
        <v>86.629295803172653</v>
      </c>
      <c r="L12" s="186">
        <v>1164.8606085557865</v>
      </c>
      <c r="M12" s="202">
        <v>1</v>
      </c>
      <c r="N12" s="186">
        <v>1164.8606085557865</v>
      </c>
      <c r="O12" s="186">
        <v>93.188848684462926</v>
      </c>
      <c r="Q12" s="186">
        <v>1162.2488533198286</v>
      </c>
      <c r="R12" s="202">
        <v>1</v>
      </c>
      <c r="S12" s="186">
        <v>1162.2488533198286</v>
      </c>
      <c r="T12" s="186">
        <v>92.979908265586289</v>
      </c>
      <c r="V12" s="186">
        <f t="shared" si="0"/>
        <v>1323.7319421375898</v>
      </c>
      <c r="W12" s="202">
        <v>1</v>
      </c>
      <c r="X12" s="186">
        <f>1323731.94213759/1000</f>
        <v>1323.7319421375898</v>
      </c>
      <c r="Y12" s="186">
        <f t="shared" si="1"/>
        <v>105.89855537100719</v>
      </c>
      <c r="AA12" s="186">
        <f t="shared" si="2"/>
        <v>1415.30953326394</v>
      </c>
      <c r="AB12" s="202">
        <v>1</v>
      </c>
      <c r="AC12" s="186">
        <f>1415309.53326394/1000</f>
        <v>1415.30953326394</v>
      </c>
      <c r="AD12" s="186">
        <f t="shared" si="3"/>
        <v>113.22476266111521</v>
      </c>
      <c r="AF12" s="186">
        <f t="shared" si="4"/>
        <v>1374.71843776679</v>
      </c>
      <c r="AG12" s="202">
        <v>1</v>
      </c>
      <c r="AH12" s="186">
        <v>1374.71843776679</v>
      </c>
      <c r="AI12" s="186">
        <f t="shared" si="5"/>
        <v>109.9774750213432</v>
      </c>
      <c r="AK12" s="186">
        <f t="shared" ref="AK12:AK14" si="16">AM12/AL12</f>
        <v>1230.82001614656</v>
      </c>
      <c r="AL12" s="202">
        <v>1</v>
      </c>
      <c r="AM12" s="186">
        <f>'1'!I10</f>
        <v>1230.82001614656</v>
      </c>
      <c r="AN12" s="186">
        <f t="shared" si="6"/>
        <v>98.465601291724795</v>
      </c>
      <c r="AP12" s="186">
        <f t="shared" si="7"/>
        <v>529.71988979443154</v>
      </c>
      <c r="AQ12" s="202">
        <v>1</v>
      </c>
      <c r="AR12" s="186">
        <f>'1'!J10</f>
        <v>529.71988979443154</v>
      </c>
      <c r="AS12" s="186">
        <f t="shared" si="8"/>
        <v>42.377591183554522</v>
      </c>
      <c r="AU12" s="186">
        <f t="shared" ref="AU12:AU14" si="17">AW12/AV12</f>
        <v>430.66428904750114</v>
      </c>
      <c r="AV12" s="202">
        <v>1</v>
      </c>
      <c r="AW12" s="186">
        <f>'1'!K10</f>
        <v>430.66428904750114</v>
      </c>
      <c r="AX12" s="186">
        <f t="shared" si="10"/>
        <v>34.453143123800089</v>
      </c>
      <c r="AZ12" s="186">
        <f>BB12/BA12</f>
        <v>302.70917846676684</v>
      </c>
      <c r="BA12" s="202">
        <v>1</v>
      </c>
      <c r="BB12" s="186">
        <f>'1'!L10</f>
        <v>302.70917846676684</v>
      </c>
      <c r="BC12" s="186">
        <f t="shared" si="11"/>
        <v>24.216734277341349</v>
      </c>
      <c r="BE12" s="186">
        <f>BG12/BF12</f>
        <v>286.05100560528518</v>
      </c>
      <c r="BF12" s="202">
        <v>1</v>
      </c>
      <c r="BG12" s="186">
        <f>'1'!M10</f>
        <v>286.05100560528518</v>
      </c>
      <c r="BH12" s="186">
        <f t="shared" si="12"/>
        <v>22.884080448422814</v>
      </c>
      <c r="BJ12" s="186">
        <f>BL12/BK12</f>
        <v>290.10465466044076</v>
      </c>
      <c r="BK12" s="202">
        <v>1</v>
      </c>
      <c r="BL12" s="186">
        <f>'1'!N10</f>
        <v>290.10465466044076</v>
      </c>
      <c r="BM12" s="186">
        <f t="shared" si="13"/>
        <v>23.20837237283526</v>
      </c>
      <c r="BO12" s="186">
        <f>BQ12/BP12</f>
        <v>284.00377101948914</v>
      </c>
      <c r="BP12" s="202">
        <v>1</v>
      </c>
      <c r="BQ12" s="186">
        <f>'1'!O10</f>
        <v>284.00377101948914</v>
      </c>
      <c r="BR12" s="186">
        <f t="shared" si="14"/>
        <v>22.720301681559132</v>
      </c>
      <c r="BT12" s="186">
        <f>BV12/BU12</f>
        <v>307.24364790542563</v>
      </c>
      <c r="BU12" s="202">
        <v>1</v>
      </c>
      <c r="BV12" s="186">
        <f>'1'!P10</f>
        <v>307.24364790542563</v>
      </c>
      <c r="BW12" s="186">
        <f t="shared" si="15"/>
        <v>24.579491832434051</v>
      </c>
    </row>
    <row r="13" spans="1:75" x14ac:dyDescent="0.35">
      <c r="A13" s="280" t="s">
        <v>592</v>
      </c>
      <c r="B13" s="186">
        <v>24.533353926177544</v>
      </c>
      <c r="C13" s="202">
        <v>1.5</v>
      </c>
      <c r="D13" s="186">
        <v>36.800030889266317</v>
      </c>
      <c r="E13" s="186">
        <v>2.9440024711413053</v>
      </c>
      <c r="F13" s="421"/>
      <c r="G13" s="186">
        <v>66.067108971733447</v>
      </c>
      <c r="H13" s="202">
        <v>1.5</v>
      </c>
      <c r="I13" s="186">
        <v>99.100663457600177</v>
      </c>
      <c r="J13" s="186">
        <v>7.9280530766080144</v>
      </c>
      <c r="L13" s="186">
        <v>81.308250344443863</v>
      </c>
      <c r="M13" s="202">
        <v>1.5</v>
      </c>
      <c r="N13" s="186">
        <v>121.9623755166658</v>
      </c>
      <c r="O13" s="186">
        <v>9.756990041333264</v>
      </c>
      <c r="Q13" s="186">
        <v>87.846020459048532</v>
      </c>
      <c r="R13" s="202">
        <v>1.5</v>
      </c>
      <c r="S13" s="186">
        <v>131.7690306885728</v>
      </c>
      <c r="T13" s="186">
        <v>10.541522455085824</v>
      </c>
      <c r="V13" s="186">
        <f t="shared" si="0"/>
        <v>0</v>
      </c>
      <c r="W13" s="202">
        <v>1.5</v>
      </c>
      <c r="X13" s="154">
        <v>0</v>
      </c>
      <c r="Y13" s="186">
        <f t="shared" si="1"/>
        <v>0</v>
      </c>
      <c r="AA13" s="186">
        <f t="shared" si="2"/>
        <v>0</v>
      </c>
      <c r="AB13" s="202">
        <v>1.5</v>
      </c>
      <c r="AC13" s="154">
        <v>0</v>
      </c>
      <c r="AD13" s="186">
        <f t="shared" si="3"/>
        <v>0</v>
      </c>
      <c r="AF13" s="186">
        <f t="shared" si="4"/>
        <v>0</v>
      </c>
      <c r="AG13" s="202">
        <v>1.5</v>
      </c>
      <c r="AH13" s="154">
        <v>0</v>
      </c>
      <c r="AI13" s="186">
        <f t="shared" si="5"/>
        <v>0</v>
      </c>
      <c r="AK13" s="186">
        <f t="shared" si="16"/>
        <v>0</v>
      </c>
      <c r="AL13" s="202">
        <v>1.5</v>
      </c>
      <c r="AM13" s="154">
        <v>0</v>
      </c>
      <c r="AN13" s="186">
        <f t="shared" si="6"/>
        <v>0</v>
      </c>
      <c r="AP13" s="186">
        <f t="shared" si="7"/>
        <v>0</v>
      </c>
      <c r="AQ13" s="202">
        <v>1.5</v>
      </c>
      <c r="AR13" s="154">
        <v>0</v>
      </c>
      <c r="AS13" s="186">
        <f t="shared" si="8"/>
        <v>0</v>
      </c>
      <c r="AU13" s="186">
        <f t="shared" si="17"/>
        <v>0</v>
      </c>
      <c r="AV13" s="202">
        <v>1.5</v>
      </c>
      <c r="AW13" s="186">
        <v>0</v>
      </c>
      <c r="AX13" s="186">
        <f t="shared" si="10"/>
        <v>0</v>
      </c>
      <c r="AZ13" s="186">
        <f>BB13/BA13</f>
        <v>0</v>
      </c>
      <c r="BA13" s="202">
        <v>1.5</v>
      </c>
      <c r="BB13" s="186">
        <f>'1'!L11</f>
        <v>0</v>
      </c>
      <c r="BC13" s="186">
        <f t="shared" si="11"/>
        <v>0</v>
      </c>
      <c r="BE13" s="186">
        <f>BG13/BF13</f>
        <v>0</v>
      </c>
      <c r="BF13" s="202">
        <v>1.5</v>
      </c>
      <c r="BG13" s="186">
        <f>'1'!M11</f>
        <v>0</v>
      </c>
      <c r="BH13" s="186">
        <f t="shared" si="12"/>
        <v>0</v>
      </c>
      <c r="BJ13" s="186">
        <f>BL13/BK13</f>
        <v>0</v>
      </c>
      <c r="BK13" s="202">
        <v>1.5</v>
      </c>
      <c r="BL13" s="186">
        <f>'1'!N11</f>
        <v>0</v>
      </c>
      <c r="BM13" s="186">
        <f t="shared" si="13"/>
        <v>0</v>
      </c>
      <c r="BO13" s="186">
        <f>BQ13/BP13</f>
        <v>0</v>
      </c>
      <c r="BP13" s="202">
        <v>1.5</v>
      </c>
      <c r="BQ13" s="186">
        <f>'1'!O11</f>
        <v>0</v>
      </c>
      <c r="BR13" s="186">
        <f t="shared" si="14"/>
        <v>0</v>
      </c>
      <c r="BT13" s="186">
        <f>BV13/BU13</f>
        <v>0</v>
      </c>
      <c r="BU13" s="202">
        <v>1.5</v>
      </c>
      <c r="BV13" s="186">
        <f>'1'!P11</f>
        <v>0</v>
      </c>
      <c r="BW13" s="186">
        <f t="shared" si="15"/>
        <v>0</v>
      </c>
    </row>
    <row r="14" spans="1:75" x14ac:dyDescent="0.35">
      <c r="A14" s="280" t="s">
        <v>593</v>
      </c>
      <c r="B14" s="186">
        <v>36.155033840000002</v>
      </c>
      <c r="C14" s="202">
        <v>1</v>
      </c>
      <c r="D14" s="186">
        <v>36.155033840000002</v>
      </c>
      <c r="E14" s="186">
        <v>2.8924027072</v>
      </c>
      <c r="F14" s="421"/>
      <c r="G14" s="186">
        <v>33.366833320000005</v>
      </c>
      <c r="H14" s="202">
        <v>1</v>
      </c>
      <c r="I14" s="186">
        <v>33.366833320000005</v>
      </c>
      <c r="J14" s="186">
        <v>2.6693466656000004</v>
      </c>
      <c r="L14" s="186">
        <v>28.562787629999999</v>
      </c>
      <c r="M14" s="202">
        <v>1</v>
      </c>
      <c r="N14" s="186">
        <v>28.562787629999999</v>
      </c>
      <c r="O14" s="186">
        <v>2.2850230103999998</v>
      </c>
      <c r="Q14" s="186">
        <v>26.359653270000003</v>
      </c>
      <c r="R14" s="202">
        <v>1</v>
      </c>
      <c r="S14" s="186">
        <v>26.359653270000003</v>
      </c>
      <c r="T14" s="186">
        <v>2.1087722616000004</v>
      </c>
      <c r="V14" s="186">
        <f t="shared" si="0"/>
        <v>18.68129678</v>
      </c>
      <c r="W14" s="202">
        <v>1</v>
      </c>
      <c r="X14" s="186">
        <v>18.68129678</v>
      </c>
      <c r="Y14" s="186">
        <f t="shared" si="1"/>
        <v>1.4945037424000001</v>
      </c>
      <c r="AA14" s="186">
        <f t="shared" si="2"/>
        <v>22.1657899</v>
      </c>
      <c r="AB14" s="202">
        <v>1</v>
      </c>
      <c r="AC14" s="186">
        <f>22165.7899/1000</f>
        <v>22.1657899</v>
      </c>
      <c r="AD14" s="186">
        <f t="shared" si="3"/>
        <v>1.7732631919999999</v>
      </c>
      <c r="AF14" s="186">
        <f t="shared" si="4"/>
        <v>31.3</v>
      </c>
      <c r="AG14" s="202">
        <v>1</v>
      </c>
      <c r="AH14" s="186">
        <v>31.3</v>
      </c>
      <c r="AI14" s="186">
        <f t="shared" si="5"/>
        <v>2.504</v>
      </c>
      <c r="AK14" s="186">
        <f t="shared" si="16"/>
        <v>31.3</v>
      </c>
      <c r="AL14" s="202">
        <v>1</v>
      </c>
      <c r="AM14" s="186">
        <f>'1'!H12</f>
        <v>31.3</v>
      </c>
      <c r="AN14" s="186">
        <f t="shared" si="6"/>
        <v>2.504</v>
      </c>
      <c r="AP14" s="186">
        <f t="shared" si="7"/>
        <v>295.90173419000007</v>
      </c>
      <c r="AQ14" s="202">
        <v>1</v>
      </c>
      <c r="AR14" s="186">
        <f>'1'!J12</f>
        <v>295.90173419000007</v>
      </c>
      <c r="AS14" s="186">
        <f t="shared" si="8"/>
        <v>23.672138735200004</v>
      </c>
      <c r="AU14" s="186">
        <f t="shared" si="17"/>
        <v>28.760434369999995</v>
      </c>
      <c r="AV14" s="202">
        <v>1</v>
      </c>
      <c r="AW14" s="186">
        <f>'1'!K12</f>
        <v>28.760434369999995</v>
      </c>
      <c r="AX14" s="186">
        <f t="shared" si="10"/>
        <v>2.3008347495999995</v>
      </c>
      <c r="AZ14" s="186">
        <f>BB14/BA14</f>
        <v>80.283829919999988</v>
      </c>
      <c r="BA14" s="202">
        <v>1</v>
      </c>
      <c r="BB14" s="186">
        <f>'1'!L12</f>
        <v>80.283829919999988</v>
      </c>
      <c r="BC14" s="186">
        <f t="shared" si="11"/>
        <v>6.4227063935999995</v>
      </c>
      <c r="BE14" s="186">
        <f>BG14/BF14</f>
        <v>56.111826700000002</v>
      </c>
      <c r="BF14" s="202">
        <v>1</v>
      </c>
      <c r="BG14" s="186">
        <f>'1'!M12</f>
        <v>56.111826700000002</v>
      </c>
      <c r="BH14" s="186">
        <f t="shared" si="12"/>
        <v>4.488946136</v>
      </c>
      <c r="BJ14" s="186">
        <f>BL14/BK14</f>
        <v>32.750506520000002</v>
      </c>
      <c r="BK14" s="202">
        <v>1</v>
      </c>
      <c r="BL14" s="186">
        <f>'1'!N12</f>
        <v>32.750506520000002</v>
      </c>
      <c r="BM14" s="186">
        <f t="shared" si="13"/>
        <v>2.6200405216</v>
      </c>
      <c r="BO14" s="186">
        <f>BQ14/BP14</f>
        <v>36.933944799999999</v>
      </c>
      <c r="BP14" s="202">
        <v>1</v>
      </c>
      <c r="BQ14" s="186">
        <f>'1'!O12</f>
        <v>36.933944799999999</v>
      </c>
      <c r="BR14" s="186">
        <f t="shared" si="14"/>
        <v>2.9547155840000001</v>
      </c>
      <c r="BT14" s="186">
        <f>BV14/BU14</f>
        <v>28.537252560000002</v>
      </c>
      <c r="BU14" s="202">
        <v>1</v>
      </c>
      <c r="BV14" s="186">
        <f>'1'!P12</f>
        <v>28.537252560000002</v>
      </c>
      <c r="BW14" s="186">
        <f t="shared" si="15"/>
        <v>2.2829802048000003</v>
      </c>
    </row>
    <row r="15" spans="1:75" x14ac:dyDescent="0.35">
      <c r="A15" s="141" t="s">
        <v>528</v>
      </c>
      <c r="B15" s="187"/>
      <c r="C15" s="203"/>
      <c r="D15" s="187"/>
      <c r="E15" s="187"/>
      <c r="F15" s="420"/>
      <c r="G15" s="186"/>
      <c r="H15" s="203"/>
      <c r="I15" s="187"/>
      <c r="J15" s="187"/>
      <c r="L15" s="186"/>
      <c r="M15" s="203"/>
      <c r="N15" s="187"/>
      <c r="O15" s="187"/>
      <c r="Q15" s="186"/>
      <c r="R15" s="203"/>
      <c r="S15" s="187"/>
      <c r="T15" s="187"/>
      <c r="V15" s="186"/>
      <c r="W15" s="203"/>
      <c r="X15" s="187"/>
      <c r="Y15" s="187"/>
      <c r="AA15" s="186"/>
      <c r="AB15" s="203"/>
      <c r="AC15" s="187"/>
      <c r="AD15" s="187"/>
      <c r="AF15" s="186"/>
      <c r="AG15" s="203"/>
      <c r="AH15" s="187"/>
      <c r="AI15" s="187"/>
      <c r="AK15" s="186"/>
      <c r="AL15" s="203"/>
      <c r="AM15" s="187"/>
      <c r="AN15" s="187"/>
      <c r="AP15" s="186"/>
      <c r="AQ15" s="203"/>
      <c r="AR15" s="187"/>
      <c r="AS15" s="187"/>
      <c r="AU15" s="186"/>
      <c r="AV15" s="203"/>
      <c r="AW15" s="187"/>
      <c r="AX15" s="187"/>
      <c r="AZ15" s="186"/>
      <c r="BA15" s="203"/>
      <c r="BB15" s="187"/>
      <c r="BC15" s="187"/>
      <c r="BE15" s="186"/>
      <c r="BF15" s="203"/>
      <c r="BG15" s="187"/>
      <c r="BH15" s="187"/>
      <c r="BJ15" s="186"/>
      <c r="BK15" s="203"/>
      <c r="BL15" s="187"/>
      <c r="BM15" s="187"/>
      <c r="BO15" s="186"/>
      <c r="BP15" s="203"/>
      <c r="BQ15" s="187"/>
      <c r="BR15" s="187"/>
      <c r="BT15" s="186"/>
      <c r="BU15" s="203"/>
      <c r="BV15" s="187"/>
      <c r="BW15" s="187"/>
    </row>
    <row r="16" spans="1:75" x14ac:dyDescent="0.35">
      <c r="A16" s="141" t="s">
        <v>171</v>
      </c>
      <c r="B16" s="187"/>
      <c r="C16" s="203"/>
      <c r="D16" s="187"/>
      <c r="E16" s="187"/>
      <c r="F16" s="420"/>
      <c r="G16" s="186"/>
      <c r="H16" s="203"/>
      <c r="I16" s="187"/>
      <c r="J16" s="187"/>
      <c r="L16" s="186"/>
      <c r="M16" s="203"/>
      <c r="N16" s="187"/>
      <c r="O16" s="187"/>
      <c r="Q16" s="186"/>
      <c r="R16" s="203"/>
      <c r="S16" s="187"/>
      <c r="T16" s="187"/>
      <c r="V16" s="186"/>
      <c r="W16" s="203"/>
      <c r="X16" s="187"/>
      <c r="Y16" s="187"/>
      <c r="AA16" s="186"/>
      <c r="AB16" s="203"/>
      <c r="AC16" s="187"/>
      <c r="AD16" s="187"/>
      <c r="AF16" s="186"/>
      <c r="AG16" s="203"/>
      <c r="AH16" s="187"/>
      <c r="AI16" s="187"/>
      <c r="AK16" s="186"/>
      <c r="AL16" s="203"/>
      <c r="AM16" s="187"/>
      <c r="AN16" s="187"/>
      <c r="AP16" s="186"/>
      <c r="AQ16" s="203"/>
      <c r="AR16" s="187"/>
      <c r="AS16" s="187"/>
      <c r="AU16" s="186"/>
      <c r="AV16" s="203"/>
      <c r="AW16" s="187"/>
      <c r="AX16" s="187"/>
      <c r="AZ16" s="186"/>
      <c r="BA16" s="203"/>
      <c r="BB16" s="187"/>
      <c r="BC16" s="187"/>
      <c r="BE16" s="186"/>
      <c r="BF16" s="203"/>
      <c r="BG16" s="187"/>
      <c r="BH16" s="187"/>
      <c r="BJ16" s="186"/>
      <c r="BK16" s="203"/>
      <c r="BL16" s="187"/>
      <c r="BM16" s="187"/>
      <c r="BO16" s="186"/>
      <c r="BP16" s="203"/>
      <c r="BQ16" s="187"/>
      <c r="BR16" s="187"/>
      <c r="BT16" s="186"/>
      <c r="BU16" s="203"/>
      <c r="BV16" s="187"/>
      <c r="BW16" s="187"/>
    </row>
    <row r="17" spans="1:75" x14ac:dyDescent="0.35">
      <c r="A17" s="141" t="s">
        <v>529</v>
      </c>
      <c r="B17" s="187"/>
      <c r="C17" s="203"/>
      <c r="D17" s="186">
        <v>1822.6166284750002</v>
      </c>
      <c r="E17" s="186">
        <v>145.80933027800003</v>
      </c>
      <c r="F17" s="420"/>
      <c r="G17" s="186"/>
      <c r="H17" s="203"/>
      <c r="I17" s="186">
        <v>1822.6166284750002</v>
      </c>
      <c r="J17" s="186">
        <v>145.80933027800003</v>
      </c>
      <c r="L17" s="186"/>
      <c r="M17" s="203"/>
      <c r="N17" s="186">
        <v>1822.6166284750002</v>
      </c>
      <c r="O17" s="186">
        <v>145.80933027800003</v>
      </c>
      <c r="Q17" s="186"/>
      <c r="R17" s="203"/>
      <c r="S17" s="186">
        <v>1822.6166284750002</v>
      </c>
      <c r="T17" s="186">
        <v>145.80933027800003</v>
      </c>
      <c r="V17" s="186"/>
      <c r="W17" s="203"/>
      <c r="X17" s="186">
        <f>1653660.91614/1000</f>
        <v>1653.6609161400002</v>
      </c>
      <c r="Y17" s="186">
        <f t="shared" ref="Y17" si="18">X17*0.08</f>
        <v>132.29287329120001</v>
      </c>
      <c r="AA17" s="186"/>
      <c r="AB17" s="203"/>
      <c r="AC17" s="186">
        <f>1653660.91614/1000</f>
        <v>1653.6609161400002</v>
      </c>
      <c r="AD17" s="186">
        <f t="shared" ref="AD17" si="19">AC17*0.08</f>
        <v>132.29287329120001</v>
      </c>
      <c r="AF17" s="186"/>
      <c r="AG17" s="203"/>
      <c r="AH17" s="186">
        <f>1653660.91614/1000</f>
        <v>1653.6609161400002</v>
      </c>
      <c r="AI17" s="186">
        <f t="shared" ref="AI17" si="20">AH17*0.08</f>
        <v>132.29287329120001</v>
      </c>
      <c r="AK17" s="186"/>
      <c r="AL17" s="203"/>
      <c r="AM17" s="186">
        <f>1653660.91614/1000</f>
        <v>1653.6609161400002</v>
      </c>
      <c r="AN17" s="186">
        <f t="shared" ref="AN17" si="21">AM17*0.08</f>
        <v>132.29287329120001</v>
      </c>
      <c r="AP17" s="186"/>
      <c r="AQ17" s="203"/>
      <c r="AR17" s="186">
        <f>'1'!J14</f>
        <v>1576.1633099749997</v>
      </c>
      <c r="AS17" s="186">
        <f t="shared" ref="AS17" si="22">AR17*0.08</f>
        <v>126.09306479799999</v>
      </c>
      <c r="AU17" s="186"/>
      <c r="AV17" s="203"/>
      <c r="AW17" s="186">
        <f>AR17</f>
        <v>1576.1633099749997</v>
      </c>
      <c r="AX17" s="186">
        <f t="shared" ref="AX17" si="23">AW17*0.08</f>
        <v>126.09306479799999</v>
      </c>
      <c r="AZ17" s="186"/>
      <c r="BA17" s="203"/>
      <c r="BB17" s="186">
        <f>AW17</f>
        <v>1576.1633099749997</v>
      </c>
      <c r="BC17" s="186">
        <f t="shared" ref="BC17" si="24">BB17*0.08</f>
        <v>126.09306479799999</v>
      </c>
      <c r="BE17" s="186"/>
      <c r="BF17" s="203"/>
      <c r="BG17" s="186">
        <f>BB17</f>
        <v>1576.1633099749997</v>
      </c>
      <c r="BH17" s="186">
        <f t="shared" ref="BH17" si="25">BG17*0.08</f>
        <v>126.09306479799999</v>
      </c>
      <c r="BJ17" s="186"/>
      <c r="BK17" s="203"/>
      <c r="BL17" s="186">
        <f>'1'!N14</f>
        <v>1388.8567539199998</v>
      </c>
      <c r="BM17" s="186">
        <f t="shared" ref="BM17" si="26">BL17*0.08</f>
        <v>111.10854031359999</v>
      </c>
      <c r="BO17" s="186"/>
      <c r="BP17" s="203"/>
      <c r="BQ17" s="186">
        <f>BL17</f>
        <v>1388.8567539199998</v>
      </c>
      <c r="BR17" s="186">
        <f t="shared" ref="BR17" si="27">BQ17*0.08</f>
        <v>111.10854031359999</v>
      </c>
      <c r="BT17" s="186"/>
      <c r="BU17" s="203"/>
      <c r="BV17" s="186">
        <f>BQ17</f>
        <v>1388.8567539199998</v>
      </c>
      <c r="BW17" s="186">
        <f t="shared" ref="BW17" si="28">BV17*0.08</f>
        <v>111.10854031359999</v>
      </c>
    </row>
    <row r="18" spans="1:75" x14ac:dyDescent="0.35">
      <c r="A18" s="141" t="s">
        <v>470</v>
      </c>
      <c r="B18" s="187"/>
      <c r="C18" s="203"/>
      <c r="D18" s="187"/>
      <c r="E18" s="187"/>
      <c r="F18" s="420"/>
      <c r="G18" s="186"/>
      <c r="H18" s="203"/>
      <c r="I18" s="187"/>
      <c r="J18" s="187"/>
      <c r="L18" s="186"/>
      <c r="M18" s="203"/>
      <c r="N18" s="187"/>
      <c r="O18" s="187"/>
      <c r="Q18" s="186"/>
      <c r="R18" s="203"/>
      <c r="S18" s="187"/>
      <c r="T18" s="187"/>
      <c r="V18" s="186"/>
      <c r="W18" s="203"/>
      <c r="X18" s="187"/>
      <c r="Y18" s="187"/>
      <c r="AA18" s="186"/>
      <c r="AB18" s="203"/>
      <c r="AC18" s="187"/>
      <c r="AD18" s="187"/>
      <c r="AF18" s="186"/>
      <c r="AG18" s="203"/>
      <c r="AH18" s="187"/>
      <c r="AI18" s="187"/>
      <c r="AK18" s="186"/>
      <c r="AL18" s="203"/>
      <c r="AM18" s="187"/>
      <c r="AN18" s="187"/>
      <c r="AP18" s="186"/>
      <c r="AQ18" s="203"/>
      <c r="AR18" s="187"/>
      <c r="AS18" s="187"/>
      <c r="AU18" s="186"/>
      <c r="AV18" s="203"/>
      <c r="AW18" s="187"/>
      <c r="AX18" s="187"/>
      <c r="AZ18" s="186"/>
      <c r="BA18" s="203"/>
      <c r="BB18" s="187"/>
      <c r="BC18" s="187"/>
      <c r="BE18" s="186"/>
      <c r="BF18" s="203"/>
      <c r="BG18" s="187"/>
      <c r="BH18" s="187"/>
      <c r="BJ18" s="186"/>
      <c r="BK18" s="203"/>
      <c r="BL18" s="187"/>
      <c r="BM18" s="187"/>
      <c r="BO18" s="186"/>
      <c r="BP18" s="203"/>
      <c r="BQ18" s="187"/>
      <c r="BR18" s="187"/>
      <c r="BT18" s="186"/>
      <c r="BU18" s="203"/>
      <c r="BV18" s="187"/>
      <c r="BW18" s="187"/>
    </row>
    <row r="19" spans="1:75" x14ac:dyDescent="0.35">
      <c r="A19" s="141" t="s">
        <v>714</v>
      </c>
      <c r="B19" s="187">
        <f>SUM(B9:B18)</f>
        <v>9431.6525508423038</v>
      </c>
      <c r="C19" s="203">
        <f>D19/B19</f>
        <v>0.92750040076269247</v>
      </c>
      <c r="D19" s="187">
        <v>8747.8615207607072</v>
      </c>
      <c r="E19" s="187">
        <v>699.82892166085662</v>
      </c>
      <c r="F19" s="420"/>
      <c r="G19" s="187">
        <f>SUM(G9:G18)</f>
        <v>9814.9651858326633</v>
      </c>
      <c r="H19" s="203">
        <f>I19/G19</f>
        <v>0.92490370812059841</v>
      </c>
      <c r="I19" s="187">
        <v>9077.8976954512091</v>
      </c>
      <c r="J19" s="187">
        <v>726.2318156360966</v>
      </c>
      <c r="L19" s="187">
        <f>SUM(L9:L18)</f>
        <v>10200.341615829971</v>
      </c>
      <c r="M19" s="203">
        <f>N19/L19</f>
        <v>0.87500474359230862</v>
      </c>
      <c r="N19" s="187">
        <v>8925.3473001132588</v>
      </c>
      <c r="O19" s="187">
        <v>714.02778400906072</v>
      </c>
      <c r="Q19" s="187">
        <f>SUM(Q9:Q18)</f>
        <v>12595.795636277955</v>
      </c>
      <c r="R19" s="203">
        <f>S19/Q19</f>
        <v>0.57501221044746431</v>
      </c>
      <c r="S19" s="187">
        <f>W23+SUM(S9:S14)</f>
        <v>7242.7362911607115</v>
      </c>
      <c r="T19" s="187">
        <f>T17+SUM(T9:T14)</f>
        <v>725.22823357085701</v>
      </c>
      <c r="V19" s="187">
        <f>SUM(V9:V18)</f>
        <v>11591.466275440202</v>
      </c>
      <c r="W19" s="203">
        <f>X19/V19</f>
        <v>0.75291076665610335</v>
      </c>
      <c r="X19" s="187">
        <f>X17+SUM(X9:X14)</f>
        <v>8727.3397601100496</v>
      </c>
      <c r="Y19" s="186">
        <f t="shared" ref="Y19" si="29">X19*0.08</f>
        <v>698.18718080880399</v>
      </c>
      <c r="AA19" s="187">
        <f>SUM(AA9:AA18)</f>
        <v>11587.485961202532</v>
      </c>
      <c r="AB19" s="203">
        <f>AC19/AA19</f>
        <v>0.72925699052794601</v>
      </c>
      <c r="AC19" s="187">
        <f>AC17+SUM(AC9:AC14)</f>
        <v>8450.2551398513824</v>
      </c>
      <c r="AD19" s="186">
        <f t="shared" ref="AD19" si="30">AC19*0.08</f>
        <v>676.02041118811064</v>
      </c>
      <c r="AF19" s="187">
        <f>SUM(AF9:AF18)</f>
        <v>11578.251075845401</v>
      </c>
      <c r="AG19" s="203">
        <f>AH19/AF19</f>
        <v>0.74785409128956148</v>
      </c>
      <c r="AH19" s="187">
        <f>AH17+SUM(AH9:AH14)</f>
        <v>8658.8424370487501</v>
      </c>
      <c r="AI19" s="186">
        <f t="shared" ref="AI19" si="31">AH19*0.08</f>
        <v>692.70739496390001</v>
      </c>
      <c r="AK19" s="187">
        <f>SUM(AK9:AK18)</f>
        <v>11990.744107319599</v>
      </c>
      <c r="AL19" s="203">
        <f>AM19/AK19</f>
        <v>0.79786662836026812</v>
      </c>
      <c r="AM19" s="187">
        <f>AM17+SUM(AM9:AM14)</f>
        <v>9567.0145724378417</v>
      </c>
      <c r="AN19" s="186">
        <f t="shared" ref="AN19" si="32">AM19*0.08</f>
        <v>765.36116579502732</v>
      </c>
      <c r="AP19" s="187">
        <f>SUM(AP9:AP18)</f>
        <v>9982.9888313057818</v>
      </c>
      <c r="AQ19" s="203">
        <f>AR19/AP19</f>
        <v>0.79450303983215975</v>
      </c>
      <c r="AR19" s="187">
        <f>AR17+SUM(AR9:AR14)</f>
        <v>7931.5149730829435</v>
      </c>
      <c r="AS19" s="186">
        <f t="shared" ref="AS19" si="33">AR19*0.08</f>
        <v>634.52119784663546</v>
      </c>
      <c r="AU19" s="187">
        <f>SUM(AU9:AU18)</f>
        <v>9668.0224763418246</v>
      </c>
      <c r="AV19" s="203">
        <f>AW19/AU19</f>
        <v>0.77424390032288815</v>
      </c>
      <c r="AW19" s="187">
        <f>AW17+SUM(AW9:AW14)</f>
        <v>7485.4074304922415</v>
      </c>
      <c r="AX19" s="186">
        <f t="shared" ref="AX19" si="34">AW19*0.08</f>
        <v>598.83259443937936</v>
      </c>
      <c r="AZ19" s="187">
        <f>SUM(AZ9:AZ18)</f>
        <v>8838.9534550587287</v>
      </c>
      <c r="BA19" s="203">
        <f>BB19/AZ19</f>
        <v>0.82371175838314914</v>
      </c>
      <c r="BB19" s="187">
        <f>BB17+SUM(BB9:BB14)</f>
        <v>7280.7498927332372</v>
      </c>
      <c r="BC19" s="186">
        <f t="shared" ref="BC19" si="35">BB19*0.08</f>
        <v>582.459991418659</v>
      </c>
      <c r="BE19" s="187">
        <f>SUM(BE9:BE18)</f>
        <v>10077.676977704938</v>
      </c>
      <c r="BF19" s="203">
        <f>BG19/BE19</f>
        <v>0.79836624694462344</v>
      </c>
      <c r="BG19" s="187">
        <f>BG17+SUM(BG9:BG14)</f>
        <v>8045.6771466105265</v>
      </c>
      <c r="BH19" s="186">
        <f t="shared" ref="BH19" si="36">BG19*0.08</f>
        <v>643.65417172884213</v>
      </c>
      <c r="BJ19" s="187">
        <f>SUM(BJ9:BJ18)</f>
        <v>11555.141453870785</v>
      </c>
      <c r="BK19" s="203">
        <f>BL19/BJ19</f>
        <v>0.75044671298773935</v>
      </c>
      <c r="BL19" s="187">
        <f>BL17+SUM(BL9:BL14)</f>
        <v>8671.5179221656981</v>
      </c>
      <c r="BM19" s="186">
        <f t="shared" ref="BM19" si="37">BL19*0.08</f>
        <v>693.72143377325585</v>
      </c>
      <c r="BO19" s="187">
        <f>SUM(BO9:BO18)</f>
        <v>12697.074128599155</v>
      </c>
      <c r="BP19" s="203">
        <f>BQ19/BO19</f>
        <v>0.73921858005311725</v>
      </c>
      <c r="BQ19" s="187">
        <f>BQ17+SUM(BQ9:BQ14)</f>
        <v>9385.9131081722389</v>
      </c>
      <c r="BR19" s="186">
        <f t="shared" ref="BR19" si="38">BQ19*0.08</f>
        <v>750.87304865377916</v>
      </c>
      <c r="BT19" s="187">
        <f>SUM(BT9:BT18)</f>
        <v>11988.196009401019</v>
      </c>
      <c r="BU19" s="203">
        <f>BV19/BT19</f>
        <v>0.79765122305114855</v>
      </c>
      <c r="BV19" s="187">
        <f>BV17+SUM(BV9:BV14)</f>
        <v>9562.3992090756219</v>
      </c>
      <c r="BW19" s="186">
        <f t="shared" ref="BW19" si="39">BV19*0.08</f>
        <v>764.99193672604974</v>
      </c>
    </row>
    <row r="20" spans="1:75" ht="17.5" x14ac:dyDescent="0.35">
      <c r="A20" s="136"/>
      <c r="G20" s="133"/>
      <c r="H20" s="133"/>
      <c r="I20" s="133"/>
      <c r="J20" s="133"/>
    </row>
    <row r="21" spans="1:75" ht="17.5" x14ac:dyDescent="0.35">
      <c r="A21" s="136"/>
      <c r="G21" s="133"/>
      <c r="H21" s="133"/>
      <c r="I21" s="133"/>
      <c r="J21" s="133"/>
    </row>
  </sheetData>
  <mergeCells count="15">
    <mergeCell ref="B6:E6"/>
    <mergeCell ref="G6:J6"/>
    <mergeCell ref="L6:O6"/>
    <mergeCell ref="Q6:T6"/>
    <mergeCell ref="V6:Y6"/>
    <mergeCell ref="AU6:AX6"/>
    <mergeCell ref="AP6:AS6"/>
    <mergeCell ref="AK6:AN6"/>
    <mergeCell ref="AF6:AI6"/>
    <mergeCell ref="AA6:AD6"/>
    <mergeCell ref="BT6:BW6"/>
    <mergeCell ref="BO6:BR6"/>
    <mergeCell ref="AZ6:BC6"/>
    <mergeCell ref="BE6:BH6"/>
    <mergeCell ref="BJ6:BM6"/>
  </mergeCells>
  <pageMargins left="0.7" right="0.7" top="0.75" bottom="0.75" header="0.3" footer="0.3"/>
  <pageSetup paperSize="9" orientation="portrait" r:id="rId1"/>
  <ignoredErrors>
    <ignoredError sqref="V11:AA11 AF11 AP11"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76"/>
  <sheetViews>
    <sheetView workbookViewId="0">
      <selection activeCell="B3" sqref="B3"/>
    </sheetView>
  </sheetViews>
  <sheetFormatPr defaultColWidth="11.453125" defaultRowHeight="14.5" x14ac:dyDescent="0.35"/>
  <cols>
    <col min="1" max="1" width="25.81640625" style="154" customWidth="1"/>
    <col min="2" max="2" width="26.1796875" style="154" customWidth="1"/>
    <col min="3" max="3" width="12.453125" style="133" customWidth="1"/>
    <col min="4" max="4" width="12.1796875" style="154" customWidth="1"/>
    <col min="5" max="5" width="11.81640625" style="154" customWidth="1"/>
    <col min="6" max="6" width="12" style="154" customWidth="1"/>
    <col min="7" max="251" width="9.1796875" style="154" customWidth="1"/>
    <col min="252" max="16384" width="11.453125" style="154"/>
  </cols>
  <sheetData>
    <row r="1" spans="1:12" x14ac:dyDescent="0.35">
      <c r="A1" s="133"/>
    </row>
    <row r="2" spans="1:12" s="210" customFormat="1" ht="6" customHeight="1" x14ac:dyDescent="0.35"/>
    <row r="3" spans="1:12" ht="17.5" x14ac:dyDescent="0.35">
      <c r="A3" s="136" t="s">
        <v>470</v>
      </c>
      <c r="B3" s="429">
        <v>44926</v>
      </c>
    </row>
    <row r="4" spans="1:12" s="212" customFormat="1" ht="14" x14ac:dyDescent="0.3">
      <c r="A4" s="211"/>
      <c r="C4" s="133"/>
    </row>
    <row r="5" spans="1:12" s="214" customFormat="1" ht="13" x14ac:dyDescent="0.3">
      <c r="A5" s="213" t="s">
        <v>471</v>
      </c>
      <c r="C5" s="215"/>
    </row>
    <row r="6" spans="1:12" s="214" customFormat="1" ht="13" x14ac:dyDescent="0.3">
      <c r="A6" s="258" t="s">
        <v>522</v>
      </c>
      <c r="C6" s="215"/>
    </row>
    <row r="7" spans="1:12" s="214" customFormat="1" ht="13" x14ac:dyDescent="0.3">
      <c r="A7" s="258" t="s">
        <v>523</v>
      </c>
      <c r="C7" s="215"/>
    </row>
    <row r="8" spans="1:12" s="214" customFormat="1" ht="13" x14ac:dyDescent="0.3">
      <c r="A8" s="258" t="s">
        <v>524</v>
      </c>
      <c r="C8" s="215"/>
    </row>
    <row r="9" spans="1:12" s="214" customFormat="1" ht="10" x14ac:dyDescent="0.2">
      <c r="A9" s="216"/>
      <c r="B9" s="217"/>
      <c r="C9" s="217"/>
      <c r="D9" s="217"/>
      <c r="E9" s="217"/>
      <c r="F9" s="217"/>
      <c r="G9" s="217"/>
      <c r="H9" s="217"/>
      <c r="I9" s="217"/>
      <c r="J9" s="217"/>
      <c r="K9" s="217"/>
    </row>
    <row r="10" spans="1:12" ht="15" customHeight="1" x14ac:dyDescent="0.35">
      <c r="A10" s="283" t="s">
        <v>472</v>
      </c>
      <c r="B10" s="283"/>
      <c r="C10" s="290"/>
      <c r="D10" s="286"/>
      <c r="E10" s="286"/>
      <c r="F10" s="205"/>
      <c r="G10" s="205"/>
      <c r="H10" s="205"/>
      <c r="I10" s="205"/>
      <c r="J10" s="205"/>
      <c r="K10" s="205"/>
      <c r="L10" s="205"/>
    </row>
    <row r="11" spans="1:12" x14ac:dyDescent="0.35">
      <c r="A11" s="284" t="s">
        <v>22</v>
      </c>
      <c r="B11" s="285"/>
      <c r="C11" s="291">
        <f>B3</f>
        <v>44926</v>
      </c>
      <c r="D11" s="287"/>
      <c r="E11" s="287"/>
      <c r="F11" s="205"/>
      <c r="G11" s="205"/>
      <c r="H11" s="205"/>
      <c r="I11" s="205"/>
      <c r="J11" s="205"/>
      <c r="K11" s="205"/>
      <c r="L11" s="205"/>
    </row>
    <row r="12" spans="1:12" x14ac:dyDescent="0.35">
      <c r="A12" s="446" t="s">
        <v>473</v>
      </c>
      <c r="B12" s="447"/>
      <c r="C12" s="218">
        <f>9110.7+807.8</f>
        <v>9918.5</v>
      </c>
      <c r="D12" s="288"/>
      <c r="E12" s="288"/>
      <c r="F12" s="205"/>
      <c r="G12" s="205"/>
      <c r="H12" s="205"/>
      <c r="I12" s="205"/>
      <c r="J12" s="205"/>
      <c r="K12" s="205"/>
      <c r="L12" s="205"/>
    </row>
    <row r="13" spans="1:12" x14ac:dyDescent="0.35">
      <c r="A13" s="446" t="s">
        <v>474</v>
      </c>
      <c r="B13" s="447"/>
      <c r="C13" s="218">
        <f>1453.5</f>
        <v>1453.5</v>
      </c>
      <c r="D13" s="288"/>
      <c r="E13" s="288"/>
      <c r="F13" s="205"/>
      <c r="G13" s="205"/>
      <c r="H13" s="205"/>
      <c r="I13" s="205"/>
      <c r="J13" s="205"/>
      <c r="K13" s="205"/>
      <c r="L13" s="205"/>
    </row>
    <row r="14" spans="1:12" x14ac:dyDescent="0.35">
      <c r="A14" s="425" t="s">
        <v>698</v>
      </c>
      <c r="B14" s="426"/>
      <c r="C14" s="218">
        <v>20.7</v>
      </c>
      <c r="D14" s="288"/>
      <c r="E14" s="288"/>
      <c r="F14" s="205"/>
      <c r="G14" s="205"/>
      <c r="H14" s="205"/>
      <c r="I14" s="205"/>
      <c r="J14" s="205"/>
      <c r="K14" s="205"/>
      <c r="L14" s="205"/>
    </row>
    <row r="15" spans="1:12" s="209" customFormat="1" x14ac:dyDescent="0.35">
      <c r="A15" s="444" t="s">
        <v>475</v>
      </c>
      <c r="B15" s="445"/>
      <c r="C15" s="219">
        <f>C12+C13+C14</f>
        <v>11392.7</v>
      </c>
      <c r="D15" s="289"/>
      <c r="E15" s="289"/>
      <c r="F15" s="220"/>
      <c r="G15" s="220"/>
      <c r="H15" s="220"/>
      <c r="I15" s="220"/>
      <c r="J15" s="220"/>
      <c r="K15" s="220"/>
      <c r="L15" s="220"/>
    </row>
    <row r="16" spans="1:12" x14ac:dyDescent="0.35">
      <c r="A16" s="446" t="s">
        <v>476</v>
      </c>
      <c r="B16" s="447"/>
      <c r="C16" s="218">
        <f>9347.6+78.3</f>
        <v>9425.9</v>
      </c>
      <c r="D16" s="288"/>
      <c r="E16" s="288"/>
      <c r="F16" s="205"/>
      <c r="G16" s="205"/>
      <c r="H16" s="205"/>
      <c r="I16" s="205"/>
      <c r="J16" s="205"/>
      <c r="K16" s="205"/>
      <c r="L16" s="205"/>
    </row>
    <row r="17" spans="1:12" x14ac:dyDescent="0.35">
      <c r="A17" s="446" t="s">
        <v>474</v>
      </c>
      <c r="B17" s="447"/>
      <c r="C17" s="218">
        <v>65</v>
      </c>
      <c r="D17" s="288"/>
      <c r="E17" s="288"/>
      <c r="F17" s="205"/>
      <c r="G17" s="205"/>
      <c r="H17" s="205"/>
      <c r="I17" s="205"/>
      <c r="J17" s="205"/>
      <c r="K17" s="205"/>
      <c r="L17" s="205"/>
    </row>
    <row r="18" spans="1:12" s="209" customFormat="1" x14ac:dyDescent="0.35">
      <c r="A18" s="444" t="s">
        <v>477</v>
      </c>
      <c r="B18" s="445"/>
      <c r="C18" s="219">
        <f>C16+C17</f>
        <v>9490.9</v>
      </c>
      <c r="D18" s="289"/>
      <c r="E18" s="289"/>
      <c r="F18" s="220"/>
      <c r="G18" s="220"/>
      <c r="H18" s="220"/>
      <c r="I18" s="220"/>
      <c r="J18" s="220"/>
      <c r="K18" s="220"/>
      <c r="L18" s="220"/>
    </row>
    <row r="19" spans="1:12" s="209" customFormat="1" x14ac:dyDescent="0.35">
      <c r="A19" s="444" t="s">
        <v>694</v>
      </c>
      <c r="B19" s="445"/>
      <c r="C19" s="219">
        <f>C15-C18</f>
        <v>1901.8000000000011</v>
      </c>
      <c r="D19" s="289"/>
      <c r="E19" s="289"/>
      <c r="F19" s="220"/>
      <c r="G19" s="220"/>
      <c r="H19" s="220"/>
      <c r="I19" s="220"/>
      <c r="J19" s="220"/>
      <c r="K19" s="220"/>
      <c r="L19" s="220"/>
    </row>
    <row r="20" spans="1:12" s="209" customFormat="1" x14ac:dyDescent="0.35">
      <c r="A20" s="256"/>
      <c r="B20" s="256"/>
      <c r="C20" s="257"/>
      <c r="D20" s="257"/>
      <c r="E20" s="257"/>
      <c r="F20" s="220"/>
      <c r="G20" s="220"/>
      <c r="H20" s="220"/>
      <c r="I20" s="220"/>
      <c r="J20" s="220"/>
      <c r="K20" s="220"/>
      <c r="L20" s="220"/>
    </row>
    <row r="21" spans="1:12" x14ac:dyDescent="0.35">
      <c r="A21" s="221"/>
      <c r="B21" s="205"/>
      <c r="C21" s="206"/>
      <c r="D21" s="205"/>
      <c r="E21" s="205"/>
      <c r="F21" s="205"/>
      <c r="G21" s="205"/>
      <c r="H21" s="205"/>
      <c r="I21" s="205"/>
      <c r="J21" s="205"/>
      <c r="K21" s="205"/>
    </row>
    <row r="22" spans="1:12" ht="15" customHeight="1" x14ac:dyDescent="0.35">
      <c r="A22" s="448" t="s">
        <v>478</v>
      </c>
      <c r="B22" s="448"/>
      <c r="C22" s="448"/>
      <c r="D22" s="448"/>
      <c r="E22" s="448"/>
      <c r="F22" s="448"/>
      <c r="G22" s="448"/>
      <c r="H22" s="448"/>
      <c r="I22" s="205"/>
      <c r="J22" s="205"/>
      <c r="K22" s="205"/>
    </row>
    <row r="23" spans="1:12" ht="20" x14ac:dyDescent="0.35">
      <c r="A23" s="259" t="s">
        <v>22</v>
      </c>
      <c r="B23" s="271"/>
      <c r="C23" s="272" t="s">
        <v>479</v>
      </c>
      <c r="D23" s="272" t="s">
        <v>480</v>
      </c>
      <c r="E23" s="272" t="s">
        <v>595</v>
      </c>
      <c r="F23" s="272" t="s">
        <v>596</v>
      </c>
      <c r="G23" s="272" t="s">
        <v>481</v>
      </c>
      <c r="H23" s="271" t="s">
        <v>30</v>
      </c>
      <c r="I23" s="205"/>
      <c r="J23" s="205"/>
      <c r="K23" s="205"/>
    </row>
    <row r="24" spans="1:12" x14ac:dyDescent="0.35">
      <c r="A24" s="446" t="s">
        <v>695</v>
      </c>
      <c r="B24" s="447"/>
      <c r="C24" s="218">
        <f>14.4</f>
        <v>14.4</v>
      </c>
      <c r="D24" s="204"/>
      <c r="E24" s="204"/>
      <c r="F24" s="204"/>
      <c r="G24" s="204"/>
      <c r="H24" s="218">
        <f>C24</f>
        <v>14.4</v>
      </c>
      <c r="I24" s="205"/>
      <c r="J24" s="205"/>
      <c r="K24" s="205"/>
    </row>
    <row r="25" spans="1:12" x14ac:dyDescent="0.35">
      <c r="A25" s="221"/>
      <c r="B25" s="205"/>
      <c r="C25" s="206"/>
      <c r="D25" s="205"/>
      <c r="E25" s="205"/>
      <c r="F25" s="205"/>
      <c r="G25" s="205"/>
      <c r="H25" s="205"/>
      <c r="I25" s="205"/>
      <c r="J25" s="205"/>
      <c r="K25" s="205"/>
    </row>
    <row r="26" spans="1:12" x14ac:dyDescent="0.35">
      <c r="A26" s="221"/>
      <c r="B26" s="205"/>
      <c r="C26" s="206"/>
      <c r="D26" s="205"/>
      <c r="E26" s="205"/>
      <c r="F26" s="205"/>
      <c r="G26" s="292"/>
      <c r="H26" s="292"/>
      <c r="I26" s="292"/>
      <c r="J26" s="292"/>
      <c r="K26" s="292"/>
    </row>
    <row r="27" spans="1:12" x14ac:dyDescent="0.35">
      <c r="A27" s="213" t="s">
        <v>482</v>
      </c>
      <c r="B27" s="217"/>
      <c r="C27" s="217"/>
      <c r="D27" s="217"/>
      <c r="E27" s="217"/>
      <c r="F27" s="217"/>
      <c r="G27" s="293"/>
      <c r="H27" s="292"/>
      <c r="I27" s="292"/>
      <c r="J27" s="292"/>
      <c r="K27" s="292"/>
    </row>
    <row r="28" spans="1:12" x14ac:dyDescent="0.35">
      <c r="A28" s="216"/>
      <c r="B28" s="217"/>
      <c r="C28" s="217"/>
      <c r="D28" s="217"/>
      <c r="E28" s="217"/>
      <c r="F28" s="217"/>
      <c r="G28" s="293"/>
      <c r="H28" s="292"/>
      <c r="I28" s="292"/>
      <c r="J28" s="292"/>
      <c r="K28" s="292"/>
    </row>
    <row r="29" spans="1:12" x14ac:dyDescent="0.35">
      <c r="A29" s="273" t="s">
        <v>483</v>
      </c>
      <c r="B29" s="273"/>
      <c r="C29" s="273"/>
      <c r="D29" s="273"/>
      <c r="E29" s="273"/>
      <c r="F29" s="273"/>
      <c r="G29" s="294"/>
      <c r="H29" s="294"/>
      <c r="I29" s="294"/>
      <c r="J29" s="294">
        <v>1000</v>
      </c>
      <c r="K29" s="292"/>
    </row>
    <row r="30" spans="1:12" x14ac:dyDescent="0.35">
      <c r="A30" s="259" t="s">
        <v>484</v>
      </c>
      <c r="B30" s="271"/>
      <c r="C30" s="271" t="s">
        <v>485</v>
      </c>
      <c r="D30" s="271" t="s">
        <v>486</v>
      </c>
      <c r="E30" s="271" t="s">
        <v>487</v>
      </c>
      <c r="F30" s="271" t="s">
        <v>696</v>
      </c>
      <c r="G30" s="292"/>
      <c r="H30" s="3"/>
      <c r="I30" s="3"/>
      <c r="J30" s="3"/>
      <c r="K30" s="3"/>
    </row>
    <row r="31" spans="1:12" x14ac:dyDescent="0.35">
      <c r="A31" s="446" t="s">
        <v>483</v>
      </c>
      <c r="B31" s="447"/>
      <c r="C31" s="218">
        <v>0.74380776999999998</v>
      </c>
      <c r="D31" s="218">
        <v>-11.17107463</v>
      </c>
      <c r="E31" s="218"/>
      <c r="F31" s="218">
        <f>D31+C31</f>
        <v>-10.42726686</v>
      </c>
      <c r="G31" s="292"/>
      <c r="H31" s="3"/>
      <c r="I31" s="3"/>
      <c r="J31" s="3"/>
      <c r="K31" s="3"/>
    </row>
    <row r="32" spans="1:12" s="222" customFormat="1" x14ac:dyDescent="0.35">
      <c r="A32" s="449" t="s">
        <v>488</v>
      </c>
      <c r="B32" s="450"/>
      <c r="C32" s="430">
        <f>C31*10.5138*1.05-C31*10.5138</f>
        <v>0.39101230661129982</v>
      </c>
      <c r="D32" s="430">
        <f>D31*94.53/100*1.05-D31*94.53/100</f>
        <v>-0.52800084238695</v>
      </c>
      <c r="E32" s="430"/>
      <c r="F32" s="218">
        <f>D32+C32</f>
        <v>-0.13698853577565018</v>
      </c>
      <c r="G32" s="295"/>
      <c r="H32" s="296"/>
      <c r="I32" s="296"/>
      <c r="J32" s="296"/>
      <c r="K32" s="296"/>
    </row>
    <row r="33" spans="1:11" x14ac:dyDescent="0.35">
      <c r="A33" s="226"/>
      <c r="B33" s="226"/>
      <c r="C33" s="227"/>
      <c r="D33" s="228"/>
      <c r="E33" s="228"/>
      <c r="F33" s="205"/>
      <c r="G33" s="205"/>
      <c r="H33" s="205"/>
      <c r="I33" s="205"/>
      <c r="J33" s="205"/>
      <c r="K33" s="205"/>
    </row>
    <row r="34" spans="1:11" x14ac:dyDescent="0.35">
      <c r="A34" s="213" t="s">
        <v>521</v>
      </c>
      <c r="B34" s="226"/>
      <c r="C34" s="227"/>
      <c r="D34" s="228"/>
      <c r="E34" s="228"/>
      <c r="F34" s="205"/>
      <c r="G34" s="205"/>
      <c r="H34" s="205"/>
      <c r="I34" s="205"/>
      <c r="J34" s="205"/>
      <c r="K34" s="205"/>
    </row>
    <row r="35" spans="1:11" x14ac:dyDescent="0.35">
      <c r="A35" s="221"/>
      <c r="B35" s="205"/>
      <c r="C35" s="206"/>
      <c r="D35" s="205"/>
      <c r="E35" s="205"/>
      <c r="F35" s="205"/>
      <c r="G35" s="205"/>
      <c r="H35" s="205"/>
      <c r="I35" s="205"/>
      <c r="J35" s="205"/>
      <c r="K35" s="205"/>
    </row>
    <row r="36" spans="1:11" ht="15" customHeight="1" x14ac:dyDescent="0.35">
      <c r="A36" s="448" t="s">
        <v>693</v>
      </c>
      <c r="B36" s="448"/>
      <c r="C36" s="448"/>
      <c r="D36" s="448"/>
      <c r="E36" s="448"/>
      <c r="F36" s="448"/>
      <c r="G36" s="205"/>
      <c r="H36" s="205"/>
      <c r="I36" s="205"/>
      <c r="J36" s="205"/>
      <c r="K36" s="205"/>
    </row>
    <row r="37" spans="1:11" x14ac:dyDescent="0.35">
      <c r="A37" s="259" t="s">
        <v>22</v>
      </c>
      <c r="B37" s="269"/>
      <c r="C37" s="269" t="s">
        <v>490</v>
      </c>
      <c r="D37" s="269" t="s">
        <v>489</v>
      </c>
      <c r="E37" s="269" t="s">
        <v>491</v>
      </c>
      <c r="F37" s="269" t="s">
        <v>492</v>
      </c>
      <c r="G37" s="205"/>
      <c r="H37" s="205"/>
      <c r="I37" s="205"/>
      <c r="J37" s="205"/>
      <c r="K37" s="205"/>
    </row>
    <row r="38" spans="1:11" ht="15" customHeight="1" x14ac:dyDescent="0.35">
      <c r="A38" s="208" t="s">
        <v>469</v>
      </c>
      <c r="B38" s="223"/>
      <c r="C38" s="218">
        <f>('[3]Ny modell desember 22'!$Q$12+'[3]Ny modell desember 22'!$Q$16)/1000000</f>
        <v>0.38590996176273401</v>
      </c>
      <c r="D38" s="218">
        <f>('[3]Ny modell desember 22'!$I$16+'[3]Ny modell desember 22'!$I$12)/1000000</f>
        <v>47.094328700000005</v>
      </c>
      <c r="E38" s="218">
        <f>('[3]Ny modell desember 22'!$J$12+'[3]Ny modell desember 22'!$J$16)/1000000</f>
        <v>43.258370200000002</v>
      </c>
      <c r="F38" s="431">
        <f>E38/$E$41</f>
        <v>2.9760557297916677E-2</v>
      </c>
      <c r="G38" s="205"/>
      <c r="H38" s="205"/>
      <c r="I38" s="205"/>
      <c r="J38" s="205"/>
      <c r="K38" s="205"/>
    </row>
    <row r="39" spans="1:11" ht="15" customHeight="1" x14ac:dyDescent="0.35">
      <c r="A39" s="425" t="s">
        <v>697</v>
      </c>
      <c r="B39" s="223"/>
      <c r="C39" s="218">
        <f>'[3]Ny modell desember 22'!$Q$9/1000000</f>
        <v>3.055718548008</v>
      </c>
      <c r="D39" s="218">
        <f>'[3]Ny modell desember 22'!$I$9/1000000</f>
        <v>300</v>
      </c>
      <c r="E39" s="218">
        <f>'[3]Ny modell desember 22'!$J$9/1000000</f>
        <v>303.14668135000005</v>
      </c>
      <c r="F39" s="431">
        <f t="shared" ref="F39:F40" si="0">E39/$E$41</f>
        <v>0.20855649758136205</v>
      </c>
      <c r="G39" s="205"/>
      <c r="H39" s="205"/>
      <c r="I39" s="205"/>
      <c r="J39" s="205"/>
      <c r="K39" s="205"/>
    </row>
    <row r="40" spans="1:11" x14ac:dyDescent="0.35">
      <c r="A40" s="229" t="s">
        <v>493</v>
      </c>
      <c r="B40" s="223"/>
      <c r="C40" s="218">
        <v>0</v>
      </c>
      <c r="D40" s="218">
        <f>('[3]Ny modell desember 22'!$I$17+'[3]Ny modell desember 22'!$I$15+'[3]Ny modell desember 22'!$I$14+'[3]Ny modell desember 22'!$I$13+'[3]Ny modell desember 22'!$I$11+'[3]Ny modell desember 22'!$I$8+'[3]Ny modell desember 22'!$I$6)/1000000</f>
        <v>1114.419840727342</v>
      </c>
      <c r="E40" s="218">
        <f>('[3]Ny modell desember 22'!$J$17+'[3]Ny modell desember 22'!$J$15+'[3]Ny modell desember 22'!$J$14+'[3]Ny modell desember 22'!$J$13+'[3]Ny modell desember 22'!$J$11+'[3]Ny modell desember 22'!$J$8+'[3]Ny modell desember 22'!$J$6)/1000000</f>
        <v>1107.1419962073419</v>
      </c>
      <c r="F40" s="431">
        <f t="shared" si="0"/>
        <v>0.76168294512072121</v>
      </c>
      <c r="G40" s="205"/>
      <c r="H40" s="205"/>
      <c r="I40" s="205"/>
      <c r="J40" s="205"/>
      <c r="K40" s="205"/>
    </row>
    <row r="41" spans="1:11" x14ac:dyDescent="0.35">
      <c r="A41" s="224" t="s">
        <v>494</v>
      </c>
      <c r="B41" s="225"/>
      <c r="C41" s="219">
        <f>SUM(C38:C40)</f>
        <v>3.4416285097707342</v>
      </c>
      <c r="D41" s="219">
        <f>SUM(D38:D40)</f>
        <v>1461.514169427342</v>
      </c>
      <c r="E41" s="219">
        <f>SUM(E38:E40)</f>
        <v>1453.5470477573419</v>
      </c>
      <c r="F41" s="432">
        <v>1</v>
      </c>
      <c r="G41" s="205"/>
      <c r="H41" s="205"/>
      <c r="I41" s="205"/>
      <c r="J41" s="205"/>
      <c r="K41" s="205"/>
    </row>
    <row r="42" spans="1:11" x14ac:dyDescent="0.35">
      <c r="A42" s="205"/>
      <c r="B42" s="205"/>
      <c r="C42" s="206"/>
      <c r="D42" s="205"/>
      <c r="E42" s="205"/>
      <c r="F42" s="205"/>
      <c r="G42" s="205"/>
      <c r="H42" s="205"/>
      <c r="I42" s="205"/>
      <c r="J42" s="205"/>
      <c r="K42" s="205"/>
    </row>
    <row r="43" spans="1:11" x14ac:dyDescent="0.35">
      <c r="A43" s="205"/>
      <c r="B43" s="205"/>
      <c r="C43" s="206"/>
      <c r="D43" s="205"/>
      <c r="E43" s="205"/>
      <c r="F43" s="205"/>
      <c r="G43" s="205"/>
      <c r="H43" s="205"/>
      <c r="I43" s="205"/>
      <c r="J43" s="205"/>
      <c r="K43" s="205"/>
    </row>
    <row r="44" spans="1:11" x14ac:dyDescent="0.35">
      <c r="A44" s="205"/>
      <c r="B44" s="205"/>
      <c r="C44" s="206"/>
      <c r="D44" s="205"/>
      <c r="E44" s="205"/>
      <c r="F44" s="205"/>
      <c r="G44" s="205"/>
      <c r="H44" s="205"/>
      <c r="I44" s="205"/>
      <c r="J44" s="205"/>
      <c r="K44" s="205"/>
    </row>
    <row r="45" spans="1:11" x14ac:dyDescent="0.35">
      <c r="A45" s="205"/>
      <c r="B45" s="205"/>
      <c r="C45" s="206"/>
      <c r="D45" s="205"/>
      <c r="E45" s="205"/>
      <c r="F45" s="205"/>
      <c r="G45" s="205"/>
      <c r="H45" s="205"/>
      <c r="I45" s="205"/>
      <c r="J45" s="205"/>
      <c r="K45" s="205"/>
    </row>
    <row r="46" spans="1:11" x14ac:dyDescent="0.35">
      <c r="A46" s="205"/>
      <c r="B46" s="205"/>
      <c r="C46" s="206"/>
      <c r="D46" s="205"/>
      <c r="E46" s="205"/>
      <c r="F46" s="205"/>
      <c r="G46" s="205"/>
      <c r="H46" s="205"/>
      <c r="I46" s="205"/>
      <c r="J46" s="205"/>
      <c r="K46" s="205"/>
    </row>
    <row r="47" spans="1:11" x14ac:dyDescent="0.35">
      <c r="A47" s="205"/>
      <c r="B47" s="205"/>
      <c r="C47" s="206"/>
      <c r="D47" s="205"/>
      <c r="E47" s="205"/>
      <c r="F47" s="205"/>
      <c r="G47" s="205"/>
      <c r="H47" s="205"/>
      <c r="I47" s="205"/>
      <c r="J47" s="205"/>
      <c r="K47" s="205"/>
    </row>
    <row r="48" spans="1:11" x14ac:dyDescent="0.35">
      <c r="A48" s="205"/>
      <c r="B48" s="205"/>
      <c r="C48" s="206"/>
      <c r="D48" s="205"/>
      <c r="E48" s="205"/>
      <c r="F48" s="205"/>
      <c r="G48" s="205"/>
      <c r="H48" s="205"/>
      <c r="I48" s="205"/>
      <c r="J48" s="205"/>
      <c r="K48" s="205"/>
    </row>
    <row r="49" spans="1:11" x14ac:dyDescent="0.35">
      <c r="A49" s="205"/>
      <c r="B49" s="205"/>
      <c r="C49" s="206"/>
      <c r="D49" s="205"/>
      <c r="E49" s="205"/>
      <c r="F49" s="205"/>
      <c r="G49" s="205"/>
      <c r="H49" s="205"/>
      <c r="I49" s="205"/>
      <c r="J49" s="205"/>
      <c r="K49" s="205"/>
    </row>
    <row r="50" spans="1:11" x14ac:dyDescent="0.35">
      <c r="A50" s="205"/>
      <c r="B50" s="205"/>
      <c r="C50" s="206"/>
      <c r="D50" s="205"/>
      <c r="E50" s="205"/>
      <c r="F50" s="205"/>
      <c r="G50" s="205"/>
      <c r="H50" s="205"/>
      <c r="I50" s="205"/>
      <c r="J50" s="205"/>
      <c r="K50" s="205"/>
    </row>
    <row r="51" spans="1:11" x14ac:dyDescent="0.35">
      <c r="A51" s="205"/>
      <c r="B51" s="205"/>
      <c r="C51" s="206"/>
      <c r="D51" s="205"/>
      <c r="E51" s="205"/>
      <c r="F51" s="205"/>
      <c r="G51" s="205"/>
      <c r="H51" s="205"/>
      <c r="I51" s="205"/>
      <c r="J51" s="205"/>
      <c r="K51" s="205"/>
    </row>
    <row r="52" spans="1:11" x14ac:dyDescent="0.35">
      <c r="A52" s="205"/>
      <c r="B52" s="205"/>
      <c r="C52" s="206"/>
      <c r="D52" s="205"/>
      <c r="E52" s="205"/>
      <c r="F52" s="205"/>
      <c r="G52" s="205"/>
      <c r="H52" s="205"/>
      <c r="I52" s="205"/>
      <c r="J52" s="205"/>
      <c r="K52" s="205"/>
    </row>
    <row r="53" spans="1:11" x14ac:dyDescent="0.35">
      <c r="A53" s="205"/>
      <c r="B53" s="205"/>
      <c r="C53" s="206"/>
      <c r="D53" s="205"/>
      <c r="E53" s="205"/>
      <c r="F53" s="205"/>
      <c r="G53" s="205"/>
      <c r="H53" s="205"/>
      <c r="I53" s="205"/>
      <c r="J53" s="205"/>
      <c r="K53" s="205"/>
    </row>
    <row r="54" spans="1:11" x14ac:dyDescent="0.35">
      <c r="A54" s="205"/>
      <c r="B54" s="205"/>
      <c r="C54" s="206"/>
      <c r="D54" s="205"/>
      <c r="E54" s="205"/>
      <c r="F54" s="205"/>
      <c r="G54" s="205"/>
      <c r="H54" s="205"/>
      <c r="I54" s="205"/>
      <c r="J54" s="205"/>
      <c r="K54" s="205"/>
    </row>
    <row r="55" spans="1:11" x14ac:dyDescent="0.35">
      <c r="A55" s="205"/>
      <c r="B55" s="205"/>
      <c r="C55" s="206"/>
      <c r="D55" s="205"/>
      <c r="E55" s="205"/>
      <c r="F55" s="205"/>
      <c r="G55" s="205"/>
      <c r="H55" s="205"/>
      <c r="I55" s="205"/>
      <c r="J55" s="205"/>
      <c r="K55" s="205"/>
    </row>
    <row r="56" spans="1:11" x14ac:dyDescent="0.35">
      <c r="A56" s="205"/>
      <c r="B56" s="205"/>
      <c r="C56" s="206"/>
      <c r="D56" s="205"/>
      <c r="E56" s="205"/>
      <c r="F56" s="205"/>
      <c r="G56" s="205"/>
      <c r="H56" s="205"/>
      <c r="I56" s="205"/>
      <c r="J56" s="205"/>
      <c r="K56" s="205"/>
    </row>
    <row r="57" spans="1:11" x14ac:dyDescent="0.35">
      <c r="A57" s="205"/>
      <c r="B57" s="205"/>
      <c r="C57" s="206"/>
      <c r="D57" s="205"/>
      <c r="E57" s="205"/>
      <c r="F57" s="205"/>
      <c r="G57" s="205"/>
      <c r="H57" s="205"/>
      <c r="I57" s="205"/>
      <c r="J57" s="205"/>
      <c r="K57" s="205"/>
    </row>
    <row r="58" spans="1:11" x14ac:dyDescent="0.35">
      <c r="A58" s="205"/>
      <c r="B58" s="205"/>
      <c r="C58" s="206"/>
      <c r="D58" s="205"/>
      <c r="E58" s="205"/>
      <c r="F58" s="205"/>
      <c r="G58" s="205"/>
      <c r="H58" s="205"/>
      <c r="I58" s="205"/>
      <c r="J58" s="205"/>
      <c r="K58" s="205"/>
    </row>
    <row r="59" spans="1:11" x14ac:dyDescent="0.35">
      <c r="A59" s="205"/>
      <c r="B59" s="205"/>
      <c r="C59" s="206"/>
      <c r="D59" s="205"/>
      <c r="E59" s="205"/>
      <c r="F59" s="205"/>
      <c r="G59" s="205"/>
      <c r="H59" s="205"/>
      <c r="I59" s="205"/>
      <c r="J59" s="205"/>
      <c r="K59" s="205"/>
    </row>
    <row r="60" spans="1:11" x14ac:dyDescent="0.35">
      <c r="A60" s="205"/>
      <c r="B60" s="205"/>
      <c r="C60" s="206"/>
      <c r="D60" s="205"/>
      <c r="E60" s="205"/>
      <c r="F60" s="205"/>
      <c r="G60" s="205"/>
      <c r="H60" s="205"/>
      <c r="I60" s="205"/>
      <c r="J60" s="205"/>
      <c r="K60" s="205"/>
    </row>
    <row r="61" spans="1:11" x14ac:dyDescent="0.35">
      <c r="A61" s="205"/>
      <c r="B61" s="205"/>
      <c r="C61" s="206"/>
      <c r="D61" s="205"/>
      <c r="E61" s="205"/>
      <c r="F61" s="205"/>
      <c r="G61" s="205"/>
      <c r="H61" s="205"/>
      <c r="I61" s="205"/>
      <c r="J61" s="205"/>
      <c r="K61" s="205"/>
    </row>
    <row r="62" spans="1:11" x14ac:dyDescent="0.35">
      <c r="A62" s="205"/>
      <c r="B62" s="205"/>
      <c r="C62" s="206"/>
      <c r="D62" s="205"/>
      <c r="E62" s="205"/>
      <c r="F62" s="205"/>
      <c r="G62" s="205"/>
      <c r="H62" s="205"/>
      <c r="I62" s="205"/>
      <c r="J62" s="205"/>
      <c r="K62" s="205"/>
    </row>
    <row r="63" spans="1:11" x14ac:dyDescent="0.35">
      <c r="A63" s="205"/>
      <c r="B63" s="205"/>
      <c r="C63" s="206"/>
      <c r="D63" s="205"/>
      <c r="E63" s="205"/>
      <c r="F63" s="205"/>
      <c r="G63" s="205"/>
      <c r="H63" s="205"/>
      <c r="I63" s="205"/>
      <c r="J63" s="205"/>
      <c r="K63" s="205"/>
    </row>
    <row r="64" spans="1:11" x14ac:dyDescent="0.35">
      <c r="A64" s="205"/>
      <c r="B64" s="205"/>
      <c r="C64" s="206"/>
      <c r="D64" s="205"/>
      <c r="E64" s="205"/>
      <c r="F64" s="205"/>
      <c r="G64" s="205"/>
      <c r="H64" s="205"/>
      <c r="I64" s="205"/>
      <c r="J64" s="205"/>
      <c r="K64" s="205"/>
    </row>
    <row r="65" spans="1:11" x14ac:dyDescent="0.35">
      <c r="A65" s="205"/>
      <c r="B65" s="205"/>
      <c r="C65" s="206"/>
      <c r="D65" s="205"/>
      <c r="E65" s="205"/>
      <c r="F65" s="205"/>
      <c r="G65" s="205"/>
      <c r="H65" s="205"/>
      <c r="I65" s="205"/>
      <c r="J65" s="205"/>
      <c r="K65" s="205"/>
    </row>
    <row r="66" spans="1:11" x14ac:dyDescent="0.35">
      <c r="A66" s="205"/>
      <c r="B66" s="205"/>
      <c r="C66" s="206"/>
      <c r="D66" s="205"/>
      <c r="E66" s="205"/>
      <c r="F66" s="205"/>
      <c r="G66" s="205"/>
      <c r="H66" s="205"/>
      <c r="I66" s="205"/>
      <c r="J66" s="205"/>
      <c r="K66" s="205"/>
    </row>
    <row r="67" spans="1:11" x14ac:dyDescent="0.35">
      <c r="A67" s="205"/>
      <c r="B67" s="205"/>
      <c r="C67" s="206"/>
      <c r="D67" s="205"/>
      <c r="E67" s="205"/>
      <c r="F67" s="205"/>
      <c r="G67" s="205"/>
      <c r="H67" s="205"/>
      <c r="I67" s="205"/>
      <c r="J67" s="205"/>
      <c r="K67" s="205"/>
    </row>
    <row r="68" spans="1:11" x14ac:dyDescent="0.35">
      <c r="A68" s="205"/>
      <c r="B68" s="205"/>
      <c r="C68" s="206"/>
      <c r="D68" s="205"/>
      <c r="E68" s="205"/>
      <c r="F68" s="205"/>
      <c r="G68" s="205"/>
      <c r="H68" s="205"/>
      <c r="I68" s="205"/>
      <c r="J68" s="205"/>
      <c r="K68" s="205"/>
    </row>
    <row r="69" spans="1:11" x14ac:dyDescent="0.35">
      <c r="A69" s="205"/>
      <c r="B69" s="205"/>
      <c r="C69" s="206"/>
      <c r="D69" s="205"/>
      <c r="E69" s="205"/>
      <c r="F69" s="205"/>
      <c r="G69" s="205"/>
      <c r="H69" s="205"/>
      <c r="I69" s="205"/>
      <c r="J69" s="205"/>
      <c r="K69" s="205"/>
    </row>
    <row r="70" spans="1:11" x14ac:dyDescent="0.35">
      <c r="A70" s="205"/>
      <c r="B70" s="205"/>
      <c r="C70" s="206"/>
      <c r="D70" s="205"/>
      <c r="E70" s="205"/>
      <c r="F70" s="205"/>
      <c r="G70" s="205"/>
      <c r="H70" s="205"/>
      <c r="I70" s="205"/>
      <c r="J70" s="205"/>
      <c r="K70" s="205"/>
    </row>
    <row r="71" spans="1:11" x14ac:dyDescent="0.35">
      <c r="A71" s="205"/>
      <c r="B71" s="205"/>
      <c r="C71" s="206"/>
      <c r="D71" s="205"/>
      <c r="E71" s="205"/>
      <c r="F71" s="205"/>
      <c r="G71" s="205"/>
      <c r="H71" s="205"/>
      <c r="I71" s="205"/>
      <c r="J71" s="205"/>
      <c r="K71" s="205"/>
    </row>
    <row r="72" spans="1:11" x14ac:dyDescent="0.35">
      <c r="A72" s="205"/>
      <c r="B72" s="205"/>
      <c r="C72" s="206"/>
      <c r="D72" s="205"/>
      <c r="E72" s="205"/>
      <c r="F72" s="205"/>
      <c r="G72" s="205"/>
      <c r="H72" s="205"/>
      <c r="I72" s="205"/>
      <c r="J72" s="205"/>
      <c r="K72" s="205"/>
    </row>
    <row r="73" spans="1:11" x14ac:dyDescent="0.35">
      <c r="A73" s="205"/>
      <c r="B73" s="205"/>
      <c r="C73" s="206"/>
      <c r="D73" s="205"/>
      <c r="E73" s="205"/>
      <c r="F73" s="205"/>
      <c r="G73" s="205"/>
      <c r="H73" s="205"/>
      <c r="I73" s="205"/>
      <c r="J73" s="205"/>
      <c r="K73" s="205"/>
    </row>
    <row r="74" spans="1:11" x14ac:dyDescent="0.35">
      <c r="A74" s="205"/>
      <c r="B74" s="205"/>
      <c r="C74" s="206"/>
      <c r="D74" s="205"/>
      <c r="E74" s="205"/>
      <c r="F74" s="205"/>
      <c r="G74" s="205"/>
      <c r="H74" s="205"/>
      <c r="I74" s="205"/>
      <c r="J74" s="205"/>
      <c r="K74" s="205"/>
    </row>
    <row r="75" spans="1:11" x14ac:dyDescent="0.35">
      <c r="A75" s="205"/>
      <c r="B75" s="205"/>
      <c r="C75" s="206"/>
      <c r="D75" s="205"/>
      <c r="E75" s="205"/>
      <c r="F75" s="205"/>
      <c r="G75" s="205"/>
      <c r="H75" s="205"/>
      <c r="I75" s="205"/>
      <c r="J75" s="205"/>
      <c r="K75" s="205"/>
    </row>
    <row r="76" spans="1:11" x14ac:dyDescent="0.35">
      <c r="A76" s="205"/>
      <c r="B76" s="205"/>
      <c r="C76" s="206"/>
      <c r="D76" s="205"/>
      <c r="E76" s="205"/>
      <c r="F76" s="205"/>
      <c r="G76" s="205"/>
      <c r="H76" s="205"/>
      <c r="I76" s="205"/>
      <c r="J76" s="205"/>
      <c r="K76" s="205"/>
    </row>
    <row r="77" spans="1:11" x14ac:dyDescent="0.35">
      <c r="A77" s="205"/>
      <c r="B77" s="205"/>
      <c r="C77" s="206"/>
      <c r="D77" s="205"/>
      <c r="E77" s="205"/>
      <c r="F77" s="205"/>
      <c r="G77" s="205"/>
      <c r="H77" s="205"/>
      <c r="I77" s="205"/>
      <c r="J77" s="205"/>
      <c r="K77" s="205"/>
    </row>
    <row r="78" spans="1:11" x14ac:dyDescent="0.35">
      <c r="A78" s="205"/>
      <c r="B78" s="205"/>
      <c r="C78" s="206"/>
      <c r="D78" s="205"/>
      <c r="E78" s="205"/>
      <c r="F78" s="205"/>
      <c r="G78" s="205"/>
      <c r="H78" s="205"/>
      <c r="I78" s="205"/>
      <c r="J78" s="205"/>
      <c r="K78" s="205"/>
    </row>
    <row r="79" spans="1:11" x14ac:dyDescent="0.35">
      <c r="A79" s="205"/>
      <c r="B79" s="205"/>
      <c r="C79" s="206"/>
      <c r="D79" s="205"/>
      <c r="E79" s="205"/>
      <c r="F79" s="205"/>
      <c r="G79" s="205"/>
      <c r="H79" s="205"/>
      <c r="I79" s="205"/>
      <c r="J79" s="205"/>
      <c r="K79" s="205"/>
    </row>
    <row r="80" spans="1:11" x14ac:dyDescent="0.35">
      <c r="A80" s="205"/>
      <c r="B80" s="205"/>
      <c r="C80" s="206"/>
      <c r="D80" s="205"/>
      <c r="E80" s="205"/>
      <c r="F80" s="205"/>
      <c r="G80" s="205"/>
      <c r="H80" s="205"/>
      <c r="I80" s="205"/>
      <c r="J80" s="205"/>
      <c r="K80" s="205"/>
    </row>
    <row r="81" spans="1:11" x14ac:dyDescent="0.35">
      <c r="A81" s="205"/>
      <c r="B81" s="205"/>
      <c r="C81" s="206"/>
      <c r="D81" s="205"/>
      <c r="E81" s="205"/>
      <c r="F81" s="205"/>
      <c r="G81" s="205"/>
      <c r="H81" s="205"/>
      <c r="I81" s="205"/>
      <c r="J81" s="205"/>
      <c r="K81" s="205"/>
    </row>
    <row r="82" spans="1:11" x14ac:dyDescent="0.35">
      <c r="A82" s="205"/>
      <c r="B82" s="205"/>
      <c r="C82" s="206"/>
      <c r="D82" s="205"/>
      <c r="E82" s="205"/>
      <c r="F82" s="205"/>
      <c r="G82" s="205"/>
      <c r="H82" s="205"/>
      <c r="I82" s="205"/>
      <c r="J82" s="205"/>
      <c r="K82" s="205"/>
    </row>
    <row r="83" spans="1:11" x14ac:dyDescent="0.35">
      <c r="A83" s="205"/>
      <c r="B83" s="205"/>
      <c r="C83" s="206"/>
      <c r="D83" s="205"/>
      <c r="E83" s="205"/>
      <c r="F83" s="205"/>
      <c r="G83" s="205"/>
      <c r="H83" s="205"/>
      <c r="I83" s="205"/>
      <c r="J83" s="205"/>
      <c r="K83" s="205"/>
    </row>
    <row r="84" spans="1:11" x14ac:dyDescent="0.35">
      <c r="A84" s="205"/>
      <c r="B84" s="205"/>
      <c r="C84" s="206"/>
      <c r="D84" s="205"/>
      <c r="E84" s="205"/>
      <c r="F84" s="205"/>
      <c r="G84" s="205"/>
      <c r="H84" s="205"/>
      <c r="I84" s="205"/>
      <c r="J84" s="205"/>
      <c r="K84" s="205"/>
    </row>
    <row r="85" spans="1:11" x14ac:dyDescent="0.35">
      <c r="A85" s="205"/>
      <c r="B85" s="205"/>
      <c r="C85" s="206"/>
      <c r="D85" s="205"/>
      <c r="E85" s="205"/>
      <c r="F85" s="205"/>
      <c r="G85" s="205"/>
      <c r="H85" s="205"/>
      <c r="I85" s="205"/>
      <c r="J85" s="205"/>
      <c r="K85" s="205"/>
    </row>
    <row r="86" spans="1:11" x14ac:dyDescent="0.35">
      <c r="A86" s="205"/>
      <c r="B86" s="205"/>
      <c r="C86" s="206"/>
      <c r="D86" s="205"/>
      <c r="E86" s="205"/>
      <c r="F86" s="205"/>
      <c r="G86" s="205"/>
      <c r="H86" s="205"/>
      <c r="I86" s="205"/>
      <c r="J86" s="205"/>
      <c r="K86" s="205"/>
    </row>
    <row r="87" spans="1:11" x14ac:dyDescent="0.35">
      <c r="A87" s="205"/>
      <c r="B87" s="205"/>
      <c r="C87" s="206"/>
      <c r="D87" s="205"/>
      <c r="E87" s="205"/>
      <c r="F87" s="205"/>
      <c r="G87" s="205"/>
      <c r="H87" s="205"/>
      <c r="I87" s="205"/>
      <c r="J87" s="205"/>
      <c r="K87" s="205"/>
    </row>
    <row r="88" spans="1:11" x14ac:dyDescent="0.35">
      <c r="A88" s="205"/>
      <c r="B88" s="205"/>
      <c r="C88" s="206"/>
      <c r="D88" s="205"/>
      <c r="E88" s="205"/>
      <c r="F88" s="205"/>
      <c r="G88" s="205"/>
      <c r="H88" s="205"/>
      <c r="I88" s="205"/>
      <c r="J88" s="205"/>
      <c r="K88" s="205"/>
    </row>
    <row r="89" spans="1:11" x14ac:dyDescent="0.35">
      <c r="A89" s="205"/>
      <c r="B89" s="205"/>
      <c r="C89" s="206"/>
      <c r="D89" s="205"/>
      <c r="E89" s="205"/>
      <c r="F89" s="205"/>
      <c r="G89" s="205"/>
      <c r="H89" s="205"/>
      <c r="I89" s="205"/>
      <c r="J89" s="205"/>
      <c r="K89" s="205"/>
    </row>
    <row r="90" spans="1:11" x14ac:dyDescent="0.35">
      <c r="A90" s="205"/>
      <c r="B90" s="205"/>
      <c r="C90" s="206"/>
      <c r="D90" s="205"/>
      <c r="E90" s="205"/>
      <c r="F90" s="205"/>
      <c r="G90" s="205"/>
      <c r="H90" s="205"/>
      <c r="I90" s="205"/>
      <c r="J90" s="205"/>
      <c r="K90" s="205"/>
    </row>
    <row r="91" spans="1:11" x14ac:dyDescent="0.35">
      <c r="A91" s="205"/>
      <c r="B91" s="205"/>
      <c r="C91" s="206"/>
      <c r="D91" s="205"/>
      <c r="E91" s="205"/>
      <c r="F91" s="205"/>
      <c r="G91" s="205"/>
      <c r="H91" s="205"/>
      <c r="I91" s="205"/>
      <c r="J91" s="205"/>
      <c r="K91" s="205"/>
    </row>
    <row r="92" spans="1:11" x14ac:dyDescent="0.35">
      <c r="A92" s="205"/>
      <c r="B92" s="205"/>
      <c r="C92" s="206"/>
      <c r="D92" s="205"/>
      <c r="E92" s="205"/>
      <c r="F92" s="205"/>
      <c r="G92" s="205"/>
      <c r="H92" s="205"/>
      <c r="I92" s="205"/>
      <c r="J92" s="205"/>
      <c r="K92" s="205"/>
    </row>
    <row r="93" spans="1:11" x14ac:dyDescent="0.35">
      <c r="A93" s="205"/>
      <c r="B93" s="205"/>
      <c r="C93" s="206"/>
      <c r="D93" s="205"/>
      <c r="E93" s="205"/>
      <c r="F93" s="205"/>
      <c r="G93" s="205"/>
      <c r="H93" s="205"/>
      <c r="I93" s="205"/>
      <c r="J93" s="205"/>
      <c r="K93" s="205"/>
    </row>
    <row r="94" spans="1:11" x14ac:dyDescent="0.35">
      <c r="A94" s="205"/>
      <c r="B94" s="205"/>
      <c r="C94" s="206"/>
      <c r="D94" s="205"/>
      <c r="E94" s="205"/>
      <c r="F94" s="205"/>
      <c r="G94" s="205"/>
      <c r="H94" s="205"/>
      <c r="I94" s="205"/>
      <c r="J94" s="205"/>
      <c r="K94" s="205"/>
    </row>
    <row r="95" spans="1:11" x14ac:dyDescent="0.35">
      <c r="A95" s="205"/>
      <c r="B95" s="205"/>
      <c r="C95" s="206"/>
      <c r="D95" s="205"/>
      <c r="E95" s="205"/>
      <c r="F95" s="205"/>
      <c r="G95" s="205"/>
      <c r="H95" s="205"/>
      <c r="I95" s="205"/>
      <c r="J95" s="205"/>
      <c r="K95" s="205"/>
    </row>
    <row r="96" spans="1:11" x14ac:dyDescent="0.35">
      <c r="A96" s="205"/>
      <c r="B96" s="205"/>
      <c r="C96" s="206"/>
      <c r="D96" s="205"/>
      <c r="E96" s="205"/>
      <c r="F96" s="205"/>
      <c r="G96" s="205"/>
      <c r="H96" s="205"/>
      <c r="I96" s="205"/>
      <c r="J96" s="205"/>
      <c r="K96" s="205"/>
    </row>
    <row r="97" spans="1:11" x14ac:dyDescent="0.35">
      <c r="A97" s="205"/>
      <c r="B97" s="205"/>
      <c r="C97" s="206"/>
      <c r="D97" s="205"/>
      <c r="E97" s="205"/>
      <c r="F97" s="205"/>
      <c r="G97" s="205"/>
      <c r="H97" s="205"/>
      <c r="I97" s="205"/>
      <c r="J97" s="205"/>
      <c r="K97" s="205"/>
    </row>
    <row r="98" spans="1:11" x14ac:dyDescent="0.35">
      <c r="A98" s="205"/>
      <c r="B98" s="205"/>
      <c r="C98" s="206"/>
      <c r="D98" s="205"/>
      <c r="E98" s="205"/>
      <c r="F98" s="205"/>
      <c r="G98" s="205"/>
      <c r="H98" s="205"/>
      <c r="I98" s="205"/>
      <c r="J98" s="205"/>
      <c r="K98" s="205"/>
    </row>
    <row r="99" spans="1:11" x14ac:dyDescent="0.35">
      <c r="C99" s="154"/>
    </row>
    <row r="100" spans="1:11" x14ac:dyDescent="0.35">
      <c r="C100" s="154"/>
    </row>
    <row r="101" spans="1:11" x14ac:dyDescent="0.35">
      <c r="C101" s="154"/>
    </row>
    <row r="102" spans="1:11" x14ac:dyDescent="0.35">
      <c r="C102" s="154"/>
    </row>
    <row r="103" spans="1:11" x14ac:dyDescent="0.35">
      <c r="C103" s="154"/>
    </row>
    <row r="104" spans="1:11" x14ac:dyDescent="0.35">
      <c r="C104" s="154"/>
    </row>
    <row r="105" spans="1:11" x14ac:dyDescent="0.35">
      <c r="C105" s="154"/>
    </row>
    <row r="106" spans="1:11" x14ac:dyDescent="0.35">
      <c r="C106" s="154"/>
    </row>
    <row r="107" spans="1:11" x14ac:dyDescent="0.35">
      <c r="C107" s="154"/>
    </row>
    <row r="108" spans="1:11" x14ac:dyDescent="0.35">
      <c r="C108" s="154"/>
    </row>
    <row r="109" spans="1:11" x14ac:dyDescent="0.35">
      <c r="C109" s="154"/>
    </row>
    <row r="110" spans="1:11" x14ac:dyDescent="0.35">
      <c r="C110" s="154"/>
    </row>
    <row r="111" spans="1:11" x14ac:dyDescent="0.35">
      <c r="C111" s="154"/>
    </row>
    <row r="112" spans="1:11" x14ac:dyDescent="0.35">
      <c r="C112" s="154"/>
    </row>
    <row r="113" spans="3:3" x14ac:dyDescent="0.35">
      <c r="C113" s="154"/>
    </row>
    <row r="114" spans="3:3" x14ac:dyDescent="0.35">
      <c r="C114" s="154"/>
    </row>
    <row r="115" spans="3:3" x14ac:dyDescent="0.35">
      <c r="C115" s="154"/>
    </row>
    <row r="116" spans="3:3" x14ac:dyDescent="0.35">
      <c r="C116" s="154"/>
    </row>
    <row r="117" spans="3:3" x14ac:dyDescent="0.35">
      <c r="C117" s="154"/>
    </row>
    <row r="118" spans="3:3" x14ac:dyDescent="0.35">
      <c r="C118" s="154"/>
    </row>
    <row r="119" spans="3:3" x14ac:dyDescent="0.35">
      <c r="C119" s="154"/>
    </row>
    <row r="120" spans="3:3" x14ac:dyDescent="0.35">
      <c r="C120" s="154"/>
    </row>
    <row r="121" spans="3:3" x14ac:dyDescent="0.35">
      <c r="C121" s="154"/>
    </row>
    <row r="122" spans="3:3" x14ac:dyDescent="0.35">
      <c r="C122" s="154"/>
    </row>
    <row r="123" spans="3:3" x14ac:dyDescent="0.35">
      <c r="C123" s="154"/>
    </row>
    <row r="124" spans="3:3" x14ac:dyDescent="0.35">
      <c r="C124" s="154"/>
    </row>
    <row r="125" spans="3:3" x14ac:dyDescent="0.35">
      <c r="C125" s="154"/>
    </row>
    <row r="126" spans="3:3" x14ac:dyDescent="0.35">
      <c r="C126" s="154"/>
    </row>
    <row r="127" spans="3:3" x14ac:dyDescent="0.35">
      <c r="C127" s="154"/>
    </row>
    <row r="128" spans="3:3" x14ac:dyDescent="0.35">
      <c r="C128" s="154"/>
    </row>
    <row r="129" spans="3:3" x14ac:dyDescent="0.35">
      <c r="C129" s="154"/>
    </row>
    <row r="130" spans="3:3" x14ac:dyDescent="0.35">
      <c r="C130" s="154"/>
    </row>
    <row r="131" spans="3:3" x14ac:dyDescent="0.35">
      <c r="C131" s="154"/>
    </row>
    <row r="132" spans="3:3" x14ac:dyDescent="0.35">
      <c r="C132" s="154"/>
    </row>
    <row r="133" spans="3:3" x14ac:dyDescent="0.35">
      <c r="C133" s="154"/>
    </row>
    <row r="134" spans="3:3" x14ac:dyDescent="0.35">
      <c r="C134" s="154"/>
    </row>
    <row r="135" spans="3:3" x14ac:dyDescent="0.35">
      <c r="C135" s="154"/>
    </row>
    <row r="136" spans="3:3" x14ac:dyDescent="0.35">
      <c r="C136" s="154"/>
    </row>
    <row r="137" spans="3:3" x14ac:dyDescent="0.35">
      <c r="C137" s="154"/>
    </row>
    <row r="138" spans="3:3" x14ac:dyDescent="0.35">
      <c r="C138" s="154"/>
    </row>
    <row r="139" spans="3:3" x14ac:dyDescent="0.35">
      <c r="C139" s="154"/>
    </row>
    <row r="140" spans="3:3" x14ac:dyDescent="0.35">
      <c r="C140" s="154"/>
    </row>
    <row r="141" spans="3:3" x14ac:dyDescent="0.35">
      <c r="C141" s="154"/>
    </row>
    <row r="142" spans="3:3" x14ac:dyDescent="0.35">
      <c r="C142" s="154"/>
    </row>
    <row r="143" spans="3:3" x14ac:dyDescent="0.35">
      <c r="C143" s="154"/>
    </row>
    <row r="144" spans="3:3" x14ac:dyDescent="0.35">
      <c r="C144" s="154"/>
    </row>
    <row r="145" spans="3:3" x14ac:dyDescent="0.35">
      <c r="C145" s="154"/>
    </row>
    <row r="146" spans="3:3" x14ac:dyDescent="0.35">
      <c r="C146" s="154"/>
    </row>
    <row r="147" spans="3:3" x14ac:dyDescent="0.35">
      <c r="C147" s="154"/>
    </row>
    <row r="148" spans="3:3" x14ac:dyDescent="0.35">
      <c r="C148" s="154"/>
    </row>
    <row r="149" spans="3:3" x14ac:dyDescent="0.35">
      <c r="C149" s="154"/>
    </row>
    <row r="150" spans="3:3" x14ac:dyDescent="0.35">
      <c r="C150" s="154"/>
    </row>
    <row r="151" spans="3:3" x14ac:dyDescent="0.35">
      <c r="C151" s="154"/>
    </row>
    <row r="152" spans="3:3" x14ac:dyDescent="0.35">
      <c r="C152" s="154"/>
    </row>
    <row r="153" spans="3:3" x14ac:dyDescent="0.35">
      <c r="C153" s="154"/>
    </row>
    <row r="154" spans="3:3" x14ac:dyDescent="0.35">
      <c r="C154" s="154"/>
    </row>
    <row r="155" spans="3:3" x14ac:dyDescent="0.35">
      <c r="C155" s="154"/>
    </row>
    <row r="156" spans="3:3" x14ac:dyDescent="0.35">
      <c r="C156" s="154"/>
    </row>
    <row r="157" spans="3:3" x14ac:dyDescent="0.35">
      <c r="C157" s="154"/>
    </row>
    <row r="158" spans="3:3" x14ac:dyDescent="0.35">
      <c r="C158" s="154"/>
    </row>
    <row r="159" spans="3:3" x14ac:dyDescent="0.35">
      <c r="C159" s="154"/>
    </row>
    <row r="160" spans="3:3" x14ac:dyDescent="0.35">
      <c r="C160" s="154"/>
    </row>
    <row r="161" spans="3:3" x14ac:dyDescent="0.35">
      <c r="C161" s="154"/>
    </row>
    <row r="162" spans="3:3" x14ac:dyDescent="0.35">
      <c r="C162" s="154"/>
    </row>
    <row r="163" spans="3:3" x14ac:dyDescent="0.35">
      <c r="C163" s="154"/>
    </row>
    <row r="164" spans="3:3" x14ac:dyDescent="0.35">
      <c r="C164" s="154"/>
    </row>
    <row r="165" spans="3:3" x14ac:dyDescent="0.35">
      <c r="C165" s="154"/>
    </row>
    <row r="166" spans="3:3" x14ac:dyDescent="0.35">
      <c r="C166" s="154"/>
    </row>
    <row r="167" spans="3:3" x14ac:dyDescent="0.35">
      <c r="C167" s="154"/>
    </row>
    <row r="168" spans="3:3" x14ac:dyDescent="0.35">
      <c r="C168" s="154"/>
    </row>
    <row r="169" spans="3:3" x14ac:dyDescent="0.35">
      <c r="C169" s="154"/>
    </row>
    <row r="170" spans="3:3" x14ac:dyDescent="0.35">
      <c r="C170" s="154"/>
    </row>
    <row r="171" spans="3:3" x14ac:dyDescent="0.35">
      <c r="C171" s="154"/>
    </row>
    <row r="172" spans="3:3" x14ac:dyDescent="0.35">
      <c r="C172" s="154"/>
    </row>
    <row r="173" spans="3:3" x14ac:dyDescent="0.35">
      <c r="C173" s="154"/>
    </row>
    <row r="174" spans="3:3" x14ac:dyDescent="0.35">
      <c r="C174" s="154"/>
    </row>
    <row r="175" spans="3:3" x14ac:dyDescent="0.35">
      <c r="C175" s="154"/>
    </row>
    <row r="176" spans="3:3" x14ac:dyDescent="0.35">
      <c r="C176" s="154"/>
    </row>
  </sheetData>
  <mergeCells count="12">
    <mergeCell ref="A36:F36"/>
    <mergeCell ref="A31:B31"/>
    <mergeCell ref="A32:B32"/>
    <mergeCell ref="A19:B19"/>
    <mergeCell ref="A22:H22"/>
    <mergeCell ref="A24:B24"/>
    <mergeCell ref="A18:B18"/>
    <mergeCell ref="A12:B12"/>
    <mergeCell ref="A13:B13"/>
    <mergeCell ref="A15:B15"/>
    <mergeCell ref="A16:B16"/>
    <mergeCell ref="A17:B1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6"/>
  <sheetViews>
    <sheetView workbookViewId="0">
      <selection activeCell="J31" sqref="J31"/>
    </sheetView>
  </sheetViews>
  <sheetFormatPr defaultColWidth="11.453125" defaultRowHeight="14.5" x14ac:dyDescent="0.35"/>
  <cols>
    <col min="1" max="1" width="34.1796875" style="154" customWidth="1"/>
    <col min="2" max="3" width="12.81640625" style="154" customWidth="1"/>
    <col min="4" max="4" width="12.81640625" style="133" customWidth="1"/>
    <col min="5" max="6" width="12.81640625" style="154" customWidth="1"/>
    <col min="7" max="7" width="14.81640625" style="154" customWidth="1"/>
    <col min="8" max="256" width="9.1796875" style="154" customWidth="1"/>
    <col min="257" max="16384" width="11.453125" style="154"/>
  </cols>
  <sheetData>
    <row r="1" spans="1:8" x14ac:dyDescent="0.35">
      <c r="A1" s="133"/>
    </row>
    <row r="2" spans="1:8" s="210" customFormat="1" ht="6" customHeight="1" x14ac:dyDescent="0.35"/>
    <row r="3" spans="1:8" ht="17.5" x14ac:dyDescent="0.35">
      <c r="A3" s="136" t="s">
        <v>495</v>
      </c>
      <c r="C3" s="429">
        <v>44926</v>
      </c>
      <c r="G3" s="133"/>
    </row>
    <row r="4" spans="1:8" x14ac:dyDescent="0.35">
      <c r="D4" s="246"/>
      <c r="E4" s="246"/>
    </row>
    <row r="5" spans="1:8" x14ac:dyDescent="0.35">
      <c r="A5" s="273" t="s">
        <v>496</v>
      </c>
      <c r="B5" s="273"/>
      <c r="C5" s="273"/>
      <c r="D5" s="297"/>
      <c r="E5" s="246"/>
    </row>
    <row r="6" spans="1:8" x14ac:dyDescent="0.35">
      <c r="A6" s="259"/>
      <c r="B6" s="269"/>
      <c r="C6" s="270">
        <f>C3</f>
        <v>44926</v>
      </c>
      <c r="D6" s="298"/>
      <c r="E6" s="246"/>
    </row>
    <row r="7" spans="1:8" x14ac:dyDescent="0.35">
      <c r="A7" s="207" t="s">
        <v>497</v>
      </c>
      <c r="B7" s="230"/>
      <c r="C7" s="300">
        <f>'5'!F40</f>
        <v>0.76168294512072121</v>
      </c>
      <c r="D7" s="302"/>
      <c r="E7" s="246"/>
    </row>
    <row r="8" spans="1:8" x14ac:dyDescent="0.35">
      <c r="A8" s="207" t="s">
        <v>697</v>
      </c>
      <c r="B8" s="230"/>
      <c r="C8" s="301">
        <f>'5'!F39</f>
        <v>0.20855649758136205</v>
      </c>
      <c r="D8" s="302"/>
      <c r="E8" s="246"/>
    </row>
    <row r="9" spans="1:8" x14ac:dyDescent="0.35">
      <c r="A9" s="208" t="s">
        <v>469</v>
      </c>
      <c r="B9" s="231"/>
      <c r="C9" s="301">
        <f>'5'!F38</f>
        <v>2.9760557297916677E-2</v>
      </c>
      <c r="D9" s="302"/>
      <c r="E9" s="246"/>
    </row>
    <row r="10" spans="1:8" x14ac:dyDescent="0.35">
      <c r="A10" s="205"/>
      <c r="B10" s="205"/>
      <c r="D10" s="299"/>
      <c r="E10" s="246"/>
    </row>
    <row r="11" spans="1:8" x14ac:dyDescent="0.35">
      <c r="A11" s="205"/>
      <c r="B11" s="205"/>
      <c r="C11" s="205"/>
      <c r="D11" s="299"/>
      <c r="E11" s="246"/>
    </row>
    <row r="12" spans="1:8" x14ac:dyDescent="0.35">
      <c r="A12" s="273" t="s">
        <v>498</v>
      </c>
      <c r="B12" s="273"/>
      <c r="C12" s="273"/>
      <c r="D12" s="297"/>
      <c r="E12" s="246"/>
    </row>
    <row r="13" spans="1:8" x14ac:dyDescent="0.35">
      <c r="A13" s="259"/>
      <c r="B13" s="269"/>
      <c r="C13" s="270">
        <f>C3</f>
        <v>44926</v>
      </c>
      <c r="D13" s="298"/>
      <c r="E13" s="246"/>
    </row>
    <row r="14" spans="1:8" x14ac:dyDescent="0.35">
      <c r="A14" s="207" t="s">
        <v>499</v>
      </c>
      <c r="B14" s="231"/>
      <c r="C14" s="301">
        <f>'5'!C17/'5'!C18</f>
        <v>6.8486655638559041E-3</v>
      </c>
      <c r="D14" s="302"/>
      <c r="E14" s="246"/>
    </row>
    <row r="15" spans="1:8" x14ac:dyDescent="0.35">
      <c r="A15" s="207" t="s">
        <v>531</v>
      </c>
      <c r="B15" s="238"/>
      <c r="C15" s="301">
        <f>100%-C14</f>
        <v>0.99315133443614412</v>
      </c>
      <c r="D15" s="302"/>
      <c r="E15" s="299"/>
      <c r="F15" s="205"/>
      <c r="G15" s="205"/>
      <c r="H15" s="205"/>
    </row>
    <row r="16" spans="1:8" x14ac:dyDescent="0.35">
      <c r="A16" s="205"/>
      <c r="B16" s="205"/>
      <c r="C16" s="232"/>
      <c r="D16" s="232"/>
      <c r="E16" s="232"/>
      <c r="F16" s="232"/>
      <c r="G16" s="232"/>
      <c r="H16" s="232"/>
    </row>
    <row r="17" spans="1:8" ht="15" customHeight="1" x14ac:dyDescent="0.35">
      <c r="A17" s="448" t="s">
        <v>699</v>
      </c>
      <c r="B17" s="448"/>
      <c r="C17" s="448"/>
      <c r="D17" s="448"/>
      <c r="E17" s="448"/>
      <c r="F17" s="448"/>
      <c r="G17" s="448"/>
      <c r="H17" s="448"/>
    </row>
    <row r="18" spans="1:8" ht="15" customHeight="1" x14ac:dyDescent="0.35">
      <c r="A18" s="259" t="s">
        <v>22</v>
      </c>
      <c r="B18" s="269"/>
      <c r="C18" s="272" t="s">
        <v>500</v>
      </c>
      <c r="D18" s="272" t="s">
        <v>501</v>
      </c>
      <c r="E18" s="272" t="s">
        <v>502</v>
      </c>
      <c r="F18" s="272" t="s">
        <v>503</v>
      </c>
      <c r="G18" s="272" t="s">
        <v>504</v>
      </c>
      <c r="H18" s="272" t="s">
        <v>30</v>
      </c>
    </row>
    <row r="19" spans="1:8" x14ac:dyDescent="0.35">
      <c r="A19" s="207" t="s">
        <v>499</v>
      </c>
      <c r="B19" s="230"/>
      <c r="C19" s="233">
        <v>0</v>
      </c>
      <c r="D19" s="233" t="s">
        <v>505</v>
      </c>
      <c r="E19" s="233" t="s">
        <v>505</v>
      </c>
      <c r="F19" s="233">
        <f>65</f>
        <v>65</v>
      </c>
      <c r="G19" s="233">
        <v>0</v>
      </c>
      <c r="H19" s="233">
        <f>SUM(C19:G19)</f>
        <v>65</v>
      </c>
    </row>
    <row r="20" spans="1:8" x14ac:dyDescent="0.35">
      <c r="A20" s="234" t="s">
        <v>506</v>
      </c>
      <c r="B20" s="235"/>
      <c r="C20" s="236">
        <f>SUM(C19:C19)</f>
        <v>0</v>
      </c>
      <c r="D20" s="236">
        <f>SUM(D19:D19)</f>
        <v>0</v>
      </c>
      <c r="E20" s="236">
        <f>SUM(E19:E19)</f>
        <v>0</v>
      </c>
      <c r="F20" s="236">
        <f t="shared" ref="F20:H20" si="0">SUM(F19:F19)</f>
        <v>65</v>
      </c>
      <c r="G20" s="236">
        <f t="shared" si="0"/>
        <v>0</v>
      </c>
      <c r="H20" s="236">
        <f t="shared" si="0"/>
        <v>65</v>
      </c>
    </row>
    <row r="21" spans="1:8" s="209" customFormat="1" x14ac:dyDescent="0.35">
      <c r="A21" s="205"/>
      <c r="B21" s="205"/>
      <c r="C21" s="205"/>
      <c r="D21" s="237"/>
      <c r="E21" s="232"/>
      <c r="F21" s="232"/>
      <c r="G21" s="232"/>
      <c r="H21" s="232"/>
    </row>
    <row r="22" spans="1:8" x14ac:dyDescent="0.35">
      <c r="A22" s="205"/>
      <c r="B22" s="205"/>
      <c r="C22" s="205"/>
      <c r="D22" s="206"/>
      <c r="E22" s="205"/>
      <c r="F22" s="205"/>
      <c r="G22" s="205"/>
      <c r="H22" s="205"/>
    </row>
    <row r="23" spans="1:8" x14ac:dyDescent="0.35">
      <c r="A23" s="273" t="s">
        <v>603</v>
      </c>
      <c r="B23" s="273"/>
      <c r="C23" s="273"/>
      <c r="D23" s="273"/>
      <c r="E23" s="273"/>
      <c r="F23" s="273"/>
      <c r="G23" s="273"/>
    </row>
    <row r="24" spans="1:8" ht="26" x14ac:dyDescent="0.35">
      <c r="A24" s="303" t="s">
        <v>602</v>
      </c>
      <c r="B24" s="304" t="s">
        <v>597</v>
      </c>
      <c r="C24" s="305" t="s">
        <v>598</v>
      </c>
      <c r="D24" s="305" t="s">
        <v>599</v>
      </c>
      <c r="E24" s="305" t="s">
        <v>600</v>
      </c>
      <c r="F24" s="304" t="s">
        <v>601</v>
      </c>
      <c r="G24" s="306" t="s">
        <v>30</v>
      </c>
    </row>
    <row r="25" spans="1:8" x14ac:dyDescent="0.35">
      <c r="A25" s="307" t="s">
        <v>574</v>
      </c>
      <c r="B25" s="308">
        <v>0</v>
      </c>
      <c r="C25" s="308">
        <v>0</v>
      </c>
      <c r="D25" s="308">
        <v>0</v>
      </c>
      <c r="E25" s="308">
        <v>0</v>
      </c>
      <c r="F25" s="309">
        <v>807.8</v>
      </c>
      <c r="G25" s="310">
        <f t="shared" ref="G25:G26" si="1">SUM(B25:F25)</f>
        <v>807.8</v>
      </c>
    </row>
    <row r="26" spans="1:8" x14ac:dyDescent="0.35">
      <c r="A26" s="307" t="s">
        <v>575</v>
      </c>
      <c r="B26" s="413">
        <v>0</v>
      </c>
      <c r="C26" s="413">
        <v>9.6</v>
      </c>
      <c r="D26" s="413">
        <v>4864.5</v>
      </c>
      <c r="E26" s="308">
        <v>0</v>
      </c>
      <c r="F26" s="412">
        <v>5639.6</v>
      </c>
      <c r="G26" s="414">
        <f t="shared" si="1"/>
        <v>10513.7</v>
      </c>
    </row>
    <row r="27" spans="1:8" x14ac:dyDescent="0.35">
      <c r="A27" s="311" t="s">
        <v>494</v>
      </c>
      <c r="B27" s="312">
        <v>0</v>
      </c>
      <c r="C27" s="308">
        <v>0</v>
      </c>
      <c r="D27" s="308">
        <v>0</v>
      </c>
      <c r="E27" s="308">
        <v>0</v>
      </c>
      <c r="F27" s="309">
        <v>1453.5</v>
      </c>
      <c r="G27" s="310">
        <f>SUM(B27:F27)</f>
        <v>1453.5</v>
      </c>
    </row>
    <row r="28" spans="1:8" x14ac:dyDescent="0.35">
      <c r="A28" s="307" t="s">
        <v>604</v>
      </c>
      <c r="B28" s="309">
        <v>20.7</v>
      </c>
      <c r="C28" s="308">
        <v>0</v>
      </c>
      <c r="D28" s="308">
        <v>0</v>
      </c>
      <c r="E28" s="308">
        <v>0</v>
      </c>
      <c r="F28" s="309">
        <v>0</v>
      </c>
      <c r="G28" s="310">
        <f t="shared" ref="G28" si="2">SUM(B28:F28)</f>
        <v>20.7</v>
      </c>
    </row>
    <row r="29" spans="1:8" ht="15" thickBot="1" x14ac:dyDescent="0.4">
      <c r="A29" s="313" t="s">
        <v>674</v>
      </c>
      <c r="B29" s="314">
        <f t="shared" ref="B29:G29" si="3">SUM(B25:B28)</f>
        <v>20.7</v>
      </c>
      <c r="C29" s="314">
        <f t="shared" si="3"/>
        <v>9.6</v>
      </c>
      <c r="D29" s="314">
        <f t="shared" si="3"/>
        <v>4864.5</v>
      </c>
      <c r="E29" s="314">
        <f t="shared" si="3"/>
        <v>0</v>
      </c>
      <c r="F29" s="314">
        <f t="shared" si="3"/>
        <v>7900.9000000000005</v>
      </c>
      <c r="G29" s="314">
        <f t="shared" si="3"/>
        <v>12795.7</v>
      </c>
    </row>
    <row r="30" spans="1:8" x14ac:dyDescent="0.35">
      <c r="A30" s="315"/>
      <c r="B30" s="315"/>
      <c r="C30" s="316"/>
      <c r="D30" s="316"/>
      <c r="E30" s="316"/>
      <c r="F30" s="316"/>
      <c r="G30" s="316"/>
    </row>
    <row r="31" spans="1:8" x14ac:dyDescent="0.35">
      <c r="A31" s="315"/>
      <c r="B31" s="315"/>
      <c r="C31" s="316"/>
      <c r="D31" s="316"/>
      <c r="E31" s="316"/>
      <c r="F31" s="316"/>
      <c r="G31" s="316"/>
    </row>
    <row r="32" spans="1:8" ht="26" x14ac:dyDescent="0.35">
      <c r="A32" s="317" t="s">
        <v>605</v>
      </c>
      <c r="B32" s="304" t="s">
        <v>597</v>
      </c>
      <c r="C32" s="305" t="s">
        <v>598</v>
      </c>
      <c r="D32" s="305" t="s">
        <v>599</v>
      </c>
      <c r="E32" s="305" t="s">
        <v>600</v>
      </c>
      <c r="F32" s="304" t="s">
        <v>601</v>
      </c>
      <c r="G32" s="306" t="s">
        <v>30</v>
      </c>
    </row>
    <row r="33" spans="1:7" x14ac:dyDescent="0.35">
      <c r="A33" s="307" t="s">
        <v>606</v>
      </c>
      <c r="B33" s="309">
        <v>0</v>
      </c>
      <c r="C33" s="308">
        <v>10.5</v>
      </c>
      <c r="D33" s="309">
        <v>0</v>
      </c>
      <c r="E33" s="308">
        <v>0</v>
      </c>
      <c r="F33" s="318">
        <v>9337.1</v>
      </c>
      <c r="G33" s="319">
        <f t="shared" ref="G33:G35" si="4">SUM(B33:F33)</f>
        <v>9347.6</v>
      </c>
    </row>
    <row r="34" spans="1:7" x14ac:dyDescent="0.35">
      <c r="A34" s="307" t="s">
        <v>608</v>
      </c>
      <c r="B34" s="309">
        <v>1.4</v>
      </c>
      <c r="C34" s="308">
        <v>4.0999999999999996</v>
      </c>
      <c r="D34" s="309">
        <v>22</v>
      </c>
      <c r="E34" s="308">
        <v>82.9</v>
      </c>
      <c r="F34" s="318">
        <v>0</v>
      </c>
      <c r="G34" s="319">
        <f t="shared" si="4"/>
        <v>110.4</v>
      </c>
    </row>
    <row r="35" spans="1:7" x14ac:dyDescent="0.35">
      <c r="A35" s="307" t="s">
        <v>607</v>
      </c>
      <c r="B35" s="309">
        <v>78.3</v>
      </c>
      <c r="C35" s="308">
        <v>0</v>
      </c>
      <c r="D35" s="309">
        <v>0</v>
      </c>
      <c r="E35" s="308">
        <v>0</v>
      </c>
      <c r="F35" s="318">
        <v>0</v>
      </c>
      <c r="G35" s="319">
        <f t="shared" si="4"/>
        <v>78.3</v>
      </c>
    </row>
    <row r="36" spans="1:7" ht="15" thickBot="1" x14ac:dyDescent="0.4">
      <c r="A36" s="313" t="s">
        <v>477</v>
      </c>
      <c r="B36" s="314">
        <f t="shared" ref="B36:F36" si="5">SUM(B33:B35)</f>
        <v>79.7</v>
      </c>
      <c r="C36" s="314">
        <f t="shared" si="5"/>
        <v>14.6</v>
      </c>
      <c r="D36" s="314">
        <f t="shared" si="5"/>
        <v>22</v>
      </c>
      <c r="E36" s="314">
        <f t="shared" si="5"/>
        <v>82.9</v>
      </c>
      <c r="F36" s="314">
        <f t="shared" si="5"/>
        <v>9337.1</v>
      </c>
      <c r="G36" s="314">
        <f>SUM(G33:G35)-0.1</f>
        <v>9536.1999999999989</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5"/>
  <sheetViews>
    <sheetView showGridLines="0" zoomScaleNormal="100" workbookViewId="0"/>
  </sheetViews>
  <sheetFormatPr defaultColWidth="11.453125" defaultRowHeight="10" x14ac:dyDescent="0.2"/>
  <cols>
    <col min="1" max="1" width="2.81640625" style="23" customWidth="1"/>
    <col min="2" max="2" width="16.1796875" style="16" customWidth="1"/>
    <col min="3" max="3" width="18.453125" style="16" customWidth="1"/>
    <col min="4" max="5" width="15" style="16" bestFit="1" customWidth="1"/>
    <col min="6" max="7" width="13.81640625" style="16" customWidth="1"/>
    <col min="8" max="8" width="19" style="16" bestFit="1" customWidth="1"/>
    <col min="9" max="9" width="11.453125" style="16"/>
    <col min="10" max="10" width="14.1796875" style="16" bestFit="1" customWidth="1"/>
    <col min="11" max="12" width="11.453125" style="16"/>
    <col min="13" max="13" width="14.1796875" style="16" bestFit="1" customWidth="1"/>
    <col min="14" max="16384" width="11.453125" style="16"/>
  </cols>
  <sheetData>
    <row r="1" spans="1:18" s="10" customFormat="1" ht="11.25" customHeight="1" x14ac:dyDescent="0.25">
      <c r="A1" s="7"/>
      <c r="B1" s="7"/>
      <c r="C1" s="7"/>
      <c r="D1" s="8"/>
      <c r="E1" s="8"/>
      <c r="F1" s="9"/>
      <c r="G1" s="9"/>
      <c r="H1" s="9"/>
    </row>
    <row r="2" spans="1:18" s="10" customFormat="1" ht="5.25" customHeight="1" x14ac:dyDescent="0.25">
      <c r="A2" s="7"/>
      <c r="B2" s="7"/>
      <c r="C2" s="7"/>
      <c r="D2" s="8"/>
      <c r="E2" s="8"/>
      <c r="F2" s="9"/>
      <c r="G2" s="9"/>
      <c r="H2" s="9"/>
    </row>
    <row r="3" spans="1:18" s="12" customFormat="1" ht="12.75" customHeight="1" x14ac:dyDescent="0.2">
      <c r="A3" s="11"/>
      <c r="B3" s="320"/>
      <c r="C3" s="320"/>
      <c r="D3" s="320"/>
      <c r="E3" s="320"/>
      <c r="F3" s="320"/>
      <c r="G3" s="320"/>
      <c r="H3" s="320"/>
    </row>
    <row r="4" spans="1:18" s="10" customFormat="1" ht="5.15" customHeight="1" x14ac:dyDescent="0.25">
      <c r="A4" s="7"/>
      <c r="B4" s="7"/>
      <c r="C4" s="7"/>
      <c r="D4" s="8"/>
      <c r="E4" s="8"/>
      <c r="F4" s="9"/>
      <c r="G4" s="9"/>
      <c r="H4" s="9"/>
      <c r="J4" s="7"/>
      <c r="K4" s="7"/>
    </row>
    <row r="5" spans="1:18" s="3" customFormat="1" ht="15.5" x14ac:dyDescent="0.35">
      <c r="A5" s="13"/>
      <c r="B5" s="321" t="s">
        <v>609</v>
      </c>
    </row>
    <row r="7" spans="1:18" x14ac:dyDescent="0.2">
      <c r="A7" s="12"/>
    </row>
    <row r="8" spans="1:18" ht="45.75" customHeight="1" x14ac:dyDescent="0.2">
      <c r="A8" s="12"/>
      <c r="B8" s="335" t="s">
        <v>610</v>
      </c>
      <c r="C8" s="335"/>
      <c r="D8" s="335" t="s">
        <v>611</v>
      </c>
      <c r="E8" s="335"/>
      <c r="F8" s="335" t="s">
        <v>612</v>
      </c>
      <c r="G8" s="335"/>
      <c r="H8" s="335" t="s">
        <v>613</v>
      </c>
      <c r="I8" s="335"/>
      <c r="J8" s="335" t="s">
        <v>614</v>
      </c>
      <c r="K8" s="335"/>
      <c r="L8" s="335"/>
      <c r="M8" s="335"/>
      <c r="N8" s="335" t="s">
        <v>615</v>
      </c>
      <c r="O8" s="335" t="s">
        <v>616</v>
      </c>
      <c r="P8" s="322"/>
    </row>
    <row r="9" spans="1:18" ht="66" customHeight="1" x14ac:dyDescent="0.2">
      <c r="A9" s="12"/>
      <c r="B9" s="335"/>
      <c r="C9" s="335"/>
      <c r="D9" s="335" t="s">
        <v>617</v>
      </c>
      <c r="E9" s="335" t="s">
        <v>618</v>
      </c>
      <c r="F9" s="335" t="s">
        <v>619</v>
      </c>
      <c r="G9" s="335" t="s">
        <v>620</v>
      </c>
      <c r="H9" s="335" t="s">
        <v>621</v>
      </c>
      <c r="I9" s="335" t="s">
        <v>622</v>
      </c>
      <c r="J9" s="335" t="s">
        <v>623</v>
      </c>
      <c r="K9" s="335" t="s">
        <v>624</v>
      </c>
      <c r="L9" s="335" t="s">
        <v>625</v>
      </c>
      <c r="M9" s="335" t="s">
        <v>506</v>
      </c>
      <c r="N9" s="335"/>
      <c r="O9" s="335"/>
    </row>
    <row r="10" spans="1:18" x14ac:dyDescent="0.2">
      <c r="A10" s="12"/>
      <c r="B10" s="323"/>
      <c r="C10" s="324"/>
      <c r="D10" s="325" t="s">
        <v>103</v>
      </c>
      <c r="E10" s="325" t="s">
        <v>513</v>
      </c>
      <c r="F10" s="325" t="s">
        <v>104</v>
      </c>
      <c r="G10" s="325" t="s">
        <v>105</v>
      </c>
      <c r="H10" s="325" t="s">
        <v>106</v>
      </c>
      <c r="I10" s="325" t="s">
        <v>107</v>
      </c>
      <c r="J10" s="325" t="s">
        <v>113</v>
      </c>
      <c r="K10" s="325" t="s">
        <v>108</v>
      </c>
      <c r="L10" s="325" t="s">
        <v>109</v>
      </c>
      <c r="M10" s="324" t="s">
        <v>110</v>
      </c>
      <c r="N10" s="325" t="s">
        <v>514</v>
      </c>
      <c r="O10" s="325" t="s">
        <v>114</v>
      </c>
    </row>
    <row r="11" spans="1:18" x14ac:dyDescent="0.2">
      <c r="A11" s="12"/>
      <c r="B11" s="326" t="s">
        <v>103</v>
      </c>
      <c r="C11" s="327" t="s">
        <v>626</v>
      </c>
      <c r="D11" s="327"/>
      <c r="E11" s="327"/>
      <c r="F11" s="327"/>
      <c r="G11" s="327"/>
      <c r="H11" s="327"/>
      <c r="I11" s="327"/>
      <c r="J11" s="327"/>
      <c r="K11" s="327"/>
      <c r="L11" s="327"/>
      <c r="M11" s="327"/>
      <c r="N11" s="327"/>
      <c r="O11" s="327"/>
    </row>
    <row r="12" spans="1:18" x14ac:dyDescent="0.2">
      <c r="A12" s="12"/>
      <c r="B12" s="327"/>
      <c r="C12" s="327" t="s">
        <v>627</v>
      </c>
      <c r="D12" s="328">
        <f>'[4]2. Development'!BU45</f>
        <v>4175.0971478000001</v>
      </c>
      <c r="E12" s="328"/>
      <c r="F12" s="327"/>
      <c r="G12" s="327"/>
      <c r="H12" s="327"/>
      <c r="I12" s="327"/>
      <c r="J12" s="328"/>
      <c r="K12" s="328"/>
      <c r="L12" s="328"/>
      <c r="M12" s="328"/>
      <c r="N12" s="329">
        <f>D12/SUM($D$12:$D$14)</f>
        <v>0.43309642919737384</v>
      </c>
      <c r="O12" s="330">
        <v>0.02</v>
      </c>
      <c r="R12" s="331"/>
    </row>
    <row r="13" spans="1:18" x14ac:dyDescent="0.2">
      <c r="A13" s="12"/>
      <c r="B13" s="327"/>
      <c r="C13" s="327" t="s">
        <v>29</v>
      </c>
      <c r="D13" s="328">
        <f>'[4]2. Development'!BU46</f>
        <v>2987.1846657300002</v>
      </c>
      <c r="E13" s="328"/>
      <c r="F13" s="327"/>
      <c r="G13" s="327"/>
      <c r="H13" s="327"/>
      <c r="I13" s="327"/>
      <c r="J13" s="328"/>
      <c r="K13" s="328"/>
      <c r="L13" s="328"/>
      <c r="M13" s="328"/>
      <c r="N13" s="329">
        <f>D13/SUM($D$12:$D$14)</f>
        <v>0.30987039733016242</v>
      </c>
      <c r="O13" s="330">
        <v>0.01</v>
      </c>
      <c r="R13" s="331"/>
    </row>
    <row r="14" spans="1:18" x14ac:dyDescent="0.2">
      <c r="A14" s="12"/>
      <c r="B14" s="327"/>
      <c r="C14" s="327" t="s">
        <v>512</v>
      </c>
      <c r="D14" s="328">
        <f>'[4]2. Development'!BU47</f>
        <v>2477.8280242199999</v>
      </c>
      <c r="E14" s="328"/>
      <c r="F14" s="327"/>
      <c r="G14" s="327"/>
      <c r="H14" s="327"/>
      <c r="I14" s="327"/>
      <c r="J14" s="328"/>
      <c r="K14" s="328"/>
      <c r="L14" s="328"/>
      <c r="M14" s="328"/>
      <c r="N14" s="329">
        <f>D14/SUM($D$12:$D$14)</f>
        <v>0.25703317347246374</v>
      </c>
      <c r="O14" s="330">
        <v>0</v>
      </c>
      <c r="R14" s="331"/>
    </row>
    <row r="15" spans="1:18" x14ac:dyDescent="0.2">
      <c r="A15" s="12"/>
      <c r="B15" s="16" t="s">
        <v>628</v>
      </c>
    </row>
    <row r="16" spans="1:18" x14ac:dyDescent="0.2">
      <c r="A16" s="12"/>
    </row>
    <row r="17" spans="1:15" ht="10.5" x14ac:dyDescent="0.25">
      <c r="A17" s="12"/>
      <c r="B17" s="99" t="s">
        <v>629</v>
      </c>
      <c r="C17" s="99"/>
      <c r="D17" s="99"/>
    </row>
    <row r="18" spans="1:15" x14ac:dyDescent="0.2">
      <c r="A18" s="12"/>
    </row>
    <row r="19" spans="1:15" ht="10.5" x14ac:dyDescent="0.2">
      <c r="A19" s="12"/>
      <c r="B19" s="273" t="s">
        <v>630</v>
      </c>
      <c r="C19" s="273"/>
      <c r="D19" s="273"/>
      <c r="E19" s="273"/>
      <c r="F19" s="273"/>
      <c r="G19" s="273"/>
      <c r="H19" s="273"/>
      <c r="I19" s="273"/>
      <c r="J19" s="273"/>
      <c r="K19" s="273"/>
      <c r="L19" s="273"/>
      <c r="M19" s="273" t="s">
        <v>631</v>
      </c>
      <c r="N19" s="273"/>
      <c r="O19" s="273"/>
    </row>
    <row r="20" spans="1:15" x14ac:dyDescent="0.2">
      <c r="A20" s="12"/>
      <c r="B20" s="326"/>
      <c r="C20" s="451"/>
      <c r="D20" s="452"/>
      <c r="E20" s="452"/>
      <c r="F20" s="452"/>
      <c r="G20" s="452"/>
      <c r="H20" s="452"/>
      <c r="I20" s="452"/>
      <c r="J20" s="452"/>
      <c r="K20" s="452"/>
      <c r="L20" s="453"/>
      <c r="M20" s="454" t="s">
        <v>103</v>
      </c>
      <c r="N20" s="454"/>
      <c r="O20" s="454"/>
    </row>
    <row r="21" spans="1:15" x14ac:dyDescent="0.2">
      <c r="A21" s="12"/>
      <c r="B21" s="326" t="s">
        <v>103</v>
      </c>
      <c r="C21" s="460" t="s">
        <v>632</v>
      </c>
      <c r="D21" s="460"/>
      <c r="E21" s="460"/>
      <c r="F21" s="460"/>
      <c r="G21" s="460"/>
      <c r="H21" s="460"/>
      <c r="I21" s="460"/>
      <c r="J21" s="460"/>
      <c r="K21" s="460"/>
      <c r="L21" s="460"/>
      <c r="M21" s="459">
        <f>D12+D13+D14</f>
        <v>9640.1098377500002</v>
      </c>
      <c r="N21" s="459"/>
      <c r="O21" s="459"/>
    </row>
    <row r="22" spans="1:15" x14ac:dyDescent="0.2">
      <c r="A22" s="12"/>
      <c r="B22" s="326" t="s">
        <v>513</v>
      </c>
      <c r="C22" s="455" t="s">
        <v>633</v>
      </c>
      <c r="D22" s="456"/>
      <c r="E22" s="456"/>
      <c r="F22" s="456"/>
      <c r="G22" s="456"/>
      <c r="H22" s="456"/>
      <c r="I22" s="456"/>
      <c r="J22" s="456"/>
      <c r="K22" s="456"/>
      <c r="L22" s="457"/>
      <c r="M22" s="458">
        <f>N12*O12+N13*O13+N14*O14</f>
        <v>1.1760632557249101E-2</v>
      </c>
      <c r="N22" s="458"/>
      <c r="O22" s="458"/>
    </row>
    <row r="23" spans="1:15" x14ac:dyDescent="0.2">
      <c r="A23" s="12"/>
      <c r="B23" s="326" t="s">
        <v>104</v>
      </c>
      <c r="C23" s="332" t="s">
        <v>634</v>
      </c>
      <c r="D23" s="333"/>
      <c r="E23" s="333"/>
      <c r="F23" s="333"/>
      <c r="G23" s="333"/>
      <c r="H23" s="333"/>
      <c r="I23" s="333"/>
      <c r="J23" s="333"/>
      <c r="K23" s="333"/>
      <c r="L23" s="334"/>
      <c r="M23" s="459">
        <f>+M21*M22</f>
        <v>113.3737896133</v>
      </c>
      <c r="N23" s="459"/>
      <c r="O23" s="459"/>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ht="10.5" x14ac:dyDescent="0.2">
      <c r="A57" s="20"/>
    </row>
    <row r="58" spans="1:1" ht="10.5" x14ac:dyDescent="0.2">
      <c r="A58" s="20"/>
    </row>
    <row r="59" spans="1:1" ht="10.5" x14ac:dyDescent="0.25">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C20:L20"/>
    <mergeCell ref="M20:O20"/>
    <mergeCell ref="C22:L22"/>
    <mergeCell ref="M22:O22"/>
    <mergeCell ref="M23:O23"/>
    <mergeCell ref="C21:L21"/>
    <mergeCell ref="M21:O21"/>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89"/>
  <sheetViews>
    <sheetView showGridLines="0" showRowColHeaders="0" zoomScaleNormal="100" workbookViewId="0">
      <selection activeCell="F13" sqref="F13:F14"/>
    </sheetView>
  </sheetViews>
  <sheetFormatPr defaultColWidth="11.453125" defaultRowHeight="10" x14ac:dyDescent="0.2"/>
  <cols>
    <col min="1" max="1" width="2.81640625" style="23" customWidth="1"/>
    <col min="2" max="2" width="11.453125" style="16"/>
    <col min="3" max="3" width="71.81640625" style="16" customWidth="1"/>
    <col min="4" max="4" width="13.81640625" style="16" customWidth="1"/>
    <col min="5" max="16384" width="11.453125" style="16"/>
  </cols>
  <sheetData>
    <row r="1" spans="1:11" s="10" customFormat="1" ht="11.25" customHeight="1" x14ac:dyDescent="0.25">
      <c r="A1" s="7"/>
      <c r="B1" s="7"/>
      <c r="C1" s="7"/>
      <c r="D1" s="8"/>
      <c r="E1" s="8"/>
      <c r="F1" s="9"/>
      <c r="G1" s="9"/>
      <c r="H1" s="9"/>
    </row>
    <row r="2" spans="1:11" s="10" customFormat="1" ht="5.25" customHeight="1" x14ac:dyDescent="0.25">
      <c r="A2" s="7"/>
      <c r="B2" s="7"/>
      <c r="C2" s="7"/>
      <c r="D2" s="8"/>
      <c r="E2" s="8"/>
      <c r="F2" s="9"/>
      <c r="G2" s="9"/>
      <c r="H2" s="9"/>
    </row>
    <row r="3" spans="1:11" s="12" customFormat="1" ht="12.75" customHeight="1" x14ac:dyDescent="0.2">
      <c r="A3" s="11"/>
      <c r="B3" s="461"/>
      <c r="C3" s="461"/>
      <c r="D3" s="461"/>
      <c r="E3" s="461"/>
      <c r="F3" s="461"/>
      <c r="G3" s="461"/>
      <c r="H3" s="461"/>
    </row>
    <row r="4" spans="1:11" s="10" customFormat="1" ht="5.15" customHeight="1" x14ac:dyDescent="0.25">
      <c r="A4" s="7"/>
      <c r="B4" s="7"/>
      <c r="C4" s="7"/>
      <c r="D4" s="8"/>
      <c r="E4" s="8"/>
      <c r="F4" s="9"/>
      <c r="G4" s="9"/>
      <c r="H4" s="9"/>
      <c r="J4" s="7"/>
      <c r="K4" s="7"/>
    </row>
    <row r="5" spans="1:11" s="3" customFormat="1" ht="17.5" x14ac:dyDescent="0.35">
      <c r="A5" s="13"/>
      <c r="B5" s="136" t="s">
        <v>31</v>
      </c>
    </row>
    <row r="7" spans="1:11" ht="10.5" x14ac:dyDescent="0.2">
      <c r="A7" s="14"/>
      <c r="B7" s="462" t="s">
        <v>22</v>
      </c>
      <c r="C7" s="463"/>
      <c r="D7" s="24">
        <f>CONTENTS!G13</f>
        <v>44926</v>
      </c>
    </row>
    <row r="8" spans="1:11" ht="10.5" x14ac:dyDescent="0.2">
      <c r="A8" s="14"/>
      <c r="B8" s="25">
        <v>1</v>
      </c>
      <c r="C8" s="26" t="s">
        <v>32</v>
      </c>
      <c r="D8" s="27">
        <v>11528.02758217</v>
      </c>
    </row>
    <row r="9" spans="1:11" ht="20" x14ac:dyDescent="0.2">
      <c r="A9" s="12"/>
      <c r="B9" s="28">
        <v>2</v>
      </c>
      <c r="C9" s="26" t="s">
        <v>33</v>
      </c>
      <c r="D9" s="29"/>
    </row>
    <row r="10" spans="1:11" ht="20" x14ac:dyDescent="0.2">
      <c r="A10" s="12"/>
      <c r="B10" s="28">
        <v>3</v>
      </c>
      <c r="C10" s="26" t="s">
        <v>34</v>
      </c>
      <c r="D10" s="29"/>
    </row>
    <row r="11" spans="1:11" x14ac:dyDescent="0.2">
      <c r="A11" s="12"/>
      <c r="B11" s="25">
        <v>4</v>
      </c>
      <c r="C11" s="26" t="s">
        <v>35</v>
      </c>
      <c r="D11" s="29"/>
    </row>
    <row r="12" spans="1:11" x14ac:dyDescent="0.2">
      <c r="A12" s="12"/>
      <c r="B12" s="25">
        <v>5</v>
      </c>
      <c r="C12" s="26" t="s">
        <v>36</v>
      </c>
      <c r="D12" s="29"/>
    </row>
    <row r="13" spans="1:11" ht="20" x14ac:dyDescent="0.2">
      <c r="A13" s="12"/>
      <c r="B13" s="25">
        <v>6</v>
      </c>
      <c r="C13" s="26" t="s">
        <v>37</v>
      </c>
      <c r="D13" s="29">
        <f>'[4]8. Capital'!$CJ$79/1000</f>
        <v>9640.1098377500002</v>
      </c>
    </row>
    <row r="14" spans="1:11" x14ac:dyDescent="0.2">
      <c r="A14" s="12"/>
      <c r="B14" s="25">
        <v>7</v>
      </c>
      <c r="C14" s="26" t="s">
        <v>38</v>
      </c>
      <c r="D14" s="29"/>
    </row>
    <row r="15" spans="1:11" x14ac:dyDescent="0.2">
      <c r="A15" s="12"/>
      <c r="B15" s="30">
        <v>8</v>
      </c>
      <c r="C15" s="31" t="s">
        <v>39</v>
      </c>
      <c r="D15" s="29">
        <f>D8+D13</f>
        <v>21168.13741992</v>
      </c>
      <c r="E15" s="32"/>
    </row>
    <row r="16" spans="1:11" x14ac:dyDescent="0.2">
      <c r="A16" s="12"/>
    </row>
    <row r="17" spans="1:3" x14ac:dyDescent="0.2">
      <c r="A17" s="12"/>
      <c r="B17" s="33"/>
      <c r="C17" s="34"/>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ht="10.5" x14ac:dyDescent="0.2">
      <c r="A71" s="20"/>
    </row>
    <row r="72" spans="1:1" ht="10.5" x14ac:dyDescent="0.2">
      <c r="A72" s="20"/>
    </row>
    <row r="73" spans="1:1" ht="10.5" x14ac:dyDescent="0.25">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3C229833EC514FB4C5288EF734FEC7" ma:contentTypeVersion="7" ma:contentTypeDescription="Create a new document." ma:contentTypeScope="" ma:versionID="62e8461f645d1dbc2053b0258dc40f6a">
  <xsd:schema xmlns:xsd="http://www.w3.org/2001/XMLSchema" xmlns:xs="http://www.w3.org/2001/XMLSchema" xmlns:p="http://schemas.microsoft.com/office/2006/metadata/properties" xmlns:ns2="10a674b4-5007-4c57-a4ac-375f0d3ec0bd" xmlns:ns3="c5ab5468-e81e-4415-96f8-a061e1653fd3" targetNamespace="http://schemas.microsoft.com/office/2006/metadata/properties" ma:root="true" ma:fieldsID="456b2f1ae70bd093f002cdcfb5f5c59c" ns2:_="" ns3:_="">
    <xsd:import namespace="10a674b4-5007-4c57-a4ac-375f0d3ec0bd"/>
    <xsd:import namespace="c5ab5468-e81e-4415-96f8-a061e1653f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a674b4-5007-4c57-a4ac-375f0d3ec0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ab5468-e81e-4415-96f8-a061e1653fd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25438D-76F8-40A2-84BE-76F0CEFEBF52}">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10a674b4-5007-4c57-a4ac-375f0d3ec0bd"/>
    <ds:schemaRef ds:uri="c5ab5468-e81e-4415-96f8-a061e1653fd3"/>
    <ds:schemaRef ds:uri="http://www.w3.org/XML/1998/namespace"/>
    <ds:schemaRef ds:uri="http://purl.org/dc/dcmitype/"/>
  </ds:schemaRefs>
</ds:datastoreItem>
</file>

<file path=customXml/itemProps2.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3.xml><?xml version="1.0" encoding="utf-8"?>
<ds:datastoreItem xmlns:ds="http://schemas.openxmlformats.org/officeDocument/2006/customXml" ds:itemID="{9CC33854-6F5F-494F-8FF8-C15092A5E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a674b4-5007-4c57-a4ac-375f0d3ec0bd"/>
    <ds:schemaRef ds:uri="c5ab5468-e81e-4415-96f8-a061e1653f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'7'!Print_Area</vt:lpstr>
      <vt:lpstr>'8'!Print_Area</vt:lpstr>
      <vt:lpstr>'9'!Print_Area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Angelica Rehnlund</cp:lastModifiedBy>
  <cp:lastPrinted>2023-03-21T15:06:02Z</cp:lastPrinted>
  <dcterms:created xsi:type="dcterms:W3CDTF">2020-02-12T13:45:07Z</dcterms:created>
  <dcterms:modified xsi:type="dcterms:W3CDTF">2023-08-24T08:36:48Z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0x010100873C229833EC514FB4C5288EF734FEC7</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ies>
</file>