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Financials\Accounting\Regnskap\Perioderegnskap\2023\Q3 2023\Final\"/>
    </mc:Choice>
  </mc:AlternateContent>
  <xr:revisionPtr revIDLastSave="0" documentId="13_ncr:1_{658A9AAD-F3A2-4AAE-B93A-DB053FDA2F53}" xr6:coauthVersionLast="47" xr6:coauthVersionMax="47" xr10:uidLastSave="{00000000-0000-0000-0000-000000000000}"/>
  <bookViews>
    <workbookView xWindow="28695" yWindow="0" windowWidth="29010" windowHeight="17385" xr2:uid="{00000000-000D-0000-FFFF-FFFF00000000}"/>
  </bookViews>
  <sheets>
    <sheet name="CONTENTS" sheetId="2" r:id="rId1"/>
    <sheet name="1" sheetId="27" r:id="rId2"/>
    <sheet name="2" sheetId="28" r:id="rId3"/>
    <sheet name="3" sheetId="30" r:id="rId4"/>
    <sheet name="4" sheetId="33" r:id="rId5"/>
    <sheet name="5" sheetId="41" r:id="rId6"/>
    <sheet name="6" sheetId="42" r:id="rId7"/>
    <sheet name="7" sheetId="3" r:id="rId8"/>
    <sheet name="8" sheetId="4" r:id="rId9"/>
    <sheet name="9" sheetId="5" r:id="rId10"/>
    <sheet name="10" sheetId="6" r:id="rId11"/>
    <sheet name="11" sheetId="7" r:id="rId12"/>
    <sheet name="12" sheetId="12" r:id="rId13"/>
    <sheet name="13" sheetId="13" r:id="rId14"/>
    <sheet name="14" sheetId="15" r:id="rId15"/>
    <sheet name="15" sheetId="16" r:id="rId16"/>
    <sheet name="16" sheetId="22" r:id="rId17"/>
    <sheet name="17" sheetId="47" r:id="rId18"/>
    <sheet name="18" sheetId="49" r:id="rId19"/>
  </sheets>
  <externalReferences>
    <externalReference r:id="rId20"/>
    <externalReference r:id="rId21"/>
    <externalReference r:id="rId22"/>
    <externalReference r:id="rId23"/>
  </externalReferences>
  <definedNames>
    <definedName name="_Toc317686788" localSheetId="6">'6'!#REF!</definedName>
    <definedName name="AFP">[1]SystemArk2!$K$1:$K$12</definedName>
    <definedName name="AS2DocOpenMode" hidden="1">"AS2DocumentEdit"</definedName>
    <definedName name="CF">#REF!</definedName>
    <definedName name="DSN">[1]SystemArk2!$N$1:$N$2</definedName>
    <definedName name="Filinnhol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40500.3678703704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ap.dekning">#REF!</definedName>
    <definedName name="Kontrakter">[1]SystemArk3!$C$1:$C$11</definedName>
    <definedName name="Oversikt">[2]Samleliste!$B$3:$AR$125</definedName>
    <definedName name="PlanNavn">#REF!</definedName>
    <definedName name="_xlnm.Print_Area" localSheetId="1">'1'!$A$3:$C$42</definedName>
    <definedName name="_xlnm.Print_Area" localSheetId="10">'10'!$A$5:$F$37</definedName>
    <definedName name="_xlnm.Print_Area" localSheetId="11">'11'!$A$5:$K$65</definedName>
    <definedName name="_xlnm.Print_Area" localSheetId="12">'12'!$A$5:$K$27</definedName>
    <definedName name="_xlnm.Print_Area" localSheetId="13">'13'!$A$4:$K$34</definedName>
    <definedName name="_xlnm.Print_Area" localSheetId="14">'14'!$A$4:$K$28</definedName>
    <definedName name="_xlnm.Print_Area" localSheetId="15">'15'!$A$4:$J$25</definedName>
    <definedName name="_xlnm.Print_Area" localSheetId="16">'16'!$A$4:$V$20</definedName>
    <definedName name="_xlnm.Print_Area" localSheetId="17">'17'!$A$4:$K$18</definedName>
    <definedName name="_xlnm.Print_Area" localSheetId="18">'18'!$A$4:$I$17</definedName>
    <definedName name="_xlnm.Print_Area" localSheetId="7">'7'!$A$4:$K$41</definedName>
    <definedName name="_xlnm.Print_Area" localSheetId="8">'8'!$A$5:$I$23</definedName>
    <definedName name="_xlnm.Print_Area" localSheetId="9">'9'!$A$5:$F$42</definedName>
    <definedName name="_xlnm.Print_Area" localSheetId="0">CONTENTS!$A$1:$G$11,CONTENTS!$A$13:$G$39</definedName>
    <definedName name="VarFriPlan">[1]VarFriPlan!$C$1:$C$26</definedName>
    <definedName name="ww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A19" i="33" l="1"/>
  <c r="CB19" i="33" s="1"/>
  <c r="BY19" i="33"/>
  <c r="BZ11" i="33"/>
  <c r="CA11" i="33"/>
  <c r="CB11" i="33" s="1"/>
  <c r="BY14" i="33"/>
  <c r="BY13" i="33"/>
  <c r="BY12" i="33"/>
  <c r="BY10" i="33"/>
  <c r="BY9" i="33"/>
  <c r="CB14" i="33"/>
  <c r="CB13" i="33"/>
  <c r="CB12" i="33"/>
  <c r="CB10" i="33"/>
  <c r="CB9" i="33"/>
  <c r="BW14" i="33"/>
  <c r="BW13" i="33"/>
  <c r="BW12" i="33"/>
  <c r="BW11" i="33"/>
  <c r="BW10" i="33"/>
  <c r="BW9" i="33"/>
  <c r="CA14" i="33"/>
  <c r="CA13" i="33"/>
  <c r="CA12" i="33"/>
  <c r="CA10" i="33"/>
  <c r="CA9" i="33"/>
  <c r="BV9" i="33"/>
  <c r="CA17" i="33"/>
  <c r="R115" i="28"/>
  <c r="R114" i="28"/>
  <c r="R113" i="28"/>
  <c r="R112" i="28"/>
  <c r="R107" i="28"/>
  <c r="R80" i="28"/>
  <c r="R86" i="28" s="1"/>
  <c r="R101" i="28" s="1"/>
  <c r="R57" i="28"/>
  <c r="R63" i="28" s="1"/>
  <c r="R77" i="28" s="1"/>
  <c r="R56" i="28"/>
  <c r="R51" i="28"/>
  <c r="R21" i="28"/>
  <c r="R20" i="28"/>
  <c r="R53" i="28" s="1"/>
  <c r="R17" i="28"/>
  <c r="R11" i="28"/>
  <c r="R7" i="28"/>
  <c r="R18" i="28" s="1"/>
  <c r="R54" i="28" s="1"/>
  <c r="BZ19" i="33" l="1"/>
  <c r="CB17" i="33"/>
  <c r="R109" i="28"/>
  <c r="R117" i="28" s="1"/>
  <c r="R78" i="28"/>
  <c r="R110" i="28" l="1"/>
  <c r="R102" i="28"/>
  <c r="R111" i="28" s="1"/>
  <c r="Q57" i="27" l="1"/>
  <c r="Q54" i="27"/>
  <c r="Q52" i="27"/>
  <c r="Q49" i="27"/>
  <c r="Q48" i="27"/>
  <c r="Q47" i="27"/>
  <c r="Q51" i="27" s="1"/>
  <c r="Q53" i="27" s="1"/>
  <c r="Q55" i="27" s="1"/>
  <c r="Q33" i="27"/>
  <c r="Q25" i="27"/>
  <c r="Q29" i="27" s="1"/>
  <c r="Q18" i="27"/>
  <c r="Q37" i="27" s="1"/>
  <c r="Q45" i="27" s="1"/>
  <c r="Q13" i="27"/>
  <c r="Q15" i="27" s="1"/>
  <c r="BO19" i="33"/>
  <c r="BP19" i="33" s="1"/>
  <c r="BJ19" i="33"/>
  <c r="BK19" i="33" s="1"/>
  <c r="BE19" i="33"/>
  <c r="BF19" i="33" s="1"/>
  <c r="AZ19" i="33"/>
  <c r="BA19" i="33" s="1"/>
  <c r="AU19" i="33"/>
  <c r="AV19" i="33" s="1"/>
  <c r="AP19" i="33"/>
  <c r="AQ19" i="33" s="1"/>
  <c r="AL19" i="33"/>
  <c r="AK19" i="33"/>
  <c r="AF19" i="33"/>
  <c r="AG19" i="33" s="1"/>
  <c r="AA19" i="33"/>
  <c r="AB19" i="33" s="1"/>
  <c r="V19" i="33"/>
  <c r="W19" i="33" s="1"/>
  <c r="R19" i="33"/>
  <c r="Q19" i="33"/>
  <c r="L19" i="33"/>
  <c r="M19" i="33" s="1"/>
  <c r="H19" i="33"/>
  <c r="G19" i="33"/>
  <c r="C19" i="33"/>
  <c r="B19" i="33"/>
  <c r="BV14" i="33"/>
  <c r="BT14" i="33" s="1"/>
  <c r="BV13" i="33"/>
  <c r="BV12" i="33"/>
  <c r="BV10" i="33"/>
  <c r="O42" i="27"/>
  <c r="O41" i="27"/>
  <c r="O43" i="27"/>
  <c r="P43" i="27"/>
  <c r="P42" i="27"/>
  <c r="P41" i="27"/>
  <c r="P40" i="27"/>
  <c r="P22" i="27"/>
  <c r="P25" i="27" s="1"/>
  <c r="P29" i="27" s="1"/>
  <c r="P31" i="27" s="1"/>
  <c r="BV17" i="33"/>
  <c r="BV19" i="33" s="1"/>
  <c r="BW19" i="33" s="1"/>
  <c r="BT13" i="33"/>
  <c r="BT12" i="33"/>
  <c r="BU11" i="33"/>
  <c r="BT10" i="33"/>
  <c r="BT9" i="33"/>
  <c r="BT19" i="33" s="1"/>
  <c r="BU19" i="33" s="1"/>
  <c r="Q115" i="28"/>
  <c r="Q114" i="28"/>
  <c r="Q113" i="28"/>
  <c r="Q80" i="28"/>
  <c r="Q86" i="28" s="1"/>
  <c r="Q101" i="28" s="1"/>
  <c r="Q57" i="28"/>
  <c r="Q63" i="28" s="1"/>
  <c r="Q77" i="28" s="1"/>
  <c r="Q56" i="28"/>
  <c r="Q51" i="28"/>
  <c r="Q21" i="28"/>
  <c r="Q20" i="28"/>
  <c r="Q53" i="28" s="1"/>
  <c r="Q17" i="28"/>
  <c r="Q7" i="28"/>
  <c r="P57" i="27"/>
  <c r="P54" i="27"/>
  <c r="P52" i="27"/>
  <c r="P49" i="27"/>
  <c r="P48" i="27"/>
  <c r="P47" i="27"/>
  <c r="P51" i="27" s="1"/>
  <c r="P53" i="27" s="1"/>
  <c r="P55" i="27" s="1"/>
  <c r="Q112" i="28" s="1"/>
  <c r="P33" i="27"/>
  <c r="P18" i="27"/>
  <c r="P37" i="27" s="1"/>
  <c r="P45" i="27" s="1"/>
  <c r="P13" i="27"/>
  <c r="P15" i="27" s="1"/>
  <c r="Q107" i="28" s="1"/>
  <c r="AR17" i="33"/>
  <c r="BQ17" i="33"/>
  <c r="BQ14" i="33"/>
  <c r="BQ13" i="33"/>
  <c r="BQ12" i="33"/>
  <c r="BQ10" i="33"/>
  <c r="BQ9" i="33"/>
  <c r="BL17" i="33"/>
  <c r="Q41" i="27" l="1"/>
  <c r="Q42" i="27"/>
  <c r="Q40" i="27"/>
  <c r="Q31" i="27"/>
  <c r="Q34" i="27" s="1"/>
  <c r="P34" i="27"/>
  <c r="Q11" i="28"/>
  <c r="BW17" i="33"/>
  <c r="Q18" i="28"/>
  <c r="Q54" i="28" s="1"/>
  <c r="Q78" i="28" s="1"/>
  <c r="BR17" i="33"/>
  <c r="BR14" i="33"/>
  <c r="BO14" i="33"/>
  <c r="BR13" i="33"/>
  <c r="BO13" i="33"/>
  <c r="BR12" i="33"/>
  <c r="BO12" i="33"/>
  <c r="BR11" i="33"/>
  <c r="BP11" i="33"/>
  <c r="BO10" i="33"/>
  <c r="BR9" i="33"/>
  <c r="BO9" i="33"/>
  <c r="P115" i="28"/>
  <c r="P114" i="28"/>
  <c r="P113" i="28"/>
  <c r="P80" i="28"/>
  <c r="P86" i="28" s="1"/>
  <c r="P101" i="28" s="1"/>
  <c r="P57" i="28"/>
  <c r="P56" i="28"/>
  <c r="P51" i="28"/>
  <c r="P21" i="28"/>
  <c r="P20" i="28"/>
  <c r="P17" i="28"/>
  <c r="P11" i="28"/>
  <c r="P7" i="28"/>
  <c r="O57" i="27"/>
  <c r="O54" i="27"/>
  <c r="O52" i="27"/>
  <c r="O49" i="27"/>
  <c r="O48" i="27"/>
  <c r="O47" i="27"/>
  <c r="O51" i="27" s="1"/>
  <c r="O53" i="27" s="1"/>
  <c r="O55" i="27" s="1"/>
  <c r="P112" i="28" s="1"/>
  <c r="O33" i="27"/>
  <c r="O25" i="27"/>
  <c r="O29" i="27" s="1"/>
  <c r="O31" i="27" s="1"/>
  <c r="O34" i="27" s="1"/>
  <c r="O18" i="27"/>
  <c r="O37" i="27" s="1"/>
  <c r="O45" i="27" s="1"/>
  <c r="O13" i="27"/>
  <c r="O15" i="27" s="1"/>
  <c r="P107" i="28" s="1"/>
  <c r="BL19" i="33"/>
  <c r="BM19" i="33" s="1"/>
  <c r="BK11" i="33"/>
  <c r="BF11" i="33"/>
  <c r="BJ14" i="33"/>
  <c r="BJ13" i="33"/>
  <c r="BJ12" i="33"/>
  <c r="BE14" i="33"/>
  <c r="BE13" i="33"/>
  <c r="BE12" i="33"/>
  <c r="BJ10" i="33"/>
  <c r="BJ9" i="33"/>
  <c r="BE10" i="33"/>
  <c r="BE9" i="33"/>
  <c r="BM14" i="33"/>
  <c r="BM13" i="33"/>
  <c r="BM12" i="33"/>
  <c r="BM11" i="33"/>
  <c r="BM10" i="33"/>
  <c r="BM9" i="33"/>
  <c r="BH14" i="33"/>
  <c r="BH13" i="33"/>
  <c r="BH12" i="33"/>
  <c r="BH11" i="33"/>
  <c r="BH10" i="33"/>
  <c r="BH9" i="33"/>
  <c r="BC14" i="33"/>
  <c r="BC13" i="33"/>
  <c r="BC12" i="33"/>
  <c r="BC11" i="33"/>
  <c r="BC10" i="33"/>
  <c r="BC9" i="33"/>
  <c r="BA11" i="33"/>
  <c r="BL14" i="33"/>
  <c r="BL13" i="33"/>
  <c r="BL12" i="33"/>
  <c r="BL10" i="33"/>
  <c r="BL9" i="33"/>
  <c r="BG14" i="33"/>
  <c r="BG13" i="33"/>
  <c r="BG12" i="33"/>
  <c r="BG10" i="33"/>
  <c r="BG9" i="33"/>
  <c r="BB14" i="33"/>
  <c r="BB13" i="33"/>
  <c r="BB12" i="33"/>
  <c r="BB10" i="33"/>
  <c r="BB9" i="33"/>
  <c r="AZ10" i="33"/>
  <c r="AZ9" i="33"/>
  <c r="AW12" i="33"/>
  <c r="AW10" i="33"/>
  <c r="S13" i="22"/>
  <c r="M13" i="22"/>
  <c r="L13" i="22"/>
  <c r="G12" i="16"/>
  <c r="F12" i="16"/>
  <c r="E12" i="16"/>
  <c r="D12" i="16"/>
  <c r="D10" i="16"/>
  <c r="Q43" i="27" l="1"/>
  <c r="Q109" i="28"/>
  <c r="Q117" i="28" s="1"/>
  <c r="P63" i="28"/>
  <c r="P77" i="28" s="1"/>
  <c r="Q110" i="28"/>
  <c r="Q102" i="28"/>
  <c r="Q111" i="28" s="1"/>
  <c r="P53" i="28"/>
  <c r="P18" i="28"/>
  <c r="BR10" i="33"/>
  <c r="BQ19" i="33"/>
  <c r="BR19" i="33" s="1"/>
  <c r="I18" i="13"/>
  <c r="H18" i="13"/>
  <c r="G18" i="13"/>
  <c r="F18" i="13"/>
  <c r="I17" i="13"/>
  <c r="H17" i="13"/>
  <c r="G17" i="13"/>
  <c r="F17" i="13"/>
  <c r="J17" i="13" s="1"/>
  <c r="J15" i="13"/>
  <c r="J14" i="13"/>
  <c r="J21" i="13"/>
  <c r="J20" i="13"/>
  <c r="J19" i="13"/>
  <c r="J18" i="13"/>
  <c r="J16" i="13"/>
  <c r="J13" i="13"/>
  <c r="J12" i="13"/>
  <c r="J11" i="13"/>
  <c r="H14" i="15"/>
  <c r="G14" i="15"/>
  <c r="I13" i="15"/>
  <c r="I14" i="15" s="1"/>
  <c r="I12" i="15"/>
  <c r="I11" i="15"/>
  <c r="F14" i="15"/>
  <c r="E14" i="15"/>
  <c r="D13" i="15"/>
  <c r="D12" i="15"/>
  <c r="D11" i="15"/>
  <c r="E14" i="13"/>
  <c r="P54" i="28" l="1"/>
  <c r="E34" i="6"/>
  <c r="E30" i="6"/>
  <c r="P109" i="28" l="1"/>
  <c r="P117" i="28" s="1"/>
  <c r="P78" i="28"/>
  <c r="E24" i="6"/>
  <c r="P110" i="28" l="1"/>
  <c r="P102" i="28"/>
  <c r="P111" i="28" s="1"/>
  <c r="D8" i="5"/>
  <c r="E8" i="2"/>
  <c r="E9" i="2" s="1"/>
  <c r="E10" i="2" s="1"/>
  <c r="E11" i="2" s="1"/>
  <c r="E12" i="2" s="1"/>
  <c r="E13" i="2" s="1"/>
  <c r="E14" i="2" s="1"/>
  <c r="E15" i="2" s="1"/>
  <c r="E16" i="2" s="1"/>
  <c r="E17" i="2" s="1"/>
  <c r="E18" i="2" s="1"/>
  <c r="E19" i="2" s="1"/>
  <c r="E20" i="2" s="1"/>
  <c r="E21" i="2" s="1"/>
  <c r="E22" i="2" s="1"/>
  <c r="E23" i="2" s="1"/>
  <c r="E7" i="2"/>
  <c r="D14" i="3"/>
  <c r="D13" i="3"/>
  <c r="D12" i="3"/>
  <c r="H19" i="42"/>
  <c r="G20" i="42"/>
  <c r="F20" i="42"/>
  <c r="F19" i="42"/>
  <c r="C13" i="42"/>
  <c r="C6" i="42"/>
  <c r="C8" i="42"/>
  <c r="C12" i="41"/>
  <c r="C15" i="41"/>
  <c r="C13" i="41"/>
  <c r="E40" i="41"/>
  <c r="D40" i="41"/>
  <c r="E39" i="41"/>
  <c r="D39" i="41"/>
  <c r="E38" i="41"/>
  <c r="D38" i="41"/>
  <c r="D13" i="4" l="1"/>
  <c r="C38" i="41" l="1"/>
  <c r="C39" i="41"/>
  <c r="D32" i="41" l="1"/>
  <c r="C32" i="41"/>
  <c r="C24" i="41"/>
  <c r="H24" i="41" s="1"/>
  <c r="C16" i="41"/>
  <c r="C11" i="41"/>
  <c r="M16" i="22"/>
  <c r="M17" i="22" s="1"/>
  <c r="AZ14" i="33"/>
  <c r="AZ13" i="33"/>
  <c r="AZ12" i="33"/>
  <c r="O115" i="28"/>
  <c r="N115" i="28"/>
  <c r="O114" i="28"/>
  <c r="N114" i="28"/>
  <c r="O113" i="28"/>
  <c r="N113" i="28"/>
  <c r="O112" i="28"/>
  <c r="N112" i="28"/>
  <c r="M115" i="28"/>
  <c r="M114" i="28"/>
  <c r="M113" i="28"/>
  <c r="M112" i="28"/>
  <c r="O107" i="28"/>
  <c r="O86" i="28"/>
  <c r="O101" i="28" s="1"/>
  <c r="N86" i="28"/>
  <c r="N101" i="28" s="1"/>
  <c r="O80" i="28"/>
  <c r="N80" i="28"/>
  <c r="M80" i="28"/>
  <c r="M86" i="28" s="1"/>
  <c r="M101" i="28" s="1"/>
  <c r="O57" i="28"/>
  <c r="N57" i="28"/>
  <c r="O56" i="28"/>
  <c r="N56" i="28"/>
  <c r="M57" i="28"/>
  <c r="M56" i="28"/>
  <c r="O51" i="28"/>
  <c r="N51" i="28"/>
  <c r="M51" i="28"/>
  <c r="O21" i="28"/>
  <c r="N21" i="28"/>
  <c r="M21" i="28"/>
  <c r="O20" i="28"/>
  <c r="N20" i="28"/>
  <c r="M20" i="28"/>
  <c r="O17" i="28"/>
  <c r="N17" i="28"/>
  <c r="M17" i="28"/>
  <c r="O11" i="28"/>
  <c r="N11" i="28"/>
  <c r="M11" i="28"/>
  <c r="O7" i="28"/>
  <c r="N7" i="28"/>
  <c r="M7" i="28"/>
  <c r="L54" i="27"/>
  <c r="M54" i="27" s="1"/>
  <c r="N54" i="27" s="1"/>
  <c r="L52" i="27"/>
  <c r="M52" i="27" s="1"/>
  <c r="N52" i="27" s="1"/>
  <c r="L49" i="27"/>
  <c r="M49" i="27" s="1"/>
  <c r="N49" i="27" s="1"/>
  <c r="L48" i="27"/>
  <c r="M48" i="27" s="1"/>
  <c r="N48" i="27" s="1"/>
  <c r="N41" i="27"/>
  <c r="N43" i="27" s="1"/>
  <c r="N42" i="27"/>
  <c r="M42" i="27"/>
  <c r="M41" i="27"/>
  <c r="L42" i="27"/>
  <c r="L41" i="27"/>
  <c r="L43" i="27" s="1"/>
  <c r="N33" i="27"/>
  <c r="M33" i="27"/>
  <c r="L33" i="27"/>
  <c r="M18" i="27"/>
  <c r="L18" i="27"/>
  <c r="K18" i="27"/>
  <c r="J18" i="27"/>
  <c r="I18" i="27"/>
  <c r="H18" i="27"/>
  <c r="G18" i="27"/>
  <c r="F18" i="27"/>
  <c r="E18" i="27"/>
  <c r="D18" i="27"/>
  <c r="C18" i="27"/>
  <c r="B18" i="27"/>
  <c r="M37" i="27"/>
  <c r="M45" i="27" s="1"/>
  <c r="L37" i="27"/>
  <c r="K37" i="27"/>
  <c r="J37" i="27"/>
  <c r="I37" i="27"/>
  <c r="I45" i="27" s="1"/>
  <c r="H37" i="27"/>
  <c r="H45" i="27" s="1"/>
  <c r="G37" i="27"/>
  <c r="G45" i="27" s="1"/>
  <c r="F37" i="27"/>
  <c r="F45" i="27" s="1"/>
  <c r="E37" i="27"/>
  <c r="E45" i="27" s="1"/>
  <c r="D37" i="27"/>
  <c r="D45" i="27" s="1"/>
  <c r="C37" i="27"/>
  <c r="C45" i="27" s="1"/>
  <c r="B37" i="27"/>
  <c r="B45" i="27" s="1"/>
  <c r="L45" i="27"/>
  <c r="K45" i="27"/>
  <c r="J45" i="27"/>
  <c r="N37" i="27"/>
  <c r="N45" i="27" s="1"/>
  <c r="N18" i="27"/>
  <c r="N57" i="27"/>
  <c r="N47" i="27"/>
  <c r="N25" i="27"/>
  <c r="N29" i="27" s="1"/>
  <c r="N31" i="27" s="1"/>
  <c r="N13" i="27"/>
  <c r="N15" i="27" s="1"/>
  <c r="M57" i="27"/>
  <c r="M47" i="27"/>
  <c r="M43" i="27"/>
  <c r="M25" i="27"/>
  <c r="M29" i="27" s="1"/>
  <c r="M31" i="27" s="1"/>
  <c r="M34" i="27" s="1"/>
  <c r="M13" i="27"/>
  <c r="M15" i="27" s="1"/>
  <c r="N107" i="28" s="1"/>
  <c r="L57" i="27"/>
  <c r="L47" i="27"/>
  <c r="L51" i="27" s="1"/>
  <c r="L25" i="27"/>
  <c r="L29" i="27" s="1"/>
  <c r="L31" i="27" s="1"/>
  <c r="L13" i="27"/>
  <c r="L15" i="27" s="1"/>
  <c r="M107" i="28" s="1"/>
  <c r="G23" i="2"/>
  <c r="G22" i="2"/>
  <c r="G21" i="2"/>
  <c r="G20" i="2"/>
  <c r="G19" i="2"/>
  <c r="G18" i="2"/>
  <c r="G17" i="2"/>
  <c r="G16" i="2"/>
  <c r="G15" i="2"/>
  <c r="G14" i="2"/>
  <c r="G13" i="2"/>
  <c r="D7" i="4" s="1"/>
  <c r="G12" i="2"/>
  <c r="G11" i="2"/>
  <c r="G9" i="2"/>
  <c r="G8" i="2"/>
  <c r="G7" i="2"/>
  <c r="L17" i="22"/>
  <c r="H11" i="22"/>
  <c r="H17" i="22" s="1"/>
  <c r="D17" i="13"/>
  <c r="H10" i="12"/>
  <c r="G10" i="12"/>
  <c r="G11" i="12"/>
  <c r="F11" i="12"/>
  <c r="E11" i="12"/>
  <c r="D11" i="12"/>
  <c r="I11" i="12" s="1"/>
  <c r="D10" i="12"/>
  <c r="E23" i="6"/>
  <c r="E13" i="6"/>
  <c r="E14" i="6"/>
  <c r="E17" i="6"/>
  <c r="E31" i="6"/>
  <c r="D33" i="5"/>
  <c r="D15" i="4"/>
  <c r="N12" i="3"/>
  <c r="G35" i="42"/>
  <c r="G34" i="42"/>
  <c r="G33" i="42"/>
  <c r="G28" i="42"/>
  <c r="G26" i="42"/>
  <c r="G25" i="42"/>
  <c r="G27" i="42"/>
  <c r="D41" i="41"/>
  <c r="F32" i="41"/>
  <c r="AW14" i="33"/>
  <c r="AW9" i="33"/>
  <c r="AX14" i="33"/>
  <c r="AU14" i="33"/>
  <c r="AX13" i="33"/>
  <c r="AU13" i="33"/>
  <c r="AX12" i="33"/>
  <c r="AU12" i="33"/>
  <c r="AX11" i="33"/>
  <c r="AU11" i="33"/>
  <c r="AV11" i="33"/>
  <c r="AX10" i="33"/>
  <c r="AU10" i="33"/>
  <c r="AX9" i="33"/>
  <c r="AU9" i="33"/>
  <c r="L18" i="28"/>
  <c r="L53" i="28"/>
  <c r="K43" i="27"/>
  <c r="K57" i="27"/>
  <c r="K47" i="27"/>
  <c r="K48" i="27"/>
  <c r="K49" i="27"/>
  <c r="K51" i="27"/>
  <c r="K52" i="27"/>
  <c r="K53" i="27"/>
  <c r="K54" i="27"/>
  <c r="K55" i="27"/>
  <c r="K33" i="27"/>
  <c r="K34" i="27"/>
  <c r="K25" i="27"/>
  <c r="K29" i="27"/>
  <c r="K13" i="27"/>
  <c r="K15" i="27"/>
  <c r="AR14" i="33"/>
  <c r="AP14" i="33"/>
  <c r="AR9" i="33"/>
  <c r="AR10" i="33"/>
  <c r="AR12" i="33"/>
  <c r="AP11" i="33"/>
  <c r="AS12" i="33"/>
  <c r="AS10" i="33"/>
  <c r="AS13" i="33"/>
  <c r="AP13" i="33"/>
  <c r="AS11" i="33"/>
  <c r="AS9" i="33"/>
  <c r="AP9" i="33"/>
  <c r="J43" i="27"/>
  <c r="J33" i="27"/>
  <c r="J34" i="27"/>
  <c r="J25" i="27"/>
  <c r="J29" i="27"/>
  <c r="J13" i="27"/>
  <c r="J15" i="27"/>
  <c r="J57" i="27"/>
  <c r="J51" i="27"/>
  <c r="J53" i="27"/>
  <c r="J55" i="27"/>
  <c r="J54" i="27"/>
  <c r="J52" i="27"/>
  <c r="J49" i="27"/>
  <c r="J48" i="27"/>
  <c r="J47" i="27"/>
  <c r="AM14" i="33"/>
  <c r="AK14" i="33"/>
  <c r="AM12" i="33"/>
  <c r="AK12" i="33"/>
  <c r="AN11" i="33"/>
  <c r="AM9" i="33"/>
  <c r="AN9" i="33"/>
  <c r="AM17" i="33"/>
  <c r="AN17" i="33"/>
  <c r="AN13" i="33"/>
  <c r="AK13" i="33"/>
  <c r="I55" i="27"/>
  <c r="I53" i="27"/>
  <c r="I51" i="27"/>
  <c r="I48" i="27"/>
  <c r="I49" i="27"/>
  <c r="I52" i="27"/>
  <c r="I54" i="27"/>
  <c r="I57" i="27"/>
  <c r="I47" i="27"/>
  <c r="I43" i="27"/>
  <c r="I33" i="27"/>
  <c r="I34" i="27"/>
  <c r="I29" i="27"/>
  <c r="I25" i="27"/>
  <c r="I15" i="27"/>
  <c r="I13" i="27"/>
  <c r="I12" i="27"/>
  <c r="I10" i="27"/>
  <c r="AH11" i="33"/>
  <c r="AF11" i="33"/>
  <c r="AF10" i="33"/>
  <c r="AF12" i="33"/>
  <c r="AF13" i="33"/>
  <c r="AF14" i="33"/>
  <c r="H51" i="27"/>
  <c r="H53" i="27"/>
  <c r="H55" i="27"/>
  <c r="H49" i="27"/>
  <c r="H48" i="27"/>
  <c r="H47" i="27"/>
  <c r="H43" i="27"/>
  <c r="H33" i="27"/>
  <c r="H25" i="27"/>
  <c r="H29" i="27"/>
  <c r="H31" i="27"/>
  <c r="H34" i="27"/>
  <c r="H15" i="27"/>
  <c r="H13" i="27"/>
  <c r="H8" i="27"/>
  <c r="H10" i="27"/>
  <c r="AI17" i="33"/>
  <c r="AH17" i="33"/>
  <c r="AI14" i="33"/>
  <c r="AI13" i="33"/>
  <c r="AI10" i="33"/>
  <c r="AI9" i="33"/>
  <c r="AF9" i="33"/>
  <c r="AS14" i="33"/>
  <c r="AP10" i="33"/>
  <c r="AP12" i="33"/>
  <c r="AN14" i="33"/>
  <c r="AN12" i="33"/>
  <c r="AN10" i="33"/>
  <c r="AK9" i="33"/>
  <c r="AM19" i="33"/>
  <c r="AN19" i="33"/>
  <c r="AI12" i="33"/>
  <c r="T19" i="33"/>
  <c r="S19" i="33"/>
  <c r="AC17" i="33"/>
  <c r="X17" i="33"/>
  <c r="Y17" i="33"/>
  <c r="AC14" i="33"/>
  <c r="AA14" i="33"/>
  <c r="Y14" i="33"/>
  <c r="V14" i="33"/>
  <c r="AD13" i="33"/>
  <c r="AA13" i="33"/>
  <c r="Y13" i="33"/>
  <c r="V13" i="33"/>
  <c r="AC12" i="33"/>
  <c r="AD12" i="33"/>
  <c r="X12" i="33"/>
  <c r="V12" i="33"/>
  <c r="AC11" i="33"/>
  <c r="AA11" i="33"/>
  <c r="Y11" i="33"/>
  <c r="V11" i="33"/>
  <c r="W11" i="33"/>
  <c r="Q11" i="33"/>
  <c r="R11" i="33"/>
  <c r="AC10" i="33"/>
  <c r="AA10" i="33"/>
  <c r="X10" i="33"/>
  <c r="Y10" i="33"/>
  <c r="V10" i="33"/>
  <c r="AC9" i="33"/>
  <c r="AD9" i="33"/>
  <c r="Y9" i="33"/>
  <c r="V9" i="33"/>
  <c r="H11" i="12"/>
  <c r="E10" i="12"/>
  <c r="F10" i="12"/>
  <c r="F12" i="12" s="1"/>
  <c r="F36" i="42"/>
  <c r="E36" i="42"/>
  <c r="D36" i="42"/>
  <c r="C36" i="42"/>
  <c r="B36" i="42"/>
  <c r="G29" i="42"/>
  <c r="F29" i="42"/>
  <c r="E29" i="42"/>
  <c r="D29" i="42"/>
  <c r="C29" i="42"/>
  <c r="B29" i="42"/>
  <c r="AA9" i="33"/>
  <c r="AD10" i="33"/>
  <c r="AD14" i="33"/>
  <c r="AC19" i="33"/>
  <c r="AD19" i="33"/>
  <c r="AB11" i="33"/>
  <c r="Y12" i="33"/>
  <c r="AD17" i="33"/>
  <c r="AA12" i="33"/>
  <c r="AD11" i="33"/>
  <c r="X19" i="33"/>
  <c r="Y19" i="33"/>
  <c r="T13" i="22"/>
  <c r="T12" i="22"/>
  <c r="T14" i="22"/>
  <c r="T15" i="22"/>
  <c r="D10" i="22"/>
  <c r="D17" i="22" s="1"/>
  <c r="T10" i="22"/>
  <c r="E17" i="22"/>
  <c r="F17" i="22"/>
  <c r="G17" i="22"/>
  <c r="I17" i="22"/>
  <c r="J17" i="22"/>
  <c r="K17" i="22"/>
  <c r="N17" i="22"/>
  <c r="O17" i="22"/>
  <c r="P17" i="22"/>
  <c r="Q17" i="22"/>
  <c r="R17" i="22"/>
  <c r="S17" i="22"/>
  <c r="D14" i="15"/>
  <c r="E17" i="13"/>
  <c r="D18" i="13"/>
  <c r="C14" i="15"/>
  <c r="D10" i="5"/>
  <c r="D12" i="5" s="1"/>
  <c r="C41" i="41"/>
  <c r="F31" i="41"/>
  <c r="C18" i="41"/>
  <c r="C14" i="42" s="1"/>
  <c r="C15" i="42" s="1"/>
  <c r="G12" i="12"/>
  <c r="H12" i="12"/>
  <c r="E33" i="6"/>
  <c r="H20" i="42"/>
  <c r="B7" i="2"/>
  <c r="B8" i="2"/>
  <c r="B9" i="2"/>
  <c r="B10" i="2" s="1"/>
  <c r="B11" i="2" s="1"/>
  <c r="B12" i="2" s="1"/>
  <c r="B13" i="2" s="1"/>
  <c r="B14" i="2" s="1"/>
  <c r="B15" i="2" s="1"/>
  <c r="B16" i="2" s="1"/>
  <c r="B17" i="2" s="1"/>
  <c r="B18" i="2" s="1"/>
  <c r="B19" i="2" s="1"/>
  <c r="B20" i="2" s="1"/>
  <c r="B21" i="2" s="1"/>
  <c r="B22" i="2" s="1"/>
  <c r="B23" i="2" s="1"/>
  <c r="D20" i="42"/>
  <c r="E20" i="42"/>
  <c r="C20" i="42"/>
  <c r="AH19" i="33"/>
  <c r="AI19" i="33"/>
  <c r="AG11" i="33"/>
  <c r="AI11" i="33"/>
  <c r="AQ11" i="33"/>
  <c r="D31" i="6"/>
  <c r="M53" i="28" l="1"/>
  <c r="M63" i="28"/>
  <c r="M77" i="28" s="1"/>
  <c r="N53" i="28"/>
  <c r="O63" i="28"/>
  <c r="O77" i="28" s="1"/>
  <c r="M18" i="28"/>
  <c r="N18" i="28"/>
  <c r="O18" i="28"/>
  <c r="AS17" i="33"/>
  <c r="AW17" i="33"/>
  <c r="AR19" i="33"/>
  <c r="AS19" i="33" s="1"/>
  <c r="L54" i="28"/>
  <c r="L109" i="28" s="1"/>
  <c r="N63" i="28"/>
  <c r="N77" i="28" s="1"/>
  <c r="O53" i="28"/>
  <c r="T16" i="22"/>
  <c r="T11" i="22"/>
  <c r="E18" i="13"/>
  <c r="E26" i="6"/>
  <c r="E35" i="6" s="1"/>
  <c r="G36" i="42"/>
  <c r="D12" i="12"/>
  <c r="I10" i="12"/>
  <c r="I12" i="12" s="1"/>
  <c r="E12" i="12"/>
  <c r="E41" i="41"/>
  <c r="F40" i="41" s="1"/>
  <c r="C7" i="42" s="1"/>
  <c r="N14" i="3"/>
  <c r="D29" i="5"/>
  <c r="D31" i="5" s="1"/>
  <c r="D34" i="5" s="1"/>
  <c r="D36" i="5" s="1"/>
  <c r="N13" i="3"/>
  <c r="M22" i="3" s="1"/>
  <c r="C19" i="41"/>
  <c r="BM17" i="33"/>
  <c r="N34" i="27"/>
  <c r="L34" i="27"/>
  <c r="L53" i="27"/>
  <c r="L55" i="27" s="1"/>
  <c r="N51" i="27"/>
  <c r="N53" i="27" s="1"/>
  <c r="N55" i="27" s="1"/>
  <c r="M51" i="27"/>
  <c r="M53" i="27" s="1"/>
  <c r="M55" i="27" s="1"/>
  <c r="M21" i="3"/>
  <c r="M54" i="28" l="1"/>
  <c r="M109" i="28" s="1"/>
  <c r="M117" i="28" s="1"/>
  <c r="M78" i="28"/>
  <c r="M102" i="28" s="1"/>
  <c r="M111" i="28" s="1"/>
  <c r="O54" i="28"/>
  <c r="O109" i="28" s="1"/>
  <c r="O117" i="28" s="1"/>
  <c r="N54" i="28"/>
  <c r="N109" i="28" s="1"/>
  <c r="N117" i="28" s="1"/>
  <c r="N78" i="28"/>
  <c r="BB17" i="33"/>
  <c r="AX17" i="33"/>
  <c r="AW19" i="33"/>
  <c r="AX19" i="33" s="1"/>
  <c r="N110" i="28"/>
  <c r="N102" i="28"/>
  <c r="N111" i="28" s="1"/>
  <c r="O78" i="28"/>
  <c r="L78" i="28"/>
  <c r="L102" i="28" s="1"/>
  <c r="L111" i="28" s="1"/>
  <c r="T17" i="22"/>
  <c r="M23" i="3"/>
  <c r="F39" i="41"/>
  <c r="F38" i="41"/>
  <c r="C9" i="42" s="1"/>
  <c r="M110" i="28" l="1"/>
  <c r="BG17" i="33"/>
  <c r="BB19" i="33"/>
  <c r="BC19" i="33" s="1"/>
  <c r="BC17" i="33"/>
  <c r="O110" i="28"/>
  <c r="O102" i="28"/>
  <c r="O111" i="28" s="1"/>
  <c r="L110" i="28"/>
  <c r="BG19" i="33" l="1"/>
  <c r="BH19" i="33" s="1"/>
  <c r="BH17" i="33"/>
</calcChain>
</file>

<file path=xl/sharedStrings.xml><?xml version="1.0" encoding="utf-8"?>
<sst xmlns="http://schemas.openxmlformats.org/spreadsheetml/2006/main" count="994" uniqueCount="717">
  <si>
    <t>Quarterly</t>
  </si>
  <si>
    <t>Annually</t>
  </si>
  <si>
    <t>Operational risk</t>
  </si>
  <si>
    <t>Geographical distribution of credit exposures used in the countercyclical capital buffer</t>
  </si>
  <si>
    <t>LR1</t>
  </si>
  <si>
    <t>Summary comparison of accounting assets vs leverage ratio exposure</t>
  </si>
  <si>
    <t>LR2</t>
  </si>
  <si>
    <t>Leverage ratio common disclosure template</t>
  </si>
  <si>
    <t>LIQ1</t>
  </si>
  <si>
    <t>Liquidity Coverage Ratio (LCR)</t>
  </si>
  <si>
    <t>AE</t>
  </si>
  <si>
    <t>Disclosure of asset encumbrance</t>
  </si>
  <si>
    <t>CRB-E</t>
  </si>
  <si>
    <t>Maturity of exposures</t>
  </si>
  <si>
    <t>CR1-A</t>
  </si>
  <si>
    <t>Credit quality of exposures by exposure class and instrument</t>
  </si>
  <si>
    <t>CR1-C</t>
  </si>
  <si>
    <t>Credit quality of exposures by geography</t>
  </si>
  <si>
    <t>CR1-D</t>
  </si>
  <si>
    <t>Ageing of past-due exposures</t>
  </si>
  <si>
    <t>CR5</t>
  </si>
  <si>
    <t>Standardised approach</t>
  </si>
  <si>
    <t>Amounts in NOK million</t>
  </si>
  <si>
    <t>a</t>
  </si>
  <si>
    <t>b</t>
  </si>
  <si>
    <t>c</t>
  </si>
  <si>
    <t>d</t>
  </si>
  <si>
    <t>e</t>
  </si>
  <si>
    <t>Norway</t>
  </si>
  <si>
    <t>Sweden</t>
  </si>
  <si>
    <t>Total</t>
  </si>
  <si>
    <t>LR1 – Summary comparison of accounting assets vs leverage ratio exposure</t>
  </si>
  <si>
    <t>Total consolidated assets as per published financial statements</t>
  </si>
  <si>
    <t>Adjustment for investments in banking, financial, insurance or commercial entities that are consolidated for accounting purposes but outside the scope of regulatory consolidation</t>
  </si>
  <si>
    <t>Adjustment for fiduciary assets recognised on the balance sheet pursuant to the operative accounting framework but excluded from the leverage ratio exposure measure</t>
  </si>
  <si>
    <t>Adjustments for derivative financial instruments</t>
  </si>
  <si>
    <t>Adjustment for securities financing transactions (ie repos and similar secured lending)</t>
  </si>
  <si>
    <t>Adjustment for off-balance sheet items (ie conversion to credit equivalent amounts of off-balance sheet exposures)</t>
  </si>
  <si>
    <t>Other adjustments</t>
  </si>
  <si>
    <t>Leverage ratio exposure measure</t>
  </si>
  <si>
    <t>LR2 – Leverage ratio common disclosure template (January 2014 standard)</t>
  </si>
  <si>
    <t>On-balance sheet exposures</t>
  </si>
  <si>
    <t>On-balance sheet exposures (excluding derivatives and securities financing transactions (SFTs), but including collateral)</t>
  </si>
  <si>
    <t>(Asset amounts deducted in determining Basel III Tier 1 capital)</t>
  </si>
  <si>
    <t>Total on-balance sheet exposures (excluding derivatives and SFTs) (sum of rows 1 and 2)</t>
  </si>
  <si>
    <t>Derivative exposures</t>
  </si>
  <si>
    <t>Replacement cost associated with all derivatives transactions (where applicable net of eligible cash variation margin and/or with bilateral netting)</t>
  </si>
  <si>
    <t>Add-on amounts for PFE associated with all derivatives transactions</t>
  </si>
  <si>
    <t>Gross-up for derivatives collateral provided where deducted from the balance sheet assets pursuant to the operative accounting framework</t>
  </si>
  <si>
    <t>(Deductions of receivables assets for cash variation margin provided in derivatives transactions)</t>
  </si>
  <si>
    <t>(Exempted CCP leg of client-cleared trade exposures)</t>
  </si>
  <si>
    <t>Adjusted effective notional amount of written credit derivatives</t>
  </si>
  <si>
    <t>(Adjusted effective notional offsets and add-on deductions for written credit derivatives)</t>
  </si>
  <si>
    <t>Total derivative exposures (sum of rows 4 to 10)</t>
  </si>
  <si>
    <t>Securities financing transaction exposures</t>
  </si>
  <si>
    <t>Gross SFT assets (with no recognition of netting), after adjusting for sale accounting transactions</t>
  </si>
  <si>
    <t>(Netted amounts of cash payables and cash receivables of gross SFT assets)</t>
  </si>
  <si>
    <t>CCR exposure for SFT assets</t>
  </si>
  <si>
    <t>Agent transaction exposures</t>
  </si>
  <si>
    <t>Total securities financing transaction exposures (sum of rows 12 to 15)</t>
  </si>
  <si>
    <t>Other off-balance sheet exposures</t>
  </si>
  <si>
    <t>Off-balance sheet exposure at gross notional amount</t>
  </si>
  <si>
    <t>(Adjustments for conversion to credit equivalent amounts)</t>
  </si>
  <si>
    <t>Off-balance sheet items (sum of rows 17 and 18)</t>
  </si>
  <si>
    <t>Capital and total exposures</t>
  </si>
  <si>
    <t>Tier 1 capital</t>
  </si>
  <si>
    <t>Total exposures (sum of rows 3, 11, 16 and 19)</t>
  </si>
  <si>
    <t>Leverage ratio</t>
  </si>
  <si>
    <t>Basel III leverage ratio *</t>
  </si>
  <si>
    <r>
      <rPr>
        <vertAlign val="superscript"/>
        <sz val="8"/>
        <rFont val="Arial"/>
        <family val="2"/>
      </rPr>
      <t xml:space="preserve">* </t>
    </r>
    <r>
      <rPr>
        <sz val="8"/>
        <rFont val="Arial"/>
        <family val="2"/>
      </rPr>
      <t>The quarterly figures excludes P&amp;L results of the period YTD</t>
    </r>
  </si>
  <si>
    <t>LIQ1 – Liquidity Coverage Ratio (LCR)</t>
  </si>
  <si>
    <t>Total unweighted value
(average)</t>
  </si>
  <si>
    <t>Total weighted value
(average)</t>
  </si>
  <si>
    <t>High-quality liquid assets</t>
  </si>
  <si>
    <t>Total HQLA</t>
  </si>
  <si>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</si>
  <si>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</si>
  <si>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</si>
  <si>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</si>
  <si>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</si>
  <si>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</si>
  <si>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</si>
  <si>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</si>
  <si>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</si>
  <si>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</si>
  <si>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</si>
  <si>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</si>
  <si>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</si>
  <si>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</si>
  <si>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</si>
  <si>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</si>
  <si>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</si>
  <si>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</si>
  <si>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</si>
  <si>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</si>
  <si>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</si>
  <si>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</si>
  <si>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net cash outflows</t>
  </si>
  <si>
    <t>Liquidity Coverage Ratio (%)</t>
  </si>
  <si>
    <t>Carrying amount of encumbered assets</t>
  </si>
  <si>
    <t>Fair value of encumbered assets</t>
  </si>
  <si>
    <t>Carrying amount of unencumbered assets</t>
  </si>
  <si>
    <t>Fair value of unencumbered assets</t>
  </si>
  <si>
    <t>010</t>
  </si>
  <si>
    <t>030</t>
  </si>
  <si>
    <t>040</t>
  </si>
  <si>
    <t>050</t>
  </si>
  <si>
    <t>060</t>
  </si>
  <si>
    <t>080</t>
  </si>
  <si>
    <t>090</t>
  </si>
  <si>
    <t>100</t>
  </si>
  <si>
    <t>Assets of the reporting institution</t>
  </si>
  <si>
    <t>Debt securities</t>
  </si>
  <si>
    <t>070</t>
  </si>
  <si>
    <t>120</t>
  </si>
  <si>
    <t>Other assets</t>
  </si>
  <si>
    <t>Loans on demand</t>
  </si>
  <si>
    <t>Matching liabilities, contingent liabilities or securities lent</t>
  </si>
  <si>
    <t>Derivatives</t>
  </si>
  <si>
    <t>Template D - Accompanying narrative information</t>
  </si>
  <si>
    <t xml:space="preserve"> </t>
  </si>
  <si>
    <t xml:space="preserve">     </t>
  </si>
  <si>
    <t xml:space="preserve">      </t>
  </si>
  <si>
    <t>Capital requirements</t>
  </si>
  <si>
    <t>RWAs</t>
  </si>
  <si>
    <t>Corporates</t>
  </si>
  <si>
    <t>Retail</t>
  </si>
  <si>
    <t>Central governments or central banks</t>
  </si>
  <si>
    <t>Institutions</t>
  </si>
  <si>
    <t>Secured by mortgages on immovable property</t>
  </si>
  <si>
    <t>Other exposures</t>
  </si>
  <si>
    <t>Total standardised approach</t>
  </si>
  <si>
    <t>Net values</t>
  </si>
  <si>
    <t>EU CRB-E – Maturity of exposures</t>
  </si>
  <si>
    <t>Net exposure values</t>
  </si>
  <si>
    <t>On demand</t>
  </si>
  <si>
    <t>&lt;= 1 year</t>
  </si>
  <si>
    <t>&gt; 1 year &lt;= 5 years</t>
  </si>
  <si>
    <t>&gt; 5 years</t>
  </si>
  <si>
    <t>No stated maturity</t>
  </si>
  <si>
    <t>EU CR1-A – Credit quality of exposures by exposure class and instrument</t>
  </si>
  <si>
    <t>f</t>
  </si>
  <si>
    <t>g</t>
  </si>
  <si>
    <t>Gross carrying values of</t>
  </si>
  <si>
    <t>Specific credit risk adjustment</t>
  </si>
  <si>
    <t>General credit risk adjustment</t>
  </si>
  <si>
    <t>Accumulated write-offs</t>
  </si>
  <si>
    <t>Credit risk adjustment charges of the period</t>
  </si>
  <si>
    <t>Defaulted exposures</t>
  </si>
  <si>
    <t>Non-defaulted exposures</t>
  </si>
  <si>
    <t>Of which: Loans</t>
  </si>
  <si>
    <t>Of which: Debt securities</t>
  </si>
  <si>
    <t>Of which: Off- balance-sheet exposures</t>
  </si>
  <si>
    <t>Credit risk adjustment charges</t>
  </si>
  <si>
    <t>EU CR1-C – Credit quality of exposures by geography</t>
  </si>
  <si>
    <t>Template 14: EU CR1-D – Ageing of past-due exposures</t>
  </si>
  <si>
    <t>Gross carrying values</t>
  </si>
  <si>
    <t>&gt; 30 days ≤ 60 days</t>
  </si>
  <si>
    <t>&gt; 60 days ≤ 90 days</t>
  </si>
  <si>
    <t>Loans</t>
  </si>
  <si>
    <t>Total exposures</t>
  </si>
  <si>
    <t>Exposure classes</t>
  </si>
  <si>
    <t>Equity</t>
  </si>
  <si>
    <t>Other items</t>
  </si>
  <si>
    <t>EU CR5 – Standardised approach</t>
  </si>
  <si>
    <t>Risk weight</t>
  </si>
  <si>
    <t>Of which unrated</t>
  </si>
  <si>
    <t>Others</t>
  </si>
  <si>
    <t>Deducted</t>
  </si>
  <si>
    <t>Risk-weighted volume</t>
  </si>
  <si>
    <t>Amounts in NOK millions</t>
  </si>
  <si>
    <t>Risk of impaired creditworthiness of the counterparty (CVA)</t>
  </si>
  <si>
    <t>Deductions</t>
  </si>
  <si>
    <t>Total risk-weighted volume</t>
  </si>
  <si>
    <t>Capital base</t>
  </si>
  <si>
    <t>Other equity</t>
  </si>
  <si>
    <t>Total booked equity</t>
  </si>
  <si>
    <t>Deferred taxes, goodwill and other intangible assets</t>
  </si>
  <si>
    <t>Value adjustments due to the requirements for prudent valuation</t>
  </si>
  <si>
    <t>Common Equity Tier 1 capital</t>
  </si>
  <si>
    <t>Additional Tier 1 capital</t>
  </si>
  <si>
    <t>Total Tier 1 capital</t>
  </si>
  <si>
    <t>Tier 2 instruments</t>
  </si>
  <si>
    <t>Total supplementary capital</t>
  </si>
  <si>
    <t>Own funds</t>
  </si>
  <si>
    <t>Capital Adequacy</t>
  </si>
  <si>
    <t>%</t>
  </si>
  <si>
    <t xml:space="preserve">Common Equity Tier 1 capital </t>
  </si>
  <si>
    <t>Supplementary capital</t>
  </si>
  <si>
    <t>Common Equity Tier 1 capital: instruments and reserves</t>
  </si>
  <si>
    <t>2019 - 12 - 31
(NOK millions)</t>
  </si>
  <si>
    <t>(B) 
Reference to CRR</t>
  </si>
  <si>
    <t>Capital instruments and the related share premium accounts</t>
  </si>
  <si>
    <t>26 (1), 27, 28, 29, EBA list 26 (3)</t>
  </si>
  <si>
    <t>of which: Instrument type 1</t>
  </si>
  <si>
    <t>EBA list 26 (3)</t>
  </si>
  <si>
    <t>of which: Instrument type 2</t>
  </si>
  <si>
    <t>of which: Instrument type 3</t>
  </si>
  <si>
    <t>Retained earnings</t>
  </si>
  <si>
    <t>26 (1) (c)</t>
  </si>
  <si>
    <t>Accumulated other comprehensive income (and any other reserves)</t>
  </si>
  <si>
    <t>26 (1)</t>
  </si>
  <si>
    <t>3a</t>
  </si>
  <si>
    <t>Funds for general banking risk</t>
  </si>
  <si>
    <t>26 (1) (f)</t>
  </si>
  <si>
    <t>Amount of qualifying items referred to in Article 484 (3) and the related share premium accounts subject to phase out from CET1</t>
  </si>
  <si>
    <t>486 (2)</t>
  </si>
  <si>
    <t>Public sector capital injections grandfathered until 1 January 2018</t>
  </si>
  <si>
    <t>483 (2)</t>
  </si>
  <si>
    <t>Minority interests (amount allowed in consolidated CET1)</t>
  </si>
  <si>
    <t>84, 479, 480</t>
  </si>
  <si>
    <t>5a</t>
  </si>
  <si>
    <t>Dividend/Donations</t>
  </si>
  <si>
    <t>26 (2)</t>
  </si>
  <si>
    <t>Common Equity Tier 1 (CET1) capital before regulatory adjustments</t>
  </si>
  <si>
    <t>Common Equity Tier 1 (CET1) capital: regulatory adjustments</t>
  </si>
  <si>
    <t>Additional value adjustments (negative amount)</t>
  </si>
  <si>
    <t>34, 105</t>
  </si>
  <si>
    <t>Intangible assets (net of related tax liability) (negative amount)</t>
  </si>
  <si>
    <t>36 (1) (b), 37, 472 (4)</t>
  </si>
  <si>
    <t>Empty set in the EU</t>
  </si>
  <si>
    <t>Deferred tax assets that rely on future profitability excluding those arising from temporary difference (net of related tax liability where the conditions in Article 38 (3) are met) (negative amount)</t>
  </si>
  <si>
    <t>36 (1) (c), 38, 472 (5)</t>
  </si>
  <si>
    <t>Fair value reserves related to gains or losses on cash flow hedges</t>
  </si>
  <si>
    <t>33 (a)</t>
  </si>
  <si>
    <t>Negative amounts resulting from the calculation of expected loss amounts</t>
  </si>
  <si>
    <t>36 (1) (d), 40, 159, 472 (6)</t>
  </si>
  <si>
    <t>Any increase in equity that results from securitised assets (negative amount)</t>
  </si>
  <si>
    <t>32 (1)</t>
  </si>
  <si>
    <t>Gains or losses on liabilities valued at fair value resulting from changes in own credit standing</t>
  </si>
  <si>
    <t>33 (1) (b) (c)</t>
  </si>
  <si>
    <t>Defined-benefit pension fund assets (negative amount)</t>
  </si>
  <si>
    <t>36 (1) (e), 41, 472 (7)</t>
  </si>
  <si>
    <t>Direct and indirect holdings by an institution of own CET1 instruments (negative amount)</t>
  </si>
  <si>
    <t>36 (1) (f), 42, 472 (8)</t>
  </si>
  <si>
    <t>Direct, indirect and synthetic holdings of the CET1 instruments of financial sector entities where those entities have reciprocal cross holdings with the institution designed to inflate artificially the own funds of the institution (negative amount)</t>
  </si>
  <si>
    <t>36 (1) (g), 44, 472 (9)</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</si>
  <si>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</si>
  <si>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36 (1) (h), 43, 45, 46, 49 (2) (3), 79, 472 (10)</t>
  </si>
  <si>
    <t xml:space="preserve">Direct, indirect and synthetic holdings of the CET1 instruments of financial sector entities where the institution has a significant investment in those entities (amount above 10% threshold and net of eligible short positions) (negative amount) </t>
  </si>
  <si>
    <t>36 (1) (i), 43, 45, 47, 48 (1) (b), 49 (1) to (3), 79, 470, 472 (11)</t>
  </si>
  <si>
    <t>20a</t>
  </si>
  <si>
    <t>Exposure amount of the following items which qualify for a RW of 1250%, where the institution opts for the deduction alternative</t>
  </si>
  <si>
    <t>36 (1) (k)</t>
  </si>
  <si>
    <t>20b</t>
  </si>
  <si>
    <t>of which: qualifying holdings outside the financial sector (negative amount)</t>
  </si>
  <si>
    <t>36 (1) (k) (i), 89 to 91</t>
  </si>
  <si>
    <t>20c</t>
  </si>
  <si>
    <t>of which: securitisation positions (negative amount)</t>
  </si>
  <si>
    <t>36 (1) (k) (ii) 
243 (1) (b)
244 (1) (b)
258</t>
  </si>
  <si>
    <t>20d</t>
  </si>
  <si>
    <t>of which: free deliveries (negative amount)</t>
  </si>
  <si>
    <t>36 (1) (k) (iii), 379 (3)</t>
  </si>
  <si>
    <t>Deferred tax assets arising from temporary difference (amount above 10 % threshold , net of related tax liability where the conditions in Article 38  (3) are met) (negative amount)</t>
  </si>
  <si>
    <t>36 (1) (c), 38, 48 (1) (a), 470, 472 (5)</t>
  </si>
  <si>
    <t>Amount exceeding the 15% threshold (negative amount)</t>
  </si>
  <si>
    <t>48 (1)</t>
  </si>
  <si>
    <t>of which: direct and indirect holdings by the institution of the CET1 instruments of financial sector entities where the institution has a significant investment in those entities</t>
  </si>
  <si>
    <t>36 (1) (i), 48 (1) (b), 470, 472 (11)</t>
  </si>
  <si>
    <t>of which: deferred tax assets arising from temporary difference</t>
  </si>
  <si>
    <t>25a</t>
  </si>
  <si>
    <t>Losses for the current financial year (negative amount)</t>
  </si>
  <si>
    <t>36 (1) (a), 472 (3)</t>
  </si>
  <si>
    <t>25b</t>
  </si>
  <si>
    <t>Foreseeable tax charges relating to CET1 items (negative amount)</t>
  </si>
  <si>
    <t>36 (1) (l)</t>
  </si>
  <si>
    <t>Regulatory adjustments applied to Common Equity Tier 1 in respect of amounts subject to pre-CRR treatment</t>
  </si>
  <si>
    <t>26a</t>
  </si>
  <si>
    <t>Regulatory adjustments relating to unrealised gains and losses pursuant to Articles 467 and 468</t>
  </si>
  <si>
    <t>of which: unrealised losses 1</t>
  </si>
  <si>
    <t>of which: unrealised losses 2</t>
  </si>
  <si>
    <t>of which: unrealised gains 1</t>
  </si>
  <si>
    <t>of which: unrealised gains 2</t>
  </si>
  <si>
    <t>26b</t>
  </si>
  <si>
    <t>Amount to be deducted from or added to Common Equity Tier 1 capital with regard to additional filters and deductions required pre CRR</t>
  </si>
  <si>
    <t>Qualifying AT1 deductions that exceeds the AT1 capital of the institution (negative amount)</t>
  </si>
  <si>
    <t>36 (1) (j)</t>
  </si>
  <si>
    <t>Total regulatory adjustments to Common Equity Tier 1 (CET1)</t>
  </si>
  <si>
    <t>Common Equity Tier 1  (CET1) capital</t>
  </si>
  <si>
    <t>Additional Tier 1 (AT1) capital: instruments</t>
  </si>
  <si>
    <t>51, 52</t>
  </si>
  <si>
    <t>of which: classified as equity under applicable accounting standards</t>
  </si>
  <si>
    <t>of which: classified as liabilities under applicable accounting standards</t>
  </si>
  <si>
    <t>Amount of qualifying items referred to in Article 484 (4) and the related share premium accounts subject to phase out from AT1</t>
  </si>
  <si>
    <t>486 (3)</t>
  </si>
  <si>
    <t>483 (3)</t>
  </si>
  <si>
    <t xml:space="preserve">Qualifying Tier 1 capital included in consolidated AT1 capital (including minority interest not included in row 5) issued by subsidiaries and held by third parties </t>
  </si>
  <si>
    <t>85, 86, 480</t>
  </si>
  <si>
    <t>of which: instruments issued by subsidiaries subject to phase-out</t>
  </si>
  <si>
    <t>Additional Tier 1 (AT1) capital before regulatory adjustments</t>
  </si>
  <si>
    <t>Additional Tier 1 (AT1) capital: regulatory adjustments</t>
  </si>
  <si>
    <t>Direct and indirect holdings by an institution of own AT1 instruments (negative amount)</t>
  </si>
  <si>
    <t>52 (1) (b), 56 (a), 57, 475 (2)</t>
  </si>
  <si>
    <t>Holdings of the AT1 instruments of financial sector entities where those entities have reciprocal cross holdings with the institution designed to inflate artificially the own funds of the institution (negative amount)</t>
  </si>
  <si>
    <t>56 (b), 58, 475 (3)</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</si>
  <si>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</si>
  <si>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56 (c), 59, 60, 79, 475 (4)</t>
  </si>
  <si>
    <t xml:space="preserve">Direct, indirect and synthetic holdings of the AT1 instruments of financial sector entities where the institution has a significant investment in those entities (amount above 10% threshold and net of eligible short positions) (negative amount) </t>
  </si>
  <si>
    <t>56 (d), 59, 79, 475 (4)</t>
  </si>
  <si>
    <t>Regulatory adjustments applied to Additional Tier 1 capital in respect of amounts subject to pre-CRR treatment and transitional treatments subject to phase-out as prescribed in Regulation (EU) No 585/2013 (ie. CRR residual amounts)</t>
  </si>
  <si>
    <t>41a</t>
  </si>
  <si>
    <t>Residual amounts deducted from Additional Tier 1 capital with regard to deduction from Common Equity Tier 1 capital during the transitional period pursuant to article 472 of Regulation (EU) No 575/2013</t>
  </si>
  <si>
    <t>472, 473(3)(a), 472 (4), 472 (6), 472 (8) (a), 472 (9), 472 (10) (a), 472 (11) (a)</t>
  </si>
  <si>
    <t>41b</t>
  </si>
  <si>
    <t>Residual amounts deducted from Additional Tier 1 capital with regard to deduction from Tier 2 capital during the transitional period pursuant to article 475 of Regulation (EU) No 575/2013</t>
  </si>
  <si>
    <t>477, 477 (3), 477 (4) (a)</t>
  </si>
  <si>
    <t>41c</t>
  </si>
  <si>
    <t>Amounts to be deducted from added to Additional Tier 1 capital with regard to additional filters and deductions required pre- CRR</t>
  </si>
  <si>
    <t>467, 468, 481</t>
  </si>
  <si>
    <t>of which: unrealised losses</t>
  </si>
  <si>
    <t>of which: unrealised gains</t>
  </si>
  <si>
    <t>Qualifying T2 deductions that exceed the T2 capital of the institution (negative amount)</t>
  </si>
  <si>
    <t>56 (e)</t>
  </si>
  <si>
    <t>Total regulatory adjustments to Additional Tier 1 (AT1) capital</t>
  </si>
  <si>
    <t>Additional Tier 1 (AT1) capital</t>
  </si>
  <si>
    <t>Tier 1 capital (T1 = CET1 + AT1)</t>
  </si>
  <si>
    <t>Tier 2 (T2) capital: instruments and provisions</t>
  </si>
  <si>
    <t>62, 63</t>
  </si>
  <si>
    <t>Amount of qualifying items referred to in Article 484 (5) and the related share premium accounts subject to phase out from T2</t>
  </si>
  <si>
    <t>486 (4)</t>
  </si>
  <si>
    <t>483 (4)</t>
  </si>
  <si>
    <t>Qualifying own funds instruments included in consolidated T2 capital (including minority interest and AT1 instruments not included in rows 5 or 34) issued by subsidiaries and held by third party</t>
  </si>
  <si>
    <t>87, 88, 480</t>
  </si>
  <si>
    <t>Credit risk adjustments</t>
  </si>
  <si>
    <t>62 (c) &amp; (d)</t>
  </si>
  <si>
    <t xml:space="preserve">Tier 2 (T2) capital before regulatory adjustment </t>
  </si>
  <si>
    <t>Tier 2 (T2) capital: regulatory adjustments</t>
  </si>
  <si>
    <t>Direct and indirect holdings by an institution of own T2 instruments and subordinated loans (negative amount)</t>
  </si>
  <si>
    <t>63 (b) (i), 66 (a), 67, 477 (2)</t>
  </si>
  <si>
    <t>Holdings of the T2 instruments and subordinated loans of financial sector entities where those entities have reciprocal cross holdings with the institutions designed to inflate artificially the own funds of the institution (negative amount)</t>
  </si>
  <si>
    <t>66 (b), 68, 477 (3)</t>
  </si>
  <si>
    <t>Direct, indirect and synthetic holdings of the T2 instruments and subordinated loans of financial sector entities where the institution does not have a significant investment in those entities (amount above 10 % threshold and net of eligible short positions) (negative amount)</t>
  </si>
  <si>
    <t>66 (c), 69, 70, 79, 477 (4)</t>
  </si>
  <si>
    <t>54a</t>
  </si>
  <si>
    <t>Of which new holdings not subject to transitional arrangements</t>
  </si>
  <si>
    <t>54b</t>
  </si>
  <si>
    <t>Of which holdings existing before 1 January 2013 and subject to transitional arrangements</t>
  </si>
  <si>
    <t>Direct, indirect and synthetic holdings of the T2 instruments and subordinated loans of financial sector entities where the institution has a significant investment in those entities (net of eligible short positions) (negative amounts)</t>
  </si>
  <si>
    <t>66 (d), 69, 79, 477 (4)</t>
  </si>
  <si>
    <t>Regulatory adjustments applied to tier 2 in respect of amounts subject to pre-CRR treatment and transitional treatments subject to phase out as prescribed in Regulation (EU) No 575/2013 (i.e. CRR residual amounts)</t>
  </si>
  <si>
    <t>56a</t>
  </si>
  <si>
    <t>Residual amounts deducted from Tier 2 capital with regard to deduction from Common Equity Tier 1 capital during the transitional period pursuant to article 472 of Regulation (EU) No 575/2013</t>
  </si>
  <si>
    <t>472, 472(3)(a), 472 (4), 472 (6), 472 (8), 472 (9), 472 (10) (a), 472 (11) (a)</t>
  </si>
  <si>
    <t>56b</t>
  </si>
  <si>
    <t>Residual amounts deducted from Tier 2 capital with regard to deduction from Additional Tier 1 capital during the transitional period pursuant to article 475 of Regulation (EU) No 575/2013</t>
  </si>
  <si>
    <t>475, 475 (2) (a), 475 (3), 475 (4) (a)</t>
  </si>
  <si>
    <t>56c</t>
  </si>
  <si>
    <t>Amounts to be deducted from or added to Tier 2 capital with regard to additional filters and deductions required pre- CRR</t>
  </si>
  <si>
    <t>Total regulatory adjustments to Tier 2 (T2) capital</t>
  </si>
  <si>
    <t>Tier 2 (T2) capital</t>
  </si>
  <si>
    <t>Total capital (TC = T1 + T2)</t>
  </si>
  <si>
    <t>59a</t>
  </si>
  <si>
    <t>Risk weighted assets in respect of amounts subject to pre-CRR treatment and transitional treatments subject to phase out as prescribed in Regulation (EU) No 575/2013 (i.e. CRR residual amount)</t>
  </si>
  <si>
    <t>Of which:… items not deducted from CET1 (Regulation (EU) No 575/2013 residual amounts) (items to be detailed line by line, e.g. Deferred tax assets that rely on future profitability net of related tax liability, indirect holdings of own CET1, etc)</t>
  </si>
  <si>
    <t>472, 472 (5), 472 (8) (b), 472 (10) (b), 472 (11) (b)</t>
  </si>
  <si>
    <t>Of which:…items not deducted from AT1 items (Regulation (EU) No 575/2013 residual amounts) (items to be detailed line by line, e.g. Reciprocal cross holdings in T2 instruments, direct holdings of non-significant investments in the capital of other financial sector entities, etc.)</t>
  </si>
  <si>
    <t>475, 475 (2) (b), 475 (2) ©, 475 (4) (b)</t>
  </si>
  <si>
    <t>Items not deducted from T2 items (Regulation (EU) No 575/2013 residual amounts) (items to be detailed line by line, e.g. Indirect holdings of own T2 instruments, indirect holdings of non-significant investments in the capital of other financial sector entities, indirect holdings of significant investments in the capital of other financial sector entities etc)</t>
  </si>
  <si>
    <t>477, 477 (2) (b), 477 (2) (c), 477 (4) (b)</t>
  </si>
  <si>
    <t>Total risk-weighted assets</t>
  </si>
  <si>
    <t>Capital ratios and buffers</t>
  </si>
  <si>
    <t>Common Equity Tier 1 (as a percentage of total risk exposure amount</t>
  </si>
  <si>
    <t>92 (2) (a), 465</t>
  </si>
  <si>
    <t>Tier 1 (as a percentage of total risk exposure amount</t>
  </si>
  <si>
    <t>92 (2) (b), 465</t>
  </si>
  <si>
    <t>Total capital (as a percentage of total risk exposure amount</t>
  </si>
  <si>
    <t>92 (2) (c)</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</si>
  <si>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</si>
  <si>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CRD 128, 129, 140</t>
  </si>
  <si>
    <t>of which: capital conservation buffer requirement</t>
  </si>
  <si>
    <t>of which: countercyclical buffer requirement</t>
  </si>
  <si>
    <t>of which: systemic risk buffer requirement</t>
  </si>
  <si>
    <t>67a</t>
  </si>
  <si>
    <t>of which: Global Systemically Important Institution (G-SII) or Other Systemically Important Institution (O-SII) buffer</t>
  </si>
  <si>
    <t>CRD 131</t>
  </si>
  <si>
    <t>Common Equity Tier 1 available to meet buffers (as a percentage of risk exposure amount)</t>
  </si>
  <si>
    <t>CRD 128</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</si>
  <si>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</si>
  <si>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</si>
  <si>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</si>
  <si>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36 (1) (h), 45, 46, 472 (10)
56 (c), 59, 60, 475 (4), 66 (c), 69, 70, 477 (4)</t>
  </si>
  <si>
    <t>Direct and indirect holdings of the CET1 instruments of financial sector entities where the institution has a significant investment in those entities (amount below 10% threshold and net of eligible short positions</t>
  </si>
  <si>
    <t>36 (1) (i), 45, 48, 470, 472 (11)</t>
  </si>
  <si>
    <t>Deferred tax assets arising from temporary difference (amount below 10 % threshold , net of related tax liability where the conditions in Article 38  (3) are met)</t>
  </si>
  <si>
    <t>36 (1) (c), 38, 48, 470, 472 (5)</t>
  </si>
  <si>
    <t xml:space="preserve">Current cap on provisions on Tier 2 (T2) capital </t>
  </si>
  <si>
    <t>Credit risk adjustments included in T2 in respect of exposures subject to standardised approach (prior to the application of the cap)</t>
  </si>
  <si>
    <t>Credit risk adjustments included in T2 in respect of exposures subject to internal rating-based approach (prior to the application of the cap)</t>
  </si>
  <si>
    <t>Capital instruments subject to phase-out arrangements (only applicable between 1 Jan 2014 and 1 Jan 2022)</t>
  </si>
  <si>
    <t xml:space="preserve"> - Current cap on CET1 instruments subject to phase-out arrangements</t>
  </si>
  <si>
    <t>484 (3), 486 (2) &amp; (5)</t>
  </si>
  <si>
    <t xml:space="preserve"> - Amount excluded from CET1 due to cap (excess over cap after redemptions and maturities)</t>
  </si>
  <si>
    <t xml:space="preserve"> - Current cap on AT1 instruments subject to phase-out arrangements</t>
  </si>
  <si>
    <t>484 (4), 486 (3) &amp; (5)</t>
  </si>
  <si>
    <t xml:space="preserve"> - Amount excluded from AT1 due to cap (excess over cap after redemptions and maturities)</t>
  </si>
  <si>
    <t xml:space="preserve"> - Current cap on T2 instruments subject to phase-out arrangements</t>
  </si>
  <si>
    <t>484 (5), 486 (4) &amp; (5)</t>
  </si>
  <si>
    <t xml:space="preserve"> - Amount excluded from T2 due to cap (excess over cap after redemptions and maturities)</t>
  </si>
  <si>
    <t>Terms of agreement for subordinated loan capital</t>
  </si>
  <si>
    <r>
      <t>Form for public disclosure of the most important terms of agreement for capital instruments (</t>
    </r>
    <r>
      <rPr>
        <b/>
        <vertAlign val="superscript"/>
        <sz val="8"/>
        <color theme="0"/>
        <rFont val="Arial"/>
        <family val="2"/>
      </rPr>
      <t>1</t>
    </r>
    <r>
      <rPr>
        <b/>
        <sz val="8"/>
        <color theme="0"/>
        <rFont val="Arial"/>
        <family val="2"/>
      </rPr>
      <t>)</t>
    </r>
  </si>
  <si>
    <t>Issuer</t>
  </si>
  <si>
    <t>Unique identification code (eg. CUSIP or ISIN)</t>
  </si>
  <si>
    <t>Governing law of instrument</t>
  </si>
  <si>
    <t>Norwegian</t>
  </si>
  <si>
    <t>Treatment according to CRD IV / CRR</t>
  </si>
  <si>
    <t>Under transitional period</t>
  </si>
  <si>
    <t>Additional tier-1 capital</t>
  </si>
  <si>
    <t>After transitional period</t>
  </si>
  <si>
    <t>Included in company or consolidated level, company and consolidated level</t>
  </si>
  <si>
    <t>Company and consolidated level</t>
  </si>
  <si>
    <t>Type of instrument (type is to be specified for each jurisdiction)</t>
  </si>
  <si>
    <t>Amount included in own funds (MNOK from most present reporting date)</t>
  </si>
  <si>
    <t>Nominal value of instrument</t>
  </si>
  <si>
    <t>9a</t>
  </si>
  <si>
    <t>Issue price</t>
  </si>
  <si>
    <t>9b</t>
  </si>
  <si>
    <t>Redemption price</t>
  </si>
  <si>
    <t>Accounting class</t>
  </si>
  <si>
    <t>Liabilities - amortised cost</t>
  </si>
  <si>
    <t>Hybrid capital</t>
  </si>
  <si>
    <t>Original date of issue</t>
  </si>
  <si>
    <t>Perpetual or time-limited</t>
  </si>
  <si>
    <t>Time-limited</t>
  </si>
  <si>
    <t>Perpetual</t>
  </si>
  <si>
    <t>Original maturity date</t>
  </si>
  <si>
    <t>No maturity date</t>
  </si>
  <si>
    <t>Redemption right for issuer given consent from the FSA</t>
  </si>
  <si>
    <t>Yes</t>
  </si>
  <si>
    <t>Date of redemption right, conditions if any, and redemption amount</t>
  </si>
  <si>
    <t>Dates for consecutive redemption rights</t>
  </si>
  <si>
    <t>Interest/dividend</t>
  </si>
  <si>
    <t>Fixed or floating interest/dividend</t>
  </si>
  <si>
    <t>Floating</t>
  </si>
  <si>
    <t>Interest rate and reference rate if any</t>
  </si>
  <si>
    <t>Term stating that there is no obligation to pay dividend if interest has not been paid («dividend stopper»)</t>
  </si>
  <si>
    <t>No</t>
  </si>
  <si>
    <t>Full flexibility, partly flexibility or compulsory (wrt time)</t>
  </si>
  <si>
    <t>Compulsory</t>
  </si>
  <si>
    <t>Full</t>
  </si>
  <si>
    <t>Full flexibility, partly flexibility or compulsory (wrt amount)</t>
  </si>
  <si>
    <t>Conditions regarding interest rate increase or other incentives for redemption</t>
  </si>
  <si>
    <t>Non-cumulative or cumulative</t>
  </si>
  <si>
    <t>Cumulative</t>
  </si>
  <si>
    <t>Non-convertible or convertible</t>
  </si>
  <si>
    <t>Non-convertible</t>
  </si>
  <si>
    <t>If convertible, level(s) that trigger conversion</t>
  </si>
  <si>
    <t>N/A</t>
  </si>
  <si>
    <t>If convertible, fully or partly</t>
  </si>
  <si>
    <t>If convertible, conversion price</t>
  </si>
  <si>
    <t>If convertible, compulsory or noncompulsory</t>
  </si>
  <si>
    <t>If convertible, instrument converted into</t>
  </si>
  <si>
    <t>If convertible, issuer of converted instrument</t>
  </si>
  <si>
    <t>Terms regarding write-downs</t>
  </si>
  <si>
    <t>If write-downs, level that trigger write-down</t>
  </si>
  <si>
    <t>According to current legislation</t>
  </si>
  <si>
    <t>If write-downs, fully or partly</t>
  </si>
  <si>
    <t>Fully or partly</t>
  </si>
  <si>
    <t>If write-downs, final or temporary effect</t>
  </si>
  <si>
    <t>Final or temproary</t>
  </si>
  <si>
    <t>If temporary write-downs, describe the revaluation process</t>
  </si>
  <si>
    <t>After write-downs of bonds, the issuer can revaluate the bonds and pay bond yield according to current  legislations.</t>
  </si>
  <si>
    <t>Priority under liquidation (specify the instrument which has the closest higher priority)</t>
  </si>
  <si>
    <t>Senior bonds</t>
  </si>
  <si>
    <t>Terms making the instrument non-eligible capital after the transitional period</t>
  </si>
  <si>
    <t>If yes, specify which terms do not fulfil new requirements</t>
  </si>
  <si>
    <t>(1) N/A = not applicable</t>
  </si>
  <si>
    <t>EAD</t>
  </si>
  <si>
    <t>Av. Risk weight</t>
  </si>
  <si>
    <t>RWA</t>
  </si>
  <si>
    <t>Covered bonds</t>
  </si>
  <si>
    <t>Market risk</t>
  </si>
  <si>
    <t>Interest rate risk</t>
  </si>
  <si>
    <t>Interest rate sensitivity broken down by balance sheet items</t>
  </si>
  <si>
    <t>Other loans</t>
  </si>
  <si>
    <t>Bonds/certificates</t>
  </si>
  <si>
    <t>Total assets</t>
  </si>
  <si>
    <t>Other customers deposits</t>
  </si>
  <si>
    <t>Total liabilities</t>
  </si>
  <si>
    <t>Interest rate sensitivity by period</t>
  </si>
  <si>
    <t>Up to 
3 months</t>
  </si>
  <si>
    <t>From 3 months 
to 12 months</t>
  </si>
  <si>
    <t>Over 
5 years</t>
  </si>
  <si>
    <t>Currency positions</t>
  </si>
  <si>
    <t>Net currency exposure</t>
  </si>
  <si>
    <t>Currency</t>
  </si>
  <si>
    <t>EUR</t>
  </si>
  <si>
    <t>SEK</t>
  </si>
  <si>
    <t xml:space="preserve">Other </t>
  </si>
  <si>
    <t>Effect on profit and equity of change in exchange rates of 5%</t>
  </si>
  <si>
    <t>Cost price</t>
  </si>
  <si>
    <t xml:space="preserve">Spread risk </t>
  </si>
  <si>
    <t>Market value</t>
  </si>
  <si>
    <t>Rel.distribution</t>
  </si>
  <si>
    <t>Government, or protected by member state government/promotional lender</t>
  </si>
  <si>
    <t>Certificates and bonds</t>
  </si>
  <si>
    <t>Liquidity risk</t>
  </si>
  <si>
    <t>Composition of the liquidity portfolio</t>
  </si>
  <si>
    <t>Central government bond</t>
  </si>
  <si>
    <t>Composition of funding sources</t>
  </si>
  <si>
    <t>Subordinated loan capital and subordinated bonds</t>
  </si>
  <si>
    <t>0-1 month</t>
  </si>
  <si>
    <t>1-3 months</t>
  </si>
  <si>
    <t>3-12 months</t>
  </si>
  <si>
    <t>1-5 years</t>
  </si>
  <si>
    <t>Over 5 years</t>
  </si>
  <si>
    <t xml:space="preserve">                       -   </t>
  </si>
  <si>
    <t xml:space="preserve">Total </t>
  </si>
  <si>
    <t>(a+ b -c-d)</t>
  </si>
  <si>
    <t>(a+b-c-d)</t>
  </si>
  <si>
    <t>Capital adequacy</t>
  </si>
  <si>
    <t>Disclosure according to Article 5 in Commission implementing regulation (EU) No  1423/2013 and according to NFSAs regulations (circular 5/2018)</t>
  </si>
  <si>
    <t>AE – Disclosure of asset encumbrance</t>
  </si>
  <si>
    <t>Finland</t>
  </si>
  <si>
    <t>020</t>
  </si>
  <si>
    <t>110</t>
  </si>
  <si>
    <t>Reporting according to Commision Delegated Act 2013/1423 (NSFA circular 14/2014)</t>
  </si>
  <si>
    <t>Total credit risk (SA)</t>
  </si>
  <si>
    <t>Share capital</t>
  </si>
  <si>
    <t xml:space="preserve">Own funds disclosure template </t>
  </si>
  <si>
    <t xml:space="preserve">Terms of agreement for Additional Tier 1 and Tier 2 capital </t>
  </si>
  <si>
    <t>CCyB</t>
  </si>
  <si>
    <t>Credit spread risk</t>
  </si>
  <si>
    <t xml:space="preserve">Please note that the following calculations are based on DV01 methodology </t>
  </si>
  <si>
    <t>i.e. the change in economic value from a +1 percentage point parallell shift in interest rates (modified duration x market value x 1 %)</t>
  </si>
  <si>
    <t>The modified duration for loans and deposits with floating rate (list prices) is calculated using minimum notice period laid down in national regulation (typically 6 weeks - 2 months)</t>
  </si>
  <si>
    <t>Own funds disclosure template</t>
  </si>
  <si>
    <t>Overview of RWAs (modified from EU OV1 template)</t>
  </si>
  <si>
    <t>Credit risk (excluding CCR) -standardised approach</t>
  </si>
  <si>
    <t>Counterparty credit risk (CCR) - mark-to-market method</t>
  </si>
  <si>
    <t>Operational risk - basis indicator approach</t>
  </si>
  <si>
    <t>Overview of RWAs</t>
  </si>
  <si>
    <t>Deposits</t>
  </si>
  <si>
    <t>Central governments, central banks multilateral development banks etc.</t>
  </si>
  <si>
    <t>Regional governments</t>
  </si>
  <si>
    <t>Notional</t>
  </si>
  <si>
    <t>Replacement cost (current market value)</t>
  </si>
  <si>
    <t>Potential future credit exposure</t>
  </si>
  <si>
    <t>EEPE</t>
  </si>
  <si>
    <t>Multiplier</t>
  </si>
  <si>
    <t>EAD post CRM</t>
  </si>
  <si>
    <t>Mark to market</t>
  </si>
  <si>
    <t>Original exposure</t>
  </si>
  <si>
    <t>IMM (for derivatives and SFTs)</t>
  </si>
  <si>
    <t>EU CCR5-A – Impact of netting and collateral held on exposure values</t>
  </si>
  <si>
    <t>Cross product netting</t>
  </si>
  <si>
    <t>Gross positive fair value or carrying amount</t>
  </si>
  <si>
    <t>Netting benefits</t>
  </si>
  <si>
    <t>Netted current credit exposure</t>
  </si>
  <si>
    <t>Collateral held</t>
  </si>
  <si>
    <t>Net credit exposure</t>
  </si>
  <si>
    <t>SFTs</t>
  </si>
  <si>
    <t>Capital requirement</t>
  </si>
  <si>
    <t>Capital conservation buffer requirement</t>
  </si>
  <si>
    <t>Systemic risk buffer requirement</t>
  </si>
  <si>
    <t>Minimum common equity tier 1 (CET1) capital requirement</t>
  </si>
  <si>
    <t>Total minimum CET1 requirement</t>
  </si>
  <si>
    <t>Additional tier 1 (AT1) requirement</t>
  </si>
  <si>
    <t>Total core capital requirement</t>
  </si>
  <si>
    <t>Tier 2 (T2) capital requirement</t>
  </si>
  <si>
    <t>Total capital requirement</t>
  </si>
  <si>
    <t>Pillar II requirement (SREP) - must be covered by CET1 capital</t>
  </si>
  <si>
    <t>CCR1</t>
  </si>
  <si>
    <t>CCR5-A</t>
  </si>
  <si>
    <t>Analysis of counterparty credit risk exposure by approach</t>
  </si>
  <si>
    <t>Impact of netting and collateral held on exposure values</t>
  </si>
  <si>
    <t>Countercyclical buffer requirement (bank specific weighted average)</t>
  </si>
  <si>
    <t>Number</t>
  </si>
  <si>
    <t>Name</t>
  </si>
  <si>
    <t>Frequency</t>
  </si>
  <si>
    <t>Last updated
(reporting date)</t>
  </si>
  <si>
    <t>Ch. 4.5</t>
  </si>
  <si>
    <t>EU OV1</t>
  </si>
  <si>
    <t>EBA Pilar 3 guidelines reference</t>
  </si>
  <si>
    <t>.</t>
  </si>
  <si>
    <t>Loans and deposits with credit institutions</t>
  </si>
  <si>
    <t>Loans to customers</t>
  </si>
  <si>
    <t>Net defaulted loans</t>
  </si>
  <si>
    <t>Defaulted loans &lt; 20% impaired</t>
  </si>
  <si>
    <t>Share premium</t>
  </si>
  <si>
    <t>IFRS 9 §20 1)</t>
  </si>
  <si>
    <t xml:space="preserve">NOK 65m </t>
  </si>
  <si>
    <t>NOK 65m</t>
  </si>
  <si>
    <t>NOK 200m</t>
  </si>
  <si>
    <t>NO0010886542</t>
  </si>
  <si>
    <t>26 June 2020</t>
  </si>
  <si>
    <t>26 June 2025
100 percent of nominal value
In addition "regulatory redemption right" as 100 % of nominal value with the addition of accrued interest</t>
  </si>
  <si>
    <t>Every interest payment after 26 June 2025</t>
  </si>
  <si>
    <t>3 m NIBOR (minimum 0 %) + 8.00 percent</t>
  </si>
  <si>
    <t>2020 - 03 - 31
(NOK millions)</t>
  </si>
  <si>
    <t>of which Loans and deposits with credit institutions</t>
  </si>
  <si>
    <t>of which Certificates and bonds</t>
  </si>
  <si>
    <t>of which Net defaulted loans</t>
  </si>
  <si>
    <t>of which Defaulted loans &lt; 20% impaired</t>
  </si>
  <si>
    <t>of which Other assets</t>
  </si>
  <si>
    <t>of which Loans to retail customers</t>
  </si>
  <si>
    <t>From 1 year 
to 5 years</t>
  </si>
  <si>
    <t>From 5 years 
to 10 years</t>
  </si>
  <si>
    <t>&lt; 3 months</t>
  </si>
  <si>
    <t>3 months &lt; 1 year</t>
  </si>
  <si>
    <t>1 year &lt; 5 year</t>
  </si>
  <si>
    <t>5 år &lt; 10 year</t>
  </si>
  <si>
    <t>Without any term</t>
  </si>
  <si>
    <t>Assests</t>
  </si>
  <si>
    <t>Time to maturity - liquidity risk</t>
  </si>
  <si>
    <t>Other assest without any term</t>
  </si>
  <si>
    <t>Liabilities</t>
  </si>
  <si>
    <t>Deposits and debt to customers</t>
  </si>
  <si>
    <t>Other debt</t>
  </si>
  <si>
    <t>Subordinated loans</t>
  </si>
  <si>
    <t>CCB – Geographical distribution of credit exposures used in the countercyclical capital buffer</t>
  </si>
  <si>
    <t>Row</t>
  </si>
  <si>
    <t>General credit exposures</t>
  </si>
  <si>
    <t>Trading book esposure</t>
  </si>
  <si>
    <t>Securitisation exposure</t>
  </si>
  <si>
    <t>Own funds requirements</t>
  </si>
  <si>
    <t>Own funds requiremen weights</t>
  </si>
  <si>
    <t>Countercyclical capital buffer rate</t>
  </si>
  <si>
    <t>Exposure value for SA</t>
  </si>
  <si>
    <t>Exposure value IRB</t>
  </si>
  <si>
    <t xml:space="preserve">Sum of long and short position of trading book </t>
  </si>
  <si>
    <t>Value of trading book exposure for internal models</t>
  </si>
  <si>
    <t xml:space="preserve">Exposure value for SA </t>
  </si>
  <si>
    <t>Exposure value for IRB</t>
  </si>
  <si>
    <t>of which General credit exposures</t>
  </si>
  <si>
    <t>Of which Trading book exposures</t>
  </si>
  <si>
    <t>Of which securitisation exposures</t>
  </si>
  <si>
    <t xml:space="preserve">Breakdown by country </t>
  </si>
  <si>
    <t>Norway*</t>
  </si>
  <si>
    <t>*For the purpose of calculation of countercyclical buffer amount, all exposures are allocated to Norway.</t>
  </si>
  <si>
    <t xml:space="preserve">Amount of institution-spesific countercyclical capital buffer </t>
  </si>
  <si>
    <t xml:space="preserve">Row </t>
  </si>
  <si>
    <t>Column</t>
  </si>
  <si>
    <t>Total risk exposure amount</t>
  </si>
  <si>
    <t>Institution spesific countercyclical buffer rate</t>
  </si>
  <si>
    <t xml:space="preserve">Institution spesific countercyclical buffer requirement </t>
  </si>
  <si>
    <t>of which: issued by other entities of the group</t>
  </si>
  <si>
    <t>of which: central bank's eligible</t>
  </si>
  <si>
    <t>Item</t>
  </si>
  <si>
    <t>Code</t>
  </si>
  <si>
    <t xml:space="preserve">    Loans on demand</t>
  </si>
  <si>
    <t xml:space="preserve">    Equity instruments</t>
  </si>
  <si>
    <t xml:space="preserve">    Debt securities</t>
  </si>
  <si>
    <t xml:space="preserve">        of which: covered bonds</t>
  </si>
  <si>
    <t xml:space="preserve">        of which: asset-backed securities</t>
  </si>
  <si>
    <t xml:space="preserve">        of which: issued by general governments</t>
  </si>
  <si>
    <t xml:space="preserve">        of which: issued by financial corporations</t>
  </si>
  <si>
    <t xml:space="preserve">        of which: issued by non-financial corporations</t>
  </si>
  <si>
    <t xml:space="preserve">    Loans and advances other than loans on demand</t>
  </si>
  <si>
    <t xml:space="preserve">        of which: mortgage loans</t>
  </si>
  <si>
    <t xml:space="preserve">    Other assets</t>
  </si>
  <si>
    <t>Asset encumbrance: Encumbrance overview - Assets</t>
  </si>
  <si>
    <t>Carrying amount of selected financial liabilities</t>
  </si>
  <si>
    <t xml:space="preserve">    Derivatives</t>
  </si>
  <si>
    <t xml:space="preserve">        of which: Over-The-Counter</t>
  </si>
  <si>
    <t xml:space="preserve">    Deposits</t>
  </si>
  <si>
    <t xml:space="preserve">        Repurchase agreements</t>
  </si>
  <si>
    <t xml:space="preserve">            of which: central banks</t>
  </si>
  <si>
    <t xml:space="preserve">        Collateralised deposits other than repurchase agreements</t>
  </si>
  <si>
    <t xml:space="preserve">    Debt securities issued</t>
  </si>
  <si>
    <t xml:space="preserve">        of which: covered bonds issued</t>
  </si>
  <si>
    <t xml:space="preserve">        of which: asset-backed securities issued</t>
  </si>
  <si>
    <t>Other sources of encumbrance</t>
  </si>
  <si>
    <t>TOTAL SOURCES OF ENCUMBRANCE</t>
  </si>
  <si>
    <t>Central bank funding (of all types, including e.g. repos). Encumbered assets</t>
  </si>
  <si>
    <t>Exchange traded derivatives. Encumbered assets</t>
  </si>
  <si>
    <t>Over-the-counter derivatives. Encumbered assets</t>
  </si>
  <si>
    <t>Repurchase agreements. Encumbered assets</t>
  </si>
  <si>
    <t>Collateralised deposits other than repurchase agreements. Encumbered assets</t>
  </si>
  <si>
    <t>Covered bonds securities issued. Encumbered assets</t>
  </si>
  <si>
    <t>Asset-backed securities issued. Encumbered assets</t>
  </si>
  <si>
    <t>Debt securities issued other than covered bonds and ABSs. Encumbered assets</t>
  </si>
  <si>
    <t>Other sources of encumbrance. Encumbered assets</t>
  </si>
  <si>
    <t>EU CCR1 – Analysis of counterparty credit risk exposure by approach</t>
  </si>
  <si>
    <t>&gt; 90 days</t>
  </si>
  <si>
    <t>Total Assets</t>
  </si>
  <si>
    <t>2020 - 06 - 30
(NOK millions)</t>
  </si>
  <si>
    <t>2020 - 09 - 30
(NOK millions)</t>
  </si>
  <si>
    <t>2020 - 12 - 31
(NOK millions)</t>
  </si>
  <si>
    <t>2021 - 03 - 31
(NOK millions)</t>
  </si>
  <si>
    <t>Other equity not included in core capital (Foreseeable dividends)</t>
  </si>
  <si>
    <t>NO0010941131</t>
  </si>
  <si>
    <t>3 March 2021</t>
  </si>
  <si>
    <t>3 March  2031
100 percent of nominal value
In addition "regulatory redemption right" as 100 % of nominal value with the addition of accrued interest</t>
  </si>
  <si>
    <t>Every interest payment after 3 March 2031</t>
  </si>
  <si>
    <t>3 m NIBOR (Nibor floor 0 %) + 5.00 percent</t>
  </si>
  <si>
    <t>2021 - 06 - 30
(NOK millions)</t>
  </si>
  <si>
    <t>2021 - 09 - 30
(NOK millions)</t>
  </si>
  <si>
    <t>2021 - 12 - 31
(NOK millions)</t>
  </si>
  <si>
    <t>2022 - 03 - 31
(NOK millions)</t>
  </si>
  <si>
    <t>≤ 30 days+current</t>
  </si>
  <si>
    <t>2022 - 06 - 30
(NOK millions)</t>
  </si>
  <si>
    <t>2022 - 09 - 30
(NOK millions)</t>
  </si>
  <si>
    <t>2022 - 12 - 31
(NOK millions)</t>
  </si>
  <si>
    <t>Spread risk broken down by sector calculated according to methodology in circular 12/2016</t>
  </si>
  <si>
    <t>Net assets</t>
  </si>
  <si>
    <t>Change in value, total assets</t>
  </si>
  <si>
    <t>Total (NOK)</t>
  </si>
  <si>
    <t>Money market bonds</t>
  </si>
  <si>
    <t>Other</t>
  </si>
  <si>
    <t>Residual time to maturity (nominal value)</t>
  </si>
  <si>
    <t>Reference spreadsheet</t>
  </si>
  <si>
    <t>2023 - 03 - 30
(NOK millions)</t>
  </si>
  <si>
    <t>2023 - 06 - 30
(NOK millions)</t>
  </si>
  <si>
    <t>Morrow Bank ASA</t>
  </si>
  <si>
    <t>Komplett Bank ASA (now Morrow Bank ASA)</t>
  </si>
  <si>
    <t>NOK 100m</t>
  </si>
  <si>
    <t xml:space="preserve">	ABM Perpetual Hybrid 1</t>
  </si>
  <si>
    <t>ABM Subordinated bonds</t>
  </si>
  <si>
    <t>NO0012909235</t>
  </si>
  <si>
    <t>11 May 2033</t>
  </si>
  <si>
    <t>11 May 2033
100 percent of nominal value
In addition "regulatory redemption right" as 100 % of nominal value with the addition of accrued interest</t>
  </si>
  <si>
    <t>11 May 2023</t>
  </si>
  <si>
    <t>Every interest payment after 11 May 2033</t>
  </si>
  <si>
    <t>3 m NIBOR (minimum 0 %) + 7.00 percent</t>
  </si>
  <si>
    <t>Sum</t>
  </si>
  <si>
    <t>Morrow Bank ASA - Risk and capital management / Pillar 3 additional disclosures</t>
  </si>
  <si>
    <t>2023 - 09 - 30
(NOK millions)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</si>
</sst>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_ * #,##0.00_ ;_ * \-#,##0.00_ ;_ * &quot;-&quot;??_ ;_ @_ "/>
    <numFmt numFmtId="165" formatCode="[$-409]mmmm\ d\,\ yyyy;@"/>
    <numFmt numFmtId="166" formatCode="_ * #,##0_ ;_ * \-#,##0_ ;_ * &quot;-&quot;??_ ;_ @_ "/>
    <numFmt numFmtId="167" formatCode="_(* #,##0_);_(* \(#,##0\);_(* &quot;-&quot;??_);_(@_)"/>
    <numFmt numFmtId="168" formatCode="###0;###0"/>
    <numFmt numFmtId="169" formatCode="0.0\ %"/>
    <numFmt numFmtId="170" formatCode="0.000\ %"/>
    <numFmt numFmtId="171" formatCode="yyyy\-mm\-dd;@"/>
    <numFmt numFmtId="172" formatCode="_(* #,##0.00_);_(* \(#,##0.00\);_(* &quot;-&quot;??_);_(@_)"/>
    <numFmt numFmtId="173" formatCode="#,##0\ [$€-1];[Red]\-#,##0\ [$€-1]"/>
    <numFmt numFmtId="174" formatCode="0.0%"/>
    <numFmt numFmtId="175" formatCode="[$-414]d/\ mmm/\ yyyy;@"/>
    <numFmt numFmtId="176" formatCode="[$-409]dd/mmm/yy;@"/>
    <numFmt numFmtId="177" formatCode="#,##0.0"/>
    <numFmt numFmtId="178" formatCode="_ * #,##0.0_ ;_ * \-#,##0.0_ ;_ * &quot;-&quot;??_ ;_ @_ "/>
    <numFmt numFmtId="179" formatCode="_-* #,##0_-;\-* #,##0_-;_-* &quot;-&quot;??_-;_-@_-"/>
    <numFmt numFmtId="180" formatCode="0.00000"/>
    <numFmt numFmtId="181" formatCode="000"/>
  </numFmts>
  <fonts count="5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8"/>
      <color indexed="63"/>
      <name val="Arial"/>
      <family val="2"/>
    </font>
    <font>
      <sz val="10"/>
      <name val="Arial"/>
      <family val="2"/>
    </font>
    <font>
      <b/>
      <sz val="10"/>
      <name val="Arial"/>
      <family val="2"/>
    </font>
    <font>
      <sz val="10"/>
      <color theme="1"/>
      <name val="Arial"/>
      <family val="2"/>
    </font>
    <font>
      <u/>
      <sz val="8"/>
      <name val="Arial"/>
      <family val="2"/>
    </font>
    <font>
      <u/>
      <sz val="10"/>
      <name val="Arial"/>
      <family val="2"/>
    </font>
    <font>
      <sz val="8"/>
      <name val="Arial"/>
      <family val="2"/>
    </font>
    <font>
      <b/>
      <sz val="8"/>
      <name val="Arial"/>
      <family val="2"/>
    </font>
    <font>
      <sz val="8"/>
      <color theme="1"/>
      <name val="Arial"/>
      <family val="2"/>
    </font>
    <font>
      <b/>
      <u/>
      <sz val="8"/>
      <name val="Arial"/>
      <family val="2"/>
    </font>
    <font>
      <vertAlign val="superscript"/>
      <sz val="8"/>
      <name val="Arial"/>
      <family val="2"/>
    </font>
    <font>
      <sz val="8"/>
      <color rgb="FFFF0000"/>
      <name val="Arial"/>
      <family val="2"/>
    </font>
    <font>
      <b/>
      <sz val="20"/>
      <name val="Arial"/>
      <family val="2"/>
    </font>
    <font>
      <b/>
      <sz val="12"/>
      <name val="Arial"/>
      <family val="2"/>
    </font>
    <font>
      <i/>
      <sz val="8"/>
      <name val="Arial"/>
      <family val="2"/>
    </font>
    <font>
      <sz val="8"/>
      <color rgb="FF00B0F0"/>
      <name val="Arial"/>
      <family val="2"/>
    </font>
    <font>
      <sz val="8"/>
      <color rgb="FF00B0F0"/>
      <name val="Calibri"/>
      <family val="2"/>
      <scheme val="minor"/>
    </font>
    <font>
      <sz val="8"/>
      <color theme="1"/>
      <name val="Calibri"/>
      <family val="2"/>
      <scheme val="minor"/>
    </font>
    <font>
      <strike/>
      <sz val="8"/>
      <color rgb="FF00B0F0"/>
      <name val="Arial"/>
      <family val="2"/>
    </font>
    <font>
      <strike/>
      <sz val="8"/>
      <color rgb="FF00B0F0"/>
      <name val="Calibri"/>
      <family val="2"/>
      <scheme val="minor"/>
    </font>
    <font>
      <sz val="8"/>
      <color rgb="FF00B050"/>
      <name val="Arial"/>
      <family val="2"/>
    </font>
    <font>
      <sz val="8"/>
      <color rgb="FF000000"/>
      <name val="Arial"/>
      <family val="2"/>
    </font>
    <font>
      <b/>
      <sz val="8"/>
      <color theme="1"/>
      <name val="Arial"/>
      <family val="2"/>
    </font>
    <font>
      <sz val="9"/>
      <color rgb="FF000000"/>
      <name val="Arial"/>
      <family val="2"/>
    </font>
    <font>
      <sz val="10"/>
      <color rgb="FF000000"/>
      <name val="Arial"/>
      <family val="2"/>
    </font>
    <font>
      <sz val="11"/>
      <color theme="1"/>
      <name val="Arial"/>
      <family val="2"/>
    </font>
    <font>
      <sz val="12"/>
      <name val="Arial"/>
      <family val="2"/>
    </font>
    <font>
      <sz val="14"/>
      <color theme="1"/>
      <name val="Arial"/>
      <family val="2"/>
    </font>
    <font>
      <b/>
      <sz val="8"/>
      <color rgb="FFFFFFFF"/>
      <name val="Arial"/>
      <family val="2"/>
    </font>
    <font>
      <sz val="8"/>
      <color rgb="FFFFFFFF"/>
      <name val="Arial"/>
      <family val="2"/>
    </font>
    <font>
      <b/>
      <sz val="8"/>
      <color rgb="FF000000"/>
      <name val="Arial"/>
      <family val="2"/>
    </font>
    <font>
      <b/>
      <i/>
      <sz val="8"/>
      <color rgb="FF000000"/>
      <name val="Arial"/>
      <family val="2"/>
    </font>
    <font>
      <i/>
      <sz val="8"/>
      <color rgb="FF000000"/>
      <name val="Arial"/>
      <family val="2"/>
    </font>
    <font>
      <b/>
      <sz val="8"/>
      <color theme="0"/>
      <name val="Arial"/>
      <family val="2"/>
    </font>
    <font>
      <b/>
      <vertAlign val="superscript"/>
      <sz val="8"/>
      <color theme="0"/>
      <name val="Arial"/>
      <family val="2"/>
    </font>
    <font>
      <i/>
      <sz val="8"/>
      <color theme="1"/>
      <name val="Arial"/>
      <family val="2"/>
    </font>
    <font>
      <i/>
      <sz val="8"/>
      <color rgb="FFFF0000"/>
      <name val="Arial"/>
      <family val="2"/>
    </font>
    <font>
      <sz val="11"/>
      <color theme="1"/>
      <name val="Calibri"/>
      <family val="2"/>
    </font>
    <font>
      <sz val="11"/>
      <color rgb="FF000000"/>
      <name val="Arial"/>
      <family val="2"/>
    </font>
    <font>
      <sz val="11"/>
      <color rgb="FFFF0000"/>
      <name val="Arial"/>
      <family val="2"/>
    </font>
    <font>
      <b/>
      <sz val="11"/>
      <color rgb="FF000000"/>
      <name val="Calibri"/>
      <family val="2"/>
    </font>
    <font>
      <sz val="11"/>
      <color rgb="FFFF0000"/>
      <name val="Calibri"/>
      <family val="2"/>
    </font>
    <font>
      <i/>
      <sz val="11"/>
      <color rgb="FF000000"/>
      <name val="Calibri"/>
      <family val="2"/>
    </font>
    <font>
      <i/>
      <sz val="11"/>
      <color theme="1"/>
      <name val="Calibri"/>
      <family val="2"/>
      <scheme val="minor"/>
    </font>
    <font>
      <i/>
      <sz val="10"/>
      <name val="Arial"/>
      <family val="2"/>
    </font>
    <font>
      <b/>
      <sz val="10"/>
      <color theme="1"/>
      <name val="Calibri"/>
      <family val="2"/>
      <scheme val="minor"/>
    </font>
    <font>
      <sz val="10"/>
      <color theme="1"/>
      <name val="Calibri"/>
      <family val="2"/>
      <scheme val="minor"/>
    </font>
    <font>
      <sz val="10"/>
      <name val="Calibri"/>
      <family val="2"/>
      <scheme val="minor"/>
    </font>
    <font>
      <b/>
      <sz val="20"/>
      <color theme="5"/>
      <name val="Arial"/>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64"/>
      </patternFill>
    </fill>
    <fill>
      <patternFill patternType="solid">
        <fgColor rgb="FFFFFFFF"/>
        <bgColor rgb="FF000000"/>
      </patternFill>
    </fill>
    <fill>
      <patternFill patternType="solid">
        <fgColor indexed="65"/>
        <bgColor indexed="64"/>
      </patternFill>
    </fill>
    <fill>
      <patternFill patternType="solid">
        <fgColor rgb="FFF2F2F2"/>
        <bgColor rgb="FF000000"/>
      </patternFill>
    </fill>
    <fill>
      <patternFill patternType="solid">
        <fgColor theme="0"/>
        <bgColor rgb="FF000000"/>
      </patternFill>
    </fill>
    <fill>
      <patternFill patternType="solid">
        <fgColor theme="5"/>
        <bgColor rgb="FF000000"/>
      </patternFill>
    </fill>
    <fill>
      <patternFill patternType="solid">
        <fgColor theme="2" tint="-0.249977111117893"/>
        <bgColor indexed="64"/>
      </patternFill>
    </fill>
    <fill>
      <patternFill patternType="solid">
        <fgColor rgb="FFD8D8D8"/>
        <bgColor auto="1"/>
      </patternFill>
    </fill>
    <fill>
      <patternFill patternType="solid">
        <fgColor theme="0" tint="-0.249977111117893"/>
        <bgColor indexed="64"/>
      </patternFill>
    </fill>
  </fills>
  <borders count="49">
    <border>
      <left/>
      <right/>
      <top/>
      <bottom/>
      <diagonal/>
    </border>
    <border>
      <left/>
      <right/>
      <top/>
      <bottom style="thin">
        <color indexed="64"/>
      </bottom>
      <diagonal/>
    </border>
    <border>
      <left/>
      <right/>
      <top style="thin">
        <color indexed="64"/>
      </top>
      <bottom style="thin">
        <color indexed="64"/>
      </bottom>
      <diagonal/>
    </border>
    <border>
      <left/>
      <right/>
      <top/>
      <bottom style="thin">
        <color auto="1"/>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rgb="FF000000"/>
      </top>
      <bottom style="thin">
        <color indexed="64"/>
      </bottom>
      <diagonal/>
    </border>
    <border>
      <left/>
      <right style="thin">
        <color indexed="64"/>
      </right>
      <top style="thin">
        <color indexed="64"/>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indexed="64"/>
      </right>
      <top/>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top/>
      <bottom style="thin">
        <color rgb="FFE87722"/>
      </bottom>
      <diagonal/>
    </border>
    <border>
      <left style="thin">
        <color indexed="64"/>
      </left>
      <right style="thin">
        <color auto="1"/>
      </right>
      <top/>
      <bottom style="thin">
        <color rgb="FFE87722"/>
      </bottom>
      <diagonal/>
    </border>
    <border>
      <left style="thin">
        <color indexed="64"/>
      </left>
      <right/>
      <top/>
      <bottom style="thin">
        <color rgb="FFE87722"/>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bottom style="thin">
        <color rgb="FF000000"/>
      </bottom>
      <diagonal/>
    </border>
    <border>
      <left style="thin">
        <color indexed="0"/>
      </left>
      <right style="thin">
        <color indexed="64"/>
      </right>
      <top style="thin">
        <color indexed="0"/>
      </top>
      <bottom style="thin">
        <color indexed="64"/>
      </bottom>
      <diagonal/>
    </border>
  </borders>
  <cellStyleXfs count="19">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6" fillId="0" borderId="0">
      <alignment vertical="center"/>
    </xf>
    <xf numFmtId="0" fontId="6" fillId="0" borderId="0">
      <alignment vertical="center"/>
    </xf>
    <xf numFmtId="0" fontId="17" fillId="4" borderId="11" applyNumberFormat="0" applyFill="0" applyBorder="0" applyAlignment="0" applyProtection="0">
      <alignment horizontal="left"/>
    </xf>
    <xf numFmtId="0" fontId="18" fillId="0" borderId="0" applyNumberFormat="0" applyFill="0" applyBorder="0" applyAlignment="0" applyProtection="0"/>
    <xf numFmtId="0" fontId="7" fillId="4" borderId="6" applyFont="0" applyBorder="0">
      <alignment horizontal="center" wrapText="1"/>
    </xf>
    <xf numFmtId="3" fontId="6" fillId="5" borderId="7" applyFont="0">
      <alignment horizontal="right" vertical="center"/>
      <protection locked="0"/>
    </xf>
    <xf numFmtId="0" fontId="6" fillId="0" borderId="0"/>
    <xf numFmtId="0" fontId="8" fillId="0" borderId="0"/>
    <xf numFmtId="0" fontId="1" fillId="0" borderId="0"/>
    <xf numFmtId="172" fontId="6"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 fillId="0" borderId="0"/>
    <xf numFmtId="164" fontId="1" fillId="0" borderId="0" applyFont="0" applyFill="0" applyBorder="0" applyAlignment="0" applyProtection="0"/>
    <xf numFmtId="43" fontId="1" fillId="0" borderId="0" applyFont="0" applyFill="0" applyBorder="0" applyAlignment="0" applyProtection="0"/>
  </cellStyleXfs>
  <cellXfs count="547">
    <xf numFmtId="0" fontId="0" fillId="0" borderId="0" xfId="0"/>
    <xf numFmtId="0" fontId="5" fillId="2" borderId="0" xfId="0" applyFont="1" applyFill="1" applyAlignment="1">
      <alignment horizontal="left"/>
    </xf>
    <xf numFmtId="0" fontId="5" fillId="2" borderId="0" xfId="0" applyFont="1" applyFill="1"/>
    <xf numFmtId="0" fontId="0" fillId="2" borderId="0" xfId="0" applyFill="1"/>
    <xf numFmtId="0" fontId="6" fillId="2" borderId="0" xfId="2" applyFont="1" applyFill="1"/>
    <xf numFmtId="0" fontId="6" fillId="2" borderId="0" xfId="0" applyFont="1" applyFill="1" applyAlignment="1">
      <alignment horizontal="right"/>
    </xf>
    <xf numFmtId="0" fontId="8" fillId="2" borderId="0" xfId="0" applyFont="1" applyFill="1" applyAlignment="1">
      <alignment horizontal="right"/>
    </xf>
    <xf numFmtId="0" fontId="6" fillId="2" borderId="0" xfId="0" applyFont="1" applyFill="1"/>
    <xf numFmtId="3" fontId="6" fillId="2" borderId="0" xfId="0" applyNumberFormat="1" applyFont="1" applyFill="1"/>
    <xf numFmtId="3" fontId="6" fillId="2" borderId="0" xfId="0" applyNumberFormat="1" applyFont="1" applyFill="1" applyAlignment="1">
      <alignment vertical="center"/>
    </xf>
    <xf numFmtId="0" fontId="6" fillId="2" borderId="0" xfId="0" applyFont="1" applyFill="1" applyAlignment="1">
      <alignment vertical="center"/>
    </xf>
    <xf numFmtId="0" fontId="9" fillId="2" borderId="0" xfId="0" applyFont="1" applyFill="1" applyAlignment="1">
      <alignment vertical="center"/>
    </xf>
    <xf numFmtId="0" fontId="11" fillId="2" borderId="0" xfId="0" applyFont="1" applyFill="1"/>
    <xf numFmtId="0" fontId="12" fillId="2" borderId="0" xfId="0" applyFont="1" applyFill="1" applyAlignment="1">
      <alignment horizontal="right" vertical="center"/>
    </xf>
    <xf numFmtId="0" fontId="12" fillId="2" borderId="0" xfId="0" applyFont="1" applyFill="1" applyAlignment="1">
      <alignment vertical="center"/>
    </xf>
    <xf numFmtId="0" fontId="13" fillId="2" borderId="5" xfId="0" applyFont="1" applyFill="1" applyBorder="1" applyAlignment="1">
      <alignment horizontal="left" vertical="top" wrapText="1"/>
    </xf>
    <xf numFmtId="0" fontId="13" fillId="2" borderId="0" xfId="0" applyFont="1" applyFill="1"/>
    <xf numFmtId="0" fontId="13" fillId="2" borderId="5" xfId="0" applyFont="1" applyFill="1" applyBorder="1" applyAlignment="1">
      <alignment horizontal="right" vertical="top" wrapText="1"/>
    </xf>
    <xf numFmtId="166" fontId="13" fillId="2" borderId="5" xfId="0" applyNumberFormat="1" applyFont="1" applyFill="1" applyBorder="1" applyAlignment="1">
      <alignment horizontal="left" vertical="top" wrapText="1"/>
    </xf>
    <xf numFmtId="0" fontId="13" fillId="2" borderId="6" xfId="0" applyFont="1" applyFill="1" applyBorder="1" applyAlignment="1">
      <alignment horizontal="left" vertical="top" wrapText="1"/>
    </xf>
    <xf numFmtId="0" fontId="14" fillId="2" borderId="0" xfId="0" applyFont="1" applyFill="1" applyAlignment="1">
      <alignment horizontal="center" vertical="center"/>
    </xf>
    <xf numFmtId="49" fontId="12" fillId="2" borderId="0" xfId="0" applyNumberFormat="1" applyFont="1" applyFill="1" applyAlignment="1">
      <alignment horizontal="right"/>
    </xf>
    <xf numFmtId="167" fontId="11" fillId="2" borderId="0" xfId="0" applyNumberFormat="1" applyFont="1" applyFill="1"/>
    <xf numFmtId="0" fontId="11" fillId="2" borderId="0" xfId="0" applyFont="1" applyFill="1" applyAlignment="1">
      <alignment vertical="center"/>
    </xf>
    <xf numFmtId="15" fontId="13" fillId="2" borderId="8" xfId="0" applyNumberFormat="1" applyFont="1" applyFill="1" applyBorder="1" applyAlignment="1">
      <alignment horizontal="right" vertical="center" wrapText="1"/>
    </xf>
    <xf numFmtId="168" fontId="13" fillId="2" borderId="5" xfId="0" applyNumberFormat="1" applyFont="1" applyFill="1" applyBorder="1" applyAlignment="1">
      <alignment horizontal="center" vertical="top" wrapText="1"/>
    </xf>
    <xf numFmtId="0" fontId="13" fillId="2" borderId="8" xfId="0" applyFont="1" applyFill="1" applyBorder="1" applyAlignment="1">
      <alignment horizontal="left" vertical="top" wrapText="1"/>
    </xf>
    <xf numFmtId="166" fontId="13" fillId="2" borderId="12" xfId="18" applyNumberFormat="1" applyFont="1" applyFill="1" applyBorder="1" applyAlignment="1">
      <alignment horizontal="left" vertical="top" wrapText="1"/>
    </xf>
    <xf numFmtId="168" fontId="13" fillId="2" borderId="5" xfId="0" applyNumberFormat="1" applyFont="1" applyFill="1" applyBorder="1" applyAlignment="1">
      <alignment horizontal="center" vertical="center" wrapText="1"/>
    </xf>
    <xf numFmtId="166" fontId="13" fillId="2" borderId="10" xfId="18" applyNumberFormat="1" applyFont="1" applyFill="1" applyBorder="1" applyAlignment="1">
      <alignment horizontal="left" vertical="top" wrapText="1"/>
    </xf>
    <xf numFmtId="168" fontId="13" fillId="2" borderId="6" xfId="0" applyNumberFormat="1" applyFont="1" applyFill="1" applyBorder="1" applyAlignment="1">
      <alignment horizontal="center" vertical="top" wrapText="1"/>
    </xf>
    <xf numFmtId="0" fontId="13" fillId="2" borderId="7" xfId="0" applyFont="1" applyFill="1" applyBorder="1" applyAlignment="1">
      <alignment horizontal="left" vertical="top" wrapText="1"/>
    </xf>
    <xf numFmtId="166" fontId="13" fillId="2" borderId="0" xfId="0" applyNumberFormat="1" applyFont="1" applyFill="1"/>
    <xf numFmtId="168" fontId="13" fillId="2" borderId="0" xfId="0" applyNumberFormat="1" applyFont="1" applyFill="1" applyAlignment="1">
      <alignment vertical="top" wrapText="1"/>
    </xf>
    <xf numFmtId="0" fontId="13" fillId="2" borderId="0" xfId="0" applyFont="1" applyFill="1" applyAlignment="1">
      <alignment horizontal="left" vertical="top" wrapText="1"/>
    </xf>
    <xf numFmtId="0" fontId="11" fillId="2" borderId="0" xfId="0" applyFont="1" applyFill="1" applyAlignment="1">
      <alignment horizontal="left" vertical="top"/>
    </xf>
    <xf numFmtId="0" fontId="11" fillId="2" borderId="0" xfId="0" applyFont="1" applyFill="1" applyAlignment="1">
      <alignment horizontal="left"/>
    </xf>
    <xf numFmtId="0" fontId="11" fillId="2" borderId="7" xfId="0" applyFont="1" applyFill="1" applyBorder="1" applyAlignment="1">
      <alignment horizontal="center" vertical="top" wrapText="1"/>
    </xf>
    <xf numFmtId="0" fontId="12" fillId="2" borderId="0" xfId="0" applyFont="1" applyFill="1" applyAlignment="1">
      <alignment horizontal="left" vertical="top"/>
    </xf>
    <xf numFmtId="0" fontId="12" fillId="2" borderId="11" xfId="0" applyFont="1" applyFill="1" applyBorder="1" applyAlignment="1">
      <alignment horizontal="left" vertical="top"/>
    </xf>
    <xf numFmtId="168" fontId="11" fillId="2" borderId="16" xfId="0" applyNumberFormat="1" applyFont="1" applyFill="1" applyBorder="1" applyAlignment="1">
      <alignment horizontal="center" vertical="center" wrapText="1"/>
    </xf>
    <xf numFmtId="0" fontId="11" fillId="2" borderId="17" xfId="0" applyFont="1" applyFill="1" applyBorder="1" applyAlignment="1">
      <alignment horizontal="left" vertical="top" wrapText="1"/>
    </xf>
    <xf numFmtId="168" fontId="11" fillId="2" borderId="16" xfId="0" applyNumberFormat="1" applyFont="1" applyFill="1" applyBorder="1" applyAlignment="1">
      <alignment horizontal="center" vertical="top" wrapText="1"/>
    </xf>
    <xf numFmtId="0" fontId="11" fillId="2" borderId="17" xfId="0" applyFont="1" applyFill="1" applyBorder="1" applyAlignment="1">
      <alignment horizontal="left" vertical="top"/>
    </xf>
    <xf numFmtId="169" fontId="11" fillId="2" borderId="7" xfId="1" applyNumberFormat="1" applyFont="1" applyFill="1" applyBorder="1" applyAlignment="1">
      <alignment horizontal="right" vertical="top" wrapText="1"/>
    </xf>
    <xf numFmtId="170" fontId="11" fillId="2" borderId="0" xfId="1" applyNumberFormat="1" applyFont="1" applyFill="1"/>
    <xf numFmtId="0" fontId="13" fillId="2" borderId="5" xfId="0" applyFont="1" applyFill="1" applyBorder="1" applyAlignment="1">
      <alignment horizontal="center" vertical="top" wrapText="1"/>
    </xf>
    <xf numFmtId="0" fontId="13" fillId="2" borderId="8" xfId="0" applyFont="1" applyFill="1" applyBorder="1" applyAlignment="1">
      <alignment horizontal="center" vertical="top" wrapText="1"/>
    </xf>
    <xf numFmtId="0" fontId="13" fillId="2" borderId="8" xfId="0" applyFont="1" applyFill="1" applyBorder="1" applyAlignment="1">
      <alignment horizontal="right" vertical="top" wrapText="1"/>
    </xf>
    <xf numFmtId="0" fontId="13" fillId="3" borderId="5" xfId="0" applyFont="1" applyFill="1" applyBorder="1" applyAlignment="1">
      <alignment horizontal="left" vertical="top" wrapText="1"/>
    </xf>
    <xf numFmtId="166" fontId="13" fillId="2" borderId="8" xfId="0" applyNumberFormat="1" applyFont="1" applyFill="1" applyBorder="1" applyAlignment="1">
      <alignment horizontal="left" vertical="top" wrapText="1"/>
    </xf>
    <xf numFmtId="166" fontId="13" fillId="3" borderId="5" xfId="0" applyNumberFormat="1" applyFont="1" applyFill="1" applyBorder="1" applyAlignment="1">
      <alignment horizontal="left" vertical="top" wrapText="1"/>
    </xf>
    <xf numFmtId="166" fontId="13" fillId="2" borderId="7" xfId="0" applyNumberFormat="1" applyFont="1" applyFill="1" applyBorder="1" applyAlignment="1">
      <alignment horizontal="left" vertical="top" wrapText="1"/>
    </xf>
    <xf numFmtId="0" fontId="13" fillId="2" borderId="5" xfId="0" applyFont="1" applyFill="1" applyBorder="1" applyAlignment="1">
      <alignment vertical="top" wrapText="1"/>
    </xf>
    <xf numFmtId="0" fontId="13" fillId="2" borderId="4" xfId="0" applyFont="1" applyFill="1" applyBorder="1" applyAlignment="1">
      <alignment vertical="top" wrapText="1"/>
    </xf>
    <xf numFmtId="0" fontId="13" fillId="3" borderId="5" xfId="0" applyFont="1" applyFill="1" applyBorder="1" applyAlignment="1">
      <alignment vertical="top" wrapText="1"/>
    </xf>
    <xf numFmtId="0" fontId="13" fillId="3" borderId="6" xfId="0" applyFont="1" applyFill="1" applyBorder="1" applyAlignment="1">
      <alignment vertical="top" wrapText="1"/>
    </xf>
    <xf numFmtId="9" fontId="13" fillId="2" borderId="7" xfId="0" applyNumberFormat="1" applyFont="1" applyFill="1" applyBorder="1" applyAlignment="1">
      <alignment horizontal="right" vertical="top" wrapText="1"/>
    </xf>
    <xf numFmtId="0" fontId="16" fillId="2" borderId="0" xfId="0" applyFont="1" applyFill="1"/>
    <xf numFmtId="0" fontId="11" fillId="4" borderId="0" xfId="3" applyFont="1" applyFill="1">
      <alignment vertical="center"/>
    </xf>
    <xf numFmtId="0" fontId="11" fillId="4" borderId="0" xfId="4" applyFont="1" applyFill="1">
      <alignment vertical="center"/>
    </xf>
    <xf numFmtId="0" fontId="12" fillId="4" borderId="0" xfId="5" applyFont="1" applyFill="1" applyBorder="1" applyAlignment="1">
      <alignment vertical="center"/>
    </xf>
    <xf numFmtId="0" fontId="12" fillId="4" borderId="0" xfId="6" applyFont="1" applyFill="1" applyBorder="1" applyAlignment="1">
      <alignment horizontal="left" vertical="center"/>
    </xf>
    <xf numFmtId="0" fontId="12" fillId="4" borderId="0" xfId="6" applyFont="1" applyFill="1" applyBorder="1" applyAlignment="1">
      <alignment vertical="center"/>
    </xf>
    <xf numFmtId="0" fontId="11" fillId="0" borderId="5" xfId="4" applyFont="1" applyBorder="1">
      <alignment vertical="center"/>
    </xf>
    <xf numFmtId="0" fontId="12" fillId="0" borderId="13" xfId="6" applyFont="1" applyFill="1" applyBorder="1" applyAlignment="1">
      <alignment vertical="center"/>
    </xf>
    <xf numFmtId="0" fontId="11" fillId="0" borderId="0" xfId="3" applyFont="1">
      <alignment vertical="center"/>
    </xf>
    <xf numFmtId="0" fontId="11" fillId="0" borderId="11" xfId="4" applyFont="1" applyBorder="1">
      <alignment vertical="center"/>
    </xf>
    <xf numFmtId="0" fontId="11" fillId="0" borderId="20" xfId="4" applyFont="1" applyBorder="1">
      <alignment vertical="center"/>
    </xf>
    <xf numFmtId="0" fontId="11" fillId="0" borderId="20" xfId="3" applyFont="1" applyBorder="1">
      <alignment vertical="center"/>
    </xf>
    <xf numFmtId="0" fontId="11" fillId="0" borderId="7" xfId="7" applyFont="1" applyFill="1" applyBorder="1" applyAlignment="1">
      <alignment horizontal="right" vertical="center" wrapText="1"/>
    </xf>
    <xf numFmtId="0" fontId="11" fillId="4" borderId="18" xfId="3" applyFont="1" applyFill="1" applyBorder="1">
      <alignment vertical="center"/>
    </xf>
    <xf numFmtId="0" fontId="11" fillId="0" borderId="7" xfId="4" quotePrefix="1" applyFont="1" applyBorder="1" applyAlignment="1">
      <alignment horizontal="center" vertical="center"/>
    </xf>
    <xf numFmtId="0" fontId="11" fillId="3" borderId="7" xfId="4" quotePrefix="1" applyFont="1" applyFill="1" applyBorder="1" applyAlignment="1">
      <alignment horizontal="center" vertical="center"/>
    </xf>
    <xf numFmtId="3" fontId="11" fillId="0" borderId="0" xfId="8" applyFont="1" applyFill="1" applyBorder="1" applyAlignment="1">
      <alignment horizontal="center" vertical="center"/>
      <protection locked="0"/>
    </xf>
    <xf numFmtId="3" fontId="11" fillId="2" borderId="0" xfId="8" applyFont="1" applyFill="1" applyBorder="1" applyAlignment="1">
      <alignment horizontal="center" vertical="center"/>
      <protection locked="0"/>
    </xf>
    <xf numFmtId="0" fontId="11" fillId="2" borderId="0" xfId="4" quotePrefix="1" applyFont="1" applyFill="1" applyAlignment="1">
      <alignment horizontal="right" vertical="center"/>
    </xf>
    <xf numFmtId="0" fontId="19" fillId="2" borderId="0" xfId="4" applyFont="1" applyFill="1" applyAlignment="1">
      <alignment horizontal="left" vertical="center" wrapText="1" indent="1"/>
    </xf>
    <xf numFmtId="0" fontId="11" fillId="2" borderId="0" xfId="3" applyFont="1" applyFill="1">
      <alignment vertical="center"/>
    </xf>
    <xf numFmtId="0" fontId="12" fillId="0" borderId="0" xfId="4" applyFont="1" applyAlignment="1">
      <alignment horizontal="center" vertical="center" wrapText="1"/>
    </xf>
    <xf numFmtId="0" fontId="11" fillId="0" borderId="0" xfId="4" quotePrefix="1" applyFont="1" applyAlignment="1">
      <alignment horizontal="center" vertical="center"/>
    </xf>
    <xf numFmtId="3" fontId="11" fillId="2" borderId="7" xfId="8" applyFont="1" applyFill="1">
      <alignment horizontal="right" vertical="center"/>
      <protection locked="0"/>
    </xf>
    <xf numFmtId="0" fontId="12" fillId="0" borderId="0" xfId="7" applyFont="1" applyFill="1" applyBorder="1" applyAlignment="1">
      <alignment horizontal="center" vertical="center" wrapText="1"/>
    </xf>
    <xf numFmtId="0" fontId="11" fillId="4" borderId="4" xfId="4" quotePrefix="1" applyFont="1" applyFill="1" applyBorder="1" applyAlignment="1">
      <alignment horizontal="center" vertical="center"/>
    </xf>
    <xf numFmtId="0" fontId="11" fillId="4" borderId="0" xfId="3" applyFont="1" applyFill="1" applyAlignment="1">
      <alignment vertical="center" wrapText="1"/>
    </xf>
    <xf numFmtId="0" fontId="12" fillId="4" borderId="0" xfId="3" applyFont="1" applyFill="1">
      <alignment vertical="center"/>
    </xf>
    <xf numFmtId="0" fontId="20" fillId="4" borderId="11" xfId="3" applyFont="1" applyFill="1" applyBorder="1" applyAlignment="1">
      <alignment vertical="top"/>
    </xf>
    <xf numFmtId="0" fontId="21" fillId="0" borderId="0" xfId="0" applyFont="1" applyAlignment="1">
      <alignment vertical="top"/>
    </xf>
    <xf numFmtId="0" fontId="21" fillId="0" borderId="20" xfId="0" applyFont="1" applyBorder="1" applyAlignment="1">
      <alignment vertical="top"/>
    </xf>
    <xf numFmtId="0" fontId="22" fillId="0" borderId="0" xfId="0" applyFont="1" applyAlignment="1">
      <alignment vertical="top"/>
    </xf>
    <xf numFmtId="0" fontId="22" fillId="0" borderId="20" xfId="0" applyFont="1" applyBorder="1" applyAlignment="1">
      <alignment vertical="top"/>
    </xf>
    <xf numFmtId="0" fontId="11" fillId="4" borderId="11" xfId="3" applyFont="1" applyFill="1" applyBorder="1" applyAlignment="1">
      <alignment vertical="top"/>
    </xf>
    <xf numFmtId="0" fontId="11" fillId="4" borderId="20" xfId="3" applyFont="1" applyFill="1" applyBorder="1" applyAlignment="1">
      <alignment vertical="top"/>
    </xf>
    <xf numFmtId="0" fontId="11" fillId="4" borderId="0" xfId="3" applyFont="1" applyFill="1" applyAlignment="1">
      <alignment vertical="top" wrapText="1"/>
    </xf>
    <xf numFmtId="0" fontId="13" fillId="2" borderId="24" xfId="0" applyFont="1" applyFill="1" applyBorder="1" applyAlignment="1">
      <alignment horizontal="left" vertical="top" wrapText="1" indent="2"/>
    </xf>
    <xf numFmtId="0" fontId="13" fillId="2" borderId="25" xfId="0" applyFont="1" applyFill="1" applyBorder="1" applyAlignment="1">
      <alignment horizontal="left" vertical="top" wrapText="1" indent="2"/>
    </xf>
    <xf numFmtId="0" fontId="13" fillId="2" borderId="25" xfId="0" applyFont="1" applyFill="1" applyBorder="1" applyAlignment="1">
      <alignment horizontal="left" vertical="top" wrapText="1" indent="1"/>
    </xf>
    <xf numFmtId="0" fontId="13" fillId="2" borderId="25" xfId="0" applyFont="1" applyFill="1" applyBorder="1" applyAlignment="1">
      <alignment horizontal="left" vertical="top" wrapText="1"/>
    </xf>
    <xf numFmtId="168" fontId="13" fillId="2" borderId="24" xfId="0" applyNumberFormat="1" applyFont="1" applyFill="1" applyBorder="1" applyAlignment="1">
      <alignment horizontal="center" vertical="top" wrapText="1"/>
    </xf>
    <xf numFmtId="0" fontId="27" fillId="2" borderId="0" xfId="0" applyFont="1" applyFill="1"/>
    <xf numFmtId="166" fontId="13" fillId="2" borderId="7" xfId="0" applyNumberFormat="1" applyFont="1" applyFill="1" applyBorder="1" applyAlignment="1">
      <alignment horizontal="right" vertical="top" wrapText="1"/>
    </xf>
    <xf numFmtId="0" fontId="22" fillId="2" borderId="0" xfId="0" applyFont="1" applyFill="1"/>
    <xf numFmtId="0" fontId="11" fillId="2" borderId="7" xfId="0" applyFont="1" applyFill="1" applyBorder="1" applyAlignment="1">
      <alignment horizontal="right" vertical="center" wrapText="1"/>
    </xf>
    <xf numFmtId="0" fontId="26" fillId="2" borderId="7" xfId="0" applyFont="1" applyFill="1" applyBorder="1" applyAlignment="1">
      <alignment horizontal="left" vertical="top" wrapText="1"/>
    </xf>
    <xf numFmtId="166" fontId="26" fillId="2" borderId="7" xfId="18" applyNumberFormat="1" applyFont="1" applyFill="1" applyBorder="1" applyAlignment="1">
      <alignment horizontal="right" vertical="top" wrapText="1"/>
    </xf>
    <xf numFmtId="0" fontId="3" fillId="2" borderId="0" xfId="0" applyFont="1" applyFill="1"/>
    <xf numFmtId="9" fontId="13" fillId="2" borderId="0" xfId="1" applyFont="1" applyFill="1"/>
    <xf numFmtId="0" fontId="26" fillId="2" borderId="0" xfId="0" applyFont="1" applyFill="1" applyAlignment="1">
      <alignment vertical="top" wrapText="1"/>
    </xf>
    <xf numFmtId="0" fontId="26" fillId="2" borderId="20" xfId="0" applyFont="1" applyFill="1" applyBorder="1" applyAlignment="1">
      <alignment vertical="top" wrapText="1"/>
    </xf>
    <xf numFmtId="0" fontId="11" fillId="2" borderId="6" xfId="0" applyFont="1" applyFill="1" applyBorder="1" applyAlignment="1">
      <alignment horizontal="center" vertical="top" wrapText="1"/>
    </xf>
    <xf numFmtId="0" fontId="11" fillId="2" borderId="22" xfId="0" applyFont="1" applyFill="1" applyBorder="1" applyAlignment="1">
      <alignment horizontal="center" vertical="top" wrapText="1"/>
    </xf>
    <xf numFmtId="0" fontId="11" fillId="2" borderId="21" xfId="0" applyFont="1" applyFill="1" applyBorder="1" applyAlignment="1">
      <alignment horizontal="center" vertical="top" wrapText="1"/>
    </xf>
    <xf numFmtId="0" fontId="11" fillId="2" borderId="29" xfId="0" applyFont="1" applyFill="1" applyBorder="1" applyAlignment="1">
      <alignment horizontal="right" vertical="top" wrapText="1"/>
    </xf>
    <xf numFmtId="0" fontId="26" fillId="2" borderId="5" xfId="0" applyFont="1" applyFill="1" applyBorder="1" applyAlignment="1">
      <alignment vertical="top" wrapText="1"/>
    </xf>
    <xf numFmtId="0" fontId="26" fillId="2" borderId="13" xfId="0" applyFont="1" applyFill="1" applyBorder="1" applyAlignment="1">
      <alignment vertical="top" wrapText="1"/>
    </xf>
    <xf numFmtId="168" fontId="26" fillId="2" borderId="25" xfId="0" applyNumberFormat="1" applyFont="1" applyFill="1" applyBorder="1" applyAlignment="1">
      <alignment horizontal="center" vertical="center" wrapText="1"/>
    </xf>
    <xf numFmtId="168" fontId="26" fillId="2" borderId="25" xfId="0" applyNumberFormat="1" applyFont="1" applyFill="1" applyBorder="1" applyAlignment="1">
      <alignment horizontal="center" vertical="top" wrapText="1"/>
    </xf>
    <xf numFmtId="166" fontId="28" fillId="2" borderId="0" xfId="18" applyNumberFormat="1" applyFont="1" applyFill="1" applyBorder="1" applyAlignment="1">
      <alignment horizontal="right" vertical="top" wrapText="1"/>
    </xf>
    <xf numFmtId="0" fontId="26" fillId="2" borderId="8" xfId="0" applyFont="1" applyFill="1" applyBorder="1" applyAlignment="1">
      <alignment vertical="top" wrapText="1"/>
    </xf>
    <xf numFmtId="166" fontId="26" fillId="2" borderId="7" xfId="18" applyNumberFormat="1" applyFont="1" applyFill="1" applyBorder="1" applyAlignment="1">
      <alignment horizontal="left" vertical="top" wrapText="1"/>
    </xf>
    <xf numFmtId="0" fontId="0" fillId="2" borderId="0" xfId="0" applyFill="1" applyAlignment="1">
      <alignment horizontal="left" vertical="top"/>
    </xf>
    <xf numFmtId="0" fontId="29" fillId="2" borderId="0" xfId="0" applyFont="1" applyFill="1" applyAlignment="1">
      <alignment horizontal="left" vertical="top"/>
    </xf>
    <xf numFmtId="0" fontId="26" fillId="2" borderId="10" xfId="0" applyFont="1" applyFill="1" applyBorder="1" applyAlignment="1">
      <alignment wrapText="1"/>
    </xf>
    <xf numFmtId="166" fontId="11" fillId="2" borderId="24" xfId="18" applyNumberFormat="1" applyFont="1" applyFill="1" applyBorder="1" applyAlignment="1">
      <alignment horizontal="left" vertical="top" wrapText="1"/>
    </xf>
    <xf numFmtId="10" fontId="29" fillId="2" borderId="0" xfId="1" applyNumberFormat="1" applyFont="1" applyFill="1" applyAlignment="1">
      <alignment horizontal="right" vertical="top"/>
    </xf>
    <xf numFmtId="166" fontId="11" fillId="2" borderId="25" xfId="18" applyNumberFormat="1" applyFont="1" applyFill="1" applyBorder="1" applyAlignment="1">
      <alignment horizontal="left" vertical="top" wrapText="1"/>
    </xf>
    <xf numFmtId="0" fontId="13" fillId="2" borderId="7" xfId="0" applyFont="1" applyFill="1" applyBorder="1" applyAlignment="1">
      <alignment horizontal="right" vertical="top" wrapText="1"/>
    </xf>
    <xf numFmtId="168" fontId="13" fillId="2" borderId="23" xfId="0" applyNumberFormat="1" applyFont="1" applyFill="1" applyBorder="1" applyAlignment="1">
      <alignment horizontal="center" vertical="top" wrapText="1"/>
    </xf>
    <xf numFmtId="164" fontId="13" fillId="2" borderId="7" xfId="18" applyNumberFormat="1" applyFont="1" applyFill="1" applyBorder="1" applyAlignment="1">
      <alignment horizontal="right" vertical="top" wrapText="1"/>
    </xf>
    <xf numFmtId="168" fontId="13" fillId="2" borderId="38" xfId="0" applyNumberFormat="1" applyFont="1" applyFill="1" applyBorder="1" applyAlignment="1">
      <alignment horizontal="center" vertical="top" wrapText="1"/>
    </xf>
    <xf numFmtId="0" fontId="13" fillId="2" borderId="39" xfId="0" applyFont="1" applyFill="1" applyBorder="1" applyAlignment="1">
      <alignment horizontal="left" vertical="top" wrapText="1"/>
    </xf>
    <xf numFmtId="0" fontId="12" fillId="2" borderId="25" xfId="0" applyFont="1" applyFill="1" applyBorder="1" applyAlignment="1">
      <alignment horizontal="left" vertical="top" wrapText="1"/>
    </xf>
    <xf numFmtId="168" fontId="13" fillId="2" borderId="7" xfId="0" applyNumberFormat="1" applyFont="1" applyFill="1" applyBorder="1" applyAlignment="1">
      <alignment horizontal="center" vertical="top" wrapText="1"/>
    </xf>
    <xf numFmtId="0" fontId="30" fillId="6" borderId="0" xfId="0" applyFont="1" applyFill="1"/>
    <xf numFmtId="10" fontId="31" fillId="0" borderId="0" xfId="9" applyNumberFormat="1" applyFont="1"/>
    <xf numFmtId="0" fontId="31" fillId="0" borderId="0" xfId="9" applyFont="1"/>
    <xf numFmtId="0" fontId="32" fillId="7" borderId="0" xfId="0" applyFont="1" applyFill="1"/>
    <xf numFmtId="0" fontId="2" fillId="7" borderId="0" xfId="0" applyFont="1" applyFill="1"/>
    <xf numFmtId="0" fontId="11" fillId="7" borderId="7" xfId="0" applyFont="1" applyFill="1" applyBorder="1"/>
    <xf numFmtId="3" fontId="11" fillId="0" borderId="7" xfId="11" quotePrefix="1" applyNumberFormat="1" applyFont="1" applyBorder="1" applyAlignment="1">
      <alignment horizontal="right"/>
    </xf>
    <xf numFmtId="0" fontId="11" fillId="0" borderId="0" xfId="9" applyFont="1"/>
    <xf numFmtId="0" fontId="12" fillId="7" borderId="7" xfId="0" applyFont="1" applyFill="1" applyBorder="1"/>
    <xf numFmtId="3" fontId="12" fillId="0" borderId="7" xfId="11" quotePrefix="1" applyNumberFormat="1" applyFont="1" applyBorder="1" applyAlignment="1">
      <alignment horizontal="right"/>
    </xf>
    <xf numFmtId="0" fontId="13" fillId="0" borderId="0" xfId="9" applyFont="1"/>
    <xf numFmtId="3" fontId="11" fillId="0" borderId="7" xfId="11" applyNumberFormat="1" applyFont="1" applyBorder="1"/>
    <xf numFmtId="0" fontId="19" fillId="7" borderId="7" xfId="0" applyFont="1" applyFill="1" applyBorder="1"/>
    <xf numFmtId="3" fontId="19" fillId="0" borderId="7" xfId="11" applyNumberFormat="1" applyFont="1" applyBorder="1"/>
    <xf numFmtId="0" fontId="11" fillId="7" borderId="7" xfId="0" applyFont="1" applyFill="1" applyBorder="1" applyAlignment="1">
      <alignment horizontal="left" indent="1"/>
    </xf>
    <xf numFmtId="0" fontId="13" fillId="0" borderId="7" xfId="9" applyFont="1" applyBorder="1"/>
    <xf numFmtId="169" fontId="11" fillId="0" borderId="7" xfId="9" applyNumberFormat="1" applyFont="1" applyBorder="1" applyAlignment="1">
      <alignment horizontal="right"/>
    </xf>
    <xf numFmtId="0" fontId="27" fillId="0" borderId="7" xfId="9" applyFont="1" applyBorder="1"/>
    <xf numFmtId="169" fontId="12" fillId="0" borderId="7" xfId="9" applyNumberFormat="1" applyFont="1" applyBorder="1" applyAlignment="1">
      <alignment horizontal="right"/>
    </xf>
    <xf numFmtId="169" fontId="11" fillId="0" borderId="0" xfId="9" applyNumberFormat="1" applyFont="1" applyAlignment="1">
      <alignment horizontal="right"/>
    </xf>
    <xf numFmtId="0" fontId="31" fillId="2" borderId="0" xfId="9" applyFont="1" applyFill="1"/>
    <xf numFmtId="0" fontId="0" fillId="7" borderId="0" xfId="0" applyFill="1"/>
    <xf numFmtId="0" fontId="26" fillId="6" borderId="7" xfId="0" applyFont="1" applyFill="1" applyBorder="1" applyAlignment="1">
      <alignment horizontal="right"/>
    </xf>
    <xf numFmtId="0" fontId="26" fillId="6" borderId="6" xfId="0" applyFont="1" applyFill="1" applyBorder="1" applyAlignment="1">
      <alignment wrapText="1"/>
    </xf>
    <xf numFmtId="3" fontId="26" fillId="6" borderId="6" xfId="0" applyNumberFormat="1" applyFont="1" applyFill="1" applyBorder="1" applyAlignment="1">
      <alignment wrapText="1"/>
    </xf>
    <xf numFmtId="0" fontId="26" fillId="8" borderId="7" xfId="0" applyFont="1" applyFill="1" applyBorder="1" applyAlignment="1">
      <alignment horizontal="right" wrapText="1"/>
    </xf>
    <xf numFmtId="166" fontId="26" fillId="6" borderId="7" xfId="13" applyNumberFormat="1" applyFont="1" applyFill="1" applyBorder="1" applyAlignment="1">
      <alignment horizontal="right"/>
    </xf>
    <xf numFmtId="0" fontId="35" fillId="6" borderId="8" xfId="0" applyFont="1" applyFill="1" applyBorder="1" applyAlignment="1">
      <alignment horizontal="right"/>
    </xf>
    <xf numFmtId="0" fontId="35" fillId="6" borderId="5" xfId="0" applyFont="1" applyFill="1" applyBorder="1" applyAlignment="1">
      <alignment wrapText="1"/>
    </xf>
    <xf numFmtId="166" fontId="26" fillId="6" borderId="8" xfId="13" applyNumberFormat="1" applyFont="1" applyFill="1" applyBorder="1" applyAlignment="1">
      <alignment horizontal="right"/>
    </xf>
    <xf numFmtId="0" fontId="26" fillId="8" borderId="8" xfId="0" applyFont="1" applyFill="1" applyBorder="1" applyAlignment="1">
      <alignment horizontal="right" wrapText="1"/>
    </xf>
    <xf numFmtId="0" fontId="36" fillId="6" borderId="6" xfId="0" applyFont="1" applyFill="1" applyBorder="1"/>
    <xf numFmtId="0" fontId="37" fillId="6" borderId="2" xfId="0" applyFont="1" applyFill="1" applyBorder="1"/>
    <xf numFmtId="166" fontId="37" fillId="6" borderId="9" xfId="12" applyNumberFormat="1" applyFont="1" applyFill="1" applyBorder="1" applyAlignment="1">
      <alignment horizontal="right"/>
    </xf>
    <xf numFmtId="0" fontId="37" fillId="6" borderId="2" xfId="0" applyFont="1" applyFill="1" applyBorder="1" applyAlignment="1">
      <alignment horizontal="right" wrapText="1"/>
    </xf>
    <xf numFmtId="0" fontId="26" fillId="6" borderId="10" xfId="0" applyFont="1" applyFill="1" applyBorder="1" applyAlignment="1">
      <alignment horizontal="right"/>
    </xf>
    <xf numFmtId="0" fontId="26" fillId="6" borderId="18" xfId="0" applyFont="1" applyFill="1" applyBorder="1" applyAlignment="1">
      <alignment wrapText="1"/>
    </xf>
    <xf numFmtId="166" fontId="26" fillId="6" borderId="10" xfId="13" applyNumberFormat="1" applyFont="1" applyFill="1" applyBorder="1" applyAlignment="1">
      <alignment horizontal="right"/>
    </xf>
    <xf numFmtId="0" fontId="26" fillId="8" borderId="10" xfId="0" applyFont="1" applyFill="1" applyBorder="1" applyAlignment="1">
      <alignment horizontal="right" wrapText="1"/>
    </xf>
    <xf numFmtId="166" fontId="26" fillId="0" borderId="10" xfId="13" applyNumberFormat="1" applyFont="1" applyFill="1" applyBorder="1" applyAlignment="1">
      <alignment horizontal="right"/>
    </xf>
    <xf numFmtId="166" fontId="26" fillId="0" borderId="7" xfId="13" applyNumberFormat="1" applyFont="1" applyFill="1" applyBorder="1" applyAlignment="1">
      <alignment horizontal="right"/>
    </xf>
    <xf numFmtId="0" fontId="35" fillId="6" borderId="6" xfId="0" applyFont="1" applyFill="1" applyBorder="1" applyAlignment="1">
      <alignment wrapText="1"/>
    </xf>
    <xf numFmtId="0" fontId="36" fillId="6" borderId="11" xfId="0" applyFont="1" applyFill="1" applyBorder="1"/>
    <xf numFmtId="0" fontId="37" fillId="6" borderId="0" xfId="0" applyFont="1" applyFill="1"/>
    <xf numFmtId="166" fontId="37" fillId="6" borderId="0" xfId="12" applyNumberFormat="1" applyFont="1" applyFill="1" applyBorder="1" applyAlignment="1">
      <alignment horizontal="right"/>
    </xf>
    <xf numFmtId="0" fontId="37" fillId="6" borderId="0" xfId="0" applyFont="1" applyFill="1" applyAlignment="1">
      <alignment horizontal="right" wrapText="1"/>
    </xf>
    <xf numFmtId="173" fontId="26" fillId="8" borderId="7" xfId="0" applyNumberFormat="1" applyFont="1" applyFill="1" applyBorder="1" applyAlignment="1">
      <alignment horizontal="right" wrapText="1"/>
    </xf>
    <xf numFmtId="0" fontId="37" fillId="6" borderId="11" xfId="0" applyFont="1" applyFill="1" applyBorder="1"/>
    <xf numFmtId="174" fontId="26" fillId="6" borderId="7" xfId="1" applyNumberFormat="1" applyFont="1" applyFill="1" applyBorder="1" applyAlignment="1">
      <alignment horizontal="right"/>
    </xf>
    <xf numFmtId="169" fontId="26" fillId="9" borderId="7" xfId="1" applyNumberFormat="1" applyFont="1" applyFill="1" applyBorder="1" applyAlignment="1">
      <alignment horizontal="right"/>
    </xf>
    <xf numFmtId="166" fontId="26" fillId="9" borderId="7" xfId="13" applyNumberFormat="1" applyFont="1" applyFill="1" applyBorder="1" applyAlignment="1">
      <alignment horizontal="right"/>
    </xf>
    <xf numFmtId="0" fontId="36" fillId="6" borderId="6" xfId="0" applyFont="1" applyFill="1" applyBorder="1" applyAlignment="1">
      <alignment vertical="top"/>
    </xf>
    <xf numFmtId="0" fontId="36" fillId="6" borderId="2" xfId="0" applyFont="1" applyFill="1" applyBorder="1" applyAlignment="1">
      <alignment vertical="top" wrapText="1"/>
    </xf>
    <xf numFmtId="3" fontId="11" fillId="7" borderId="7" xfId="0" quotePrefix="1" applyNumberFormat="1" applyFont="1" applyFill="1" applyBorder="1" applyAlignment="1">
      <alignment horizontal="right"/>
    </xf>
    <xf numFmtId="3" fontId="12" fillId="7" borderId="7" xfId="0" quotePrefix="1" applyNumberFormat="1" applyFont="1" applyFill="1" applyBorder="1" applyAlignment="1">
      <alignment horizontal="right"/>
    </xf>
    <xf numFmtId="0" fontId="13" fillId="7" borderId="7" xfId="0" applyFont="1" applyFill="1" applyBorder="1"/>
    <xf numFmtId="0" fontId="11" fillId="7" borderId="7" xfId="0" applyFont="1" applyFill="1" applyBorder="1" applyAlignment="1">
      <alignment horizontal="center"/>
    </xf>
    <xf numFmtId="0" fontId="40" fillId="7" borderId="7" xfId="0" applyFont="1" applyFill="1" applyBorder="1"/>
    <xf numFmtId="0" fontId="41" fillId="7" borderId="7" xfId="0" applyFont="1" applyFill="1" applyBorder="1" applyAlignment="1">
      <alignment horizontal="center"/>
    </xf>
    <xf numFmtId="0" fontId="11" fillId="0" borderId="7" xfId="0" applyFont="1" applyBorder="1" applyAlignment="1">
      <alignment horizontal="center" wrapText="1"/>
    </xf>
    <xf numFmtId="0" fontId="13" fillId="7" borderId="7" xfId="0" applyFont="1" applyFill="1" applyBorder="1" applyAlignment="1">
      <alignment horizontal="right"/>
    </xf>
    <xf numFmtId="0" fontId="11" fillId="0" borderId="7" xfId="0" applyFont="1" applyBorder="1" applyAlignment="1">
      <alignment horizontal="center"/>
    </xf>
    <xf numFmtId="49" fontId="11" fillId="0" borderId="7" xfId="0" applyNumberFormat="1" applyFont="1" applyBorder="1" applyAlignment="1">
      <alignment horizontal="center"/>
    </xf>
    <xf numFmtId="175" fontId="11" fillId="7" borderId="7" xfId="0" applyNumberFormat="1" applyFont="1" applyFill="1" applyBorder="1" applyAlignment="1">
      <alignment horizontal="center"/>
    </xf>
    <xf numFmtId="176" fontId="11" fillId="0" borderId="7" xfId="0" applyNumberFormat="1" applyFont="1" applyBorder="1" applyAlignment="1">
      <alignment horizontal="center" wrapText="1"/>
    </xf>
    <xf numFmtId="0" fontId="11" fillId="0" borderId="7" xfId="0" applyFont="1" applyBorder="1"/>
    <xf numFmtId="0" fontId="19" fillId="0" borderId="7" xfId="0" applyFont="1" applyBorder="1"/>
    <xf numFmtId="0" fontId="19" fillId="0" borderId="7" xfId="0" applyFont="1" applyBorder="1" applyAlignment="1">
      <alignment horizontal="center"/>
    </xf>
    <xf numFmtId="0" fontId="11" fillId="0" borderId="7" xfId="0" applyFont="1" applyBorder="1" applyAlignment="1">
      <alignment horizontal="right"/>
    </xf>
    <xf numFmtId="9" fontId="11" fillId="7" borderId="7" xfId="1" quotePrefix="1" applyFont="1" applyFill="1" applyBorder="1" applyAlignment="1">
      <alignment horizontal="right"/>
    </xf>
    <xf numFmtId="9" fontId="12" fillId="7" borderId="7" xfId="1" quotePrefix="1" applyFont="1" applyFill="1" applyBorder="1" applyAlignment="1">
      <alignment horizontal="right"/>
    </xf>
    <xf numFmtId="3" fontId="11" fillId="6" borderId="7" xfId="0" quotePrefix="1" applyNumberFormat="1" applyFont="1" applyFill="1" applyBorder="1" applyAlignment="1">
      <alignment horizontal="right"/>
    </xf>
    <xf numFmtId="0" fontId="42" fillId="6" borderId="0" xfId="0" applyFont="1" applyFill="1"/>
    <xf numFmtId="0" fontId="43" fillId="6" borderId="0" xfId="0" applyFont="1" applyFill="1"/>
    <xf numFmtId="14" fontId="11" fillId="7" borderId="6" xfId="0" applyNumberFormat="1" applyFont="1" applyFill="1" applyBorder="1"/>
    <xf numFmtId="14" fontId="11" fillId="7" borderId="6" xfId="0" applyNumberFormat="1" applyFont="1" applyFill="1" applyBorder="1" applyAlignment="1">
      <alignment horizontal="left"/>
    </xf>
    <xf numFmtId="0" fontId="3" fillId="7" borderId="0" xfId="0" applyFont="1" applyFill="1"/>
    <xf numFmtId="0" fontId="31" fillId="7" borderId="0" xfId="9" applyFont="1" applyFill="1"/>
    <xf numFmtId="0" fontId="44" fillId="7" borderId="0" xfId="0" applyFont="1" applyFill="1"/>
    <xf numFmtId="0" fontId="30" fillId="7" borderId="0" xfId="0" applyFont="1" applyFill="1"/>
    <xf numFmtId="0" fontId="7" fillId="7" borderId="0" xfId="0" applyFont="1" applyFill="1"/>
    <xf numFmtId="0" fontId="13" fillId="7" borderId="0" xfId="0" applyFont="1" applyFill="1"/>
    <xf numFmtId="0" fontId="13" fillId="6" borderId="0" xfId="0" applyFont="1" applyFill="1"/>
    <xf numFmtId="0" fontId="16" fillId="6" borderId="0" xfId="0" applyFont="1" applyFill="1"/>
    <xf numFmtId="0" fontId="26" fillId="6" borderId="0" xfId="0" applyFont="1" applyFill="1"/>
    <xf numFmtId="177" fontId="11" fillId="6" borderId="7" xfId="0" quotePrefix="1" applyNumberFormat="1" applyFont="1" applyFill="1" applyBorder="1" applyAlignment="1">
      <alignment horizontal="right"/>
    </xf>
    <xf numFmtId="177" fontId="12" fillId="6" borderId="7" xfId="0" quotePrefix="1" applyNumberFormat="1" applyFont="1" applyFill="1" applyBorder="1" applyAlignment="1">
      <alignment horizontal="right"/>
    </xf>
    <xf numFmtId="0" fontId="45" fillId="6" borderId="0" xfId="0" applyFont="1" applyFill="1"/>
    <xf numFmtId="0" fontId="46" fillId="6" borderId="0" xfId="0" applyFont="1" applyFill="1"/>
    <xf numFmtId="0" fontId="48" fillId="7" borderId="0" xfId="0" applyFont="1" applyFill="1"/>
    <xf numFmtId="14" fontId="11" fillId="6" borderId="2" xfId="0" applyNumberFormat="1" applyFont="1" applyFill="1" applyBorder="1"/>
    <xf numFmtId="14" fontId="12" fillId="7" borderId="6" xfId="0" applyNumberFormat="1" applyFont="1" applyFill="1" applyBorder="1" applyAlignment="1">
      <alignment horizontal="left"/>
    </xf>
    <xf numFmtId="14" fontId="12" fillId="6" borderId="2" xfId="0" applyNumberFormat="1" applyFont="1" applyFill="1" applyBorder="1" applyAlignment="1">
      <alignment horizontal="left"/>
    </xf>
    <xf numFmtId="14" fontId="12" fillId="6" borderId="0" xfId="0" applyNumberFormat="1" applyFont="1" applyFill="1" applyAlignment="1">
      <alignment horizontal="left"/>
    </xf>
    <xf numFmtId="177" fontId="12" fillId="6" borderId="0" xfId="0" quotePrefix="1" applyNumberFormat="1" applyFont="1" applyFill="1" applyAlignment="1">
      <alignment horizontal="right"/>
    </xf>
    <xf numFmtId="3" fontId="12" fillId="6" borderId="0" xfId="0" quotePrefix="1" applyNumberFormat="1" applyFont="1" applyFill="1" applyAlignment="1">
      <alignment horizontal="right"/>
    </xf>
    <xf numFmtId="14" fontId="11" fillId="6" borderId="6" xfId="0" applyNumberFormat="1" applyFont="1" applyFill="1" applyBorder="1" applyAlignment="1">
      <alignment horizontal="left"/>
    </xf>
    <xf numFmtId="14" fontId="11" fillId="6" borderId="9" xfId="0" applyNumberFormat="1" applyFont="1" applyFill="1" applyBorder="1"/>
    <xf numFmtId="14" fontId="11" fillId="6" borderId="9" xfId="0" applyNumberFormat="1" applyFont="1" applyFill="1" applyBorder="1" applyAlignment="1">
      <alignment horizontal="left"/>
    </xf>
    <xf numFmtId="10" fontId="42" fillId="6" borderId="0" xfId="0" applyNumberFormat="1" applyFont="1" applyFill="1"/>
    <xf numFmtId="166" fontId="11" fillId="6" borderId="7" xfId="13" quotePrefix="1" applyNumberFormat="1" applyFont="1" applyFill="1" applyBorder="1" applyAlignment="1">
      <alignment horizontal="right"/>
    </xf>
    <xf numFmtId="14" fontId="12" fillId="7" borderId="6" xfId="0" applyNumberFormat="1" applyFont="1" applyFill="1" applyBorder="1"/>
    <xf numFmtId="14" fontId="12" fillId="6" borderId="9" xfId="0" applyNumberFormat="1" applyFont="1" applyFill="1" applyBorder="1"/>
    <xf numFmtId="166" fontId="12" fillId="6" borderId="7" xfId="13" quotePrefix="1" applyNumberFormat="1" applyFont="1" applyFill="1" applyBorder="1" applyAlignment="1">
      <alignment horizontal="right"/>
    </xf>
    <xf numFmtId="10" fontId="43" fillId="6" borderId="0" xfId="0" applyNumberFormat="1" applyFont="1" applyFill="1"/>
    <xf numFmtId="14" fontId="11" fillId="6" borderId="9" xfId="0" applyNumberFormat="1" applyFont="1" applyFill="1" applyBorder="1" applyAlignment="1">
      <alignment horizontal="left"/>
    </xf>
    <xf numFmtId="0" fontId="13" fillId="2" borderId="7" xfId="0" applyFont="1" applyFill="1" applyBorder="1" applyAlignment="1">
      <alignment horizontal="center" vertical="top" wrapText="1"/>
    </xf>
    <xf numFmtId="0" fontId="13" fillId="2" borderId="7" xfId="0" applyFont="1" applyFill="1" applyBorder="1" applyAlignment="1">
      <alignment horizontal="left" vertical="top" wrapText="1"/>
    </xf>
    <xf numFmtId="0" fontId="33" fillId="10" borderId="0" xfId="0" applyFont="1" applyFill="1" applyAlignment="1">
      <alignment horizontal="center" vertical="center" wrapText="1"/>
    </xf>
    <xf numFmtId="0" fontId="33" fillId="10" borderId="10" xfId="0" applyFont="1" applyFill="1" applyBorder="1" applyAlignment="1">
      <alignment horizontal="center" vertical="center" wrapText="1"/>
    </xf>
    <xf numFmtId="0" fontId="17" fillId="2" borderId="0" xfId="0" applyFont="1" applyFill="1" applyBorder="1" applyAlignment="1">
      <alignment horizontal="center"/>
    </xf>
    <xf numFmtId="0" fontId="17" fillId="2" borderId="0" xfId="0" applyFont="1" applyFill="1" applyBorder="1"/>
    <xf numFmtId="0" fontId="7" fillId="2" borderId="3" xfId="0" applyFont="1" applyFill="1" applyBorder="1" applyAlignment="1">
      <alignment horizontal="right"/>
    </xf>
    <xf numFmtId="0" fontId="0" fillId="2" borderId="0" xfId="0" applyFill="1" applyBorder="1"/>
    <xf numFmtId="0" fontId="6" fillId="2" borderId="0" xfId="0" applyFont="1" applyFill="1" applyBorder="1" applyAlignment="1">
      <alignment horizontal="center"/>
    </xf>
    <xf numFmtId="0" fontId="6" fillId="2" borderId="0" xfId="0" applyFont="1" applyFill="1" applyBorder="1"/>
    <xf numFmtId="165" fontId="6" fillId="2" borderId="0" xfId="0" applyNumberFormat="1" applyFont="1" applyFill="1" applyBorder="1" applyAlignment="1">
      <alignment horizontal="left"/>
    </xf>
    <xf numFmtId="0" fontId="38" fillId="10" borderId="3" xfId="0" applyFont="1" applyFill="1" applyBorder="1" applyAlignment="1">
      <alignment vertical="center"/>
    </xf>
    <xf numFmtId="0" fontId="38" fillId="10" borderId="3" xfId="0" applyFont="1" applyFill="1" applyBorder="1" applyAlignment="1">
      <alignment vertical="center" wrapText="1"/>
    </xf>
    <xf numFmtId="168" fontId="27" fillId="2" borderId="24" xfId="0" applyNumberFormat="1" applyFont="1" applyFill="1" applyBorder="1" applyAlignment="1">
      <alignment horizontal="center" vertical="top" wrapText="1"/>
    </xf>
    <xf numFmtId="0" fontId="27" fillId="2" borderId="25" xfId="0" applyFont="1" applyFill="1" applyBorder="1" applyAlignment="1">
      <alignment horizontal="left" vertical="top" wrapText="1"/>
    </xf>
    <xf numFmtId="171" fontId="33" fillId="10" borderId="0" xfId="11" applyNumberFormat="1" applyFont="1" applyFill="1" applyAlignment="1">
      <alignment vertical="center" wrapText="1"/>
    </xf>
    <xf numFmtId="0" fontId="34" fillId="10" borderId="3" xfId="0" applyFont="1" applyFill="1" applyBorder="1" applyAlignment="1">
      <alignment horizontal="left" vertical="center" wrapText="1"/>
    </xf>
    <xf numFmtId="14" fontId="12" fillId="7" borderId="0" xfId="0" applyNumberFormat="1" applyFont="1" applyFill="1" applyBorder="1" applyAlignment="1">
      <alignment horizontal="left"/>
    </xf>
    <xf numFmtId="177" fontId="12" fillId="6" borderId="0" xfId="0" quotePrefix="1" applyNumberFormat="1" applyFont="1" applyFill="1" applyBorder="1" applyAlignment="1">
      <alignment horizontal="right"/>
    </xf>
    <xf numFmtId="0" fontId="49" fillId="7" borderId="0" xfId="0" applyFont="1" applyFill="1"/>
    <xf numFmtId="0" fontId="34" fillId="10" borderId="0" xfId="0" applyFont="1" applyFill="1" applyAlignment="1">
      <alignment horizontal="left" vertical="center" wrapText="1"/>
    </xf>
    <xf numFmtId="0" fontId="34" fillId="10" borderId="18" xfId="0" applyFont="1" applyFill="1" applyBorder="1" applyAlignment="1">
      <alignment horizontal="center" vertical="center" wrapText="1"/>
    </xf>
    <xf numFmtId="0" fontId="34" fillId="10" borderId="3" xfId="0" applyFont="1" applyFill="1" applyBorder="1" applyAlignment="1">
      <alignment horizontal="center" vertical="center" wrapText="1"/>
    </xf>
    <xf numFmtId="0" fontId="34" fillId="10" borderId="19" xfId="0" applyFont="1" applyFill="1" applyBorder="1" applyAlignment="1">
      <alignment horizontal="center" vertical="center" wrapText="1"/>
    </xf>
    <xf numFmtId="166" fontId="35" fillId="2" borderId="7" xfId="18" applyNumberFormat="1" applyFont="1" applyFill="1" applyBorder="1" applyAlignment="1">
      <alignment horizontal="right" vertical="top" wrapText="1"/>
    </xf>
    <xf numFmtId="166" fontId="12" fillId="2" borderId="25" xfId="18" applyNumberFormat="1" applyFont="1" applyFill="1" applyBorder="1" applyAlignment="1">
      <alignment horizontal="left" vertical="top" wrapText="1"/>
    </xf>
    <xf numFmtId="166" fontId="35" fillId="2" borderId="7" xfId="18" applyNumberFormat="1" applyFont="1" applyFill="1" applyBorder="1" applyAlignment="1">
      <alignment horizontal="left" vertical="top" wrapText="1"/>
    </xf>
    <xf numFmtId="0" fontId="27" fillId="2" borderId="7" xfId="0" applyFont="1" applyFill="1" applyBorder="1" applyAlignment="1">
      <alignment horizontal="left" vertical="top" wrapText="1"/>
    </xf>
    <xf numFmtId="166" fontId="13" fillId="11" borderId="7" xfId="0" applyNumberFormat="1" applyFont="1" applyFill="1" applyBorder="1" applyAlignment="1">
      <alignment horizontal="left" vertical="top" wrapText="1"/>
    </xf>
    <xf numFmtId="9" fontId="13" fillId="2" borderId="7" xfId="0" applyNumberFormat="1" applyFont="1" applyFill="1" applyBorder="1" applyAlignment="1">
      <alignment horizontal="left" vertical="top" wrapText="1"/>
    </xf>
    <xf numFmtId="14" fontId="34" fillId="10" borderId="0" xfId="0" applyNumberFormat="1" applyFont="1" applyFill="1" applyAlignment="1">
      <alignment vertical="center" wrapText="1"/>
    </xf>
    <xf numFmtId="171" fontId="34" fillId="10" borderId="0" xfId="0" applyNumberFormat="1" applyFont="1" applyFill="1" applyAlignment="1">
      <alignment horizontal="center" vertical="center" wrapText="1"/>
    </xf>
    <xf numFmtId="0" fontId="34" fillId="10" borderId="0" xfId="0" applyFont="1" applyFill="1" applyAlignment="1">
      <alignment horizontal="center" vertical="center" wrapText="1"/>
    </xf>
    <xf numFmtId="14" fontId="34" fillId="10" borderId="0" xfId="0" applyNumberFormat="1" applyFont="1" applyFill="1" applyAlignment="1">
      <alignment horizontal="center" vertical="center" wrapText="1"/>
    </xf>
    <xf numFmtId="0" fontId="33" fillId="10" borderId="0" xfId="0" applyFont="1" applyFill="1" applyAlignment="1">
      <alignment vertical="center" wrapText="1"/>
    </xf>
    <xf numFmtId="0" fontId="7" fillId="2" borderId="3" xfId="0" applyFont="1" applyFill="1" applyBorder="1" applyAlignment="1">
      <alignment horizontal="left"/>
    </xf>
    <xf numFmtId="0" fontId="0" fillId="2" borderId="0" xfId="0" applyFill="1" applyAlignment="1">
      <alignment horizontal="left"/>
    </xf>
    <xf numFmtId="0" fontId="7" fillId="2" borderId="3" xfId="0" applyFont="1" applyFill="1" applyBorder="1" applyAlignment="1">
      <alignment horizontal="right" wrapText="1"/>
    </xf>
    <xf numFmtId="0" fontId="7" fillId="2" borderId="3" xfId="0" applyFont="1" applyFill="1" applyBorder="1" applyAlignment="1">
      <alignment horizontal="left" wrapText="1"/>
    </xf>
    <xf numFmtId="166" fontId="37" fillId="6" borderId="2" xfId="12" applyNumberFormat="1" applyFont="1" applyFill="1" applyBorder="1" applyAlignment="1">
      <alignment horizontal="right"/>
    </xf>
    <xf numFmtId="0" fontId="31" fillId="2" borderId="0" xfId="9" applyFont="1" applyFill="1" applyBorder="1"/>
    <xf numFmtId="0" fontId="11" fillId="2" borderId="7" xfId="0" applyFont="1" applyFill="1" applyBorder="1"/>
    <xf numFmtId="0" fontId="0" fillId="7" borderId="0" xfId="0" applyFont="1" applyFill="1"/>
    <xf numFmtId="0" fontId="0" fillId="7" borderId="0" xfId="0" applyFill="1" applyBorder="1"/>
    <xf numFmtId="0" fontId="33" fillId="10" borderId="0" xfId="0" applyFont="1" applyFill="1" applyAlignment="1">
      <alignment vertical="center"/>
    </xf>
    <xf numFmtId="0" fontId="34" fillId="10" borderId="0" xfId="0" applyFont="1" applyFill="1" applyAlignment="1">
      <alignment horizontal="left" vertical="center"/>
    </xf>
    <xf numFmtId="14" fontId="34" fillId="10" borderId="0" xfId="0" applyNumberFormat="1" applyFont="1" applyFill="1" applyAlignment="1">
      <alignment vertical="center"/>
    </xf>
    <xf numFmtId="0" fontId="33" fillId="9" borderId="0" xfId="0" applyFont="1" applyFill="1" applyBorder="1" applyAlignment="1">
      <alignment vertical="center"/>
    </xf>
    <xf numFmtId="171" fontId="34" fillId="9" borderId="0" xfId="0" applyNumberFormat="1" applyFont="1" applyFill="1" applyBorder="1" applyAlignment="1">
      <alignment horizontal="center" vertical="center"/>
    </xf>
    <xf numFmtId="177" fontId="11" fillId="9" borderId="0" xfId="0" quotePrefix="1" applyNumberFormat="1" applyFont="1" applyFill="1" applyBorder="1" applyAlignment="1">
      <alignment horizontal="right"/>
    </xf>
    <xf numFmtId="177" fontId="12" fillId="9" borderId="0" xfId="0" quotePrefix="1" applyNumberFormat="1" applyFont="1" applyFill="1" applyBorder="1" applyAlignment="1">
      <alignment horizontal="right"/>
    </xf>
    <xf numFmtId="0" fontId="33" fillId="10" borderId="20" xfId="0" applyFont="1" applyFill="1" applyBorder="1" applyAlignment="1">
      <alignment vertical="center"/>
    </xf>
    <xf numFmtId="171" fontId="34" fillId="10" borderId="20" xfId="0" applyNumberFormat="1" applyFont="1" applyFill="1" applyBorder="1" applyAlignment="1">
      <alignment horizontal="center" vertical="center"/>
    </xf>
    <xf numFmtId="0" fontId="42" fillId="9" borderId="0" xfId="0" applyFont="1" applyFill="1"/>
    <xf numFmtId="0" fontId="26" fillId="9" borderId="0" xfId="0" applyFont="1" applyFill="1"/>
    <xf numFmtId="0" fontId="33" fillId="2" borderId="0" xfId="0" applyFont="1" applyFill="1" applyAlignment="1">
      <alignment vertical="center" wrapText="1"/>
    </xf>
    <xf numFmtId="0" fontId="47" fillId="9" borderId="0" xfId="0" applyFont="1" applyFill="1"/>
    <xf numFmtId="0" fontId="48" fillId="2" borderId="0" xfId="0" applyFont="1" applyFill="1"/>
    <xf numFmtId="0" fontId="33" fillId="9" borderId="0" xfId="0" applyFont="1" applyFill="1" applyBorder="1" applyAlignment="1">
      <alignment vertical="center" wrapText="1"/>
    </xf>
    <xf numFmtId="171" fontId="34" fillId="9" borderId="0" xfId="0" applyNumberFormat="1" applyFont="1" applyFill="1" applyBorder="1" applyAlignment="1">
      <alignment horizontal="center" vertical="center" wrapText="1"/>
    </xf>
    <xf numFmtId="0" fontId="42" fillId="9" borderId="0" xfId="0" applyFont="1" applyFill="1" applyBorder="1"/>
    <xf numFmtId="9" fontId="11" fillId="6" borderId="6" xfId="1" quotePrefix="1" applyFont="1" applyFill="1" applyBorder="1" applyAlignment="1">
      <alignment horizontal="right"/>
    </xf>
    <xf numFmtId="9" fontId="11" fillId="6" borderId="6" xfId="1" quotePrefix="1" applyNumberFormat="1" applyFont="1" applyFill="1" applyBorder="1" applyAlignment="1">
      <alignment horizontal="right"/>
    </xf>
    <xf numFmtId="9" fontId="11" fillId="9" borderId="11" xfId="1" quotePrefix="1" applyFont="1" applyFill="1" applyBorder="1" applyAlignment="1">
      <alignment horizontal="right"/>
    </xf>
    <xf numFmtId="0" fontId="50" fillId="0" borderId="40" xfId="0" applyFont="1" applyBorder="1" applyAlignment="1">
      <alignment vertical="center"/>
    </xf>
    <xf numFmtId="0" fontId="50" fillId="0" borderId="41" xfId="0" applyFont="1" applyBorder="1" applyAlignment="1">
      <alignment horizontal="right" vertical="center" wrapText="1"/>
    </xf>
    <xf numFmtId="0" fontId="50" fillId="0" borderId="42" xfId="0" applyFont="1" applyBorder="1" applyAlignment="1">
      <alignment horizontal="right" vertical="center" wrapText="1"/>
    </xf>
    <xf numFmtId="0" fontId="50" fillId="0" borderId="41" xfId="0" applyFont="1" applyBorder="1" applyAlignment="1">
      <alignment horizontal="right" vertical="center"/>
    </xf>
    <xf numFmtId="0" fontId="51" fillId="0" borderId="0" xfId="0" applyFont="1" applyAlignment="1">
      <alignment vertical="center"/>
    </xf>
    <xf numFmtId="178" fontId="51" fillId="0" borderId="11" xfId="17" applyNumberFormat="1" applyFont="1" applyBorder="1" applyAlignment="1">
      <alignment vertical="center"/>
    </xf>
    <xf numFmtId="178" fontId="51" fillId="0" borderId="37" xfId="17" applyNumberFormat="1" applyFont="1" applyBorder="1" applyAlignment="1">
      <alignment vertical="center"/>
    </xf>
    <xf numFmtId="178" fontId="52" fillId="0" borderId="37" xfId="17" applyNumberFormat="1" applyFont="1" applyBorder="1" applyAlignment="1">
      <alignment vertical="center"/>
    </xf>
    <xf numFmtId="0" fontId="51" fillId="0" borderId="0" xfId="0" applyFont="1" applyAlignment="1">
      <alignment vertical="center" wrapText="1"/>
    </xf>
    <xf numFmtId="178" fontId="51" fillId="0" borderId="37" xfId="17" applyNumberFormat="1" applyFont="1" applyBorder="1" applyAlignment="1">
      <alignment vertical="center" wrapText="1"/>
    </xf>
    <xf numFmtId="0" fontId="50" fillId="0" borderId="43" xfId="0" applyFont="1" applyBorder="1" applyAlignment="1">
      <alignment vertical="center"/>
    </xf>
    <xf numFmtId="178" fontId="50" fillId="0" borderId="44" xfId="17" applyNumberFormat="1" applyFont="1" applyBorder="1" applyAlignment="1">
      <alignment vertical="center"/>
    </xf>
    <xf numFmtId="0" fontId="50" fillId="0" borderId="0" xfId="0" applyFont="1" applyAlignment="1">
      <alignment vertical="center"/>
    </xf>
    <xf numFmtId="0" fontId="51" fillId="0" borderId="0" xfId="0" applyFont="1"/>
    <xf numFmtId="0" fontId="50" fillId="0" borderId="40" xfId="0" applyFont="1" applyBorder="1" applyAlignment="1">
      <alignment vertical="center" wrapText="1"/>
    </xf>
    <xf numFmtId="178" fontId="52" fillId="0" borderId="11" xfId="17" applyNumberFormat="1" applyFont="1" applyBorder="1" applyAlignment="1">
      <alignment vertical="center"/>
    </xf>
    <xf numFmtId="178" fontId="51" fillId="0" borderId="37" xfId="0" applyNumberFormat="1" applyFont="1" applyBorder="1"/>
    <xf numFmtId="0" fontId="10" fillId="0" borderId="0" xfId="0" applyFont="1" applyAlignment="1">
      <alignment vertical="center"/>
    </xf>
    <xf numFmtId="0" fontId="18" fillId="2" borderId="0" xfId="0" applyFont="1" applyFill="1"/>
    <xf numFmtId="0" fontId="13" fillId="2" borderId="0" xfId="0" applyFont="1" applyFill="1" applyAlignment="1">
      <alignment textRotation="90"/>
    </xf>
    <xf numFmtId="0" fontId="11" fillId="2" borderId="10" xfId="0" applyFont="1" applyFill="1" applyBorder="1"/>
    <xf numFmtId="0" fontId="13" fillId="2" borderId="10" xfId="0" applyFont="1" applyFill="1" applyBorder="1"/>
    <xf numFmtId="49" fontId="13" fillId="2" borderId="10" xfId="0" quotePrefix="1" applyNumberFormat="1" applyFont="1" applyFill="1" applyBorder="1"/>
    <xf numFmtId="0" fontId="13" fillId="2" borderId="7" xfId="0" quotePrefix="1" applyFont="1" applyFill="1" applyBorder="1"/>
    <xf numFmtId="0" fontId="13" fillId="2" borderId="7" xfId="0" applyFont="1" applyFill="1" applyBorder="1"/>
    <xf numFmtId="179" fontId="13" fillId="2" borderId="7" xfId="18" applyNumberFormat="1" applyFont="1" applyFill="1" applyBorder="1"/>
    <xf numFmtId="9" fontId="13" fillId="2" borderId="7" xfId="0" applyNumberFormat="1" applyFont="1" applyFill="1" applyBorder="1"/>
    <xf numFmtId="10" fontId="13" fillId="2" borderId="7" xfId="0" applyNumberFormat="1" applyFont="1" applyFill="1" applyBorder="1"/>
    <xf numFmtId="180" fontId="13" fillId="2" borderId="0" xfId="0" applyNumberFormat="1" applyFont="1" applyFill="1"/>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0" fontId="33" fillId="10" borderId="7" xfId="0" applyFont="1" applyFill="1" applyBorder="1" applyAlignment="1">
      <alignment vertical="center" wrapText="1"/>
    </xf>
    <xf numFmtId="166" fontId="11" fillId="2" borderId="6" xfId="18" applyNumberFormat="1" applyFont="1" applyFill="1" applyBorder="1" applyAlignment="1">
      <alignment horizontal="right" vertical="top"/>
    </xf>
    <xf numFmtId="169" fontId="11" fillId="2" borderId="6" xfId="1" applyNumberFormat="1" applyFont="1" applyFill="1" applyBorder="1" applyAlignment="1">
      <alignment horizontal="right" vertical="top" wrapText="1"/>
    </xf>
    <xf numFmtId="3" fontId="6" fillId="2" borderId="0" xfId="0" applyNumberFormat="1" applyFont="1" applyFill="1" applyBorder="1"/>
    <xf numFmtId="3" fontId="6" fillId="2" borderId="0" xfId="0" applyNumberFormat="1" applyFont="1" applyFill="1" applyBorder="1" applyAlignment="1">
      <alignment vertical="center"/>
    </xf>
    <xf numFmtId="0" fontId="11" fillId="2" borderId="0" xfId="0" applyFont="1" applyFill="1" applyBorder="1" applyAlignment="1">
      <alignment horizontal="left"/>
    </xf>
    <xf numFmtId="0" fontId="11" fillId="2" borderId="0" xfId="0" applyFont="1" applyFill="1" applyBorder="1"/>
    <xf numFmtId="0" fontId="11" fillId="2" borderId="11" xfId="0" applyFont="1" applyFill="1" applyBorder="1" applyAlignment="1">
      <alignment horizontal="center" vertical="top" wrapText="1"/>
    </xf>
    <xf numFmtId="166" fontId="11" fillId="2" borderId="11" xfId="18" applyNumberFormat="1" applyFont="1" applyFill="1" applyBorder="1" applyAlignment="1">
      <alignment horizontal="right" vertical="top" wrapText="1"/>
    </xf>
    <xf numFmtId="166" fontId="11" fillId="2" borderId="11" xfId="18" applyNumberFormat="1" applyFont="1" applyFill="1" applyBorder="1" applyAlignment="1">
      <alignment horizontal="right" vertical="top"/>
    </xf>
    <xf numFmtId="166" fontId="11" fillId="2" borderId="11" xfId="18" applyNumberFormat="1" applyFont="1" applyFill="1" applyBorder="1" applyAlignment="1">
      <alignment horizontal="left" vertical="top" wrapText="1"/>
    </xf>
    <xf numFmtId="166" fontId="11" fillId="2" borderId="11" xfId="18" applyNumberFormat="1" applyFont="1" applyFill="1" applyBorder="1" applyAlignment="1">
      <alignment horizontal="left" vertical="top"/>
    </xf>
    <xf numFmtId="166" fontId="11" fillId="2" borderId="11" xfId="0" applyNumberFormat="1" applyFont="1" applyFill="1" applyBorder="1" applyAlignment="1">
      <alignment horizontal="left" vertical="top"/>
    </xf>
    <xf numFmtId="169" fontId="11" fillId="2" borderId="11" xfId="1" applyNumberFormat="1" applyFont="1" applyFill="1" applyBorder="1" applyAlignment="1">
      <alignment horizontal="right" vertical="top" wrapText="1"/>
    </xf>
    <xf numFmtId="14" fontId="11" fillId="2" borderId="6" xfId="18" applyNumberFormat="1" applyFont="1" applyFill="1" applyBorder="1" applyAlignment="1">
      <alignment horizontal="right" vertical="top" wrapText="1"/>
    </xf>
    <xf numFmtId="181" fontId="0" fillId="12" borderId="46" xfId="0" applyNumberFormat="1" applyFill="1" applyBorder="1" applyAlignment="1">
      <alignment horizontal="left" vertical="center" wrapText="1"/>
    </xf>
    <xf numFmtId="181" fontId="0" fillId="12" borderId="45" xfId="0" applyNumberFormat="1" applyFill="1" applyBorder="1" applyAlignment="1">
      <alignment horizontal="left" vertical="center" wrapText="1"/>
    </xf>
    <xf numFmtId="0" fontId="11" fillId="4" borderId="7" xfId="4" quotePrefix="1" applyFont="1" applyFill="1" applyBorder="1" applyAlignment="1">
      <alignment horizontal="left" vertical="center"/>
    </xf>
    <xf numFmtId="0" fontId="11" fillId="4" borderId="7" xfId="4" applyFont="1" applyFill="1" applyBorder="1" applyAlignment="1">
      <alignment horizontal="left" vertical="center" wrapText="1"/>
    </xf>
    <xf numFmtId="0" fontId="11" fillId="0" borderId="7" xfId="4" applyFont="1" applyBorder="1" applyAlignment="1">
      <alignment horizontal="left" vertical="center" wrapText="1"/>
    </xf>
    <xf numFmtId="0" fontId="11" fillId="0" borderId="0" xfId="3" applyFont="1" applyBorder="1">
      <alignment vertical="center"/>
    </xf>
    <xf numFmtId="0" fontId="11" fillId="4" borderId="0" xfId="4" quotePrefix="1" applyFont="1" applyFill="1" applyBorder="1" applyAlignment="1">
      <alignment horizontal="center" vertical="center"/>
    </xf>
    <xf numFmtId="0" fontId="11" fillId="4" borderId="0" xfId="3" applyFont="1" applyFill="1" applyBorder="1">
      <alignment vertical="center"/>
    </xf>
    <xf numFmtId="0" fontId="11" fillId="2" borderId="0" xfId="3" applyFont="1" applyFill="1" applyBorder="1">
      <alignment vertical="center"/>
    </xf>
    <xf numFmtId="0" fontId="11" fillId="3" borderId="7" xfId="4" applyFont="1" applyFill="1" applyBorder="1" applyAlignment="1">
      <alignment horizontal="left" vertical="center" wrapText="1" indent="1"/>
    </xf>
    <xf numFmtId="3" fontId="11" fillId="2" borderId="7" xfId="8" applyFont="1" applyFill="1" applyBorder="1" applyAlignment="1">
      <alignment horizontal="center" vertical="center"/>
      <protection locked="0"/>
    </xf>
    <xf numFmtId="166" fontId="11" fillId="4" borderId="7" xfId="18" applyNumberFormat="1" applyFont="1" applyFill="1" applyBorder="1" applyAlignment="1">
      <alignment vertical="center"/>
    </xf>
    <xf numFmtId="0" fontId="12" fillId="0" borderId="11" xfId="4" applyFont="1" applyBorder="1">
      <alignment vertical="center"/>
    </xf>
    <xf numFmtId="0" fontId="12" fillId="2" borderId="0" xfId="6" applyFont="1" applyFill="1" applyBorder="1" applyAlignment="1">
      <alignment horizontal="left" vertical="center"/>
    </xf>
    <xf numFmtId="0" fontId="11" fillId="2" borderId="7" xfId="4" quotePrefix="1" applyFont="1" applyFill="1" applyBorder="1" applyAlignment="1">
      <alignment horizontal="center" vertical="center"/>
    </xf>
    <xf numFmtId="0" fontId="11" fillId="2" borderId="7" xfId="4" applyFont="1" applyFill="1" applyBorder="1" applyAlignment="1">
      <alignment horizontal="left" vertical="center" wrapText="1" indent="3"/>
    </xf>
    <xf numFmtId="0" fontId="11" fillId="0" borderId="0" xfId="0" applyFont="1" applyBorder="1" applyAlignment="1">
      <alignment horizontal="center" vertical="center" wrapText="1"/>
    </xf>
    <xf numFmtId="0" fontId="11" fillId="2" borderId="0" xfId="4" quotePrefix="1" applyFont="1" applyFill="1" applyBorder="1" applyAlignment="1">
      <alignment horizontal="right" vertical="center"/>
    </xf>
    <xf numFmtId="0" fontId="19" fillId="2" borderId="0" xfId="4" applyFont="1" applyFill="1" applyBorder="1" applyAlignment="1">
      <alignment horizontal="left" vertical="center" wrapText="1" indent="1"/>
    </xf>
    <xf numFmtId="0" fontId="12" fillId="2" borderId="0" xfId="0" applyFont="1" applyFill="1" applyBorder="1"/>
    <xf numFmtId="0" fontId="11" fillId="2" borderId="0" xfId="4" applyFont="1" applyFill="1" applyBorder="1">
      <alignment vertical="center"/>
    </xf>
    <xf numFmtId="0" fontId="12" fillId="2" borderId="0" xfId="6" applyFont="1" applyFill="1" applyBorder="1" applyAlignment="1">
      <alignment vertical="center"/>
    </xf>
    <xf numFmtId="0" fontId="11" fillId="2" borderId="0" xfId="7" applyFont="1" applyFill="1" applyBorder="1" applyAlignment="1">
      <alignment horizontal="right" vertical="center" wrapText="1"/>
    </xf>
    <xf numFmtId="0" fontId="11" fillId="2" borderId="0" xfId="7" applyFont="1" applyFill="1" applyBorder="1" applyAlignment="1">
      <alignment horizontal="center" vertical="center" wrapText="1"/>
    </xf>
    <xf numFmtId="0" fontId="11" fillId="2" borderId="0" xfId="4" quotePrefix="1" applyFont="1" applyFill="1" applyBorder="1" applyAlignment="1">
      <alignment horizontal="center" vertical="center"/>
    </xf>
    <xf numFmtId="0" fontId="11" fillId="2" borderId="0" xfId="4" applyFont="1" applyFill="1" applyBorder="1" applyAlignment="1">
      <alignment horizontal="left" vertical="center" wrapText="1" indent="1"/>
    </xf>
    <xf numFmtId="3" fontId="11" fillId="2" borderId="0" xfId="8" applyFont="1" applyFill="1" applyBorder="1">
      <alignment horizontal="right" vertical="center"/>
      <protection locked="0"/>
    </xf>
    <xf numFmtId="0" fontId="11" fillId="2" borderId="0" xfId="4" applyFont="1" applyFill="1" applyBorder="1" applyAlignment="1">
      <alignment vertical="center" wrapText="1"/>
    </xf>
    <xf numFmtId="0" fontId="11" fillId="2" borderId="0" xfId="4" applyFont="1" applyFill="1" applyBorder="1" applyAlignment="1">
      <alignment vertical="center"/>
    </xf>
    <xf numFmtId="0" fontId="12" fillId="2" borderId="0" xfId="4" applyFont="1" applyFill="1" applyBorder="1">
      <alignment vertical="center"/>
    </xf>
    <xf numFmtId="0" fontId="11" fillId="2" borderId="7" xfId="4" applyFont="1" applyFill="1" applyBorder="1" applyAlignment="1">
      <alignment horizontal="left" vertical="center" wrapText="1" indent="1"/>
    </xf>
    <xf numFmtId="3" fontId="11" fillId="2" borderId="7" xfId="8" applyFont="1" applyFill="1" applyBorder="1">
      <alignment horizontal="right" vertical="center"/>
      <protection locked="0"/>
    </xf>
    <xf numFmtId="0" fontId="11" fillId="2" borderId="7" xfId="4" applyFont="1" applyFill="1" applyBorder="1" applyAlignment="1">
      <alignment horizontal="left" vertical="center" wrapText="1" indent="2"/>
    </xf>
    <xf numFmtId="0" fontId="11" fillId="2" borderId="7" xfId="3" applyFont="1" applyFill="1" applyBorder="1" applyAlignment="1">
      <alignment horizontal="left" vertical="center"/>
    </xf>
    <xf numFmtId="0" fontId="11" fillId="2" borderId="7" xfId="4" applyFont="1" applyFill="1" applyBorder="1" applyAlignment="1">
      <alignment horizontal="left" vertical="center"/>
    </xf>
    <xf numFmtId="0" fontId="11" fillId="2" borderId="7" xfId="4" quotePrefix="1" applyFont="1" applyFill="1" applyBorder="1" applyAlignment="1">
      <alignment horizontal="left" vertical="center"/>
    </xf>
    <xf numFmtId="3" fontId="11" fillId="2" borderId="7" xfId="8" applyFont="1" applyFill="1" applyBorder="1" applyAlignment="1">
      <alignment horizontal="left" vertical="center"/>
      <protection locked="0"/>
    </xf>
    <xf numFmtId="0" fontId="11" fillId="2" borderId="7" xfId="4" quotePrefix="1" applyFont="1" applyFill="1" applyBorder="1" applyAlignment="1">
      <alignment horizontal="right" vertical="center"/>
    </xf>
    <xf numFmtId="0" fontId="19" fillId="2" borderId="7" xfId="4" applyFont="1" applyFill="1" applyBorder="1" applyAlignment="1">
      <alignment horizontal="left" vertical="center" wrapText="1" indent="1"/>
    </xf>
    <xf numFmtId="0" fontId="11" fillId="2" borderId="7" xfId="4" applyFont="1" applyFill="1" applyBorder="1" applyAlignment="1">
      <alignment horizontal="left" vertical="center" wrapText="1"/>
    </xf>
    <xf numFmtId="0" fontId="11" fillId="2" borderId="7" xfId="4" quotePrefix="1" applyFont="1" applyFill="1" applyBorder="1" applyAlignment="1">
      <alignment vertical="center"/>
    </xf>
    <xf numFmtId="0" fontId="11" fillId="2" borderId="7" xfId="4" applyFont="1" applyFill="1" applyBorder="1" applyAlignment="1">
      <alignment vertical="center"/>
    </xf>
    <xf numFmtId="0" fontId="11" fillId="2" borderId="7" xfId="3" applyFont="1" applyFill="1" applyBorder="1" applyAlignment="1">
      <alignment vertical="center"/>
    </xf>
    <xf numFmtId="0" fontId="11" fillId="0" borderId="7" xfId="7" applyFont="1" applyFill="1" applyBorder="1" applyAlignment="1">
      <alignment vertical="center" wrapText="1"/>
    </xf>
    <xf numFmtId="166" fontId="13" fillId="2" borderId="5" xfId="18" applyNumberFormat="1" applyFont="1" applyFill="1" applyBorder="1" applyAlignment="1">
      <alignment horizontal="left" vertical="top" wrapText="1"/>
    </xf>
    <xf numFmtId="0" fontId="53" fillId="2" borderId="0" xfId="0" applyFont="1" applyFill="1" applyBorder="1"/>
    <xf numFmtId="0" fontId="12" fillId="13" borderId="7" xfId="0" applyFont="1" applyFill="1" applyBorder="1"/>
    <xf numFmtId="0" fontId="12" fillId="13" borderId="7" xfId="5" applyFont="1" applyFill="1" applyBorder="1" applyAlignment="1">
      <alignment vertical="center" wrapText="1"/>
    </xf>
    <xf numFmtId="0" fontId="11" fillId="13" borderId="7" xfId="5" applyFont="1" applyFill="1" applyBorder="1" applyAlignment="1">
      <alignment vertical="center"/>
    </xf>
    <xf numFmtId="0" fontId="12" fillId="13" borderId="7" xfId="5" applyFont="1" applyFill="1" applyBorder="1" applyAlignment="1">
      <alignment vertical="center"/>
    </xf>
    <xf numFmtId="166" fontId="0" fillId="2" borderId="0" xfId="0" applyNumberFormat="1" applyFill="1"/>
    <xf numFmtId="0" fontId="13" fillId="2" borderId="0" xfId="0" applyFont="1" applyFill="1" applyBorder="1" applyAlignment="1">
      <alignment horizontal="right" vertical="top" wrapText="1"/>
    </xf>
    <xf numFmtId="166" fontId="13" fillId="2" borderId="0" xfId="0" applyNumberFormat="1" applyFont="1" applyFill="1" applyBorder="1" applyAlignment="1">
      <alignment horizontal="left" vertical="top" wrapText="1"/>
    </xf>
    <xf numFmtId="164" fontId="13" fillId="2" borderId="0" xfId="18" applyNumberFormat="1" applyFont="1" applyFill="1" applyBorder="1" applyAlignment="1">
      <alignment horizontal="right" vertical="top" wrapText="1"/>
    </xf>
    <xf numFmtId="0" fontId="13" fillId="2" borderId="0" xfId="0" applyFont="1" applyFill="1" applyBorder="1" applyAlignment="1">
      <alignment horizontal="center" vertical="top" wrapText="1"/>
    </xf>
    <xf numFmtId="0" fontId="13" fillId="2" borderId="10" xfId="0" applyFont="1" applyFill="1" applyBorder="1" applyAlignment="1">
      <alignment horizontal="right" vertical="top" wrapText="1"/>
    </xf>
    <xf numFmtId="0" fontId="13" fillId="2" borderId="0" xfId="0" applyFont="1" applyFill="1" applyBorder="1" applyAlignment="1">
      <alignment vertical="top" wrapText="1"/>
    </xf>
    <xf numFmtId="0" fontId="6" fillId="2" borderId="0" xfId="0" applyFont="1" applyFill="1" applyAlignment="1">
      <alignment horizontal="left"/>
    </xf>
    <xf numFmtId="0" fontId="8" fillId="2" borderId="0" xfId="0" applyFont="1" applyFill="1" applyAlignment="1">
      <alignment horizontal="left"/>
    </xf>
    <xf numFmtId="14" fontId="0" fillId="2" borderId="0" xfId="0" applyNumberFormat="1" applyFont="1" applyFill="1"/>
    <xf numFmtId="164" fontId="11" fillId="4" borderId="0" xfId="18" applyNumberFormat="1" applyFont="1" applyFill="1" applyAlignment="1">
      <alignment vertical="center"/>
    </xf>
    <xf numFmtId="166" fontId="0" fillId="2" borderId="0" xfId="18" applyNumberFormat="1" applyFont="1" applyFill="1"/>
    <xf numFmtId="178" fontId="51" fillId="0" borderId="37" xfId="17" applyNumberFormat="1" applyFont="1" applyFill="1" applyBorder="1" applyAlignment="1">
      <alignment vertical="center"/>
    </xf>
    <xf numFmtId="178" fontId="51" fillId="0" borderId="11" xfId="17" applyNumberFormat="1" applyFont="1" applyFill="1" applyBorder="1" applyAlignment="1">
      <alignment vertical="center"/>
    </xf>
    <xf numFmtId="178" fontId="52" fillId="0" borderId="37" xfId="17" applyNumberFormat="1" applyFont="1" applyFill="1" applyBorder="1" applyAlignment="1">
      <alignment vertical="center"/>
    </xf>
    <xf numFmtId="166" fontId="26" fillId="2" borderId="7" xfId="18" quotePrefix="1" applyNumberFormat="1" applyFont="1" applyFill="1" applyBorder="1" applyAlignment="1">
      <alignment horizontal="right" vertical="top" wrapText="1"/>
    </xf>
    <xf numFmtId="0" fontId="33" fillId="10" borderId="0" xfId="0" applyFont="1" applyFill="1" applyAlignment="1">
      <alignment horizontal="left" vertical="center" wrapText="1"/>
    </xf>
    <xf numFmtId="0" fontId="52" fillId="0" borderId="0" xfId="0" applyFont="1" applyAlignment="1">
      <alignment horizontal="left" vertical="center" wrapText="1"/>
    </xf>
    <xf numFmtId="171" fontId="33" fillId="9" borderId="0" xfId="11" applyNumberFormat="1" applyFont="1" applyFill="1" applyAlignment="1">
      <alignment horizontal="center" vertical="center" wrapText="1"/>
    </xf>
    <xf numFmtId="0" fontId="34" fillId="9" borderId="0" xfId="0" applyFont="1" applyFill="1" applyAlignment="1">
      <alignment horizontal="center" vertical="center" wrapText="1"/>
    </xf>
    <xf numFmtId="3" fontId="12" fillId="2" borderId="0" xfId="0" quotePrefix="1" applyNumberFormat="1" applyFont="1" applyFill="1" applyAlignment="1">
      <alignment horizontal="right"/>
    </xf>
    <xf numFmtId="3" fontId="11" fillId="2" borderId="0" xfId="0" quotePrefix="1" applyNumberFormat="1" applyFont="1" applyFill="1" applyAlignment="1">
      <alignment horizontal="right"/>
    </xf>
    <xf numFmtId="9" fontId="11" fillId="7" borderId="7" xfId="1" quotePrefix="1" applyNumberFormat="1" applyFont="1" applyFill="1" applyBorder="1" applyAlignment="1">
      <alignment horizontal="right"/>
    </xf>
    <xf numFmtId="179" fontId="11" fillId="2" borderId="7" xfId="18" applyNumberFormat="1" applyFont="1" applyFill="1" applyBorder="1" applyAlignment="1">
      <alignment horizontal="right" vertical="top"/>
    </xf>
    <xf numFmtId="179" fontId="11" fillId="2" borderId="7" xfId="18" applyNumberFormat="1" applyFont="1" applyFill="1" applyBorder="1" applyAlignment="1">
      <alignment horizontal="right" vertical="top"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66" fontId="13" fillId="3" borderId="7" xfId="0" applyNumberFormat="1" applyFont="1" applyFill="1" applyBorder="1" applyAlignment="1">
      <alignment horizontal="left" vertical="top" wrapText="1"/>
    </xf>
    <xf numFmtId="181" fontId="0" fillId="12" borderId="48" xfId="0" applyNumberFormat="1" applyFill="1" applyBorder="1" applyAlignment="1">
      <alignment horizontal="left" vertical="center" wrapText="1"/>
    </xf>
    <xf numFmtId="14" fontId="3" fillId="7" borderId="0" xfId="0" applyNumberFormat="1" applyFont="1" applyFill="1"/>
    <xf numFmtId="177" fontId="19" fillId="6" borderId="7" xfId="0" quotePrefix="1" applyNumberFormat="1" applyFont="1" applyFill="1" applyBorder="1" applyAlignment="1">
      <alignment horizontal="right"/>
    </xf>
    <xf numFmtId="177" fontId="11" fillId="6" borderId="7" xfId="1" quotePrefix="1" applyNumberFormat="1" applyFont="1" applyFill="1" applyBorder="1" applyAlignment="1">
      <alignment horizontal="right"/>
    </xf>
    <xf numFmtId="177" fontId="12" fillId="6" borderId="7" xfId="1" quotePrefix="1" applyNumberFormat="1" applyFont="1" applyFill="1" applyBorder="1" applyAlignment="1">
      <alignment horizontal="right"/>
    </xf>
    <xf numFmtId="168" fontId="27" fillId="2" borderId="7" xfId="0" applyNumberFormat="1" applyFont="1" applyFill="1" applyBorder="1" applyAlignment="1">
      <alignment horizontal="center" vertical="top" wrapText="1"/>
    </xf>
    <xf numFmtId="166" fontId="27" fillId="2" borderId="7" xfId="0" applyNumberFormat="1" applyFont="1" applyFill="1" applyBorder="1" applyAlignment="1">
      <alignment horizontal="left" vertical="top" wrapText="1"/>
    </xf>
    <xf numFmtId="166" fontId="27" fillId="2" borderId="7" xfId="0" applyNumberFormat="1" applyFont="1" applyFill="1" applyBorder="1" applyAlignment="1">
      <alignment horizontal="right" vertical="top" wrapText="1"/>
    </xf>
    <xf numFmtId="0" fontId="11" fillId="0" borderId="7" xfId="0" applyFont="1" applyFill="1" applyBorder="1" applyAlignment="1">
      <alignment horizontal="center"/>
    </xf>
    <xf numFmtId="0" fontId="33" fillId="10" borderId="18"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11" fillId="0" borderId="5" xfId="0" applyFont="1" applyBorder="1" applyAlignment="1">
      <alignment horizontal="left" wrapText="1"/>
    </xf>
    <xf numFmtId="0" fontId="11" fillId="0" borderId="4" xfId="0" applyFont="1" applyBorder="1" applyAlignment="1">
      <alignment horizontal="left" wrapText="1"/>
    </xf>
    <xf numFmtId="171" fontId="33" fillId="10" borderId="5" xfId="11" applyNumberFormat="1" applyFont="1" applyFill="1" applyBorder="1" applyAlignment="1">
      <alignment horizontal="center" vertical="center" wrapText="1"/>
    </xf>
    <xf numFmtId="171" fontId="33" fillId="10" borderId="4" xfId="11" applyNumberFormat="1" applyFont="1" applyFill="1" applyBorder="1" applyAlignment="1">
      <alignment horizontal="center" vertical="center" wrapText="1"/>
    </xf>
    <xf numFmtId="171" fontId="33" fillId="10" borderId="13" xfId="11" applyNumberFormat="1" applyFont="1" applyFill="1" applyBorder="1" applyAlignment="1">
      <alignment horizontal="center" vertical="center" wrapText="1"/>
    </xf>
    <xf numFmtId="0" fontId="33" fillId="10" borderId="0" xfId="0" applyFont="1" applyFill="1" applyAlignment="1">
      <alignment horizontal="left" vertical="center" wrapText="1"/>
    </xf>
    <xf numFmtId="14" fontId="11" fillId="7" borderId="6" xfId="0" applyNumberFormat="1" applyFont="1" applyFill="1" applyBorder="1" applyAlignment="1">
      <alignment horizontal="left"/>
    </xf>
    <xf numFmtId="14" fontId="11" fillId="7" borderId="9" xfId="0" applyNumberFormat="1" applyFont="1" applyFill="1" applyBorder="1" applyAlignment="1">
      <alignment horizontal="left"/>
    </xf>
    <xf numFmtId="14" fontId="19" fillId="7" borderId="6" xfId="0" applyNumberFormat="1" applyFont="1" applyFill="1" applyBorder="1" applyAlignment="1">
      <alignment horizontal="left"/>
    </xf>
    <xf numFmtId="14" fontId="19" fillId="7" borderId="9" xfId="0" applyNumberFormat="1" applyFont="1" applyFill="1" applyBorder="1" applyAlignment="1">
      <alignment horizontal="left"/>
    </xf>
    <xf numFmtId="14" fontId="12" fillId="7" borderId="6" xfId="0" applyNumberFormat="1" applyFont="1" applyFill="1" applyBorder="1" applyAlignment="1">
      <alignment horizontal="left"/>
    </xf>
    <xf numFmtId="14" fontId="12" fillId="7" borderId="9" xfId="0" applyNumberFormat="1" applyFont="1" applyFill="1" applyBorder="1" applyAlignment="1">
      <alignment horizontal="left"/>
    </xf>
    <xf numFmtId="0" fontId="13" fillId="2" borderId="6" xfId="0" quotePrefix="1" applyFont="1" applyFill="1" applyBorder="1" applyAlignment="1">
      <alignment horizontal="left"/>
    </xf>
    <xf numFmtId="0" fontId="13" fillId="2" borderId="2" xfId="0" quotePrefix="1" applyFont="1" applyFill="1" applyBorder="1" applyAlignment="1">
      <alignment horizontal="left"/>
    </xf>
    <xf numFmtId="0" fontId="13" fillId="2" borderId="9" xfId="0" quotePrefix="1" applyFont="1" applyFill="1" applyBorder="1" applyAlignment="1">
      <alignment horizontal="left"/>
    </xf>
    <xf numFmtId="0" fontId="13" fillId="2" borderId="7" xfId="0" quotePrefix="1" applyFont="1" applyFill="1" applyBorder="1" applyAlignment="1">
      <alignment horizontal="center"/>
    </xf>
    <xf numFmtId="0" fontId="13" fillId="2" borderId="6" xfId="0" applyFont="1" applyFill="1" applyBorder="1" applyAlignment="1">
      <alignment horizontal="left"/>
    </xf>
    <xf numFmtId="0" fontId="13" fillId="2" borderId="2" xfId="0" applyFont="1" applyFill="1" applyBorder="1" applyAlignment="1">
      <alignment horizontal="left"/>
    </xf>
    <xf numFmtId="0" fontId="13" fillId="2" borderId="9" xfId="0" applyFont="1" applyFill="1" applyBorder="1" applyAlignment="1">
      <alignment horizontal="left"/>
    </xf>
    <xf numFmtId="169" fontId="13" fillId="2" borderId="7" xfId="1" applyNumberFormat="1" applyFont="1" applyFill="1" applyBorder="1" applyAlignment="1">
      <alignment horizontal="right"/>
    </xf>
    <xf numFmtId="179" fontId="13" fillId="2" borderId="7" xfId="18" applyNumberFormat="1" applyFont="1" applyFill="1" applyBorder="1" applyAlignment="1">
      <alignment horizontal="right"/>
    </xf>
    <xf numFmtId="0" fontId="13" fillId="2" borderId="7" xfId="0" applyFont="1" applyFill="1" applyBorder="1" applyAlignment="1">
      <alignment horizontal="left"/>
    </xf>
    <xf numFmtId="0" fontId="10" fillId="2" borderId="0" xfId="0" applyFont="1" applyFill="1" applyAlignment="1">
      <alignment horizontal="left" vertical="center"/>
    </xf>
    <xf numFmtId="0" fontId="13" fillId="2" borderId="6" xfId="0" applyFont="1" applyFill="1" applyBorder="1" applyAlignment="1">
      <alignment horizontal="left" wrapText="1"/>
    </xf>
    <xf numFmtId="0" fontId="13" fillId="2" borderId="9" xfId="0" applyFont="1" applyFill="1" applyBorder="1" applyAlignment="1">
      <alignment horizontal="left" wrapText="1"/>
    </xf>
    <xf numFmtId="0" fontId="11" fillId="2" borderId="5" xfId="0" applyFont="1" applyFill="1" applyBorder="1" applyAlignment="1">
      <alignment horizontal="left" wrapText="1"/>
    </xf>
    <xf numFmtId="0" fontId="11" fillId="2" borderId="13" xfId="0" applyFont="1" applyFill="1" applyBorder="1" applyAlignment="1">
      <alignment horizontal="left" wrapText="1"/>
    </xf>
    <xf numFmtId="0" fontId="11" fillId="2" borderId="14" xfId="0" applyFont="1" applyFill="1" applyBorder="1" applyAlignment="1">
      <alignment horizontal="left" wrapText="1"/>
    </xf>
    <xf numFmtId="0" fontId="11" fillId="2" borderId="15" xfId="0" applyFont="1" applyFill="1" applyBorder="1" applyAlignment="1">
      <alignment horizontal="left" wrapText="1"/>
    </xf>
    <xf numFmtId="0" fontId="13" fillId="2" borderId="5" xfId="0" applyFont="1" applyFill="1" applyBorder="1" applyAlignment="1">
      <alignment horizontal="left" wrapText="1"/>
    </xf>
    <xf numFmtId="0" fontId="13" fillId="2" borderId="13" xfId="0" applyFont="1" applyFill="1" applyBorder="1" applyAlignment="1">
      <alignment horizontal="left" wrapText="1"/>
    </xf>
    <xf numFmtId="0" fontId="13" fillId="2" borderId="18" xfId="0" applyFont="1" applyFill="1" applyBorder="1" applyAlignment="1">
      <alignment horizontal="left" wrapText="1"/>
    </xf>
    <xf numFmtId="0" fontId="13" fillId="2" borderId="19" xfId="0" applyFont="1" applyFill="1" applyBorder="1" applyAlignment="1">
      <alignment horizontal="left" wrapText="1"/>
    </xf>
    <xf numFmtId="0" fontId="13" fillId="3" borderId="5"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13" xfId="0" applyFont="1" applyFill="1" applyBorder="1" applyAlignment="1">
      <alignment horizontal="left" vertical="top" wrapText="1"/>
    </xf>
    <xf numFmtId="181" fontId="0" fillId="12" borderId="45" xfId="0" applyNumberFormat="1" applyFill="1" applyBorder="1" applyAlignment="1">
      <alignment horizontal="left" vertical="center" wrapText="1"/>
    </xf>
    <xf numFmtId="0" fontId="25" fillId="4" borderId="0" xfId="3" applyFont="1" applyFill="1" applyAlignment="1">
      <alignment vertical="top"/>
    </xf>
    <xf numFmtId="0" fontId="13" fillId="0" borderId="0" xfId="0" applyFont="1" applyAlignment="1">
      <alignment vertical="top"/>
    </xf>
    <xf numFmtId="0" fontId="11" fillId="4" borderId="11" xfId="3" applyFont="1" applyFill="1" applyBorder="1" applyAlignment="1">
      <alignment vertical="top" wrapText="1"/>
    </xf>
    <xf numFmtId="0" fontId="11" fillId="0" borderId="0" xfId="0" applyFont="1" applyAlignment="1">
      <alignment vertical="top" wrapText="1"/>
    </xf>
    <xf numFmtId="0" fontId="22" fillId="0" borderId="20" xfId="0" applyFont="1" applyBorder="1" applyAlignment="1">
      <alignment vertical="top"/>
    </xf>
    <xf numFmtId="0" fontId="11" fillId="4" borderId="11" xfId="3" applyFont="1" applyFill="1" applyBorder="1" applyAlignment="1">
      <alignment vertical="top"/>
    </xf>
    <xf numFmtId="0" fontId="11" fillId="0" borderId="0" xfId="0" applyFont="1" applyAlignment="1">
      <alignment vertical="top"/>
    </xf>
    <xf numFmtId="0" fontId="11" fillId="4" borderId="18" xfId="3" applyFont="1" applyFill="1" applyBorder="1" applyAlignment="1">
      <alignment vertical="top" wrapText="1"/>
    </xf>
    <xf numFmtId="0" fontId="11" fillId="0" borderId="1" xfId="0" applyFont="1" applyBorder="1" applyAlignment="1">
      <alignment vertical="top"/>
    </xf>
    <xf numFmtId="0" fontId="22" fillId="0" borderId="19" xfId="0" applyFont="1" applyBorder="1" applyAlignment="1">
      <alignment vertical="top"/>
    </xf>
    <xf numFmtId="0" fontId="11" fillId="4" borderId="0" xfId="3" applyFont="1" applyFill="1" applyAlignment="1">
      <alignment vertical="top" wrapText="1"/>
    </xf>
    <xf numFmtId="0" fontId="22" fillId="0" borderId="0" xfId="0" applyFont="1" applyAlignment="1">
      <alignment vertical="top"/>
    </xf>
    <xf numFmtId="0" fontId="22" fillId="0" borderId="0" xfId="0" applyFont="1" applyAlignment="1">
      <alignment vertical="top" wrapText="1"/>
    </xf>
    <xf numFmtId="0" fontId="23" fillId="4" borderId="0" xfId="3" applyFont="1" applyFill="1" applyAlignment="1">
      <alignment vertical="top" wrapText="1"/>
    </xf>
    <xf numFmtId="0" fontId="24" fillId="0" borderId="0" xfId="0" applyFont="1" applyAlignment="1">
      <alignment vertical="top"/>
    </xf>
    <xf numFmtId="0" fontId="22" fillId="0" borderId="20" xfId="0" applyFont="1" applyBorder="1" applyAlignment="1">
      <alignment vertical="top" wrapText="1"/>
    </xf>
    <xf numFmtId="0" fontId="11" fillId="0" borderId="5" xfId="4" applyFont="1" applyBorder="1" applyAlignment="1">
      <alignment horizontal="center" vertical="center" wrapText="1"/>
    </xf>
    <xf numFmtId="0" fontId="11" fillId="0" borderId="13" xfId="4" applyFont="1" applyBorder="1" applyAlignment="1">
      <alignment horizontal="center" vertical="center" wrapText="1"/>
    </xf>
    <xf numFmtId="0" fontId="11" fillId="0" borderId="11" xfId="4" applyFont="1" applyBorder="1" applyAlignment="1">
      <alignment horizontal="center" vertical="center" wrapText="1"/>
    </xf>
    <xf numFmtId="0" fontId="11" fillId="0" borderId="20" xfId="4" applyFont="1" applyBorder="1" applyAlignment="1">
      <alignment horizontal="center" vertical="center" wrapText="1"/>
    </xf>
    <xf numFmtId="0" fontId="13" fillId="0" borderId="5" xfId="4" applyFont="1" applyBorder="1" applyAlignment="1">
      <alignment horizontal="center" vertical="center" wrapText="1"/>
    </xf>
    <xf numFmtId="0" fontId="13" fillId="0" borderId="13" xfId="4" applyFont="1" applyBorder="1" applyAlignment="1">
      <alignment horizontal="center" vertical="center" wrapText="1"/>
    </xf>
    <xf numFmtId="0" fontId="13" fillId="0" borderId="11" xfId="4" applyFont="1" applyBorder="1" applyAlignment="1">
      <alignment horizontal="center" vertical="center" wrapText="1"/>
    </xf>
    <xf numFmtId="0" fontId="13" fillId="0" borderId="20" xfId="4" applyFont="1" applyBorder="1" applyAlignment="1">
      <alignment horizontal="center" vertical="center" wrapText="1"/>
    </xf>
    <xf numFmtId="0" fontId="11" fillId="4" borderId="5" xfId="3" applyFont="1" applyFill="1" applyBorder="1" applyAlignment="1">
      <alignment horizontal="left" vertical="top" wrapText="1"/>
    </xf>
    <xf numFmtId="0" fontId="11" fillId="4" borderId="4" xfId="3" applyFont="1" applyFill="1" applyBorder="1" applyAlignment="1">
      <alignment horizontal="left" vertical="top" wrapText="1"/>
    </xf>
    <xf numFmtId="0" fontId="11" fillId="4" borderId="13" xfId="3" applyFont="1" applyFill="1" applyBorder="1" applyAlignment="1">
      <alignment horizontal="left" vertical="top" wrapText="1"/>
    </xf>
    <xf numFmtId="0" fontId="11" fillId="4" borderId="11" xfId="3" applyFont="1" applyFill="1" applyBorder="1" applyAlignment="1">
      <alignment horizontal="left" vertical="top" wrapText="1"/>
    </xf>
    <xf numFmtId="0" fontId="11" fillId="4" borderId="0" xfId="3" applyFont="1" applyFill="1" applyAlignment="1">
      <alignment horizontal="left" vertical="top" wrapText="1"/>
    </xf>
    <xf numFmtId="0" fontId="11" fillId="4" borderId="20" xfId="3" applyFont="1" applyFill="1" applyBorder="1" applyAlignment="1">
      <alignment horizontal="left" vertical="top" wrapText="1"/>
    </xf>
    <xf numFmtId="0" fontId="11" fillId="2" borderId="0" xfId="4"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0" borderId="0" xfId="4" applyFont="1" applyAlignment="1">
      <alignment horizontal="center" vertical="center" wrapText="1"/>
    </xf>
    <xf numFmtId="0" fontId="26" fillId="2" borderId="5"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2" borderId="11" xfId="0" applyFont="1" applyFill="1" applyBorder="1" applyAlignment="1">
      <alignment horizontal="left" vertical="top" wrapText="1"/>
    </xf>
    <xf numFmtId="0" fontId="26" fillId="2" borderId="20" xfId="0" applyFont="1" applyFill="1" applyBorder="1" applyAlignment="1">
      <alignment horizontal="left" vertical="top" wrapText="1"/>
    </xf>
    <xf numFmtId="0" fontId="11" fillId="2" borderId="7" xfId="0" applyFont="1" applyFill="1" applyBorder="1" applyAlignment="1">
      <alignment horizontal="center" vertical="top" wrapText="1"/>
    </xf>
    <xf numFmtId="0" fontId="13" fillId="2" borderId="18" xfId="0" applyFont="1" applyFill="1" applyBorder="1" applyAlignment="1">
      <alignment horizontal="left"/>
    </xf>
    <xf numFmtId="0" fontId="13" fillId="2" borderId="19" xfId="0" applyFont="1" applyFill="1" applyBorder="1" applyAlignment="1">
      <alignment horizontal="left"/>
    </xf>
    <xf numFmtId="0" fontId="11" fillId="2" borderId="33" xfId="0" applyFont="1" applyFill="1" applyBorder="1" applyAlignment="1">
      <alignment horizontal="right" wrapText="1"/>
    </xf>
    <xf numFmtId="0" fontId="11" fillId="2" borderId="36" xfId="0" applyFont="1" applyFill="1" applyBorder="1" applyAlignment="1">
      <alignment horizontal="right" wrapText="1"/>
    </xf>
    <xf numFmtId="0" fontId="11" fillId="2" borderId="26" xfId="0" applyFont="1" applyFill="1" applyBorder="1" applyAlignment="1">
      <alignment horizontal="center" vertical="top" wrapText="1"/>
    </xf>
    <xf numFmtId="0" fontId="11" fillId="2" borderId="27" xfId="0" applyFont="1" applyFill="1" applyBorder="1" applyAlignment="1">
      <alignment horizontal="center" vertical="top" wrapText="1"/>
    </xf>
    <xf numFmtId="0" fontId="11" fillId="2" borderId="28" xfId="0" applyFont="1" applyFill="1" applyBorder="1" applyAlignment="1">
      <alignment horizontal="right" vertical="center" wrapText="1"/>
    </xf>
    <xf numFmtId="0" fontId="11" fillId="2" borderId="32" xfId="0" applyFont="1" applyFill="1" applyBorder="1" applyAlignment="1">
      <alignment horizontal="right" vertical="center" wrapText="1"/>
    </xf>
    <xf numFmtId="0" fontId="11" fillId="2" borderId="30" xfId="0" applyFont="1" applyFill="1" applyBorder="1" applyAlignment="1">
      <alignment horizontal="right" vertical="center" wrapText="1"/>
    </xf>
    <xf numFmtId="0" fontId="11" fillId="2" borderId="34" xfId="0" applyFont="1" applyFill="1" applyBorder="1" applyAlignment="1">
      <alignment horizontal="right" vertical="center" wrapText="1"/>
    </xf>
    <xf numFmtId="0" fontId="11" fillId="2" borderId="31" xfId="0" applyFont="1" applyFill="1" applyBorder="1" applyAlignment="1">
      <alignment horizontal="right" vertical="center" wrapText="1"/>
    </xf>
    <xf numFmtId="0" fontId="11" fillId="2" borderId="35" xfId="0" applyFont="1" applyFill="1" applyBorder="1" applyAlignment="1">
      <alignment horizontal="right" vertical="center" wrapText="1"/>
    </xf>
    <xf numFmtId="0" fontId="11" fillId="2" borderId="7" xfId="0" applyFont="1" applyFill="1" applyBorder="1" applyAlignment="1">
      <alignment horizontal="right"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right" vertical="center" wrapText="1"/>
    </xf>
    <xf numFmtId="0" fontId="11" fillId="2" borderId="37" xfId="0" applyFont="1" applyFill="1" applyBorder="1" applyAlignment="1">
      <alignment horizontal="right" vertical="center" wrapText="1"/>
    </xf>
    <xf numFmtId="0" fontId="11" fillId="2" borderId="10" xfId="0" applyFont="1" applyFill="1" applyBorder="1" applyAlignment="1">
      <alignment horizontal="right" vertical="center" wrapText="1"/>
    </xf>
    <xf numFmtId="0" fontId="13" fillId="2" borderId="4" xfId="0" applyFont="1" applyFill="1" applyBorder="1" applyAlignment="1">
      <alignment horizontal="left" wrapText="1"/>
    </xf>
    <xf numFmtId="0" fontId="13" fillId="2" borderId="11" xfId="0" applyFont="1" applyFill="1" applyBorder="1" applyAlignment="1">
      <alignment horizontal="left" wrapText="1"/>
    </xf>
    <xf numFmtId="0" fontId="13" fillId="2" borderId="0" xfId="0" applyFont="1" applyFill="1" applyBorder="1" applyAlignment="1">
      <alignment horizontal="left" wrapText="1"/>
    </xf>
    <xf numFmtId="0" fontId="13" fillId="2" borderId="14" xfId="0" applyFont="1" applyFill="1" applyBorder="1" applyAlignment="1">
      <alignment horizontal="left" wrapText="1"/>
    </xf>
    <xf numFmtId="0" fontId="13" fillId="2" borderId="47" xfId="0" applyFont="1" applyFill="1" applyBorder="1" applyAlignment="1">
      <alignment horizontal="left" wrapText="1"/>
    </xf>
    <xf numFmtId="0" fontId="13" fillId="2" borderId="6"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9" xfId="0" applyFont="1" applyFill="1" applyBorder="1" applyAlignment="1">
      <alignment horizontal="center" vertical="top" wrapText="1"/>
    </xf>
    <xf numFmtId="0" fontId="13" fillId="2" borderId="7" xfId="0" applyFont="1" applyFill="1" applyBorder="1" applyAlignment="1">
      <alignment horizontal="right" vertical="center"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wrapText="1"/>
    </xf>
    <xf numFmtId="0" fontId="13" fillId="2" borderId="10" xfId="0" applyFont="1" applyFill="1" applyBorder="1" applyAlignment="1">
      <alignment horizontal="left" wrapText="1"/>
    </xf>
    <xf numFmtId="0" fontId="13" fillId="2" borderId="7" xfId="0" applyFont="1" applyFill="1" applyBorder="1" applyAlignment="1">
      <alignment horizontal="center" vertical="top" wrapText="1"/>
    </xf>
    <xf numFmtId="0" fontId="13" fillId="2" borderId="0" xfId="0" applyFont="1" applyFill="1" applyBorder="1" applyAlignment="1">
      <alignment horizontal="left" vertical="top" wrapText="1"/>
    </xf>
    <xf numFmtId="0" fontId="13" fillId="2" borderId="20" xfId="0" applyFont="1" applyFill="1" applyBorder="1" applyAlignment="1">
      <alignment horizontal="left" wrapText="1"/>
    </xf>
  </cellXfs>
  <cellStyles count="19">
    <cellStyle name="=C:\WINNT35\SYSTEM32\COMMAND.COM" xfId="4" xr:uid="{00000000-0005-0000-0000-000000000000}"/>
    <cellStyle name="Comma" xfId="18" xr:uid="{00000000-0005-0000-0000-000001000000}"/>
    <cellStyle name="Comma 10" xfId="12" xr:uid="{00000000-0005-0000-0000-000002000000}"/>
    <cellStyle name="Comma 2" xfId="17" xr:uid="{C2EAB1D6-727A-435A-9543-25F4728DA6C3}"/>
    <cellStyle name="Heading 1 2 3 5" xfId="5" xr:uid="{00000000-0005-0000-0000-000003000000}"/>
    <cellStyle name="Heading 2 2 3 5" xfId="6" xr:uid="{00000000-0005-0000-0000-000004000000}"/>
    <cellStyle name="HeadingTable" xfId="7" xr:uid="{00000000-0005-0000-0000-000005000000}"/>
    <cellStyle name="Hyperkobling" xfId="2" builtinId="8"/>
    <cellStyle name="Komma 2" xfId="13" xr:uid="{00000000-0005-0000-0000-000007000000}"/>
    <cellStyle name="Komma 3" xfId="15" xr:uid="{00000000-0005-0000-0000-000008000000}"/>
    <cellStyle name="Normal" xfId="0" builtinId="0"/>
    <cellStyle name="Normal 12 3" xfId="9" xr:uid="{00000000-0005-0000-0000-00000A000000}"/>
    <cellStyle name="Normal 15" xfId="16" xr:uid="{00000000-0005-0000-0000-00000B000000}"/>
    <cellStyle name="Normal 2" xfId="10" xr:uid="{00000000-0005-0000-0000-00000C000000}"/>
    <cellStyle name="Normal 2 50 2" xfId="3" xr:uid="{00000000-0005-0000-0000-00000D000000}"/>
    <cellStyle name="Normal 30" xfId="11" xr:uid="{00000000-0005-0000-0000-00000E000000}"/>
    <cellStyle name="optionalExposure" xfId="8" xr:uid="{00000000-0005-0000-0000-00000F000000}"/>
    <cellStyle name="Percent" xfId="1" xr:uid="{00000000-0005-0000-0000-000010000000}"/>
    <cellStyle name="Prosent 11" xfId="14" xr:uid="{00000000-0005-0000-0000-000011000000}"/>
  </cellStyles>
  <dxfs count="3">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0.xml.rels><?xml version="1.0" encoding="UTF-8" standalone="yes"?>
<Relationships xmlns="http://schemas.openxmlformats.org/package/2006/relationships"><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1" Type="http://schemas.openxmlformats.org/officeDocument/2006/relationships/hyperlink" Target="#Contents!A1"/></Relationships>
</file>

<file path=xl/drawings/_rels/drawing12.xml.rels><?xml version="1.0" encoding="UTF-8" standalone="yes"?>
<Relationships xmlns="http://schemas.openxmlformats.org/package/2006/relationships"><Relationship Id="rId1" Type="http://schemas.openxmlformats.org/officeDocument/2006/relationships/hyperlink" Target="#Contents!A1"/></Relationships>
</file>

<file path=xl/drawings/_rels/drawing13.xml.rels><?xml version="1.0" encoding="UTF-8" standalone="yes"?>
<Relationships xmlns="http://schemas.openxmlformats.org/package/2006/relationships"><Relationship Id="rId1" Type="http://schemas.openxmlformats.org/officeDocument/2006/relationships/hyperlink" Target="#Contents!A1"/></Relationships>
</file>

<file path=xl/drawings/_rels/drawing14.xml.rels><?xml version="1.0" encoding="UTF-8" standalone="yes"?>
<Relationships xmlns="http://schemas.openxmlformats.org/package/2006/relationships"><Relationship Id="rId1" Type="http://schemas.openxmlformats.org/officeDocument/2006/relationships/hyperlink" Target="#Contents!A1"/></Relationships>
</file>

<file path=xl/drawings/_rels/drawing15.xml.rels><?xml version="1.0" encoding="UTF-8" standalone="yes"?>
<Relationships xmlns="http://schemas.openxmlformats.org/package/2006/relationships"><Relationship Id="rId1" Type="http://schemas.openxmlformats.org/officeDocument/2006/relationships/hyperlink" Target="#Contents!A1"/></Relationships>
</file>

<file path=xl/drawings/_rels/drawing16.xml.rels><?xml version="1.0" encoding="UTF-8" standalone="yes"?>
<Relationships xmlns="http://schemas.openxmlformats.org/package/2006/relationships"><Relationship Id="rId1" Type="http://schemas.openxmlformats.org/officeDocument/2006/relationships/hyperlink" Target="#Contents!A1"/></Relationships>
</file>

<file path=xl/drawings/_rels/drawing17.xml.rels><?xml version="1.0" encoding="UTF-8" standalone="yes"?>
<Relationships xmlns="http://schemas.openxmlformats.org/package/2006/relationships"><Relationship Id="rId1" Type="http://schemas.openxmlformats.org/officeDocument/2006/relationships/hyperlink" Target="#Contents!A1"/></Relationships>
</file>

<file path=xl/drawings/_rels/drawing18.xml.rels><?xml version="1.0" encoding="UTF-8" standalone="yes"?>
<Relationships xmlns="http://schemas.openxmlformats.org/package/2006/relationships"><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drawing6.xml.rels><?xml version="1.0" encoding="UTF-8" standalone="yes"?>
<Relationships xmlns="http://schemas.openxmlformats.org/package/2006/relationships"><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xdr:twoCellAnchor>
    <xdr:from>
      <xdr:col>0</xdr:col>
      <xdr:colOff>63495</xdr:colOff>
      <xdr:row>0</xdr:row>
      <xdr:rowOff>21169</xdr:rowOff>
    </xdr:from>
    <xdr:to>
      <xdr:col>0</xdr:col>
      <xdr:colOff>1190624</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10347747-539E-466A-8F71-D2CA2B49E26D}"/>
            </a:ext>
          </a:extLst>
        </xdr:cNvPr>
        <xdr:cNvSpPr>
          <a:spLocks noChangeArrowheads="1"/>
        </xdr:cNvSpPr>
      </xdr:nvSpPr>
      <xdr:spPr bwMode="auto">
        <a:xfrm>
          <a:off x="63495" y="21169"/>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FA922657-010E-4803-94BE-799103214C1F}"/>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333379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9ABE8057-7EE5-49D9-9ACF-791E4721463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13</xdr:row>
      <xdr:rowOff>104775</xdr:rowOff>
    </xdr:from>
    <xdr:to>
      <xdr:col>10</xdr:col>
      <xdr:colOff>460375</xdr:colOff>
      <xdr:row>26</xdr:row>
      <xdr:rowOff>57150</xdr:rowOff>
    </xdr:to>
    <xdr:sp macro="" textlink="">
      <xdr:nvSpPr>
        <xdr:cNvPr id="2" name="TekstSylinder 1">
          <a:extLst>
            <a:ext uri="{FF2B5EF4-FFF2-40B4-BE49-F238E27FC236}">
              <a16:creationId xmlns:a16="http://schemas.microsoft.com/office/drawing/2014/main" id="{CC780FF0-0721-4DF7-B5B6-0E0D247A63A0}"/>
            </a:ext>
          </a:extLst>
        </xdr:cNvPr>
        <xdr:cNvSpPr txBox="1"/>
      </xdr:nvSpPr>
      <xdr:spPr>
        <a:xfrm>
          <a:off x="142875" y="3959225"/>
          <a:ext cx="8978900" cy="234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b-NO"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6534D9B3-56B7-436D-B585-0391FDBDA4A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21</xdr:row>
      <xdr:rowOff>95250</xdr:rowOff>
    </xdr:from>
    <xdr:to>
      <xdr:col>10</xdr:col>
      <xdr:colOff>9525</xdr:colOff>
      <xdr:row>32</xdr:row>
      <xdr:rowOff>19050</xdr:rowOff>
    </xdr:to>
    <xdr:sp macro="" textlink="">
      <xdr:nvSpPr>
        <xdr:cNvPr id="2" name="TekstSylinder 1">
          <a:extLst>
            <a:ext uri="{FF2B5EF4-FFF2-40B4-BE49-F238E27FC236}">
              <a16:creationId xmlns:a16="http://schemas.microsoft.com/office/drawing/2014/main" id="{7910DBEA-754B-49CA-AD49-86111AC68D1D}"/>
            </a:ext>
          </a:extLst>
        </xdr:cNvPr>
        <xdr:cNvSpPr txBox="1"/>
      </xdr:nvSpPr>
      <xdr:spPr>
        <a:xfrm>
          <a:off x="190500" y="4375150"/>
          <a:ext cx="8709025" cy="146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Please</a:t>
          </a:r>
          <a:r>
            <a:rPr lang="nb-NO" sz="800" b="1" baseline="0">
              <a:latin typeface="Arial" panose="020B0604020202020204" pitchFamily="34" charset="0"/>
              <a:cs typeface="Arial" panose="020B0604020202020204" pitchFamily="34" charset="0"/>
            </a:rPr>
            <a:t> note:</a:t>
          </a:r>
          <a:endParaRPr lang="nb-NO" sz="800" b="1">
            <a:latin typeface="Arial" panose="020B0604020202020204" pitchFamily="34" charset="0"/>
            <a:cs typeface="Arial" panose="020B0604020202020204" pitchFamily="34" charset="0"/>
          </a:endParaRPr>
        </a:p>
        <a:p>
          <a:endParaRPr lang="nb-NO" sz="800">
            <a:effectLst/>
            <a:latin typeface="Arial" panose="020B0604020202020204" pitchFamily="34" charset="0"/>
            <a:cs typeface="Arial" panose="020B0604020202020204" pitchFamily="34" charset="0"/>
          </a:endParaRPr>
        </a:p>
        <a:p>
          <a:r>
            <a:rPr lang="nb-NO" sz="800">
              <a:solidFill>
                <a:schemeClr val="dk1"/>
              </a:solidFill>
              <a:effectLst/>
              <a:latin typeface="Arial" panose="020B0604020202020204" pitchFamily="34" charset="0"/>
              <a:ea typeface="+mn-ea"/>
              <a:cs typeface="Arial" panose="020B0604020202020204" pitchFamily="34" charset="0"/>
            </a:rPr>
            <a:t>Net values (corresponding to the accounting values reported in financial statements)</a:t>
          </a:r>
          <a:endParaRPr lang="nb-NO" sz="800">
            <a:effectLst/>
            <a:latin typeface="Arial" panose="020B0604020202020204" pitchFamily="34" charset="0"/>
            <a:cs typeface="Arial" panose="020B0604020202020204" pitchFamily="34" charset="0"/>
          </a:endParaRPr>
        </a:p>
        <a:p>
          <a:endParaRPr lang="nb-NO" sz="800" baseline="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0B1F00D6-F9FA-4E0B-B6A7-BE0788B81159}"/>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476250</xdr:colOff>
      <xdr:row>27</xdr:row>
      <xdr:rowOff>142875</xdr:rowOff>
    </xdr:to>
    <xdr:sp macro="" textlink="">
      <xdr:nvSpPr>
        <xdr:cNvPr id="2" name="TekstSylinder 1">
          <a:extLst>
            <a:ext uri="{FF2B5EF4-FFF2-40B4-BE49-F238E27FC236}">
              <a16:creationId xmlns:a16="http://schemas.microsoft.com/office/drawing/2014/main" id="{DDA81E45-48A4-4966-9AC8-FF2FA811616D}"/>
            </a:ext>
          </a:extLst>
        </xdr:cNvPr>
        <xdr:cNvSpPr txBox="1"/>
      </xdr:nvSpPr>
      <xdr:spPr>
        <a:xfrm>
          <a:off x="190500" y="3492500"/>
          <a:ext cx="6216650" cy="1812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solidFill>
                <a:schemeClr val="dk1"/>
              </a:solidFill>
              <a:effectLst/>
              <a:latin typeface="Arial" panose="020B0604020202020204" pitchFamily="34" charset="0"/>
              <a:ea typeface="+mn-ea"/>
              <a:cs typeface="Arial" panose="020B0604020202020204" pitchFamily="34" charset="0"/>
            </a:rPr>
            <a:t>Please</a:t>
          </a:r>
          <a:r>
            <a:rPr lang="nb-NO" sz="800" b="1" baseline="0">
              <a:solidFill>
                <a:schemeClr val="dk1"/>
              </a:solidFill>
              <a:effectLst/>
              <a:latin typeface="Arial" panose="020B0604020202020204" pitchFamily="34" charset="0"/>
              <a:ea typeface="+mn-ea"/>
              <a:cs typeface="Arial" panose="020B0604020202020204" pitchFamily="34" charset="0"/>
            </a:rPr>
            <a:t> note:</a:t>
          </a:r>
          <a:endParaRPr lang="en-US" sz="800">
            <a:effectLst/>
            <a:latin typeface="Arial" panose="020B0604020202020204" pitchFamily="34" charset="0"/>
            <a:cs typeface="Arial" panose="020B0604020202020204" pitchFamily="34" charset="0"/>
          </a:endParaRPr>
        </a:p>
        <a:p>
          <a:endParaRPr lang="nb-NO" sz="800">
            <a:solidFill>
              <a:schemeClr val="dk1"/>
            </a:solidFill>
            <a:effectLst/>
            <a:latin typeface="Arial" panose="020B0604020202020204" pitchFamily="34" charset="0"/>
            <a:ea typeface="+mn-ea"/>
            <a:cs typeface="Arial" panose="020B0604020202020204" pitchFamily="34" charset="0"/>
          </a:endParaRPr>
        </a:p>
        <a:p>
          <a:endParaRPr lang="nb-NO" sz="800">
            <a:effectLst/>
          </a:endParaRPr>
        </a:p>
        <a:p>
          <a:r>
            <a:rPr lang="nb-NO" sz="1100">
              <a:solidFill>
                <a:schemeClr val="dk1"/>
              </a:solidFill>
              <a:effectLst/>
              <a:latin typeface="+mn-lt"/>
              <a:ea typeface="+mn-ea"/>
              <a:cs typeface="+mn-cs"/>
            </a:rPr>
            <a:t>Net values (corresponding to the accounting values reported in financial statements)</a:t>
          </a:r>
          <a:endParaRPr lang="nb-NO" sz="800">
            <a:effectLst/>
          </a:endParaRPr>
        </a:p>
        <a:p>
          <a:endParaRPr lang="nb-NO" sz="800" b="1">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14261D42-4ED7-42A7-8106-2F480F51938B}"/>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D5D6A1CB-A666-4DD5-8811-3E1B9DB875EC}"/>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3A99A8E-3A3A-4837-B4CF-0DB452BA5A9A}"/>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6EE11338-57CA-46CD-83FD-F972806725A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16</xdr:row>
      <xdr:rowOff>28575</xdr:rowOff>
    </xdr:from>
    <xdr:to>
      <xdr:col>7</xdr:col>
      <xdr:colOff>923925</xdr:colOff>
      <xdr:row>24</xdr:row>
      <xdr:rowOff>95250</xdr:rowOff>
    </xdr:to>
    <xdr:sp macro="" textlink="">
      <xdr:nvSpPr>
        <xdr:cNvPr id="3" name="TekstSylinder 1">
          <a:extLst>
            <a:ext uri="{FF2B5EF4-FFF2-40B4-BE49-F238E27FC236}">
              <a16:creationId xmlns:a16="http://schemas.microsoft.com/office/drawing/2014/main" id="{A527EBC9-AF63-421C-8001-01BDEA925FC8}"/>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b-NO" sz="1100" b="0">
              <a:solidFill>
                <a:schemeClr val="dk1"/>
              </a:solidFill>
              <a:effectLst/>
              <a:latin typeface="+mn-lt"/>
              <a:ea typeface="+mn-ea"/>
              <a:cs typeface="+mn-cs"/>
            </a:rPr>
            <a:t>Komplett Bank has no derivative</a:t>
          </a:r>
          <a:r>
            <a:rPr lang="nb-NO" sz="1100" b="0" baseline="0">
              <a:solidFill>
                <a:schemeClr val="dk1"/>
              </a:solidFill>
              <a:effectLst/>
              <a:latin typeface="+mn-lt"/>
              <a:ea typeface="+mn-ea"/>
              <a:cs typeface="+mn-cs"/>
            </a:rPr>
            <a:t> contracts as of 31.12.2022</a:t>
          </a:r>
          <a:endParaRPr lang="nb-NO" sz="800">
            <a:effectLst/>
          </a:endParaRPr>
        </a:p>
        <a:p>
          <a:endParaRPr lang="nb-NO" sz="800" b="0">
            <a:latin typeface="Arial" panose="020B0604020202020204" pitchFamily="34" charset="0"/>
            <a:cs typeface="Arial"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847729</xdr:colOff>
      <xdr:row>1</xdr:row>
      <xdr:rowOff>7407</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BDFA928F-A7B5-4DA5-A70E-6DC4664FBA60}"/>
            </a:ext>
          </a:extLst>
        </xdr:cNvPr>
        <xdr:cNvSpPr>
          <a:spLocks noChangeArrowheads="1"/>
        </xdr:cNvSpPr>
      </xdr:nvSpPr>
      <xdr:spPr bwMode="auto">
        <a:xfrm>
          <a:off x="180975" y="0"/>
          <a:ext cx="11239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9525</xdr:colOff>
      <xdr:row>15</xdr:row>
      <xdr:rowOff>28575</xdr:rowOff>
    </xdr:from>
    <xdr:to>
      <xdr:col>7</xdr:col>
      <xdr:colOff>923925</xdr:colOff>
      <xdr:row>23</xdr:row>
      <xdr:rowOff>95250</xdr:rowOff>
    </xdr:to>
    <xdr:sp macro="" textlink="">
      <xdr:nvSpPr>
        <xdr:cNvPr id="3" name="TekstSylinder 1">
          <a:extLst>
            <a:ext uri="{FF2B5EF4-FFF2-40B4-BE49-F238E27FC236}">
              <a16:creationId xmlns:a16="http://schemas.microsoft.com/office/drawing/2014/main" id="{BD2AFA56-BEAA-4A0B-940B-36A96DFF0D1C}"/>
            </a:ext>
          </a:extLst>
        </xdr:cNvPr>
        <xdr:cNvSpPr txBox="1"/>
      </xdr:nvSpPr>
      <xdr:spPr>
        <a:xfrm>
          <a:off x="190500" y="2514600"/>
          <a:ext cx="7343775"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b="1">
            <a:latin typeface="Arial" panose="020B0604020202020204" pitchFamily="34" charset="0"/>
            <a:cs typeface="Arial" panose="020B0604020202020204" pitchFamily="34" charset="0"/>
          </a:endParaRPr>
        </a:p>
        <a:p>
          <a:r>
            <a:rPr lang="nb-NO" sz="800" b="0">
              <a:latin typeface="Arial" panose="020B0604020202020204" pitchFamily="34" charset="0"/>
              <a:cs typeface="Arial" panose="020B0604020202020204" pitchFamily="34" charset="0"/>
            </a:rPr>
            <a:t>Komplett Bank has no derivative</a:t>
          </a:r>
          <a:r>
            <a:rPr lang="nb-NO" sz="800" b="0" baseline="0">
              <a:latin typeface="Arial" panose="020B0604020202020204" pitchFamily="34" charset="0"/>
              <a:cs typeface="Arial" panose="020B0604020202020204" pitchFamily="34" charset="0"/>
            </a:rPr>
            <a:t> contracts as of 31.12.2022</a:t>
          </a:r>
        </a:p>
        <a:p>
          <a:endParaRPr lang="nb-NO" sz="800" b="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63495</xdr:colOff>
      <xdr:row>0</xdr:row>
      <xdr:rowOff>21169</xdr:rowOff>
    </xdr:from>
    <xdr:to>
      <xdr:col>1</xdr:col>
      <xdr:colOff>876299</xdr:colOff>
      <xdr:row>0</xdr:row>
      <xdr:rowOff>171451</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7CE36A8B-A813-41E4-9499-1193AFC8657B}"/>
            </a:ext>
          </a:extLst>
        </xdr:cNvPr>
        <xdr:cNvSpPr>
          <a:spLocks noChangeArrowheads="1"/>
        </xdr:cNvSpPr>
      </xdr:nvSpPr>
      <xdr:spPr bwMode="auto">
        <a:xfrm>
          <a:off x="63495" y="21169"/>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812804</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CD17FFD8-DDE9-4496-8232-E7643192C065}"/>
            </a:ext>
          </a:extLst>
        </xdr:cNvPr>
        <xdr:cNvSpPr>
          <a:spLocks noChangeArrowheads="1"/>
        </xdr:cNvSpPr>
      </xdr:nvSpPr>
      <xdr:spPr bwMode="auto">
        <a:xfrm>
          <a:off x="0" y="0"/>
          <a:ext cx="14541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0D585F7-3CC9-4726-A280-79698AA20945}"/>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ABA7F448-3222-4982-ADBE-CA1A9688FF9C}"/>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1127129</xdr:colOff>
      <xdr:row>0</xdr:row>
      <xdr:rowOff>150282</xdr:rowOff>
    </xdr:to>
    <xdr:sp macro="" textlink="">
      <xdr:nvSpPr>
        <xdr:cNvPr id="2" name="AutoShape 10">
          <a:hlinkClick xmlns:r="http://schemas.openxmlformats.org/officeDocument/2006/relationships" r:id="rId1"/>
          <a:extLst>
            <a:ext uri="{FF2B5EF4-FFF2-40B4-BE49-F238E27FC236}">
              <a16:creationId xmlns:a16="http://schemas.microsoft.com/office/drawing/2014/main" id="{DBC13DFA-6597-4B30-8227-5BB86B8DD81B}"/>
            </a:ext>
          </a:extLst>
        </xdr:cNvPr>
        <xdr:cNvSpPr>
          <a:spLocks noChangeArrowheads="1"/>
        </xdr:cNvSpPr>
      </xdr:nvSpPr>
      <xdr:spPr bwMode="auto">
        <a:xfrm>
          <a:off x="0" y="0"/>
          <a:ext cx="1127129"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28</xdr:row>
      <xdr:rowOff>85725</xdr:rowOff>
    </xdr:from>
    <xdr:to>
      <xdr:col>7</xdr:col>
      <xdr:colOff>590550</xdr:colOff>
      <xdr:row>45</xdr:row>
      <xdr:rowOff>85725</xdr:rowOff>
    </xdr:to>
    <xdr:sp macro="" textlink="">
      <xdr:nvSpPr>
        <xdr:cNvPr id="2" name="TekstSylinder 1">
          <a:extLst>
            <a:ext uri="{FF2B5EF4-FFF2-40B4-BE49-F238E27FC236}">
              <a16:creationId xmlns:a16="http://schemas.microsoft.com/office/drawing/2014/main" id="{C829B34B-3FA5-444E-B551-3D5A348BAA0D}"/>
            </a:ext>
          </a:extLst>
        </xdr:cNvPr>
        <xdr:cNvSpPr txBox="1"/>
      </xdr:nvSpPr>
      <xdr:spPr>
        <a:xfrm>
          <a:off x="200025" y="3222625"/>
          <a:ext cx="7851775"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b-NO" sz="800">
              <a:solidFill>
                <a:schemeClr val="dk1"/>
              </a:solidFill>
              <a:effectLst/>
              <a:latin typeface="Arial" panose="020B0604020202020204" pitchFamily="34" charset="0"/>
              <a:ea typeface="+mn-ea"/>
              <a:cs typeface="Arial" panose="020B0604020202020204" pitchFamily="34" charset="0"/>
            </a:rPr>
            <a:t>The</a:t>
          </a:r>
          <a:r>
            <a:rPr lang="nb-NO" sz="800" baseline="0">
              <a:solidFill>
                <a:schemeClr val="dk1"/>
              </a:solidFill>
              <a:effectLst/>
              <a:latin typeface="Arial" panose="020B0604020202020204" pitchFamily="34" charset="0"/>
              <a:ea typeface="+mn-ea"/>
              <a:cs typeface="Arial" panose="020B0604020202020204" pitchFamily="34" charset="0"/>
            </a:rPr>
            <a:t> countercyclical buffer in Norway was 2.0 per cent at year-end, and 1.0 per cent in for Swedish exposures. The requirement of 1.12% for Komplett Bank is the weighted average of the buffer rates for the countrries where the Bank has credit exposures. </a:t>
          </a:r>
          <a:endParaRPr lang="nb-NO" sz="800">
            <a:effectLst/>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4" name="AutoShape 10">
          <a:hlinkClick xmlns:r="http://schemas.openxmlformats.org/officeDocument/2006/relationships" r:id="rId1"/>
          <a:extLst>
            <a:ext uri="{FF2B5EF4-FFF2-40B4-BE49-F238E27FC236}">
              <a16:creationId xmlns:a16="http://schemas.microsoft.com/office/drawing/2014/main" id="{73291233-992A-4CF5-868B-74F57C33C267}"/>
            </a:ext>
          </a:extLst>
        </xdr:cNvPr>
        <xdr:cNvSpPr>
          <a:spLocks noChangeArrowheads="1"/>
        </xdr:cNvSpPr>
      </xdr:nvSpPr>
      <xdr:spPr bwMode="auto">
        <a:xfrm>
          <a:off x="190500" y="0"/>
          <a:ext cx="1143004" cy="150282"/>
        </a:xfrm>
        <a:prstGeom prst="roundRect">
          <a:avLst>
            <a:gd name="adj" fmla="val 16667"/>
          </a:avLst>
        </a:prstGeom>
        <a:solidFill>
          <a:srgbClr val="C00000"/>
        </a:solidFill>
        <a:ln>
          <a:noFill/>
        </a:ln>
        <a:effectLst>
          <a:outerShdw blurRad="50800" dist="38100" dir="2700000" algn="tl" rotWithShape="0">
            <a:prstClr val="black">
              <a:alpha val="40000"/>
            </a:prstClr>
          </a:outerShdw>
        </a:effectLst>
        <a:extLst>
          <a:ext uri="{91240B29-F687-4F45-9708-019B960494DF}">
            <a14:hiddenLine xmlns:a14="http://schemas.microsoft.com/office/drawing/2010/main" w="9525">
              <a:solidFill>
                <a:srgbClr val="000000"/>
              </a:solidFill>
              <a:round/>
              <a:headEnd/>
              <a:tailEnd/>
            </a14:hiddenLine>
          </a:ext>
        </a:ex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1</xdr:col>
      <xdr:colOff>1143004</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83F7FF5C-6913-46DA-BE88-A7B6A176FF0A}"/>
            </a:ext>
          </a:extLst>
        </xdr:cNvPr>
        <xdr:cNvSpPr>
          <a:spLocks noChangeArrowheads="1"/>
        </xdr:cNvSpPr>
      </xdr:nvSpPr>
      <xdr:spPr bwMode="auto">
        <a:xfrm>
          <a:off x="180975" y="0"/>
          <a:ext cx="108585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174172</xdr:colOff>
      <xdr:row>16</xdr:row>
      <xdr:rowOff>19050</xdr:rowOff>
    </xdr:from>
    <xdr:to>
      <xdr:col>4</xdr:col>
      <xdr:colOff>38101</xdr:colOff>
      <xdr:row>33</xdr:row>
      <xdr:rowOff>19050</xdr:rowOff>
    </xdr:to>
    <xdr:sp macro="" textlink="">
      <xdr:nvSpPr>
        <xdr:cNvPr id="2" name="TekstSylinder 1">
          <a:extLst>
            <a:ext uri="{FF2B5EF4-FFF2-40B4-BE49-F238E27FC236}">
              <a16:creationId xmlns:a16="http://schemas.microsoft.com/office/drawing/2014/main" id="{3AF3DD58-3A85-4CF5-B162-6664322A239D}"/>
            </a:ext>
          </a:extLst>
        </xdr:cNvPr>
        <xdr:cNvSpPr txBox="1"/>
      </xdr:nvSpPr>
      <xdr:spPr>
        <a:xfrm>
          <a:off x="174172" y="2432050"/>
          <a:ext cx="6823529" cy="215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800" b="1">
              <a:latin typeface="Arial" panose="020B0604020202020204" pitchFamily="34" charset="0"/>
              <a:cs typeface="Arial" panose="020B0604020202020204" pitchFamily="34" charset="0"/>
            </a:rPr>
            <a:t>Accompanying narrative:</a:t>
          </a:r>
        </a:p>
        <a:p>
          <a:endParaRPr lang="nb-NO" sz="800">
            <a:latin typeface="Arial" panose="020B0604020202020204" pitchFamily="34" charset="0"/>
            <a:cs typeface="Arial" panose="020B0604020202020204" pitchFamily="34" charset="0"/>
          </a:endParaRPr>
        </a:p>
        <a:p>
          <a:endParaRPr lang="nb-NO" sz="800">
            <a:latin typeface="Arial" panose="020B0604020202020204" pitchFamily="34" charset="0"/>
            <a:cs typeface="Arial" panose="020B0604020202020204" pitchFamily="34" charset="0"/>
          </a:endParaRPr>
        </a:p>
      </xdr:txBody>
    </xdr:sp>
    <xdr:clientData/>
  </xdr:twoCellAnchor>
  <xdr:twoCellAnchor>
    <xdr:from>
      <xdr:col>1</xdr:col>
      <xdr:colOff>0</xdr:colOff>
      <xdr:row>0</xdr:row>
      <xdr:rowOff>0</xdr:rowOff>
    </xdr:from>
    <xdr:to>
      <xdr:col>2</xdr:col>
      <xdr:colOff>342904</xdr:colOff>
      <xdr:row>1</xdr:row>
      <xdr:rowOff>7407</xdr:rowOff>
    </xdr:to>
    <xdr:sp macro="" textlink="">
      <xdr:nvSpPr>
        <xdr:cNvPr id="3" name="AutoShape 10">
          <a:hlinkClick xmlns:r="http://schemas.openxmlformats.org/officeDocument/2006/relationships" r:id="rId1"/>
          <a:extLst>
            <a:ext uri="{FF2B5EF4-FFF2-40B4-BE49-F238E27FC236}">
              <a16:creationId xmlns:a16="http://schemas.microsoft.com/office/drawing/2014/main" id="{5A5658F0-DB88-4E4A-8228-CE0CA87BE506}"/>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447679</xdr:colOff>
      <xdr:row>1</xdr:row>
      <xdr:rowOff>7407</xdr:rowOff>
    </xdr:to>
    <xdr:sp macro="" textlink="">
      <xdr:nvSpPr>
        <xdr:cNvPr id="5" name="AutoShape 10">
          <a:hlinkClick xmlns:r="http://schemas.openxmlformats.org/officeDocument/2006/relationships" r:id="rId1"/>
          <a:extLst>
            <a:ext uri="{FF2B5EF4-FFF2-40B4-BE49-F238E27FC236}">
              <a16:creationId xmlns:a16="http://schemas.microsoft.com/office/drawing/2014/main" id="{EBB69E4E-A804-4304-BF9E-EDAF0AC31D58}"/>
            </a:ext>
          </a:extLst>
        </xdr:cNvPr>
        <xdr:cNvSpPr>
          <a:spLocks noChangeArrowheads="1"/>
        </xdr:cNvSpPr>
      </xdr:nvSpPr>
      <xdr:spPr bwMode="auto">
        <a:xfrm>
          <a:off x="190500" y="0"/>
          <a:ext cx="1143004" cy="150282"/>
        </a:xfrm>
        <a:prstGeom prst="roundRect">
          <a:avLst>
            <a:gd name="adj" fmla="val 16667"/>
          </a:avLst>
        </a:prstGeom>
        <a:solidFill>
          <a:schemeClr val="accent2"/>
        </a:solidFill>
        <a:ln>
          <a:noFill/>
        </a:ln>
        <a:effectLst>
          <a:outerShdw blurRad="50800" dist="38100" dir="2700000" algn="tl" rotWithShape="0">
            <a:prstClr val="black">
              <a:alpha val="40000"/>
            </a:prstClr>
          </a:outerShdw>
        </a:effectLst>
      </xdr:spPr>
      <xdr:txBody>
        <a:bodyPr wrap="square" lIns="91449" tIns="45725" rIns="91449" bIns="45725" anchor="ctr"/>
        <a:lstStyle>
          <a:defPPr>
            <a:defRPr lang="nb-NO"/>
          </a:defPPr>
          <a:lvl1pPr marL="0" algn="l" defTabSz="914483" rtl="0" eaLnBrk="1" latinLnBrk="0" hangingPunct="1">
            <a:defRPr sz="1800" kern="1200">
              <a:solidFill>
                <a:schemeClr val="tx1"/>
              </a:solidFill>
              <a:latin typeface="+mn-lt"/>
              <a:ea typeface="+mn-ea"/>
              <a:cs typeface="+mn-cs"/>
            </a:defRPr>
          </a:lvl1pPr>
          <a:lvl2pPr marL="457242" algn="l" defTabSz="914483" rtl="0" eaLnBrk="1" latinLnBrk="0" hangingPunct="1">
            <a:defRPr sz="1800" kern="1200">
              <a:solidFill>
                <a:schemeClr val="tx1"/>
              </a:solidFill>
              <a:latin typeface="+mn-lt"/>
              <a:ea typeface="+mn-ea"/>
              <a:cs typeface="+mn-cs"/>
            </a:defRPr>
          </a:lvl2pPr>
          <a:lvl3pPr marL="914483" algn="l" defTabSz="914483" rtl="0" eaLnBrk="1" latinLnBrk="0" hangingPunct="1">
            <a:defRPr sz="1800" kern="1200">
              <a:solidFill>
                <a:schemeClr val="tx1"/>
              </a:solidFill>
              <a:latin typeface="+mn-lt"/>
              <a:ea typeface="+mn-ea"/>
              <a:cs typeface="+mn-cs"/>
            </a:defRPr>
          </a:lvl3pPr>
          <a:lvl4pPr marL="1371725" algn="l" defTabSz="914483" rtl="0" eaLnBrk="1" latinLnBrk="0" hangingPunct="1">
            <a:defRPr sz="1800" kern="1200">
              <a:solidFill>
                <a:schemeClr val="tx1"/>
              </a:solidFill>
              <a:latin typeface="+mn-lt"/>
              <a:ea typeface="+mn-ea"/>
              <a:cs typeface="+mn-cs"/>
            </a:defRPr>
          </a:lvl4pPr>
          <a:lvl5pPr marL="1828966" algn="l" defTabSz="914483" rtl="0" eaLnBrk="1" latinLnBrk="0" hangingPunct="1">
            <a:defRPr sz="1800" kern="1200">
              <a:solidFill>
                <a:schemeClr val="tx1"/>
              </a:solidFill>
              <a:latin typeface="+mn-lt"/>
              <a:ea typeface="+mn-ea"/>
              <a:cs typeface="+mn-cs"/>
            </a:defRPr>
          </a:lvl5pPr>
          <a:lvl6pPr marL="2286208" algn="l" defTabSz="914483" rtl="0" eaLnBrk="1" latinLnBrk="0" hangingPunct="1">
            <a:defRPr sz="1800" kern="1200">
              <a:solidFill>
                <a:schemeClr val="tx1"/>
              </a:solidFill>
              <a:latin typeface="+mn-lt"/>
              <a:ea typeface="+mn-ea"/>
              <a:cs typeface="+mn-cs"/>
            </a:defRPr>
          </a:lvl6pPr>
          <a:lvl7pPr marL="2743450" algn="l" defTabSz="914483" rtl="0" eaLnBrk="1" latinLnBrk="0" hangingPunct="1">
            <a:defRPr sz="1800" kern="1200">
              <a:solidFill>
                <a:schemeClr val="tx1"/>
              </a:solidFill>
              <a:latin typeface="+mn-lt"/>
              <a:ea typeface="+mn-ea"/>
              <a:cs typeface="+mn-cs"/>
            </a:defRPr>
          </a:lvl7pPr>
          <a:lvl8pPr marL="3200691" algn="l" defTabSz="914483" rtl="0" eaLnBrk="1" latinLnBrk="0" hangingPunct="1">
            <a:defRPr sz="1800" kern="1200">
              <a:solidFill>
                <a:schemeClr val="tx1"/>
              </a:solidFill>
              <a:latin typeface="+mn-lt"/>
              <a:ea typeface="+mn-ea"/>
              <a:cs typeface="+mn-cs"/>
            </a:defRPr>
          </a:lvl8pPr>
          <a:lvl9pPr marL="3657933" algn="l" defTabSz="914483" rtl="0" eaLnBrk="1" latinLnBrk="0" hangingPunct="1">
            <a:defRPr sz="1800" kern="1200">
              <a:solidFill>
                <a:schemeClr val="tx1"/>
              </a:solidFill>
              <a:latin typeface="+mn-lt"/>
              <a:ea typeface="+mn-ea"/>
              <a:cs typeface="+mn-cs"/>
            </a:defRPr>
          </a:lvl9pPr>
        </a:lstStyle>
        <a:p>
          <a:pPr algn="ctr" defTabSz="912813" eaLnBrk="1" fontAlgn="base" hangingPunct="1">
            <a:spcBef>
              <a:spcPct val="0"/>
            </a:spcBef>
            <a:spcAft>
              <a:spcPct val="0"/>
            </a:spcAft>
          </a:pPr>
          <a:r>
            <a:rPr lang="en-US" altLang="nb-NO" sz="800" baseline="0">
              <a:solidFill>
                <a:prstClr val="white"/>
              </a:solidFill>
              <a:latin typeface="Arial" panose="020B0604020202020204" pitchFamily="34" charset="0"/>
              <a:cs typeface="Arial" panose="020B0604020202020204" pitchFamily="34" charset="0"/>
            </a:rPr>
            <a:t>Back</a:t>
          </a:r>
          <a:endParaRPr lang="en-US" altLang="nb-NO" sz="1400">
            <a:solidFill>
              <a:prstClr val="white"/>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_Programmer\P_Nrsp\NRSP\NRSP4\NRSP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1\ttekev\LOCALS~1\Temp\Sammendrag%20v3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nancials/Accounting/Regnskap/Perioderegnskap/Spread%20and%20interest%20rate%20risk/2022-12%20Markeds%20og%20renterisiko%20fondsplassering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omplettbanko365.sharepoint.com/sites/Management-Monthlyreporting/Shared%20Documents/Monthly%20reporting/Financial%20accou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RSP"/>
      <sheetName val="MAL1"/>
      <sheetName val="NyAga"/>
      <sheetName val="MALENG"/>
      <sheetName val="APublicVariabler"/>
      <sheetName val="Modul Hoved"/>
      <sheetName val="Modul AvansertPlan"/>
      <sheetName val="Modul Start Meny"/>
      <sheetName val="Modul Klargjør Ark"/>
      <sheetName val="Modul GenSatser"/>
      <sheetName val="Modul Beregn"/>
      <sheetName val="Module Ftrygd"/>
      <sheetName val="Modul FriPlan"/>
      <sheetName val="Modul Oracle"/>
      <sheetName val="Modul Generelle"/>
      <sheetName val="Module BehDialoger"/>
      <sheetName val="Module Fil Til Excel"/>
      <sheetName val="Modul Statistikk"/>
      <sheetName val="Module SkjulArk"/>
      <sheetName val="AgaNy"/>
      <sheetName val="MALFAS"/>
      <sheetName val="MalArk11"/>
      <sheetName val="Dialog Loggon"/>
      <sheetName val="Dialog Variabler"/>
      <sheetName val="RegGen"/>
      <sheetName val="DiaFørtid"/>
      <sheetName val="DiaFratredelse"/>
      <sheetName val="SysParam"/>
      <sheetName val="VarFriPlan"/>
      <sheetName val="SystemArk1"/>
      <sheetName val="SystemArk2"/>
      <sheetName val="SystemArk4"/>
      <sheetName val="SystemArk3"/>
      <sheetName val="Kobling"/>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row r="1">
          <cell r="C1" t="str">
            <v>Lønn = 350 000</v>
          </cell>
        </row>
        <row r="2">
          <cell r="C2" t="str">
            <v>Gbeløp = 51 360</v>
          </cell>
        </row>
        <row r="3">
          <cell r="C3" t="str">
            <v>FødtÅr = 1948</v>
          </cell>
        </row>
        <row r="4">
          <cell r="C4" t="str">
            <v>AnsattÅr = 2001</v>
          </cell>
        </row>
        <row r="5">
          <cell r="C5" t="str">
            <v>ATPny = 123 113</v>
          </cell>
        </row>
        <row r="6">
          <cell r="C6" t="str">
            <v>ATPnyNRSP3 = 122 890</v>
          </cell>
        </row>
        <row r="7">
          <cell r="C7" t="str">
            <v>FTPny = 113 680</v>
          </cell>
        </row>
        <row r="8">
          <cell r="C8" t="str">
            <v>ATPgml = 134 281</v>
          </cell>
        </row>
        <row r="9">
          <cell r="C9" t="str">
            <v>FTPgml = 134 281</v>
          </cell>
        </row>
        <row r="10">
          <cell r="C10" t="str">
            <v>PGRL = 350 000</v>
          </cell>
        </row>
        <row r="11">
          <cell r="C11" t="str">
            <v>PGIV = 350 000</v>
          </cell>
        </row>
        <row r="12">
          <cell r="C12" t="str">
            <v>DTF = 1,0</v>
          </cell>
        </row>
        <row r="13">
          <cell r="C13" t="str">
            <v>ATF = 1,0</v>
          </cell>
        </row>
        <row r="14">
          <cell r="C14" t="str">
            <v>AvkFaktor = 1,0</v>
          </cell>
        </row>
        <row r="15">
          <cell r="C15" t="str">
            <v>APfripol = 000</v>
          </cell>
        </row>
        <row r="16">
          <cell r="C16" t="str">
            <v>EPfripol = 000</v>
          </cell>
        </row>
        <row r="17">
          <cell r="C17" t="str">
            <v>UPfripol = 000</v>
          </cell>
        </row>
        <row r="18">
          <cell r="C18" t="str">
            <v>BPfripol = 000</v>
          </cell>
        </row>
        <row r="19">
          <cell r="C19" t="str">
            <v>HYPF92 = 123 113</v>
          </cell>
        </row>
        <row r="20">
          <cell r="C20" t="str">
            <v>HYPF = 134 281</v>
          </cell>
        </row>
        <row r="21">
          <cell r="C21" t="str">
            <v>KORR92 = 9 433</v>
          </cell>
        </row>
        <row r="22">
          <cell r="C22" t="str">
            <v>MGLF = 000</v>
          </cell>
        </row>
        <row r="23">
          <cell r="C23" t="str">
            <v>FriFelt1 = 25 000</v>
          </cell>
        </row>
        <row r="24">
          <cell r="C24" t="str">
            <v>FriFelt2 = 25 000</v>
          </cell>
        </row>
        <row r="25">
          <cell r="C25" t="str">
            <v>ÅrsNr = 1</v>
          </cell>
        </row>
        <row r="26">
          <cell r="C26" t="str">
            <v>Gave = 0,66</v>
          </cell>
        </row>
      </sheetData>
      <sheetData sheetId="29"/>
      <sheetData sheetId="30">
        <row r="1">
          <cell r="K1" t="str">
            <v xml:space="preserve">AFP 25% LO-NHO  u/gave </v>
          </cell>
          <cell r="N1" t="str">
            <v>KOS</v>
          </cell>
        </row>
        <row r="2">
          <cell r="K2" t="str">
            <v xml:space="preserve">AFP 20% LO-NHO  u/gave </v>
          </cell>
          <cell r="N2" t="str">
            <v>KOS test</v>
          </cell>
        </row>
        <row r="3">
          <cell r="K3" t="str">
            <v>AFP 5% LO-NHO</v>
          </cell>
        </row>
        <row r="4">
          <cell r="K4" t="str">
            <v>AFP 25% LO-NHO med x % gave</v>
          </cell>
        </row>
        <row r="5">
          <cell r="K5" t="str">
            <v xml:space="preserve">AFP 20% LO-NHO med x % gave </v>
          </cell>
        </row>
        <row r="6">
          <cell r="K6" t="str">
            <v>AFP Bank u/gave</v>
          </cell>
        </row>
        <row r="7">
          <cell r="K7" t="str">
            <v>AFP Bank u/gave (gammel)</v>
          </cell>
        </row>
        <row r="8">
          <cell r="K8" t="str">
            <v>AFP Bank med x % gave</v>
          </cell>
        </row>
        <row r="9">
          <cell r="K9" t="str">
            <v>AFP Bank med x % nivå fra 64 år</v>
          </cell>
        </row>
        <row r="10">
          <cell r="K10" t="str">
            <v>AFP LO-KS med x % nivå fra 65 år</v>
          </cell>
        </row>
        <row r="11">
          <cell r="K11" t="str">
            <v>AFP LO-KS med x % gave</v>
          </cell>
        </row>
        <row r="12">
          <cell r="K12" t="str">
            <v>AFP 25% LO-NHO med x % gave Max 5G</v>
          </cell>
        </row>
      </sheetData>
      <sheetData sheetId="31"/>
      <sheetData sheetId="32">
        <row r="1">
          <cell r="C1" t="str">
            <v>24495: NORDMØRE REGNSKAP &amp;</v>
          </cell>
        </row>
      </sheetData>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mer Sunil"/>
      <sheetName val="Samleliste"/>
      <sheetName val="Forkortelser"/>
      <sheetName val="25% lavest prioritert"/>
      <sheetName val="25%lavest i &quot;Ny analyse&quot;"/>
      <sheetName val="Sammendrag"/>
      <sheetName val="I utvikling"/>
      <sheetName val="Ny analyse"/>
      <sheetName val="Til utvikling"/>
      <sheetName val="Tomme"/>
      <sheetName val="Faktisk"/>
    </sheetNames>
    <sheetDataSet>
      <sheetData sheetId="0" refreshError="1"/>
      <sheetData sheetId="1">
        <row r="3">
          <cell r="B3" t="str">
            <v>Prio
Enhet</v>
          </cell>
          <cell r="C3" t="str">
            <v>Prosjektnavn</v>
          </cell>
          <cell r="D3" t="str">
            <v>Navn på underark</v>
          </cell>
          <cell r="E3" t="str">
            <v>Prosjekt nummer
(PV)</v>
          </cell>
          <cell r="F3" t="str">
            <v>Prosjekteier
(navn)</v>
          </cell>
          <cell r="G3" t="str">
            <v>Prosjektleder</v>
          </cell>
          <cell r="H3" t="str">
            <v>Beskrivelse/kommentar
(~en setning)</v>
          </cell>
          <cell r="I3" t="str">
            <v>Avhengighet til andre prosjekt</v>
          </cell>
          <cell r="J3" t="str">
            <v xml:space="preserve">Status </v>
          </cell>
          <cell r="L3" t="str">
            <v>Prioriteres til</v>
          </cell>
          <cell r="M3" t="str">
            <v>Scoring</v>
          </cell>
          <cell r="N3" t="str">
            <v xml:space="preserve">Marked </v>
          </cell>
          <cell r="O3" t="str">
            <v>Kategori</v>
          </cell>
          <cell r="P3" t="str">
            <v>NPV mNOK</v>
          </cell>
          <cell r="Q3" t="str">
            <v>CAPEX mNOK</v>
          </cell>
          <cell r="R3" t="str">
            <v>OPEX mNOK</v>
          </cell>
          <cell r="S3" t="str">
            <v>Total interne timer</v>
          </cell>
          <cell r="T3" t="str">
            <v>Behov IS timer</v>
          </cell>
          <cell r="U3" t="str">
            <v>Total eksterne timer</v>
          </cell>
          <cell r="V3" t="str">
            <v>Prosjekt start (B2)</v>
          </cell>
          <cell r="W3" t="str">
            <v>Prosjekt slutt    (B4)</v>
          </cell>
          <cell r="X3" t="str">
            <v>IS behov Q405 Lang løype</v>
          </cell>
          <cell r="Y3" t="str">
            <v>Divisjon</v>
          </cell>
          <cell r="Z3" t="str">
            <v>Enhet</v>
          </cell>
          <cell r="AA3" t="str">
            <v>Produkt?</v>
          </cell>
          <cell r="AB3" t="str">
            <v>Intern prioritering</v>
          </cell>
          <cell r="AC3" t="str">
            <v>Avdeling</v>
          </cell>
          <cell r="AE3" t="str">
            <v>Start</v>
          </cell>
          <cell r="AF3" t="str">
            <v>Slutt</v>
          </cell>
          <cell r="AG3" t="str">
            <v>Levetid</v>
          </cell>
          <cell r="AH3" t="str">
            <v>% ferdig 1.7.05</v>
          </cell>
          <cell r="AI3" t="str">
            <v>% ferdig 1.10.05</v>
          </cell>
          <cell r="AJ3" t="str">
            <v>% ferdig 1.1.06</v>
          </cell>
          <cell r="AK3" t="str">
            <v>rest interne timer</v>
          </cell>
          <cell r="AL3" t="str">
            <v>rest is timer</v>
          </cell>
          <cell r="AM3" t="str">
            <v>rest eksterne timer</v>
          </cell>
          <cell r="AN3" t="str">
            <v>4Q interne timer</v>
          </cell>
          <cell r="AO3" t="str">
            <v>4Q is timer</v>
          </cell>
          <cell r="AP3" t="str">
            <v>4Q eksterne timer</v>
          </cell>
          <cell r="AQ3" t="str">
            <v>Vektet ressurs bruk</v>
          </cell>
          <cell r="AR3" t="str">
            <v>Andel vektet ressurs</v>
          </cell>
        </row>
        <row r="4">
          <cell r="B4" t="str">
            <v>FBT-1</v>
          </cell>
          <cell r="C4" t="str">
            <v>Nordic Connect Phase 1</v>
          </cell>
          <cell r="D4" t="str">
            <v>NConnect1</v>
          </cell>
          <cell r="E4" t="str">
            <v xml:space="preserve"> </v>
          </cell>
          <cell r="F4" t="str">
            <v>Borgar Hestad</v>
          </cell>
          <cell r="G4" t="str">
            <v>Arild Haugen</v>
          </cell>
          <cell r="H4" t="str">
            <v>Lanserer nye felles nordiske IP VPN-tjenester som skal erstatte alle Telenors eksisterende tjenester i Norge, Sverige og Danmark. Tjenestene lanseres i to faser – denne innmelding gjelder Fase1. Nordic Connect møter inngåtte forpliktelser med IBM og EDB B</v>
          </cell>
          <cell r="I4">
            <v>0</v>
          </cell>
          <cell r="J4" t="str">
            <v>Gjennomføring</v>
          </cell>
          <cell r="K4" t="str">
            <v>Etter B2</v>
          </cell>
          <cell r="L4" t="str">
            <v>I utvikling</v>
          </cell>
          <cell r="N4" t="str">
            <v>Nordisk</v>
          </cell>
          <cell r="O4" t="str">
            <v>Bedriftsnett</v>
          </cell>
          <cell r="P4">
            <v>89.6</v>
          </cell>
          <cell r="Q4">
            <v>16.2</v>
          </cell>
          <cell r="R4">
            <v>2.8</v>
          </cell>
          <cell r="S4">
            <v>34356</v>
          </cell>
          <cell r="T4">
            <v>12780</v>
          </cell>
          <cell r="U4">
            <v>3371</v>
          </cell>
          <cell r="V4">
            <v>38418</v>
          </cell>
          <cell r="W4">
            <v>38656</v>
          </cell>
          <cell r="X4" t="str">
            <v>Ja</v>
          </cell>
          <cell r="Y4" t="str">
            <v>Fixed</v>
          </cell>
          <cell r="Z4" t="str">
            <v>BT</v>
          </cell>
          <cell r="AB4" t="str">
            <v>1</v>
          </cell>
          <cell r="AC4" t="str">
            <v>FBT</v>
          </cell>
          <cell r="AE4">
            <v>38418</v>
          </cell>
          <cell r="AF4">
            <v>38656</v>
          </cell>
          <cell r="AG4">
            <v>0.65160848733744015</v>
          </cell>
          <cell r="AH4">
            <v>0.48739495798319327</v>
          </cell>
          <cell r="AI4">
            <v>0.87394957983193278</v>
          </cell>
          <cell r="AJ4">
            <v>1</v>
          </cell>
          <cell r="AK4">
            <v>17611.058823529409</v>
          </cell>
          <cell r="AL4">
            <v>6551.0924369747891</v>
          </cell>
          <cell r="AM4">
            <v>1727.9915966386552</v>
          </cell>
          <cell r="AN4">
            <v>4330.5882352941171</v>
          </cell>
          <cell r="AO4">
            <v>1610.9243697478992</v>
          </cell>
          <cell r="AP4">
            <v>424.9159663865546</v>
          </cell>
          <cell r="AQ4">
            <v>6791.3445378151264</v>
          </cell>
          <cell r="AR4">
            <v>1.6682733991392161E-2</v>
          </cell>
        </row>
        <row r="5">
          <cell r="B5" t="str">
            <v>FBT-2</v>
          </cell>
          <cell r="C5" t="str">
            <v>Internet ADSL Relansering</v>
          </cell>
          <cell r="D5" t="str">
            <v>Relansering</v>
          </cell>
          <cell r="E5" t="str">
            <v xml:space="preserve"> </v>
          </cell>
          <cell r="F5" t="str">
            <v>Jonas Jegerborn</v>
          </cell>
          <cell r="G5" t="str">
            <v>TBD</v>
          </cell>
          <cell r="H5" t="str">
            <v>”Low End”-Internettjänst för företag och hemarbetsplatser med möjlighet till bundling av VPN, VOIP och betalningsförmdedlingstjänster. Positioneras under ICA. On Net: IP Total, Off Net: Skanova Bredband ADSL Plus
SLA motsvarande SLA Bas eller lägre. Bandb</v>
          </cell>
          <cell r="I5" t="str">
            <v xml:space="preserve"> IPSEC VPN A15  ADSL 2+ App, SHDSL Bis, Sanering Netscreen VPN, VOIA, 
</v>
          </cell>
          <cell r="J5" t="str">
            <v>Nytt prosjekt</v>
          </cell>
          <cell r="K5" t="str">
            <v>B2</v>
          </cell>
          <cell r="L5" t="str">
            <v>Til utvikling</v>
          </cell>
          <cell r="N5" t="str">
            <v>S</v>
          </cell>
          <cell r="O5" t="str">
            <v>Verdiøkn DSL</v>
          </cell>
          <cell r="P5">
            <v>33.4</v>
          </cell>
          <cell r="Q5">
            <v>0</v>
          </cell>
          <cell r="R5">
            <v>0</v>
          </cell>
          <cell r="S5">
            <v>0</v>
          </cell>
          <cell r="T5">
            <v>0</v>
          </cell>
          <cell r="U5">
            <v>0</v>
          </cell>
          <cell r="V5">
            <v>38657</v>
          </cell>
          <cell r="W5">
            <v>38732</v>
          </cell>
          <cell r="X5" t="str">
            <v>Ja</v>
          </cell>
          <cell r="Y5" t="str">
            <v>Fixed</v>
          </cell>
          <cell r="Z5" t="str">
            <v>BT</v>
          </cell>
          <cell r="AB5" t="str">
            <v>2</v>
          </cell>
          <cell r="AC5" t="str">
            <v>FBT</v>
          </cell>
          <cell r="AE5">
            <v>38657</v>
          </cell>
          <cell r="AF5">
            <v>38732</v>
          </cell>
          <cell r="AG5">
            <v>0.20533880903490759</v>
          </cell>
          <cell r="AH5">
            <v>0</v>
          </cell>
          <cell r="AI5">
            <v>0</v>
          </cell>
          <cell r="AJ5">
            <v>0.81333333333333335</v>
          </cell>
          <cell r="AK5">
            <v>0</v>
          </cell>
          <cell r="AL5">
            <v>0</v>
          </cell>
          <cell r="AM5">
            <v>0</v>
          </cell>
          <cell r="AN5">
            <v>0</v>
          </cell>
          <cell r="AO5">
            <v>0</v>
          </cell>
          <cell r="AP5">
            <v>0</v>
          </cell>
          <cell r="AQ5">
            <v>0</v>
          </cell>
          <cell r="AR5">
            <v>0</v>
          </cell>
        </row>
        <row r="6">
          <cell r="B6" t="str">
            <v>FBT-3</v>
          </cell>
          <cell r="C6" t="str">
            <v>Hosted Exchange</v>
          </cell>
          <cell r="D6" t="str">
            <v>HostedX</v>
          </cell>
          <cell r="E6" t="str">
            <v xml:space="preserve"> </v>
          </cell>
          <cell r="F6" t="str">
            <v>Lars Bakken</v>
          </cell>
          <cell r="G6" t="str">
            <v>Kari Aanonsen</v>
          </cell>
          <cell r="H6" t="str">
            <v>Prosjektet skal etablere en løsning for Hosted Exchange fra Microsoft slik at Telenor kan tilby markedets ledende, driftede e-poststjeneste. 
Løsningen gir Telenors kunder samme tilgang til  e-post, kalender og kontakter (PIM) på web og mobiltelefoner som</v>
          </cell>
          <cell r="I6">
            <v>0</v>
          </cell>
          <cell r="J6" t="str">
            <v>Nytt prosjekt</v>
          </cell>
          <cell r="K6" t="str">
            <v>B2</v>
          </cell>
          <cell r="L6" t="str">
            <v>Til utvikling</v>
          </cell>
          <cell r="N6" t="str">
            <v>Nordisk</v>
          </cell>
          <cell r="O6" t="str">
            <v>VØT</v>
          </cell>
          <cell r="P6">
            <v>9.6999999999999993</v>
          </cell>
          <cell r="Q6">
            <v>13.2</v>
          </cell>
          <cell r="R6">
            <v>0</v>
          </cell>
          <cell r="S6">
            <v>0</v>
          </cell>
          <cell r="T6">
            <v>450</v>
          </cell>
          <cell r="U6">
            <v>0</v>
          </cell>
          <cell r="V6">
            <v>38626</v>
          </cell>
          <cell r="W6">
            <v>38808</v>
          </cell>
          <cell r="X6" t="str">
            <v>Ja</v>
          </cell>
          <cell r="Y6" t="str">
            <v>Fixed</v>
          </cell>
          <cell r="Z6" t="str">
            <v>BT</v>
          </cell>
          <cell r="AB6" t="str">
            <v>3</v>
          </cell>
          <cell r="AC6" t="str">
            <v>FBT</v>
          </cell>
          <cell r="AE6">
            <v>38626</v>
          </cell>
          <cell r="AF6">
            <v>38808</v>
          </cell>
          <cell r="AG6">
            <v>0.49828884325804246</v>
          </cell>
          <cell r="AH6">
            <v>0</v>
          </cell>
          <cell r="AI6">
            <v>0</v>
          </cell>
          <cell r="AJ6">
            <v>0.50549450549450547</v>
          </cell>
          <cell r="AK6">
            <v>0</v>
          </cell>
          <cell r="AL6">
            <v>450</v>
          </cell>
          <cell r="AM6">
            <v>0</v>
          </cell>
          <cell r="AN6">
            <v>0</v>
          </cell>
          <cell r="AO6">
            <v>227.47252747252747</v>
          </cell>
          <cell r="AP6">
            <v>0</v>
          </cell>
          <cell r="AQ6">
            <v>227.47252747252747</v>
          </cell>
          <cell r="AR6">
            <v>5.5877943535974448E-4</v>
          </cell>
        </row>
        <row r="7">
          <cell r="B7" t="str">
            <v>FBT-4</v>
          </cell>
          <cell r="C7" t="str">
            <v>Cyber IP VPN</v>
          </cell>
          <cell r="D7" t="str">
            <v>CyberVPN</v>
          </cell>
          <cell r="E7" t="str">
            <v xml:space="preserve"> </v>
          </cell>
          <cell r="F7" t="str">
            <v>Ole Jakob Aanes</v>
          </cell>
          <cell r="G7" t="str">
            <v>TBD</v>
          </cell>
          <cell r="H7" t="str">
            <v>Muliggjøre bruk av Cybercity’s xDSL plattform som aksessform til Nordic Connect i Danmark. Har et sterkt behov for utvidet funksjonalitet på xDSL i Danmark som er uavhengig av hva TDC kan tilby på wholesale. Bl.a. har vi ikke QoS på SHDSL i Danmark. Dette</v>
          </cell>
          <cell r="I7">
            <v>0</v>
          </cell>
          <cell r="J7" t="str">
            <v>Nytt prosjekt</v>
          </cell>
          <cell r="K7" t="str">
            <v>B2</v>
          </cell>
          <cell r="L7" t="str">
            <v>Til utvikling</v>
          </cell>
          <cell r="N7" t="str">
            <v>DK</v>
          </cell>
          <cell r="O7" t="str">
            <v>Bedriftsnett</v>
          </cell>
          <cell r="P7">
            <v>0</v>
          </cell>
          <cell r="Q7">
            <v>0</v>
          </cell>
          <cell r="R7">
            <v>0</v>
          </cell>
          <cell r="S7">
            <v>0</v>
          </cell>
          <cell r="T7">
            <v>0</v>
          </cell>
          <cell r="U7">
            <v>0</v>
          </cell>
          <cell r="V7">
            <v>38626</v>
          </cell>
          <cell r="W7">
            <v>38718</v>
          </cell>
          <cell r="X7" t="str">
            <v>Ja</v>
          </cell>
          <cell r="Y7" t="str">
            <v>Fixed</v>
          </cell>
          <cell r="Z7" t="str">
            <v>BT</v>
          </cell>
          <cell r="AB7" t="str">
            <v>4</v>
          </cell>
          <cell r="AC7" t="str">
            <v>FBT</v>
          </cell>
          <cell r="AE7">
            <v>38626</v>
          </cell>
          <cell r="AF7">
            <v>38718</v>
          </cell>
          <cell r="AG7">
            <v>0.2518822724161533</v>
          </cell>
          <cell r="AH7">
            <v>0</v>
          </cell>
          <cell r="AI7">
            <v>0</v>
          </cell>
          <cell r="AJ7">
            <v>1</v>
          </cell>
          <cell r="AK7">
            <v>0</v>
          </cell>
          <cell r="AL7">
            <v>0</v>
          </cell>
          <cell r="AM7">
            <v>0</v>
          </cell>
          <cell r="AN7">
            <v>0</v>
          </cell>
          <cell r="AO7">
            <v>0</v>
          </cell>
          <cell r="AP7">
            <v>0</v>
          </cell>
          <cell r="AQ7">
            <v>0</v>
          </cell>
          <cell r="AR7">
            <v>0</v>
          </cell>
        </row>
        <row r="8">
          <cell r="B8" t="str">
            <v>FBT-5</v>
          </cell>
          <cell r="C8" t="str">
            <v>Nordic Connect Phase 2</v>
          </cell>
          <cell r="D8" t="str">
            <v>NConnect2</v>
          </cell>
          <cell r="E8" t="str">
            <v xml:space="preserve"> </v>
          </cell>
          <cell r="F8" t="str">
            <v>Borgar Hestad</v>
          </cell>
          <cell r="G8" t="str">
            <v>Arild Haugen</v>
          </cell>
          <cell r="H8" t="str">
            <v>Videreutvikling og kvalitetsheving av Nordic Connect produktene til et konkurransedyktig funksjonalitet og kvalitetsnivå.
Utvikle et nytt datakommunikasjonsprodukt (Ethernet-VPN) for bedriftsmarkedet i Norden som vil komplettere Nordic Connect porteføljen</v>
          </cell>
          <cell r="I8" t="str">
            <v xml:space="preserve">BRUT: avhengig av BRUT i Norge for å kunne levere Ethernet-VPN funksjonalitet
</v>
          </cell>
          <cell r="J8" t="str">
            <v>Nytt prsojekt</v>
          </cell>
          <cell r="K8" t="str">
            <v>B1</v>
          </cell>
          <cell r="L8" t="str">
            <v>Ny analyse</v>
          </cell>
          <cell r="N8" t="str">
            <v>Nordisk</v>
          </cell>
          <cell r="O8" t="str">
            <v>Bedriftsnett</v>
          </cell>
          <cell r="P8">
            <v>49.6</v>
          </cell>
          <cell r="Q8">
            <v>0</v>
          </cell>
          <cell r="R8">
            <v>0</v>
          </cell>
          <cell r="S8">
            <v>0</v>
          </cell>
          <cell r="T8">
            <v>0</v>
          </cell>
          <cell r="U8">
            <v>0</v>
          </cell>
          <cell r="V8">
            <v>38749</v>
          </cell>
          <cell r="W8">
            <v>38869</v>
          </cell>
          <cell r="X8" t="str">
            <v>Ja</v>
          </cell>
          <cell r="Y8" t="str">
            <v>Fixed</v>
          </cell>
          <cell r="Z8" t="str">
            <v>BT</v>
          </cell>
          <cell r="AB8" t="str">
            <v>5</v>
          </cell>
          <cell r="AC8" t="str">
            <v>FBT</v>
          </cell>
          <cell r="AE8">
            <v>38749</v>
          </cell>
          <cell r="AF8">
            <v>38869</v>
          </cell>
          <cell r="AG8">
            <v>0.32854209445585214</v>
          </cell>
          <cell r="AH8">
            <v>0</v>
          </cell>
          <cell r="AI8">
            <v>0</v>
          </cell>
          <cell r="AJ8">
            <v>0</v>
          </cell>
          <cell r="AK8">
            <v>0</v>
          </cell>
          <cell r="AL8">
            <v>0</v>
          </cell>
          <cell r="AM8">
            <v>0</v>
          </cell>
          <cell r="AN8">
            <v>0</v>
          </cell>
          <cell r="AO8">
            <v>0</v>
          </cell>
          <cell r="AP8">
            <v>0</v>
          </cell>
          <cell r="AQ8">
            <v>0</v>
          </cell>
          <cell r="AR8">
            <v>0</v>
          </cell>
        </row>
        <row r="9">
          <cell r="B9" t="str">
            <v>FBT-6</v>
          </cell>
          <cell r="C9" t="str">
            <v>Retail VPN</v>
          </cell>
          <cell r="D9" t="str">
            <v>RetailVPN</v>
          </cell>
          <cell r="E9" t="str">
            <v xml:space="preserve"> </v>
          </cell>
          <cell r="F9" t="str">
            <v>Jonas Jegerborn</v>
          </cell>
          <cell r="G9" t="str">
            <v>TBD</v>
          </cell>
          <cell r="H9" t="str">
            <v xml:space="preserve">Lansering av en IP VPN-tjänst för butiksnät liknande organisationer. Exempel på behov för en sådan tjänst är; funktioner för hantering av betalningsförmedling, tillgång till Internet, tillgång till eget VPN, SLA anpassat för butiksöppettider och ett lågt </v>
          </cell>
          <cell r="I9" t="str">
            <v xml:space="preserve">Internet ADSL, Sanering Netscreen VPN, Nordic Connect fas 2
 </v>
          </cell>
          <cell r="J9" t="str">
            <v>Nytt prosjekt</v>
          </cell>
          <cell r="K9" t="str">
            <v>B2</v>
          </cell>
          <cell r="L9" t="str">
            <v>Til utvikling</v>
          </cell>
          <cell r="N9" t="str">
            <v>S</v>
          </cell>
          <cell r="O9" t="str">
            <v>Bedriftsnett</v>
          </cell>
          <cell r="P9">
            <v>1.4</v>
          </cell>
          <cell r="Q9">
            <v>0</v>
          </cell>
          <cell r="R9">
            <v>0</v>
          </cell>
          <cell r="S9">
            <v>0</v>
          </cell>
          <cell r="T9">
            <v>0</v>
          </cell>
          <cell r="U9">
            <v>0</v>
          </cell>
          <cell r="V9">
            <v>38626</v>
          </cell>
          <cell r="W9" t="str">
            <v xml:space="preserve"> </v>
          </cell>
          <cell r="X9" t="str">
            <v>Ja</v>
          </cell>
          <cell r="Y9" t="str">
            <v>Fixed</v>
          </cell>
          <cell r="Z9" t="str">
            <v>BT</v>
          </cell>
          <cell r="AB9" t="str">
            <v>6</v>
          </cell>
          <cell r="AC9" t="str">
            <v>FBT</v>
          </cell>
          <cell r="AE9">
            <v>38626</v>
          </cell>
          <cell r="AF9">
            <v>38991.25</v>
          </cell>
          <cell r="AG9">
            <v>1</v>
          </cell>
          <cell r="AH9">
            <v>0</v>
          </cell>
          <cell r="AI9">
            <v>0</v>
          </cell>
          <cell r="AJ9">
            <v>0.2518822724161533</v>
          </cell>
          <cell r="AK9">
            <v>0</v>
          </cell>
          <cell r="AL9">
            <v>0</v>
          </cell>
          <cell r="AM9">
            <v>0</v>
          </cell>
          <cell r="AN9">
            <v>0</v>
          </cell>
          <cell r="AO9">
            <v>0</v>
          </cell>
          <cell r="AP9">
            <v>0</v>
          </cell>
          <cell r="AQ9">
            <v>0</v>
          </cell>
          <cell r="AR9">
            <v>0</v>
          </cell>
        </row>
        <row r="10">
          <cell r="B10" t="str">
            <v>FBT-7</v>
          </cell>
          <cell r="C10" t="str">
            <v>IDS, Virus, Spam i Sverige</v>
          </cell>
          <cell r="D10" t="str">
            <v>Virus</v>
          </cell>
          <cell r="E10" t="str">
            <v xml:space="preserve"> </v>
          </cell>
          <cell r="F10" t="str">
            <v>Olav Urnes</v>
          </cell>
          <cell r="G10" t="str">
            <v>TBD</v>
          </cell>
          <cell r="H10" t="str">
            <v>Sikkerhet er høyt på agendaen hos bedriftskunder i Norden, da Internett og Internett-applikasjoner er forretningskritiske.
 IDS, Virus-filter og Spam-filter er svært godt egnet som døråpnere mot større bedrifter, samtidig som det gir økt omsetning og kund</v>
          </cell>
          <cell r="I10">
            <v>0</v>
          </cell>
          <cell r="J10" t="str">
            <v>Nytt prosjekt</v>
          </cell>
          <cell r="K10" t="str">
            <v>Etter B2</v>
          </cell>
          <cell r="L10" t="str">
            <v>I utvikling</v>
          </cell>
          <cell r="N10" t="str">
            <v>S</v>
          </cell>
          <cell r="O10" t="str">
            <v>VØT</v>
          </cell>
          <cell r="P10">
            <v>15</v>
          </cell>
          <cell r="Q10">
            <v>0</v>
          </cell>
          <cell r="R10">
            <v>0</v>
          </cell>
          <cell r="S10">
            <v>0</v>
          </cell>
          <cell r="T10">
            <v>0</v>
          </cell>
          <cell r="U10">
            <v>0</v>
          </cell>
          <cell r="V10">
            <v>38583</v>
          </cell>
          <cell r="W10">
            <v>38640</v>
          </cell>
          <cell r="X10" t="str">
            <v>Nei</v>
          </cell>
          <cell r="Y10" t="str">
            <v>Fixed</v>
          </cell>
          <cell r="Z10" t="str">
            <v>BT</v>
          </cell>
          <cell r="AB10" t="str">
            <v>7</v>
          </cell>
          <cell r="AC10" t="str">
            <v>FBT</v>
          </cell>
          <cell r="AE10">
            <v>38583</v>
          </cell>
          <cell r="AF10">
            <v>38640</v>
          </cell>
          <cell r="AG10">
            <v>0.15605749486652978</v>
          </cell>
          <cell r="AH10">
            <v>0</v>
          </cell>
          <cell r="AI10">
            <v>0.75438596491228072</v>
          </cell>
          <cell r="AJ10">
            <v>1</v>
          </cell>
          <cell r="AK10">
            <v>0</v>
          </cell>
          <cell r="AL10">
            <v>0</v>
          </cell>
          <cell r="AM10">
            <v>0</v>
          </cell>
          <cell r="AN10">
            <v>0</v>
          </cell>
          <cell r="AO10">
            <v>0</v>
          </cell>
          <cell r="AP10">
            <v>0</v>
          </cell>
          <cell r="AQ10">
            <v>0</v>
          </cell>
          <cell r="AR10">
            <v>0</v>
          </cell>
        </row>
        <row r="11">
          <cell r="B11" t="str">
            <v>FBT-8</v>
          </cell>
          <cell r="C11" t="str">
            <v>IP VPN Videokonferanse</v>
          </cell>
          <cell r="D11" t="str">
            <v>Videokonf</v>
          </cell>
          <cell r="E11" t="str">
            <v xml:space="preserve"> </v>
          </cell>
          <cell r="F11" t="str">
            <v>Lars Bakken</v>
          </cell>
          <cell r="G11" t="str">
            <v>Knut Vidar Olsen</v>
          </cell>
          <cell r="H11" t="str">
            <v>Prosjektet tar utgangspunkt i dagens tjenester for videokonferanse, hhv. IP Videokonferanse og Meetat ISDN Videokonferanse. 
Prosjektet vil konsolidere tjenesteplattformene for disse to produktene (slik vedtatt i OE produktsanering) og videre lansere IP V</v>
          </cell>
          <cell r="I11">
            <v>0</v>
          </cell>
          <cell r="J11" t="str">
            <v>Nytt prsojekt</v>
          </cell>
          <cell r="K11" t="str">
            <v>B2</v>
          </cell>
          <cell r="L11" t="str">
            <v>Til utvikling</v>
          </cell>
          <cell r="N11" t="str">
            <v>Nordisk</v>
          </cell>
          <cell r="O11" t="str">
            <v>VØT</v>
          </cell>
          <cell r="P11">
            <v>8</v>
          </cell>
          <cell r="Q11">
            <v>4</v>
          </cell>
          <cell r="R11">
            <v>0</v>
          </cell>
          <cell r="S11">
            <v>0</v>
          </cell>
          <cell r="T11">
            <v>0</v>
          </cell>
          <cell r="U11">
            <v>0</v>
          </cell>
          <cell r="V11">
            <v>38626</v>
          </cell>
          <cell r="W11">
            <v>38808</v>
          </cell>
          <cell r="X11" t="str">
            <v>Nei</v>
          </cell>
          <cell r="Y11" t="str">
            <v>Fixed</v>
          </cell>
          <cell r="Z11" t="str">
            <v>BT</v>
          </cell>
          <cell r="AB11" t="str">
            <v>8</v>
          </cell>
          <cell r="AC11" t="str">
            <v>FBT</v>
          </cell>
          <cell r="AE11">
            <v>38626</v>
          </cell>
          <cell r="AF11">
            <v>38808</v>
          </cell>
          <cell r="AG11">
            <v>0.49828884325804246</v>
          </cell>
          <cell r="AH11">
            <v>0</v>
          </cell>
          <cell r="AI11">
            <v>0</v>
          </cell>
          <cell r="AJ11">
            <v>0.50549450549450547</v>
          </cell>
          <cell r="AK11">
            <v>0</v>
          </cell>
          <cell r="AL11">
            <v>0</v>
          </cell>
          <cell r="AM11">
            <v>0</v>
          </cell>
          <cell r="AN11">
            <v>0</v>
          </cell>
          <cell r="AO11">
            <v>0</v>
          </cell>
          <cell r="AP11">
            <v>0</v>
          </cell>
          <cell r="AQ11">
            <v>0</v>
          </cell>
          <cell r="AR11">
            <v>0</v>
          </cell>
        </row>
        <row r="12">
          <cell r="B12" t="str">
            <v>FBT-9</v>
          </cell>
          <cell r="C12" t="str">
            <v>ADSL2+ Annex M - Norge</v>
          </cell>
          <cell r="D12" t="str">
            <v>AnnexM_N</v>
          </cell>
          <cell r="E12" t="str">
            <v xml:space="preserve"> </v>
          </cell>
          <cell r="F12" t="str">
            <v>Jonas Jegerblom</v>
          </cell>
          <cell r="G12" t="str">
            <v>TBD</v>
          </cell>
          <cell r="H12" t="str">
            <v>I ADSL2+-prosjektet (ADSL 1 av 5 i 6) har man valgt ikke å ta inn ADSL2+ levert på Annex M. Annex B er den tekniske realiseringen av ADSL2+, som gir mulighet for å benytte enten PSTN eller ISDN på samme trådpar som benyttes til ADSL2+. Annex M gir kun stø</v>
          </cell>
          <cell r="I12" t="str">
            <v>Bør sees i sammenheng med ADSL2+-prosjektet, og vurderes sammenslått</v>
          </cell>
          <cell r="J12" t="str">
            <v>Nytt prosjekt</v>
          </cell>
          <cell r="K12" t="str">
            <v>B2</v>
          </cell>
          <cell r="L12" t="str">
            <v>Til utvikling</v>
          </cell>
          <cell r="N12" t="str">
            <v>N Bedrift</v>
          </cell>
          <cell r="O12" t="str">
            <v>Verdiøkn DSL</v>
          </cell>
          <cell r="P12">
            <v>10</v>
          </cell>
          <cell r="Q12">
            <v>0</v>
          </cell>
          <cell r="R12">
            <v>0</v>
          </cell>
          <cell r="S12">
            <v>0</v>
          </cell>
          <cell r="T12">
            <v>0</v>
          </cell>
          <cell r="U12">
            <v>0</v>
          </cell>
          <cell r="V12">
            <v>38657</v>
          </cell>
          <cell r="W12">
            <v>38718</v>
          </cell>
          <cell r="X12" t="str">
            <v>Ja</v>
          </cell>
          <cell r="Y12" t="str">
            <v>Fixed</v>
          </cell>
          <cell r="Z12" t="str">
            <v>BT</v>
          </cell>
          <cell r="AB12" t="str">
            <v>9</v>
          </cell>
          <cell r="AC12" t="str">
            <v>FBT</v>
          </cell>
          <cell r="AE12">
            <v>38657</v>
          </cell>
          <cell r="AF12">
            <v>38718</v>
          </cell>
          <cell r="AG12">
            <v>0.16700889801505817</v>
          </cell>
          <cell r="AH12">
            <v>0</v>
          </cell>
          <cell r="AI12">
            <v>0</v>
          </cell>
          <cell r="AJ12">
            <v>1</v>
          </cell>
          <cell r="AK12">
            <v>0</v>
          </cell>
          <cell r="AL12">
            <v>0</v>
          </cell>
          <cell r="AM12">
            <v>0</v>
          </cell>
          <cell r="AN12">
            <v>0</v>
          </cell>
          <cell r="AO12">
            <v>0</v>
          </cell>
          <cell r="AP12">
            <v>0</v>
          </cell>
          <cell r="AQ12">
            <v>0</v>
          </cell>
          <cell r="AR12">
            <v>0</v>
          </cell>
        </row>
        <row r="13">
          <cell r="B13" t="str">
            <v>FBT-10</v>
          </cell>
          <cell r="C13" t="str">
            <v xml:space="preserve">Internet Stadsnät </v>
          </cell>
          <cell r="D13" t="str">
            <v>Tiscali</v>
          </cell>
          <cell r="E13" t="str">
            <v xml:space="preserve"> </v>
          </cell>
          <cell r="F13" t="str">
            <v>Jonas Jegerborn</v>
          </cell>
          <cell r="G13" t="str">
            <v>Fredrik Olsson</v>
          </cell>
          <cell r="H13" t="str">
            <v>I samband med Telenor A/S förvärv av Tiscali och Internet 5 har ca 500 företagskunder med tjänste access realiserad över stadsnät överförts till den svenska verksamheten. I förvärvet ingick också en privatkundstock vilken överlåtits till Spray. Telenor ko</v>
          </cell>
          <cell r="I13" t="str">
            <v xml:space="preserve">Existerande stadsnätskunder ligger i dag på ej lanserade tjänster. Denna tjänst kall möjliggöra för migrering av dessa.
</v>
          </cell>
          <cell r="J13" t="str">
            <v>Nytt prosjekt</v>
          </cell>
          <cell r="K13" t="str">
            <v>B2</v>
          </cell>
          <cell r="L13" t="str">
            <v>Til utvikling</v>
          </cell>
          <cell r="N13" t="str">
            <v>S</v>
          </cell>
          <cell r="O13" t="str">
            <v>Verdiøkn DSL</v>
          </cell>
          <cell r="P13">
            <v>21.6</v>
          </cell>
          <cell r="Q13">
            <v>1.8</v>
          </cell>
          <cell r="R13">
            <v>1.6</v>
          </cell>
          <cell r="S13">
            <v>2000</v>
          </cell>
          <cell r="T13">
            <v>600</v>
          </cell>
          <cell r="U13">
            <v>400</v>
          </cell>
          <cell r="V13">
            <v>38626</v>
          </cell>
          <cell r="W13">
            <v>38732</v>
          </cell>
          <cell r="X13" t="str">
            <v>Ja</v>
          </cell>
          <cell r="Y13" t="str">
            <v>Fixed</v>
          </cell>
          <cell r="Z13" t="str">
            <v>BT</v>
          </cell>
          <cell r="AB13" t="str">
            <v>10</v>
          </cell>
          <cell r="AC13" t="str">
            <v>FBT</v>
          </cell>
          <cell r="AE13">
            <v>38626</v>
          </cell>
          <cell r="AF13">
            <v>38732</v>
          </cell>
          <cell r="AG13">
            <v>0.29021218343600275</v>
          </cell>
          <cell r="AH13">
            <v>0</v>
          </cell>
          <cell r="AI13">
            <v>0</v>
          </cell>
          <cell r="AJ13">
            <v>0.86792452830188682</v>
          </cell>
          <cell r="AK13">
            <v>2000</v>
          </cell>
          <cell r="AL13">
            <v>600</v>
          </cell>
          <cell r="AM13">
            <v>400</v>
          </cell>
          <cell r="AN13">
            <v>1735.8490566037735</v>
          </cell>
          <cell r="AO13">
            <v>520.75471698113211</v>
          </cell>
          <cell r="AP13">
            <v>347.16981132075472</v>
          </cell>
          <cell r="AQ13">
            <v>2950.9433962264152</v>
          </cell>
          <cell r="AR13">
            <v>7.2489038700337509E-3</v>
          </cell>
        </row>
        <row r="14">
          <cell r="B14" t="str">
            <v>FBT-11</v>
          </cell>
          <cell r="C14" t="str">
            <v>Relokalisering av Meetat Infrastruktur (REMA)</v>
          </cell>
          <cell r="D14" t="str">
            <v>REMA</v>
          </cell>
          <cell r="E14" t="str">
            <v xml:space="preserve"> </v>
          </cell>
          <cell r="F14" t="str">
            <v>Lars Bakken</v>
          </cell>
          <cell r="G14" t="str">
            <v>Thomas Nore (Veritas)</v>
          </cell>
          <cell r="H14" t="str">
            <v>Prosjektet skal flytte all teknisk infrastruktur for MeetAt fra Opplysningen AS’ lokaler til egnet Driftsenter i Telenor Nordic. Drift av MeetAt infrastruktur skal overføres til Nordic Operations. Kundefront for Meetat flyttes samtidig til Kundeservice av</v>
          </cell>
          <cell r="I14" t="str">
            <v>Virksomhetsoverføring av Meetat Kundefront til Kundeservice (avanserte tjenester). Fysisk flytting gjennomføres  samtidig med flytting av teknisk infrastruktur</v>
          </cell>
          <cell r="J14" t="str">
            <v>Analyse&amp;konsept</v>
          </cell>
          <cell r="K14" t="str">
            <v>Etter B2</v>
          </cell>
          <cell r="L14" t="str">
            <v>I utvikling</v>
          </cell>
          <cell r="N14" t="str">
            <v>N Bedrift</v>
          </cell>
          <cell r="O14" t="str">
            <v>Plattform</v>
          </cell>
          <cell r="P14">
            <v>0</v>
          </cell>
          <cell r="Q14">
            <v>2.7</v>
          </cell>
          <cell r="R14">
            <v>1.7</v>
          </cell>
          <cell r="S14">
            <v>1500</v>
          </cell>
          <cell r="T14">
            <v>0</v>
          </cell>
          <cell r="U14">
            <v>480</v>
          </cell>
          <cell r="V14">
            <v>38513</v>
          </cell>
          <cell r="W14">
            <v>38718</v>
          </cell>
          <cell r="X14" t="str">
            <v>Nei</v>
          </cell>
          <cell r="Y14" t="str">
            <v>Fixed</v>
          </cell>
          <cell r="Z14" t="str">
            <v>BT</v>
          </cell>
          <cell r="AB14" t="str">
            <v>11</v>
          </cell>
          <cell r="AC14" t="str">
            <v>FBT</v>
          </cell>
          <cell r="AE14">
            <v>38513</v>
          </cell>
          <cell r="AF14">
            <v>38718</v>
          </cell>
          <cell r="AG14">
            <v>0.5612594113620808</v>
          </cell>
          <cell r="AH14">
            <v>0.1024390243902439</v>
          </cell>
          <cell r="AI14">
            <v>0.551219512195122</v>
          </cell>
          <cell r="AJ14">
            <v>1</v>
          </cell>
          <cell r="AK14">
            <v>1346.3414634146341</v>
          </cell>
          <cell r="AL14">
            <v>0</v>
          </cell>
          <cell r="AM14">
            <v>430.82926829268291</v>
          </cell>
          <cell r="AN14">
            <v>673.17073170731703</v>
          </cell>
          <cell r="AO14">
            <v>0</v>
          </cell>
          <cell r="AP14">
            <v>215.41463414634143</v>
          </cell>
          <cell r="AQ14">
            <v>1104</v>
          </cell>
          <cell r="AR14">
            <v>2.7119428596126265E-3</v>
          </cell>
        </row>
        <row r="15">
          <cell r="B15" t="str">
            <v>FBT-12</v>
          </cell>
          <cell r="C15" t="str">
            <v>ADSL2+ Annex M - Sverige</v>
          </cell>
          <cell r="D15" t="str">
            <v>AnnexM_S</v>
          </cell>
          <cell r="E15" t="str">
            <v xml:space="preserve"> </v>
          </cell>
          <cell r="F15" t="str">
            <v>David Lagerstrøm</v>
          </cell>
          <cell r="G15" t="str">
            <v>TBD</v>
          </cell>
          <cell r="H15" t="str">
            <v>Möjliggöra högre uppströmsbandbredd för ADSL 2+-accesser.</v>
          </cell>
          <cell r="I15" t="str">
            <v xml:space="preserve">Internet ADSL Relansering
- SHDSL Bis
</v>
          </cell>
          <cell r="J15" t="str">
            <v>Nytt prosjekt</v>
          </cell>
          <cell r="K15" t="str">
            <v>B2</v>
          </cell>
          <cell r="L15" t="str">
            <v>Til utvikling</v>
          </cell>
          <cell r="N15" t="str">
            <v>S</v>
          </cell>
          <cell r="O15" t="str">
            <v>Verdiøkn DSL</v>
          </cell>
          <cell r="P15">
            <v>14.4</v>
          </cell>
          <cell r="Q15">
            <v>0</v>
          </cell>
          <cell r="R15">
            <v>1</v>
          </cell>
          <cell r="S15">
            <v>0</v>
          </cell>
          <cell r="T15">
            <v>0</v>
          </cell>
          <cell r="U15">
            <v>0</v>
          </cell>
          <cell r="V15">
            <v>38657</v>
          </cell>
          <cell r="W15">
            <v>38749</v>
          </cell>
          <cell r="X15" t="str">
            <v>Ja</v>
          </cell>
          <cell r="Y15" t="str">
            <v>Fixed</v>
          </cell>
          <cell r="Z15" t="str">
            <v>BT</v>
          </cell>
          <cell r="AB15" t="str">
            <v>12</v>
          </cell>
          <cell r="AC15" t="str">
            <v>FBT</v>
          </cell>
          <cell r="AE15">
            <v>38657</v>
          </cell>
          <cell r="AF15">
            <v>38749</v>
          </cell>
          <cell r="AG15">
            <v>0.2518822724161533</v>
          </cell>
          <cell r="AH15">
            <v>0</v>
          </cell>
          <cell r="AI15">
            <v>0</v>
          </cell>
          <cell r="AJ15">
            <v>0.66304347826086951</v>
          </cell>
          <cell r="AK15">
            <v>0</v>
          </cell>
          <cell r="AL15">
            <v>0</v>
          </cell>
          <cell r="AM15">
            <v>0</v>
          </cell>
          <cell r="AN15">
            <v>0</v>
          </cell>
          <cell r="AO15">
            <v>0</v>
          </cell>
          <cell r="AP15">
            <v>0</v>
          </cell>
          <cell r="AQ15">
            <v>0</v>
          </cell>
          <cell r="AR15">
            <v>0</v>
          </cell>
        </row>
        <row r="16">
          <cell r="B16" t="str">
            <v>FBT-13</v>
          </cell>
          <cell r="C16" t="str">
            <v>SHDSL Bis</v>
          </cell>
          <cell r="D16" t="str">
            <v>SHDSL</v>
          </cell>
          <cell r="E16" t="str">
            <v xml:space="preserve"> </v>
          </cell>
          <cell r="F16" t="str">
            <v>David Lagerstrøm</v>
          </cell>
          <cell r="G16" t="str">
            <v>TBD</v>
          </cell>
          <cell r="H16" t="str">
            <v xml:space="preserve">Implementera stöd för SHDSL Bis i Telenors acessplattform. Bundlade SHDSL-accesser. 
</v>
          </cell>
          <cell r="I16" t="str">
            <v>Internet ADSLS og SHDSL Bis</v>
          </cell>
          <cell r="J16" t="str">
            <v>Nytt prosjekt</v>
          </cell>
          <cell r="K16" t="str">
            <v>B2</v>
          </cell>
          <cell r="L16" t="str">
            <v>Til utvikling</v>
          </cell>
          <cell r="N16" t="str">
            <v>S</v>
          </cell>
          <cell r="O16" t="str">
            <v>Verdiøkn DSL</v>
          </cell>
          <cell r="P16">
            <v>4</v>
          </cell>
          <cell r="Q16">
            <v>0</v>
          </cell>
          <cell r="R16">
            <v>0</v>
          </cell>
          <cell r="S16">
            <v>0</v>
          </cell>
          <cell r="T16">
            <v>0</v>
          </cell>
          <cell r="U16">
            <v>0</v>
          </cell>
          <cell r="V16">
            <v>38626</v>
          </cell>
          <cell r="W16">
            <v>38718</v>
          </cell>
          <cell r="X16" t="str">
            <v>Ja</v>
          </cell>
          <cell r="Y16" t="str">
            <v>Fixed</v>
          </cell>
          <cell r="Z16" t="str">
            <v>BT</v>
          </cell>
          <cell r="AB16" t="str">
            <v>13</v>
          </cell>
          <cell r="AC16" t="str">
            <v>FBT</v>
          </cell>
          <cell r="AE16">
            <v>38626</v>
          </cell>
          <cell r="AF16">
            <v>38718</v>
          </cell>
          <cell r="AG16">
            <v>0.2518822724161533</v>
          </cell>
          <cell r="AH16">
            <v>0</v>
          </cell>
          <cell r="AI16">
            <v>0</v>
          </cell>
          <cell r="AJ16">
            <v>1</v>
          </cell>
          <cell r="AK16">
            <v>0</v>
          </cell>
          <cell r="AL16">
            <v>0</v>
          </cell>
          <cell r="AM16">
            <v>0</v>
          </cell>
          <cell r="AN16">
            <v>0</v>
          </cell>
          <cell r="AO16">
            <v>0</v>
          </cell>
          <cell r="AP16">
            <v>0</v>
          </cell>
          <cell r="AQ16">
            <v>0</v>
          </cell>
          <cell r="AR16">
            <v>0</v>
          </cell>
        </row>
        <row r="17">
          <cell r="B17" t="str">
            <v>FBT-14</v>
          </cell>
          <cell r="C17" t="str">
            <v xml:space="preserve">Videreutvikling av autokonfig kunderutere       </v>
          </cell>
          <cell r="D17" t="str">
            <v>Autokonfig</v>
          </cell>
          <cell r="E17" t="str">
            <v xml:space="preserve"> </v>
          </cell>
          <cell r="F17" t="str">
            <v>Bjørn Lydersen</v>
          </cell>
          <cell r="G17" t="str">
            <v>TBD</v>
          </cell>
          <cell r="H17" t="str">
            <v xml:space="preserve">Vi ønsker å få laget en ny "plug-in" for Autokonfig for å støtte flere ruter-typer enn bare Cisco. NMS-miljøet har stått for utviklingen av dagens løsning. For hver eneste ruter finnes det en egen konfig som er lagret i ROCS.  Autokonfig sjekker konfigen </v>
          </cell>
          <cell r="I17" t="str">
            <v>Skal hjelpe oss med å ta ut de gevinster som Strada R3 leverer.</v>
          </cell>
          <cell r="J17" t="str">
            <v>B0 (IS foranalyse ref. nr. 4375</v>
          </cell>
          <cell r="K17" t="str">
            <v>B2</v>
          </cell>
          <cell r="L17" t="str">
            <v>Til utvikling</v>
          </cell>
          <cell r="N17" t="str">
            <v>N Bedrift</v>
          </cell>
          <cell r="O17" t="str">
            <v>Plattform/D&amp;L</v>
          </cell>
          <cell r="P17">
            <v>40</v>
          </cell>
          <cell r="Q17">
            <v>0</v>
          </cell>
          <cell r="R17">
            <v>0</v>
          </cell>
          <cell r="S17">
            <v>0</v>
          </cell>
          <cell r="T17">
            <v>0</v>
          </cell>
          <cell r="U17">
            <v>0</v>
          </cell>
          <cell r="V17">
            <v>38657</v>
          </cell>
          <cell r="W17">
            <v>38852</v>
          </cell>
          <cell r="X17" t="str">
            <v>Ja</v>
          </cell>
          <cell r="Y17" t="str">
            <v>Fixed</v>
          </cell>
          <cell r="Z17" t="str">
            <v>BT</v>
          </cell>
          <cell r="AB17" t="str">
            <v>14</v>
          </cell>
          <cell r="AC17" t="str">
            <v>FBT</v>
          </cell>
          <cell r="AE17">
            <v>38657</v>
          </cell>
          <cell r="AF17">
            <v>38852</v>
          </cell>
          <cell r="AG17">
            <v>0.53388090349075978</v>
          </cell>
          <cell r="AH17">
            <v>0</v>
          </cell>
          <cell r="AI17">
            <v>0</v>
          </cell>
          <cell r="AJ17">
            <v>0.31282051282051282</v>
          </cell>
          <cell r="AK17">
            <v>0</v>
          </cell>
          <cell r="AL17">
            <v>0</v>
          </cell>
          <cell r="AM17">
            <v>0</v>
          </cell>
          <cell r="AN17">
            <v>0</v>
          </cell>
          <cell r="AO17">
            <v>0</v>
          </cell>
          <cell r="AP17">
            <v>0</v>
          </cell>
          <cell r="AQ17">
            <v>0</v>
          </cell>
          <cell r="AR17">
            <v>0</v>
          </cell>
        </row>
        <row r="18">
          <cell r="B18" t="str">
            <v>FBT-15</v>
          </cell>
          <cell r="C18" t="str">
            <v>DHCP for IA DK</v>
          </cell>
          <cell r="D18" t="str">
            <v>DHCP_DK</v>
          </cell>
          <cell r="E18" t="str">
            <v xml:space="preserve"> </v>
          </cell>
          <cell r="F18" t="str">
            <v>Jonas Jegerbom</v>
          </cell>
          <cell r="G18" t="str">
            <v>TBD</v>
          </cell>
          <cell r="H18" t="str">
            <v xml:space="preserve">Optimering af internet access produkterne med DHCP adgang. Funktionaliteten henvender sig både til privat og erhverv. Produktet vil forbedre det nuværende produkt som anvender PPPoE.
</v>
          </cell>
          <cell r="I18">
            <v>0</v>
          </cell>
          <cell r="J18" t="str">
            <v>Nytt prosjekt</v>
          </cell>
          <cell r="K18" t="str">
            <v>B2</v>
          </cell>
          <cell r="L18" t="str">
            <v>Til utvikling</v>
          </cell>
          <cell r="N18" t="str">
            <v>DK</v>
          </cell>
          <cell r="O18" t="str">
            <v>Verdiøkn DSL</v>
          </cell>
          <cell r="P18">
            <v>0</v>
          </cell>
          <cell r="Q18">
            <v>0.75</v>
          </cell>
          <cell r="R18">
            <v>0</v>
          </cell>
          <cell r="S18">
            <v>0</v>
          </cell>
          <cell r="T18">
            <v>0</v>
          </cell>
          <cell r="U18">
            <v>0</v>
          </cell>
          <cell r="V18">
            <v>38626</v>
          </cell>
          <cell r="W18">
            <v>38687</v>
          </cell>
          <cell r="X18" t="str">
            <v>?</v>
          </cell>
          <cell r="Y18" t="str">
            <v>Fixed</v>
          </cell>
          <cell r="Z18" t="str">
            <v>BT</v>
          </cell>
          <cell r="AB18" t="str">
            <v>15</v>
          </cell>
          <cell r="AC18" t="str">
            <v>FBT</v>
          </cell>
          <cell r="AE18">
            <v>38626</v>
          </cell>
          <cell r="AF18">
            <v>38687</v>
          </cell>
          <cell r="AG18">
            <v>0.16700889801505817</v>
          </cell>
          <cell r="AH18">
            <v>0</v>
          </cell>
          <cell r="AI18">
            <v>0</v>
          </cell>
          <cell r="AJ18">
            <v>1</v>
          </cell>
          <cell r="AK18">
            <v>0</v>
          </cell>
          <cell r="AL18">
            <v>0</v>
          </cell>
          <cell r="AM18">
            <v>0</v>
          </cell>
          <cell r="AN18">
            <v>0</v>
          </cell>
          <cell r="AO18">
            <v>0</v>
          </cell>
          <cell r="AP18">
            <v>0</v>
          </cell>
          <cell r="AQ18">
            <v>0</v>
          </cell>
          <cell r="AR18">
            <v>0</v>
          </cell>
        </row>
        <row r="19">
          <cell r="B19" t="str">
            <v>FBT-16</v>
          </cell>
          <cell r="C19" t="str">
            <v>Fremragende logistikk</v>
          </cell>
          <cell r="D19" t="str">
            <v>Logistikk</v>
          </cell>
          <cell r="E19" t="str">
            <v xml:space="preserve"> </v>
          </cell>
          <cell r="F19" t="str">
            <v>Erik Frode Hansen</v>
          </cell>
          <cell r="G19" t="str">
            <v>TBD</v>
          </cell>
          <cell r="H19" t="str">
            <v>Gjennomgang og optimalisering av logistikkfunksjon for IP VPN og IA
Sikre at vi har god presisjon og kostnadskontroll på kundeplassert utstyr..</v>
          </cell>
          <cell r="I19">
            <v>0</v>
          </cell>
          <cell r="J19" t="str">
            <v>Nytt prosjekt</v>
          </cell>
          <cell r="K19" t="str">
            <v>B2</v>
          </cell>
          <cell r="L19" t="str">
            <v>Til utvikling</v>
          </cell>
          <cell r="N19" t="str">
            <v>N Bedrift</v>
          </cell>
          <cell r="O19" t="str">
            <v>D&amp;L</v>
          </cell>
          <cell r="P19">
            <v>0</v>
          </cell>
          <cell r="Q19">
            <v>0</v>
          </cell>
          <cell r="R19">
            <v>0</v>
          </cell>
          <cell r="S19">
            <v>0</v>
          </cell>
          <cell r="T19">
            <v>0</v>
          </cell>
          <cell r="U19">
            <v>0</v>
          </cell>
          <cell r="V19">
            <v>38626</v>
          </cell>
          <cell r="W19">
            <v>38717</v>
          </cell>
          <cell r="X19" t="str">
            <v>?</v>
          </cell>
          <cell r="Y19" t="str">
            <v>Fixed</v>
          </cell>
          <cell r="Z19" t="str">
            <v>BT</v>
          </cell>
          <cell r="AB19" t="str">
            <v>16</v>
          </cell>
          <cell r="AC19" t="str">
            <v>FBT</v>
          </cell>
          <cell r="AE19">
            <v>38626</v>
          </cell>
          <cell r="AF19">
            <v>38717</v>
          </cell>
          <cell r="AG19">
            <v>0.24914442162902123</v>
          </cell>
          <cell r="AH19">
            <v>0</v>
          </cell>
          <cell r="AI19">
            <v>0</v>
          </cell>
          <cell r="AJ19">
            <v>1</v>
          </cell>
          <cell r="AK19">
            <v>0</v>
          </cell>
          <cell r="AL19">
            <v>0</v>
          </cell>
          <cell r="AM19">
            <v>0</v>
          </cell>
          <cell r="AN19">
            <v>0</v>
          </cell>
          <cell r="AO19">
            <v>0</v>
          </cell>
          <cell r="AP19">
            <v>0</v>
          </cell>
          <cell r="AQ19">
            <v>0</v>
          </cell>
          <cell r="AR19">
            <v>0</v>
          </cell>
        </row>
        <row r="20">
          <cell r="B20" t="str">
            <v>FBT-17</v>
          </cell>
          <cell r="C20" t="str">
            <v>Produksjonsanlegg PKI</v>
          </cell>
          <cell r="D20" t="str">
            <v>PKI</v>
          </cell>
          <cell r="E20" t="str">
            <v xml:space="preserve"> </v>
          </cell>
          <cell r="F20" t="str">
            <v>Olav Urnes</v>
          </cell>
          <cell r="G20" t="str">
            <v>Mats Lillesund</v>
          </cell>
          <cell r="H20" t="str">
            <v xml:space="preserve">Prosjektet skal ta frem en løsning for utstedelse av elektronisk ID på Smartkort lokalt hos kunde 
Løsningen er et krav i forbindelse med leveransen til St. Olavs Hospital.
Stor interesse fra offentlig for å kunne ta i bruk tilsvarende løsning
</v>
          </cell>
          <cell r="I20">
            <v>0</v>
          </cell>
          <cell r="J20" t="str">
            <v>Gjennomføring</v>
          </cell>
          <cell r="K20" t="str">
            <v>Etter B2</v>
          </cell>
          <cell r="L20" t="str">
            <v>I utvikling</v>
          </cell>
          <cell r="N20" t="str">
            <v>N Bedrift</v>
          </cell>
          <cell r="O20" t="str">
            <v>VØT</v>
          </cell>
          <cell r="P20">
            <v>5.6</v>
          </cell>
          <cell r="Q20">
            <v>1</v>
          </cell>
          <cell r="R20">
            <v>0</v>
          </cell>
          <cell r="S20">
            <v>0</v>
          </cell>
          <cell r="T20">
            <v>0</v>
          </cell>
          <cell r="U20">
            <v>0</v>
          </cell>
          <cell r="V20">
            <v>38687</v>
          </cell>
          <cell r="W20">
            <v>38808</v>
          </cell>
          <cell r="X20" t="str">
            <v>Ja</v>
          </cell>
          <cell r="Y20" t="str">
            <v>Fixed</v>
          </cell>
          <cell r="Z20" t="str">
            <v>BT</v>
          </cell>
          <cell r="AB20" t="str">
            <v>17</v>
          </cell>
          <cell r="AC20" t="str">
            <v>FBT</v>
          </cell>
          <cell r="AE20">
            <v>38687</v>
          </cell>
          <cell r="AF20">
            <v>38808</v>
          </cell>
          <cell r="AG20">
            <v>0.33127994524298426</v>
          </cell>
          <cell r="AH20">
            <v>0</v>
          </cell>
          <cell r="AI20">
            <v>0</v>
          </cell>
          <cell r="AJ20">
            <v>0.256198347107438</v>
          </cell>
          <cell r="AK20">
            <v>0</v>
          </cell>
          <cell r="AL20">
            <v>0</v>
          </cell>
          <cell r="AM20">
            <v>0</v>
          </cell>
          <cell r="AN20">
            <v>0</v>
          </cell>
          <cell r="AO20">
            <v>0</v>
          </cell>
          <cell r="AP20">
            <v>0</v>
          </cell>
          <cell r="AQ20">
            <v>0</v>
          </cell>
          <cell r="AR20">
            <v>0</v>
          </cell>
        </row>
        <row r="21">
          <cell r="B21" t="str">
            <v>FBT-18</v>
          </cell>
          <cell r="C21" t="str">
            <v>Sanering Nordicom</v>
          </cell>
          <cell r="D21" t="str">
            <v>Nordicom</v>
          </cell>
          <cell r="E21" t="str">
            <v xml:space="preserve"> </v>
          </cell>
          <cell r="F21" t="str">
            <v>Tore Andresen-Gott</v>
          </cell>
          <cell r="G21" t="str">
            <v>TBD</v>
          </cell>
          <cell r="H21" t="str">
            <v xml:space="preserve">Sanering av Nordicom i Norge og Sverige. Flytting av kunder til nye løsninger og nedleggelse av teknisk plattform.
</v>
          </cell>
          <cell r="I21">
            <v>0</v>
          </cell>
          <cell r="J21" t="str">
            <v>Nytt prosjekt</v>
          </cell>
          <cell r="K21" t="str">
            <v>B2</v>
          </cell>
          <cell r="L21" t="str">
            <v>Til utvikling</v>
          </cell>
          <cell r="N21" t="str">
            <v>Nordisk</v>
          </cell>
          <cell r="O21" t="str">
            <v>annet</v>
          </cell>
          <cell r="P21">
            <v>0</v>
          </cell>
          <cell r="Q21">
            <v>0</v>
          </cell>
          <cell r="R21">
            <v>0</v>
          </cell>
          <cell r="S21">
            <v>0</v>
          </cell>
          <cell r="T21">
            <v>0</v>
          </cell>
          <cell r="U21">
            <v>0</v>
          </cell>
          <cell r="V21">
            <v>38626</v>
          </cell>
          <cell r="W21">
            <v>39417</v>
          </cell>
          <cell r="X21" t="str">
            <v>Ja</v>
          </cell>
          <cell r="Y21" t="str">
            <v>Fixed</v>
          </cell>
          <cell r="Z21" t="str">
            <v>BT</v>
          </cell>
          <cell r="AB21" t="str">
            <v>18</v>
          </cell>
          <cell r="AC21" t="str">
            <v>FBT</v>
          </cell>
          <cell r="AE21">
            <v>38626</v>
          </cell>
          <cell r="AF21">
            <v>39417</v>
          </cell>
          <cell r="AG21">
            <v>2.1656399726214923</v>
          </cell>
          <cell r="AH21">
            <v>0</v>
          </cell>
          <cell r="AI21">
            <v>0</v>
          </cell>
          <cell r="AJ21">
            <v>0.11630847029077118</v>
          </cell>
          <cell r="AK21">
            <v>0</v>
          </cell>
          <cell r="AL21">
            <v>0</v>
          </cell>
          <cell r="AM21">
            <v>0</v>
          </cell>
          <cell r="AN21">
            <v>0</v>
          </cell>
          <cell r="AO21">
            <v>0</v>
          </cell>
          <cell r="AP21">
            <v>0</v>
          </cell>
          <cell r="AQ21">
            <v>0</v>
          </cell>
          <cell r="AR21">
            <v>0</v>
          </cell>
        </row>
        <row r="22">
          <cell r="B22" t="str">
            <v>FBT-19</v>
          </cell>
          <cell r="C22" t="str">
            <v xml:space="preserve">Värdekedjeoptimalisering Datakom Sverige        </v>
          </cell>
          <cell r="D22" t="str">
            <v>Vkopt</v>
          </cell>
          <cell r="E22" t="str">
            <v xml:space="preserve"> </v>
          </cell>
          <cell r="F22" t="str">
            <v>Per Arne Nilsen</v>
          </cell>
          <cell r="G22" t="str">
            <v>TBD</v>
          </cell>
          <cell r="H22" t="str">
            <v>Värdekedjan för både VPN och Internet lider i dag av långa leveranstider, dålig leveransprecision, låg leveranskapacitet och otillräcklig kostnadseffektivitet i förhållande till den prisbild som råder på marknaden. Därför finns ett stort behov av att få 1</v>
          </cell>
          <cell r="I22" t="str">
            <v xml:space="preserve">Nordic Connect fas 2
Relansering IADSL
OBS!  OM dessa inte prioriteras högt i totala rankingen blir detta projekt mycket viktigt för befintliga produkter
</v>
          </cell>
          <cell r="J22" t="str">
            <v>Nytt prosjekt</v>
          </cell>
          <cell r="K22" t="str">
            <v>B2</v>
          </cell>
          <cell r="L22" t="str">
            <v>Til utvikling</v>
          </cell>
          <cell r="N22" t="str">
            <v>S</v>
          </cell>
          <cell r="O22" t="str">
            <v>Plattform/D&amp;L</v>
          </cell>
          <cell r="P22">
            <v>11.8</v>
          </cell>
          <cell r="Q22">
            <v>0</v>
          </cell>
          <cell r="R22">
            <v>0</v>
          </cell>
          <cell r="S22">
            <v>0</v>
          </cell>
          <cell r="T22">
            <v>0</v>
          </cell>
          <cell r="U22">
            <v>0</v>
          </cell>
          <cell r="V22">
            <v>38671</v>
          </cell>
          <cell r="W22">
            <v>38857</v>
          </cell>
          <cell r="X22" t="str">
            <v>Ja</v>
          </cell>
          <cell r="Y22" t="str">
            <v>Fixed</v>
          </cell>
          <cell r="Z22" t="str">
            <v>BT</v>
          </cell>
          <cell r="AB22" t="str">
            <v>19</v>
          </cell>
          <cell r="AC22" t="str">
            <v>FBT</v>
          </cell>
          <cell r="AE22">
            <v>38671</v>
          </cell>
          <cell r="AF22">
            <v>38857</v>
          </cell>
          <cell r="AG22">
            <v>0.50924024640657084</v>
          </cell>
          <cell r="AH22">
            <v>0</v>
          </cell>
          <cell r="AI22">
            <v>0</v>
          </cell>
          <cell r="AJ22">
            <v>0.25268817204301075</v>
          </cell>
          <cell r="AK22">
            <v>0</v>
          </cell>
          <cell r="AL22">
            <v>0</v>
          </cell>
          <cell r="AM22">
            <v>0</v>
          </cell>
          <cell r="AN22">
            <v>0</v>
          </cell>
          <cell r="AO22">
            <v>0</v>
          </cell>
          <cell r="AP22">
            <v>0</v>
          </cell>
          <cell r="AQ22">
            <v>0</v>
          </cell>
          <cell r="AR22">
            <v>0</v>
          </cell>
        </row>
        <row r="23">
          <cell r="B23" t="str">
            <v>FBT-20</v>
          </cell>
          <cell r="C23" t="str">
            <v>Webhosting effektivisering</v>
          </cell>
          <cell r="D23" t="str">
            <v>Webhosting</v>
          </cell>
          <cell r="E23" t="str">
            <v xml:space="preserve"> </v>
          </cell>
          <cell r="F23" t="str">
            <v>Lars Bakken</v>
          </cell>
          <cell r="G23" t="str">
            <v>TBD</v>
          </cell>
          <cell r="H23" t="str">
            <v>På grunnlag av svak lønnsomhet på webhosting området, er det besluttet å gjennomføre en kombinasjon av effektivisering og produktsanering av dagens web plattform og tjenester.  Målsetning er standardisering på EN hovedplattform med mulighet for produksjon</v>
          </cell>
          <cell r="I23">
            <v>0</v>
          </cell>
          <cell r="J23" t="str">
            <v>Nytt prsojekt</v>
          </cell>
          <cell r="K23" t="str">
            <v>B2</v>
          </cell>
          <cell r="L23" t="str">
            <v>Til utvikling</v>
          </cell>
          <cell r="N23" t="str">
            <v>N Bedrift</v>
          </cell>
          <cell r="O23" t="str">
            <v>Plattform</v>
          </cell>
          <cell r="P23">
            <v>1.5</v>
          </cell>
          <cell r="Q23">
            <v>3.3</v>
          </cell>
          <cell r="R23">
            <v>0</v>
          </cell>
          <cell r="S23">
            <v>7000</v>
          </cell>
          <cell r="T23">
            <v>0</v>
          </cell>
          <cell r="U23">
            <v>0</v>
          </cell>
          <cell r="V23">
            <v>38610</v>
          </cell>
          <cell r="W23">
            <v>38808</v>
          </cell>
          <cell r="X23" t="str">
            <v>Nei</v>
          </cell>
          <cell r="Y23" t="str">
            <v>Fixed</v>
          </cell>
          <cell r="Z23" t="str">
            <v>BT</v>
          </cell>
          <cell r="AB23" t="str">
            <v>20</v>
          </cell>
          <cell r="AC23" t="str">
            <v>FBT</v>
          </cell>
          <cell r="AE23">
            <v>38610</v>
          </cell>
          <cell r="AF23">
            <v>38808</v>
          </cell>
          <cell r="AG23">
            <v>0.5420944558521561</v>
          </cell>
          <cell r="AH23">
            <v>0</v>
          </cell>
          <cell r="AI23">
            <v>8.0808080808080815E-2</v>
          </cell>
          <cell r="AJ23">
            <v>0.54545454545454541</v>
          </cell>
          <cell r="AK23">
            <v>7000</v>
          </cell>
          <cell r="AL23">
            <v>0</v>
          </cell>
          <cell r="AM23">
            <v>0</v>
          </cell>
          <cell r="AN23">
            <v>3252.5252525252522</v>
          </cell>
          <cell r="AO23">
            <v>0</v>
          </cell>
          <cell r="AP23">
            <v>0</v>
          </cell>
          <cell r="AQ23">
            <v>3252.5252525252522</v>
          </cell>
          <cell r="AR23">
            <v>7.9897306470068964E-3</v>
          </cell>
        </row>
        <row r="24">
          <cell r="B24" t="str">
            <v>FBT-21</v>
          </cell>
          <cell r="C24" t="str">
            <v>Flytting Infonet Node</v>
          </cell>
          <cell r="D24" t="str">
            <v>Infonet</v>
          </cell>
          <cell r="E24" t="str">
            <v xml:space="preserve"> </v>
          </cell>
          <cell r="F24" t="str">
            <v>Anders M Andresen</v>
          </cell>
          <cell r="G24" t="str">
            <v>Helge Haugsdal</v>
          </cell>
          <cell r="H24" t="str">
            <v xml:space="preserve">Etter oppkjøpet og innfusjonering av Infonet Telecom AS, skal Infonet Telecom AS sine lokaler i Vika Aterium fraflyttes. Personell er flyttet til Fornebu og Infonet Noden må være flyttet innen 31.12.2005 </v>
          </cell>
          <cell r="I24">
            <v>0</v>
          </cell>
          <cell r="J24" t="str">
            <v>Analyse&amp;konsept</v>
          </cell>
          <cell r="K24" t="str">
            <v>etter B2</v>
          </cell>
          <cell r="L24" t="str">
            <v>I utvikling</v>
          </cell>
          <cell r="N24" t="str">
            <v>N Bedrift</v>
          </cell>
          <cell r="O24" t="str">
            <v>Plattform</v>
          </cell>
          <cell r="P24">
            <v>0</v>
          </cell>
          <cell r="Q24">
            <v>0</v>
          </cell>
          <cell r="R24">
            <v>0</v>
          </cell>
          <cell r="S24">
            <v>0</v>
          </cell>
          <cell r="T24">
            <v>0</v>
          </cell>
          <cell r="U24">
            <v>0</v>
          </cell>
          <cell r="V24">
            <v>38518</v>
          </cell>
          <cell r="W24">
            <v>38717</v>
          </cell>
          <cell r="X24" t="str">
            <v>Nei</v>
          </cell>
          <cell r="Y24" t="str">
            <v>Fixed</v>
          </cell>
          <cell r="Z24" t="str">
            <v>BT</v>
          </cell>
          <cell r="AB24" t="str">
            <v>21</v>
          </cell>
          <cell r="AC24" t="str">
            <v>FBT</v>
          </cell>
          <cell r="AE24">
            <v>38518</v>
          </cell>
          <cell r="AF24">
            <v>38717</v>
          </cell>
          <cell r="AG24">
            <v>0.54483230663928817</v>
          </cell>
          <cell r="AH24">
            <v>8.0402010050251257E-2</v>
          </cell>
          <cell r="AI24">
            <v>0.542713567839196</v>
          </cell>
          <cell r="AJ24">
            <v>1</v>
          </cell>
          <cell r="AK24">
            <v>0</v>
          </cell>
          <cell r="AL24">
            <v>0</v>
          </cell>
          <cell r="AM24">
            <v>0</v>
          </cell>
          <cell r="AN24">
            <v>0</v>
          </cell>
          <cell r="AO24">
            <v>0</v>
          </cell>
          <cell r="AP24">
            <v>0</v>
          </cell>
          <cell r="AQ24">
            <v>0</v>
          </cell>
          <cell r="AR24">
            <v>0</v>
          </cell>
        </row>
        <row r="25">
          <cell r="B25" t="str">
            <v>FBT-22</v>
          </cell>
          <cell r="C25" t="str">
            <v>Migrering og utfasing NCFW/CRO/CRA</v>
          </cell>
          <cell r="D25" t="str">
            <v>NCFW</v>
          </cell>
          <cell r="E25" t="str">
            <v xml:space="preserve"> </v>
          </cell>
          <cell r="F25" t="str">
            <v>Olav Urnes</v>
          </cell>
          <cell r="G25" t="str">
            <v>TBD</v>
          </cell>
          <cell r="H25" t="str">
            <v xml:space="preserve">Migrering från två gamla brandväggsplattformar till en ny Nordisk brandväggsplattform. 
</v>
          </cell>
          <cell r="I25">
            <v>0</v>
          </cell>
          <cell r="J25" t="str">
            <v>Gjennomføring</v>
          </cell>
          <cell r="K25" t="str">
            <v>Etter B2</v>
          </cell>
          <cell r="L25" t="str">
            <v>I utvikling</v>
          </cell>
          <cell r="N25" t="str">
            <v>S</v>
          </cell>
          <cell r="O25" t="str">
            <v>annet</v>
          </cell>
          <cell r="P25">
            <v>0</v>
          </cell>
          <cell r="Q25">
            <v>0</v>
          </cell>
          <cell r="R25">
            <v>0</v>
          </cell>
          <cell r="S25">
            <v>300</v>
          </cell>
          <cell r="T25">
            <v>10</v>
          </cell>
          <cell r="U25">
            <v>0</v>
          </cell>
          <cell r="V25">
            <v>38352</v>
          </cell>
          <cell r="W25">
            <v>38687</v>
          </cell>
          <cell r="X25" t="str">
            <v>Nei</v>
          </cell>
          <cell r="Y25" t="str">
            <v>Fixed</v>
          </cell>
          <cell r="Z25" t="str">
            <v>BT</v>
          </cell>
          <cell r="AB25" t="str">
            <v>22</v>
          </cell>
          <cell r="AC25" t="str">
            <v>FBT</v>
          </cell>
          <cell r="AE25">
            <v>38352</v>
          </cell>
          <cell r="AF25">
            <v>38687</v>
          </cell>
          <cell r="AG25">
            <v>0.91718001368925395</v>
          </cell>
          <cell r="AH25">
            <v>0.54328358208955219</v>
          </cell>
          <cell r="AI25">
            <v>0.81791044776119404</v>
          </cell>
          <cell r="AJ25">
            <v>1</v>
          </cell>
          <cell r="AK25">
            <v>137.01492537313433</v>
          </cell>
          <cell r="AL25">
            <v>4.5671641791044779</v>
          </cell>
          <cell r="AM25">
            <v>0</v>
          </cell>
          <cell r="AN25">
            <v>54.626865671641788</v>
          </cell>
          <cell r="AO25">
            <v>1.8208955223880596</v>
          </cell>
          <cell r="AP25">
            <v>0</v>
          </cell>
          <cell r="AQ25">
            <v>56.447761194029852</v>
          </cell>
          <cell r="AR25">
            <v>1.3866223089788765E-4</v>
          </cell>
        </row>
        <row r="26">
          <cell r="B26" t="str">
            <v>FBT-23</v>
          </cell>
          <cell r="C26" t="str">
            <v>Sanering Netscreen VPN</v>
          </cell>
          <cell r="D26" t="str">
            <v>Netscreen</v>
          </cell>
          <cell r="E26" t="str">
            <v xml:space="preserve"> </v>
          </cell>
          <cell r="F26" t="str">
            <v>Jonas Jegerborn</v>
          </cell>
          <cell r="G26" t="str">
            <v>TBD</v>
          </cell>
          <cell r="H26" t="str">
            <v xml:space="preserve">Netscreen VPN är en produkt som skall saneras. De befintliga kunderna skall migreras till Internet Access bundlat med med Remote Office. Kunderna står idag för en omsättning på 7 MSEK. Cirka 200 CPE:er är utplacerade. 
</v>
          </cell>
          <cell r="I26" t="str">
            <v>Lansering Internet ADSL</v>
          </cell>
          <cell r="J26" t="str">
            <v>Nytt prosjekt</v>
          </cell>
          <cell r="K26" t="str">
            <v>B2</v>
          </cell>
          <cell r="L26" t="str">
            <v>Til utvikling</v>
          </cell>
          <cell r="N26" t="str">
            <v>S</v>
          </cell>
          <cell r="O26" t="str">
            <v>annet</v>
          </cell>
          <cell r="P26">
            <v>5.4</v>
          </cell>
          <cell r="Q26">
            <v>0</v>
          </cell>
          <cell r="R26">
            <v>0</v>
          </cell>
          <cell r="S26">
            <v>0</v>
          </cell>
          <cell r="T26">
            <v>0</v>
          </cell>
          <cell r="U26">
            <v>0</v>
          </cell>
          <cell r="V26">
            <v>38657</v>
          </cell>
          <cell r="W26">
            <v>38737</v>
          </cell>
          <cell r="X26" t="str">
            <v>?</v>
          </cell>
          <cell r="Y26" t="str">
            <v>Fixed</v>
          </cell>
          <cell r="Z26" t="str">
            <v>BT</v>
          </cell>
          <cell r="AB26" t="str">
            <v>23</v>
          </cell>
          <cell r="AC26" t="str">
            <v>FBT</v>
          </cell>
          <cell r="AE26">
            <v>38657</v>
          </cell>
          <cell r="AF26">
            <v>38737</v>
          </cell>
          <cell r="AG26">
            <v>0.21902806297056809</v>
          </cell>
          <cell r="AH26">
            <v>0</v>
          </cell>
          <cell r="AI26">
            <v>0</v>
          </cell>
          <cell r="AJ26">
            <v>0.76249999999999996</v>
          </cell>
          <cell r="AK26">
            <v>0</v>
          </cell>
          <cell r="AL26">
            <v>0</v>
          </cell>
          <cell r="AM26">
            <v>0</v>
          </cell>
          <cell r="AN26">
            <v>0</v>
          </cell>
          <cell r="AO26">
            <v>0</v>
          </cell>
          <cell r="AP26">
            <v>0</v>
          </cell>
          <cell r="AQ26">
            <v>0</v>
          </cell>
          <cell r="AR26">
            <v>0</v>
          </cell>
        </row>
        <row r="27">
          <cell r="B27" t="str">
            <v>FBT-24</v>
          </cell>
          <cell r="C27" t="str">
            <v>Sanering Utfors</v>
          </cell>
          <cell r="D27" t="str">
            <v>Utfors</v>
          </cell>
          <cell r="E27" t="str">
            <v xml:space="preserve"> </v>
          </cell>
          <cell r="F27" t="str">
            <v>Tore Andersen-Gott</v>
          </cell>
          <cell r="G27" t="str">
            <v>TBD</v>
          </cell>
          <cell r="H27" t="str">
            <v>Sanering av Utfors plattform i Norge. Flytting av kunder til nye løsninger og nedleggelse av teknisk plattform.</v>
          </cell>
          <cell r="I27" t="str">
            <v>Nordic Connect</v>
          </cell>
          <cell r="J27" t="str">
            <v>Nytt prosjekt</v>
          </cell>
          <cell r="K27" t="str">
            <v>B2</v>
          </cell>
          <cell r="L27" t="str">
            <v>Til utvikling</v>
          </cell>
          <cell r="N27" t="str">
            <v>N Bedrift</v>
          </cell>
          <cell r="O27" t="str">
            <v>annet</v>
          </cell>
          <cell r="P27">
            <v>0</v>
          </cell>
          <cell r="Q27">
            <v>0</v>
          </cell>
          <cell r="R27">
            <v>0</v>
          </cell>
          <cell r="S27">
            <v>0</v>
          </cell>
          <cell r="T27">
            <v>0</v>
          </cell>
          <cell r="U27">
            <v>0</v>
          </cell>
          <cell r="V27">
            <v>38626</v>
          </cell>
          <cell r="W27">
            <v>38991</v>
          </cell>
          <cell r="X27" t="str">
            <v>?</v>
          </cell>
          <cell r="Y27" t="str">
            <v>Fixed</v>
          </cell>
          <cell r="Z27" t="str">
            <v>BT</v>
          </cell>
          <cell r="AB27" t="str">
            <v>24</v>
          </cell>
          <cell r="AC27" t="str">
            <v>FBT</v>
          </cell>
          <cell r="AE27">
            <v>38626</v>
          </cell>
          <cell r="AF27">
            <v>38991</v>
          </cell>
          <cell r="AG27">
            <v>0.99931553730321698</v>
          </cell>
          <cell r="AH27">
            <v>0</v>
          </cell>
          <cell r="AI27">
            <v>0</v>
          </cell>
          <cell r="AJ27">
            <v>0.25205479452054796</v>
          </cell>
          <cell r="AK27">
            <v>0</v>
          </cell>
          <cell r="AL27">
            <v>0</v>
          </cell>
          <cell r="AM27">
            <v>0</v>
          </cell>
          <cell r="AN27">
            <v>0</v>
          </cell>
          <cell r="AO27">
            <v>0</v>
          </cell>
          <cell r="AP27">
            <v>0</v>
          </cell>
          <cell r="AQ27">
            <v>0</v>
          </cell>
          <cell r="AR27">
            <v>0</v>
          </cell>
        </row>
        <row r="28">
          <cell r="B28" t="str">
            <v>FBT-25</v>
          </cell>
          <cell r="C28" t="str">
            <v>Sanering Active Traveller</v>
          </cell>
          <cell r="D28" t="str">
            <v>Traveler</v>
          </cell>
          <cell r="E28" t="str">
            <v xml:space="preserve"> </v>
          </cell>
          <cell r="F28" t="str">
            <v>Bjørn Lydersen</v>
          </cell>
          <cell r="G28" t="str">
            <v>Åge Harr</v>
          </cell>
          <cell r="H28" t="str">
            <v xml:space="preserve">Prosjektet ønsker å se på muligheten for å sanere det eksisterende produktet Active Traveller. Produktet gir begrenset omsetning, og en forventer at eksisterende kunder (ca. 1400 brukere) kan migreres til andre mobile tjenester fra Telenor.
</v>
          </cell>
          <cell r="I28">
            <v>0</v>
          </cell>
          <cell r="J28" t="str">
            <v>Nytt prosjekt</v>
          </cell>
          <cell r="K28" t="str">
            <v>B2</v>
          </cell>
          <cell r="L28" t="str">
            <v>Til utvikling</v>
          </cell>
          <cell r="N28" t="str">
            <v>N Bedrift</v>
          </cell>
          <cell r="O28" t="str">
            <v>annet</v>
          </cell>
          <cell r="P28">
            <v>0</v>
          </cell>
          <cell r="Q28">
            <v>0</v>
          </cell>
          <cell r="R28">
            <v>0</v>
          </cell>
          <cell r="S28">
            <v>0</v>
          </cell>
          <cell r="T28">
            <v>0</v>
          </cell>
          <cell r="U28">
            <v>0</v>
          </cell>
          <cell r="V28">
            <v>38626</v>
          </cell>
          <cell r="W28">
            <v>38777</v>
          </cell>
          <cell r="X28" t="str">
            <v>Nei</v>
          </cell>
          <cell r="Y28" t="str">
            <v>Fixed</v>
          </cell>
          <cell r="Z28" t="str">
            <v>BT</v>
          </cell>
          <cell r="AB28" t="str">
            <v>25</v>
          </cell>
          <cell r="AC28" t="str">
            <v>FBT</v>
          </cell>
          <cell r="AE28">
            <v>38626</v>
          </cell>
          <cell r="AF28">
            <v>38777</v>
          </cell>
          <cell r="AG28">
            <v>0.4134154688569473</v>
          </cell>
          <cell r="AH28">
            <v>0</v>
          </cell>
          <cell r="AI28">
            <v>0</v>
          </cell>
          <cell r="AJ28">
            <v>0.60927152317880795</v>
          </cell>
          <cell r="AK28">
            <v>0</v>
          </cell>
          <cell r="AL28">
            <v>0</v>
          </cell>
          <cell r="AM28">
            <v>0</v>
          </cell>
          <cell r="AN28">
            <v>0</v>
          </cell>
          <cell r="AO28">
            <v>0</v>
          </cell>
          <cell r="AP28">
            <v>0</v>
          </cell>
          <cell r="AQ28">
            <v>0</v>
          </cell>
          <cell r="AR28">
            <v>0</v>
          </cell>
        </row>
        <row r="29">
          <cell r="B29" t="str">
            <v>IS-1</v>
          </cell>
          <cell r="C29" t="str">
            <v>SOL OMS 6.0</v>
          </cell>
          <cell r="D29" t="str">
            <v>SOL_OMS_6.0</v>
          </cell>
          <cell r="E29">
            <v>0</v>
          </cell>
          <cell r="F29" t="str">
            <v>Haldan Aursand</v>
          </cell>
          <cell r="G29" t="str">
            <v>Kjell H. Pettersen</v>
          </cell>
          <cell r="H29" t="str">
            <v>Formålet med investeringen var å oppnå fremtidig kostnadsreduksjoner innenfor områdene drift, forvaltning og utvikling gjennom konsolidering av den eksisterende IT løsningen for ordre- og leveransehåndtering. Dette skulle gjøres ved å spesifisere, utvikle</v>
          </cell>
          <cell r="I29" t="str">
            <v>VoIP (bredbåndstelefoni) ,  FLE/Strada (prosessforbedring),  eKom (myndighetspålagte krav),  TTVoDSL (lansering av første versjon basert på ADSL/ADSL2+ teknologi), Felles CRM system.</v>
          </cell>
          <cell r="K29" t="str">
            <v>etter B2</v>
          </cell>
          <cell r="L29" t="str">
            <v>I utvikling</v>
          </cell>
          <cell r="O29" t="str">
            <v>IS</v>
          </cell>
          <cell r="P29">
            <v>32</v>
          </cell>
          <cell r="Q29">
            <v>193</v>
          </cell>
          <cell r="R29">
            <v>3</v>
          </cell>
          <cell r="S29">
            <v>152857</v>
          </cell>
          <cell r="T29">
            <v>90000</v>
          </cell>
          <cell r="U29">
            <v>51058</v>
          </cell>
          <cell r="V29">
            <v>38453</v>
          </cell>
          <cell r="W29">
            <v>38796</v>
          </cell>
          <cell r="Y29" t="str">
            <v>IS</v>
          </cell>
          <cell r="AB29" t="str">
            <v>1</v>
          </cell>
          <cell r="AC29" t="str">
            <v>IS</v>
          </cell>
          <cell r="AE29">
            <v>38453</v>
          </cell>
          <cell r="AF29">
            <v>38796</v>
          </cell>
          <cell r="AG29">
            <v>0.93908281998631071</v>
          </cell>
          <cell r="AH29">
            <v>0.23615160349854228</v>
          </cell>
          <cell r="AI29">
            <v>0.50437317784256563</v>
          </cell>
          <cell r="AJ29">
            <v>0.77259475218658891</v>
          </cell>
          <cell r="AK29">
            <v>116759.57434402332</v>
          </cell>
          <cell r="AL29">
            <v>68746.355685131202</v>
          </cell>
          <cell r="AM29">
            <v>39000.571428571428</v>
          </cell>
          <cell r="AN29">
            <v>40999.545189504366</v>
          </cell>
          <cell r="AO29">
            <v>24139.941690962096</v>
          </cell>
          <cell r="AP29">
            <v>13694.857142857139</v>
          </cell>
          <cell r="AQ29">
            <v>92529.201166180734</v>
          </cell>
          <cell r="AR29">
            <v>0.22729520507996753</v>
          </cell>
        </row>
        <row r="30">
          <cell r="B30" t="str">
            <v>IS-2</v>
          </cell>
          <cell r="C30" t="str">
            <v>Nytt fakturasystem for Telenor AB</v>
          </cell>
          <cell r="D30" t="str">
            <v>Fakturasystem_Telenor_AB</v>
          </cell>
          <cell r="E30">
            <v>0</v>
          </cell>
          <cell r="F30" t="str">
            <v>Haldan Aursand</v>
          </cell>
          <cell r="G30">
            <v>0</v>
          </cell>
          <cell r="H30" t="str">
            <v>Support og vedlikehold på eksisterende løsning opphører. Ny løsning for Telenor AB må være på plass innen 31.12.05
Prosjektet skal: Levere forslag til levere forslag til løsning og implementeringsplan for Telenor AB, slik at den årlige fakturering på ca 1</v>
          </cell>
          <cell r="I30">
            <v>0</v>
          </cell>
          <cell r="K30" t="str">
            <v>B2</v>
          </cell>
          <cell r="L30" t="str">
            <v>Til utvikling</v>
          </cell>
          <cell r="O30" t="str">
            <v>IS</v>
          </cell>
          <cell r="P30">
            <v>0</v>
          </cell>
          <cell r="Q30">
            <v>0</v>
          </cell>
          <cell r="R30">
            <v>3.5</v>
          </cell>
          <cell r="S30">
            <v>0</v>
          </cell>
          <cell r="T30">
            <v>0</v>
          </cell>
          <cell r="U30">
            <v>0</v>
          </cell>
          <cell r="V30">
            <v>38626</v>
          </cell>
          <cell r="W30" t="str">
            <v xml:space="preserve"> </v>
          </cell>
          <cell r="Y30" t="str">
            <v>IS</v>
          </cell>
          <cell r="AB30" t="str">
            <v>2</v>
          </cell>
          <cell r="AC30" t="str">
            <v>IS</v>
          </cell>
          <cell r="AE30">
            <v>38626</v>
          </cell>
          <cell r="AF30">
            <v>38991.25</v>
          </cell>
          <cell r="AG30">
            <v>1</v>
          </cell>
          <cell r="AH30">
            <v>0</v>
          </cell>
          <cell r="AI30">
            <v>0</v>
          </cell>
          <cell r="AJ30">
            <v>0.2518822724161533</v>
          </cell>
          <cell r="AK30">
            <v>0</v>
          </cell>
          <cell r="AL30">
            <v>0</v>
          </cell>
          <cell r="AM30">
            <v>0</v>
          </cell>
          <cell r="AN30">
            <v>0</v>
          </cell>
          <cell r="AO30">
            <v>0</v>
          </cell>
          <cell r="AP30">
            <v>0</v>
          </cell>
          <cell r="AQ30">
            <v>0</v>
          </cell>
          <cell r="AR30">
            <v>0</v>
          </cell>
        </row>
        <row r="31">
          <cell r="B31" t="str">
            <v>IS-3</v>
          </cell>
          <cell r="C31" t="str">
            <v xml:space="preserve">Robust Kundefront </v>
          </cell>
          <cell r="D31" t="str">
            <v>Robust_Kundefront</v>
          </cell>
          <cell r="E31">
            <v>0</v>
          </cell>
          <cell r="F31" t="str">
            <v>Inger-Lise Rhoden</v>
          </cell>
          <cell r="G31" t="str">
            <v>Rune Sørheim</v>
          </cell>
          <cell r="H31" t="str">
            <v xml:space="preserve">Investeringens hovedformål er å oppnå forsvarlig drift for å øke tilgjengelighet, stabilitet og robusthet i de forretningskritiske verdikjedene for Kundefront (05000/04848), selvbetjeningskanalene (web) og forhandlerløsningene ved å gjennomføre anbefalte </v>
          </cell>
          <cell r="I31">
            <v>0</v>
          </cell>
          <cell r="J31" t="str">
            <v>Utvikling</v>
          </cell>
          <cell r="K31" t="str">
            <v>B2</v>
          </cell>
          <cell r="L31" t="str">
            <v>Til utvikling</v>
          </cell>
          <cell r="O31" t="str">
            <v>IS</v>
          </cell>
          <cell r="P31">
            <v>181</v>
          </cell>
          <cell r="Q31">
            <v>23</v>
          </cell>
          <cell r="R31">
            <v>0</v>
          </cell>
          <cell r="S31">
            <v>0</v>
          </cell>
          <cell r="T31">
            <v>0</v>
          </cell>
          <cell r="U31">
            <v>0</v>
          </cell>
          <cell r="V31">
            <v>38504</v>
          </cell>
          <cell r="W31">
            <v>38717</v>
          </cell>
          <cell r="Y31" t="str">
            <v>IS</v>
          </cell>
          <cell r="AB31" t="str">
            <v>3</v>
          </cell>
          <cell r="AC31" t="str">
            <v>IS</v>
          </cell>
          <cell r="AE31">
            <v>38504</v>
          </cell>
          <cell r="AF31">
            <v>38717</v>
          </cell>
          <cell r="AG31">
            <v>0.58316221765913756</v>
          </cell>
          <cell r="AH31">
            <v>0.14084507042253522</v>
          </cell>
          <cell r="AI31">
            <v>0.57276995305164324</v>
          </cell>
          <cell r="AJ31">
            <v>1</v>
          </cell>
          <cell r="AK31">
            <v>0</v>
          </cell>
          <cell r="AL31">
            <v>0</v>
          </cell>
          <cell r="AM31">
            <v>0</v>
          </cell>
          <cell r="AN31">
            <v>0</v>
          </cell>
          <cell r="AO31">
            <v>0</v>
          </cell>
          <cell r="AP31">
            <v>0</v>
          </cell>
          <cell r="AQ31">
            <v>0</v>
          </cell>
          <cell r="AR31">
            <v>0</v>
          </cell>
        </row>
        <row r="32">
          <cell r="B32" t="str">
            <v>IS-4</v>
          </cell>
          <cell r="C32" t="str">
            <v>Masterplan IS Nordic</v>
          </cell>
          <cell r="D32" t="str">
            <v>Masterplan_IS_Nordic</v>
          </cell>
          <cell r="E32">
            <v>0</v>
          </cell>
          <cell r="F32" t="str">
            <v>Sigurd Thuem</v>
          </cell>
          <cell r="G32" t="str">
            <v>Gunn Irene Andreassen</v>
          </cell>
          <cell r="H32" t="str">
            <v>Masterplan IS Nordic er en overbygning for PF målbildeprosjektene. Prosjektet er en videreføring av IS-målbilde Telenor Nordic. Hensikten med prosjektet er å sy PF målbildene sammen til en helhet og sette retning for utvikling av fremtidig IS portefølje i</v>
          </cell>
          <cell r="I32">
            <v>0</v>
          </cell>
          <cell r="J32">
            <v>0</v>
          </cell>
          <cell r="K32" t="str">
            <v>B2</v>
          </cell>
          <cell r="L32" t="str">
            <v>Til utvikling</v>
          </cell>
          <cell r="O32" t="str">
            <v>IS</v>
          </cell>
          <cell r="P32">
            <v>0</v>
          </cell>
          <cell r="Q32">
            <v>2.9</v>
          </cell>
          <cell r="R32">
            <v>0</v>
          </cell>
          <cell r="S32">
            <v>5700</v>
          </cell>
          <cell r="T32">
            <v>5700</v>
          </cell>
          <cell r="U32">
            <v>1170</v>
          </cell>
          <cell r="V32">
            <v>38518</v>
          </cell>
          <cell r="W32">
            <v>38706</v>
          </cell>
          <cell r="Y32" t="str">
            <v>IS</v>
          </cell>
          <cell r="AB32" t="str">
            <v>4</v>
          </cell>
          <cell r="AC32" t="str">
            <v>IS</v>
          </cell>
          <cell r="AE32">
            <v>38518</v>
          </cell>
          <cell r="AF32">
            <v>38706</v>
          </cell>
          <cell r="AG32">
            <v>0.51471594798083509</v>
          </cell>
          <cell r="AH32">
            <v>8.5106382978723402E-2</v>
          </cell>
          <cell r="AI32">
            <v>0.57446808510638303</v>
          </cell>
          <cell r="AJ32">
            <v>1</v>
          </cell>
          <cell r="AK32">
            <v>5214.8936170212764</v>
          </cell>
          <cell r="AL32">
            <v>5214.8936170212764</v>
          </cell>
          <cell r="AM32">
            <v>1070.4255319148936</v>
          </cell>
          <cell r="AN32">
            <v>2425.5319148936169</v>
          </cell>
          <cell r="AO32">
            <v>2425.5319148936169</v>
          </cell>
          <cell r="AP32">
            <v>497.87234042553183</v>
          </cell>
          <cell r="AQ32">
            <v>5846.8085106382978</v>
          </cell>
          <cell r="AR32">
            <v>1.4362509594155677E-2</v>
          </cell>
        </row>
        <row r="33">
          <cell r="B33" t="str">
            <v>IS-5</v>
          </cell>
          <cell r="C33" t="str">
            <v>Nordisk CRM Målbilde: Første implementeringsfase</v>
          </cell>
          <cell r="D33" t="str">
            <v>CRM_målbilde</v>
          </cell>
          <cell r="E33">
            <v>0</v>
          </cell>
          <cell r="F33" t="str">
            <v>Trygve Molland</v>
          </cell>
          <cell r="G33" t="str">
            <v>Jerry Kelleher</v>
          </cell>
          <cell r="H33" t="str">
            <v>Analyseprosjektet som gjennomføres etablerer styrende målbilde for CRM i Norden, inkludert migreringsplan og business case. Scope og planer for fase 1 av implementering foreslås fra analyseprosjektet i juni 2005 og legges frem for beslutning i august. 
Må</v>
          </cell>
          <cell r="I33">
            <v>0</v>
          </cell>
          <cell r="J33" t="str">
            <v>Analyse</v>
          </cell>
          <cell r="K33" t="str">
            <v>B2</v>
          </cell>
          <cell r="L33" t="str">
            <v>Til utvikling</v>
          </cell>
          <cell r="O33" t="str">
            <v>IS</v>
          </cell>
          <cell r="P33">
            <v>0</v>
          </cell>
          <cell r="Q33">
            <v>0</v>
          </cell>
          <cell r="R33">
            <v>0</v>
          </cell>
          <cell r="S33">
            <v>0</v>
          </cell>
          <cell r="T33">
            <v>0</v>
          </cell>
          <cell r="U33">
            <v>0</v>
          </cell>
          <cell r="V33">
            <v>38626</v>
          </cell>
          <cell r="W33" t="str">
            <v xml:space="preserve"> </v>
          </cell>
          <cell r="Y33" t="str">
            <v>IS</v>
          </cell>
          <cell r="AB33" t="str">
            <v>5</v>
          </cell>
          <cell r="AC33" t="str">
            <v>IS</v>
          </cell>
          <cell r="AE33">
            <v>38626</v>
          </cell>
          <cell r="AF33">
            <v>38991.25</v>
          </cell>
          <cell r="AG33">
            <v>1</v>
          </cell>
          <cell r="AH33">
            <v>0</v>
          </cell>
          <cell r="AI33">
            <v>0</v>
          </cell>
          <cell r="AJ33">
            <v>0.2518822724161533</v>
          </cell>
          <cell r="AK33">
            <v>0</v>
          </cell>
          <cell r="AL33">
            <v>0</v>
          </cell>
          <cell r="AM33">
            <v>0</v>
          </cell>
          <cell r="AN33">
            <v>0</v>
          </cell>
          <cell r="AO33">
            <v>0</v>
          </cell>
          <cell r="AP33">
            <v>0</v>
          </cell>
          <cell r="AQ33">
            <v>0</v>
          </cell>
          <cell r="AR33">
            <v>0</v>
          </cell>
        </row>
        <row r="34">
          <cell r="B34" t="str">
            <v>IS-6</v>
          </cell>
          <cell r="C34" t="str">
            <v>Bizmas/Bistro</v>
          </cell>
          <cell r="D34" t="str">
            <v>Bizmas_Bistro</v>
          </cell>
          <cell r="E34">
            <v>0</v>
          </cell>
          <cell r="F34" t="str">
            <v>Trygved Molland</v>
          </cell>
          <cell r="G34" t="str">
            <v>Karl Bjarne Westbye</v>
          </cell>
          <cell r="H34" t="str">
            <v>Som videreføring av vellykkede satsninger på sterk styring av integrasjon mot systemgrensesnitt på J2ee plattform, anbefales en videre satsning på høyere nivå av styrt integrasjon og prosessrealisering. Dette gjøres ved hjelp av standardisering av tjenest</v>
          </cell>
          <cell r="I34" t="str">
            <v xml:space="preserve">Ultimas/Bizmas: Basert på Biztro plattform
Nettinfo: Plan om ruk av EAI
CRM målbilde: Forutsetter EAI verktøy
Konsernfelles HR: Planlagt med EAI verktøy
Mobile Offerings: Forutsetter EAI verktøy
</v>
          </cell>
          <cell r="J34" t="str">
            <v>Analyse</v>
          </cell>
          <cell r="K34" t="str">
            <v>B2</v>
          </cell>
          <cell r="L34" t="str">
            <v>Til utvikling</v>
          </cell>
          <cell r="O34" t="str">
            <v>IS</v>
          </cell>
          <cell r="P34">
            <v>46</v>
          </cell>
          <cell r="Q34">
            <v>54.2</v>
          </cell>
          <cell r="R34">
            <v>105.5</v>
          </cell>
          <cell r="S34">
            <v>16625</v>
          </cell>
          <cell r="T34">
            <v>16625</v>
          </cell>
          <cell r="U34">
            <v>24500</v>
          </cell>
          <cell r="V34">
            <v>38504</v>
          </cell>
          <cell r="W34">
            <v>38749</v>
          </cell>
          <cell r="Y34" t="str">
            <v>IS</v>
          </cell>
          <cell r="AB34" t="str">
            <v>6</v>
          </cell>
          <cell r="AC34" t="str">
            <v>IS</v>
          </cell>
          <cell r="AE34">
            <v>38504</v>
          </cell>
          <cell r="AF34">
            <v>38749</v>
          </cell>
          <cell r="AG34">
            <v>0.67077344284736484</v>
          </cell>
          <cell r="AH34">
            <v>0.12244897959183673</v>
          </cell>
          <cell r="AI34">
            <v>0.49795918367346936</v>
          </cell>
          <cell r="AJ34">
            <v>0.87346938775510208</v>
          </cell>
          <cell r="AK34">
            <v>14589.285714285714</v>
          </cell>
          <cell r="AL34">
            <v>14589.285714285714</v>
          </cell>
          <cell r="AM34">
            <v>21500</v>
          </cell>
          <cell r="AN34">
            <v>6242.857142857144</v>
          </cell>
          <cell r="AO34">
            <v>6242.857142857144</v>
          </cell>
          <cell r="AP34">
            <v>9200.0000000000018</v>
          </cell>
          <cell r="AQ34">
            <v>30885.71428571429</v>
          </cell>
          <cell r="AR34">
            <v>7.5869830001067534E-2</v>
          </cell>
        </row>
        <row r="35">
          <cell r="B35" t="str">
            <v>IS-7</v>
          </cell>
          <cell r="C35" t="str">
            <v>Ultra Implementering</v>
          </cell>
          <cell r="D35" t="str">
            <v>Ultra</v>
          </cell>
          <cell r="E35">
            <v>0</v>
          </cell>
          <cell r="F35" t="str">
            <v>Inger-Lise Rhoden</v>
          </cell>
          <cell r="G35" t="str">
            <v>Trond M Evensen</v>
          </cell>
          <cell r="H35" t="str">
            <v>Prosjektet er allerede inne i en implementeringsfase. Ultraprogrammet har tidligere vært eid av Konsernledelsen og IS-ledelsen i Telenor, og vært styrt fra Konsern IT. I forbindelse med omorganiseringen av Telenor er imidlertid eierskapet til Ultraprogram</v>
          </cell>
          <cell r="I35">
            <v>0</v>
          </cell>
          <cell r="J35" t="str">
            <v>Utvikling</v>
          </cell>
          <cell r="K35" t="str">
            <v>Etter B2</v>
          </cell>
          <cell r="L35" t="str">
            <v>I utvikling</v>
          </cell>
          <cell r="O35" t="str">
            <v>IS</v>
          </cell>
          <cell r="P35">
            <v>0</v>
          </cell>
          <cell r="Q35">
            <v>0</v>
          </cell>
          <cell r="R35">
            <v>0</v>
          </cell>
          <cell r="S35">
            <v>0</v>
          </cell>
          <cell r="T35">
            <v>0</v>
          </cell>
          <cell r="U35">
            <v>0</v>
          </cell>
          <cell r="V35">
            <v>38504</v>
          </cell>
          <cell r="W35">
            <v>38869</v>
          </cell>
          <cell r="Y35" t="str">
            <v>IS</v>
          </cell>
          <cell r="AB35" t="str">
            <v>7</v>
          </cell>
          <cell r="AC35" t="str">
            <v>IS</v>
          </cell>
          <cell r="AE35">
            <v>38504</v>
          </cell>
          <cell r="AF35">
            <v>38869</v>
          </cell>
          <cell r="AG35">
            <v>0.99931553730321698</v>
          </cell>
          <cell r="AH35">
            <v>8.2191780821917804E-2</v>
          </cell>
          <cell r="AI35">
            <v>0.33424657534246577</v>
          </cell>
          <cell r="AJ35">
            <v>0.58630136986301373</v>
          </cell>
          <cell r="AK35">
            <v>0</v>
          </cell>
          <cell r="AL35">
            <v>0</v>
          </cell>
          <cell r="AM35">
            <v>0</v>
          </cell>
          <cell r="AN35">
            <v>0</v>
          </cell>
          <cell r="AO35">
            <v>0</v>
          </cell>
          <cell r="AP35">
            <v>0</v>
          </cell>
          <cell r="AQ35">
            <v>0</v>
          </cell>
          <cell r="AR35">
            <v>0</v>
          </cell>
        </row>
        <row r="36">
          <cell r="B36" t="str">
            <v>IS-8</v>
          </cell>
          <cell r="C36" t="str">
            <v>SOL OMS 6.1</v>
          </cell>
          <cell r="D36" t="str">
            <v>SOL_OMS_6.1</v>
          </cell>
          <cell r="E36">
            <v>0</v>
          </cell>
          <cell r="F36" t="str">
            <v>Thomas Iversen</v>
          </cell>
          <cell r="G36" t="str">
            <v>Kjell Pettersen</v>
          </cell>
          <cell r="H36" t="str">
            <v xml:space="preserve">Kravspesifikasjon og analyse av innmeldte IT relaterte krav og ”overliggere” fra OMS 6.0. En vesentlig del er realisering av arbeidsdelingen mellom OMS og FLOW som besluttet av IS Networks.  Denne restruktureringen i porteføljen er vesentlig for effektiv </v>
          </cell>
          <cell r="I36">
            <v>0</v>
          </cell>
          <cell r="J36" t="str">
            <v>Analyse&amp;konsept</v>
          </cell>
          <cell r="K36" t="str">
            <v>Etter B2</v>
          </cell>
          <cell r="L36" t="str">
            <v>I utvikling</v>
          </cell>
          <cell r="O36" t="str">
            <v>IS</v>
          </cell>
          <cell r="P36">
            <v>0</v>
          </cell>
          <cell r="Q36">
            <v>5</v>
          </cell>
          <cell r="R36">
            <v>0</v>
          </cell>
          <cell r="S36">
            <v>1200</v>
          </cell>
          <cell r="T36">
            <v>1200</v>
          </cell>
          <cell r="U36">
            <v>2800</v>
          </cell>
          <cell r="V36">
            <v>38596</v>
          </cell>
          <cell r="W36" t="str">
            <v xml:space="preserve"> </v>
          </cell>
          <cell r="Y36" t="str">
            <v>IS</v>
          </cell>
          <cell r="AB36" t="str">
            <v>8</v>
          </cell>
          <cell r="AC36" t="str">
            <v>IS</v>
          </cell>
          <cell r="AE36">
            <v>38596</v>
          </cell>
          <cell r="AF36">
            <v>38961.25</v>
          </cell>
          <cell r="AG36">
            <v>1</v>
          </cell>
          <cell r="AH36">
            <v>0</v>
          </cell>
          <cell r="AI36">
            <v>8.2135523613963035E-2</v>
          </cell>
          <cell r="AJ36">
            <v>0.33401779603011633</v>
          </cell>
          <cell r="AK36">
            <v>1200</v>
          </cell>
          <cell r="AL36">
            <v>1200</v>
          </cell>
          <cell r="AM36">
            <v>2800</v>
          </cell>
          <cell r="AN36">
            <v>302.25872689938393</v>
          </cell>
          <cell r="AO36">
            <v>302.25872689938393</v>
          </cell>
          <cell r="AP36">
            <v>705.27036276522927</v>
          </cell>
          <cell r="AQ36">
            <v>2015.0581793292263</v>
          </cell>
          <cell r="AR36">
            <v>4.9499299285651402E-3</v>
          </cell>
        </row>
        <row r="37">
          <cell r="B37" t="str">
            <v>IS-9</v>
          </cell>
          <cell r="C37" t="str">
            <v>Etablering av felles testmiljø</v>
          </cell>
          <cell r="D37" t="str">
            <v>Etablering_av_felles_testmiljø</v>
          </cell>
          <cell r="E37">
            <v>0</v>
          </cell>
          <cell r="F37" t="str">
            <v>Terje Foyn Johannessen</v>
          </cell>
          <cell r="G37">
            <v>0</v>
          </cell>
          <cell r="H37">
            <v>0</v>
          </cell>
          <cell r="I37">
            <v>0</v>
          </cell>
          <cell r="J37">
            <v>0</v>
          </cell>
          <cell r="K37" t="str">
            <v>B1</v>
          </cell>
          <cell r="L37" t="str">
            <v>Ny analyse</v>
          </cell>
          <cell r="O37" t="str">
            <v>IS</v>
          </cell>
          <cell r="P37">
            <v>0</v>
          </cell>
          <cell r="Q37">
            <v>0</v>
          </cell>
          <cell r="R37">
            <v>0</v>
          </cell>
          <cell r="S37">
            <v>0</v>
          </cell>
          <cell r="T37">
            <v>0</v>
          </cell>
          <cell r="U37">
            <v>0</v>
          </cell>
          <cell r="V37" t="str">
            <v xml:space="preserve"> </v>
          </cell>
          <cell r="W37" t="str">
            <v xml:space="preserve"> </v>
          </cell>
          <cell r="Y37" t="str">
            <v>IS</v>
          </cell>
          <cell r="AB37" t="str">
            <v>9</v>
          </cell>
          <cell r="AC37" t="str">
            <v>IS</v>
          </cell>
          <cell r="AE37">
            <v>38534</v>
          </cell>
          <cell r="AF37">
            <v>38899.25</v>
          </cell>
          <cell r="AG37">
            <v>1</v>
          </cell>
          <cell r="AH37">
            <v>0</v>
          </cell>
          <cell r="AI37">
            <v>0.2518822724161533</v>
          </cell>
          <cell r="AJ37">
            <v>0.50376454483230659</v>
          </cell>
          <cell r="AK37">
            <v>0</v>
          </cell>
          <cell r="AL37">
            <v>0</v>
          </cell>
          <cell r="AM37">
            <v>0</v>
          </cell>
          <cell r="AN37">
            <v>0</v>
          </cell>
          <cell r="AO37">
            <v>0</v>
          </cell>
          <cell r="AP37">
            <v>0</v>
          </cell>
          <cell r="AQ37">
            <v>0</v>
          </cell>
          <cell r="AR37">
            <v>0</v>
          </cell>
        </row>
        <row r="38">
          <cell r="B38" t="str">
            <v>IS-10</v>
          </cell>
          <cell r="C38" t="str">
            <v>Nordic Desktop</v>
          </cell>
          <cell r="D38" t="str">
            <v>Nordisk_Desktop</v>
          </cell>
          <cell r="E38">
            <v>0</v>
          </cell>
          <cell r="F38" t="str">
            <v>Inger-Lise Rhoden</v>
          </cell>
          <cell r="G38" t="str">
            <v>Jamie Sletten</v>
          </cell>
          <cell r="H38" t="str">
            <v xml:space="preserve">Renew the Telenor desktop solution:
with an emphasis on the reduction of operating costs,
based on a ‘state-of-the-industry’ solution,
for Nordic.  Focus on Nordic, but have a global perceptive.
</v>
          </cell>
          <cell r="I38">
            <v>0</v>
          </cell>
          <cell r="J38">
            <v>0</v>
          </cell>
          <cell r="K38" t="str">
            <v>B2</v>
          </cell>
          <cell r="L38" t="str">
            <v>Til utvikling</v>
          </cell>
          <cell r="O38" t="str">
            <v>IS</v>
          </cell>
          <cell r="P38">
            <v>0</v>
          </cell>
          <cell r="Q38">
            <v>0</v>
          </cell>
          <cell r="R38">
            <v>0</v>
          </cell>
          <cell r="S38">
            <v>0</v>
          </cell>
          <cell r="T38">
            <v>0</v>
          </cell>
          <cell r="U38">
            <v>0</v>
          </cell>
          <cell r="V38">
            <v>38579</v>
          </cell>
          <cell r="W38" t="str">
            <v xml:space="preserve"> </v>
          </cell>
          <cell r="Y38" t="str">
            <v>IS</v>
          </cell>
          <cell r="AB38" t="str">
            <v>10</v>
          </cell>
          <cell r="AC38" t="str">
            <v>IS</v>
          </cell>
          <cell r="AE38">
            <v>38579</v>
          </cell>
          <cell r="AF38">
            <v>38944.25</v>
          </cell>
          <cell r="AG38">
            <v>1</v>
          </cell>
          <cell r="AH38">
            <v>0</v>
          </cell>
          <cell r="AI38">
            <v>0.12867898699520877</v>
          </cell>
          <cell r="AJ38">
            <v>0.3805612594113621</v>
          </cell>
          <cell r="AK38">
            <v>0</v>
          </cell>
          <cell r="AL38">
            <v>0</v>
          </cell>
          <cell r="AM38">
            <v>0</v>
          </cell>
          <cell r="AN38">
            <v>0</v>
          </cell>
          <cell r="AO38">
            <v>0</v>
          </cell>
          <cell r="AP38">
            <v>0</v>
          </cell>
          <cell r="AQ38">
            <v>0</v>
          </cell>
          <cell r="AR38">
            <v>0</v>
          </cell>
        </row>
        <row r="39">
          <cell r="B39" t="str">
            <v>IS-11</v>
          </cell>
          <cell r="C39" t="str">
            <v>Forenkling @work – fase 1b</v>
          </cell>
          <cell r="D39" t="str">
            <v>at_work</v>
          </cell>
          <cell r="E39">
            <v>0</v>
          </cell>
          <cell r="F39" t="str">
            <v>Inger-Lise Rhoden</v>
          </cell>
          <cell r="G39" t="str">
            <v>Carsten Range</v>
          </cell>
          <cell r="H39" t="str">
            <v>Prosjektet er en fortsettelse av prosjekt “Forenkling @work “ som ferdigstilles for leveranse 14. Juni 2005. Denne leveransen omfatter et rammeverk som legger grunnlag for ytterligere funksjonalitet og består i hovedsak av økt skjermbredde, en felles star</v>
          </cell>
          <cell r="I39">
            <v>0</v>
          </cell>
          <cell r="J39">
            <v>0</v>
          </cell>
          <cell r="K39" t="str">
            <v>B2</v>
          </cell>
          <cell r="L39" t="str">
            <v>Til utvikling</v>
          </cell>
          <cell r="O39" t="str">
            <v>IS</v>
          </cell>
          <cell r="P39">
            <v>0</v>
          </cell>
          <cell r="Q39">
            <v>3.8</v>
          </cell>
          <cell r="R39">
            <v>0</v>
          </cell>
          <cell r="S39">
            <v>4500</v>
          </cell>
          <cell r="T39">
            <v>0</v>
          </cell>
          <cell r="U39">
            <v>0</v>
          </cell>
          <cell r="V39">
            <v>38596</v>
          </cell>
          <cell r="W39">
            <v>38718</v>
          </cell>
          <cell r="Y39" t="str">
            <v>IS</v>
          </cell>
          <cell r="AB39" t="str">
            <v>11</v>
          </cell>
          <cell r="AC39" t="str">
            <v>IS</v>
          </cell>
          <cell r="AE39">
            <v>38596</v>
          </cell>
          <cell r="AF39">
            <v>38718</v>
          </cell>
          <cell r="AG39">
            <v>0.33401779603011633</v>
          </cell>
          <cell r="AH39">
            <v>0</v>
          </cell>
          <cell r="AI39">
            <v>0.24590163934426229</v>
          </cell>
          <cell r="AJ39">
            <v>1</v>
          </cell>
          <cell r="AK39">
            <v>4500</v>
          </cell>
          <cell r="AL39">
            <v>0</v>
          </cell>
          <cell r="AM39">
            <v>0</v>
          </cell>
          <cell r="AN39">
            <v>3393.4426229508194</v>
          </cell>
          <cell r="AO39">
            <v>0</v>
          </cell>
          <cell r="AP39">
            <v>0</v>
          </cell>
          <cell r="AQ39">
            <v>3393.4426229508194</v>
          </cell>
          <cell r="AR39">
            <v>8.3358899373338919E-3</v>
          </cell>
        </row>
        <row r="40">
          <cell r="B40" t="str">
            <v>IS-12</v>
          </cell>
          <cell r="C40" t="str">
            <v>Metis</v>
          </cell>
          <cell r="D40" t="str">
            <v>Metis</v>
          </cell>
          <cell r="E40">
            <v>0</v>
          </cell>
          <cell r="F40" t="str">
            <v>Sigurd Thunem</v>
          </cell>
          <cell r="G40">
            <v>0</v>
          </cell>
          <cell r="H40">
            <v>0</v>
          </cell>
          <cell r="I40">
            <v>0</v>
          </cell>
          <cell r="J40">
            <v>0</v>
          </cell>
          <cell r="K40" t="str">
            <v>B1</v>
          </cell>
          <cell r="L40" t="str">
            <v>Ny analyse</v>
          </cell>
          <cell r="O40" t="str">
            <v>IS</v>
          </cell>
          <cell r="P40">
            <v>0</v>
          </cell>
          <cell r="Q40">
            <v>0</v>
          </cell>
          <cell r="R40">
            <v>0</v>
          </cell>
          <cell r="S40">
            <v>0</v>
          </cell>
          <cell r="T40">
            <v>0</v>
          </cell>
          <cell r="U40">
            <v>0</v>
          </cell>
          <cell r="V40" t="str">
            <v xml:space="preserve"> </v>
          </cell>
          <cell r="W40" t="str">
            <v xml:space="preserve"> </v>
          </cell>
          <cell r="Y40" t="str">
            <v>IS</v>
          </cell>
          <cell r="AB40" t="str">
            <v>12</v>
          </cell>
          <cell r="AC40" t="str">
            <v>IS</v>
          </cell>
          <cell r="AE40">
            <v>38534</v>
          </cell>
          <cell r="AF40">
            <v>38899.25</v>
          </cell>
          <cell r="AG40">
            <v>1</v>
          </cell>
          <cell r="AH40">
            <v>0</v>
          </cell>
          <cell r="AI40">
            <v>0.2518822724161533</v>
          </cell>
          <cell r="AJ40">
            <v>0.50376454483230659</v>
          </cell>
          <cell r="AK40">
            <v>0</v>
          </cell>
          <cell r="AL40">
            <v>0</v>
          </cell>
          <cell r="AM40">
            <v>0</v>
          </cell>
          <cell r="AN40">
            <v>0</v>
          </cell>
          <cell r="AO40">
            <v>0</v>
          </cell>
          <cell r="AP40">
            <v>0</v>
          </cell>
          <cell r="AQ40">
            <v>0</v>
          </cell>
          <cell r="AR40">
            <v>0</v>
          </cell>
        </row>
        <row r="41">
          <cell r="B41" t="str">
            <v>IS-13</v>
          </cell>
          <cell r="C41" t="str">
            <v>Hjelpeteknikk (tidligere SD anlaeg)</v>
          </cell>
          <cell r="D41" t="str">
            <v>Hjelpeteknikk</v>
          </cell>
          <cell r="E41">
            <v>0</v>
          </cell>
          <cell r="F41" t="str">
            <v>Halfdan Aursund</v>
          </cell>
          <cell r="G41">
            <v>0</v>
          </cell>
          <cell r="H41">
            <v>0</v>
          </cell>
          <cell r="I41">
            <v>0</v>
          </cell>
          <cell r="J41">
            <v>0</v>
          </cell>
          <cell r="K41" t="str">
            <v>B1</v>
          </cell>
          <cell r="L41" t="str">
            <v>Ny analyse</v>
          </cell>
          <cell r="O41" t="str">
            <v>IS</v>
          </cell>
          <cell r="P41">
            <v>0</v>
          </cell>
          <cell r="Q41">
            <v>0</v>
          </cell>
          <cell r="R41">
            <v>0</v>
          </cell>
          <cell r="S41">
            <v>0</v>
          </cell>
          <cell r="T41">
            <v>0</v>
          </cell>
          <cell r="U41">
            <v>0</v>
          </cell>
          <cell r="V41" t="str">
            <v xml:space="preserve"> </v>
          </cell>
          <cell r="W41" t="str">
            <v xml:space="preserve"> </v>
          </cell>
          <cell r="Y41" t="str">
            <v>IS</v>
          </cell>
          <cell r="AB41" t="str">
            <v>13</v>
          </cell>
          <cell r="AC41" t="str">
            <v>IS</v>
          </cell>
          <cell r="AE41">
            <v>38534</v>
          </cell>
          <cell r="AF41">
            <v>38899.25</v>
          </cell>
          <cell r="AG41">
            <v>1</v>
          </cell>
          <cell r="AH41">
            <v>0</v>
          </cell>
          <cell r="AI41">
            <v>0.2518822724161533</v>
          </cell>
          <cell r="AJ41">
            <v>0.50376454483230659</v>
          </cell>
          <cell r="AK41">
            <v>0</v>
          </cell>
          <cell r="AL41">
            <v>0</v>
          </cell>
          <cell r="AM41">
            <v>0</v>
          </cell>
          <cell r="AN41">
            <v>0</v>
          </cell>
          <cell r="AO41">
            <v>0</v>
          </cell>
          <cell r="AP41">
            <v>0</v>
          </cell>
          <cell r="AQ41">
            <v>0</v>
          </cell>
          <cell r="AR41">
            <v>0</v>
          </cell>
        </row>
        <row r="42">
          <cell r="B42" t="str">
            <v>IS-14</v>
          </cell>
          <cell r="C42" t="str">
            <v>JAVA Symkom</v>
          </cell>
          <cell r="D42" t="str">
            <v>Java_Symkom</v>
          </cell>
          <cell r="E42">
            <v>0</v>
          </cell>
          <cell r="F42" t="str">
            <v>Halfdan Aursund</v>
          </cell>
          <cell r="G42">
            <v>0</v>
          </cell>
          <cell r="H42">
            <v>0</v>
          </cell>
          <cell r="I42">
            <v>0</v>
          </cell>
          <cell r="J42">
            <v>0</v>
          </cell>
          <cell r="K42" t="str">
            <v>B1</v>
          </cell>
          <cell r="L42" t="str">
            <v>Ny analyse</v>
          </cell>
          <cell r="O42" t="str">
            <v>IS</v>
          </cell>
          <cell r="P42">
            <v>0</v>
          </cell>
          <cell r="Q42">
            <v>0</v>
          </cell>
          <cell r="R42">
            <v>0</v>
          </cell>
          <cell r="S42">
            <v>0</v>
          </cell>
          <cell r="T42">
            <v>0</v>
          </cell>
          <cell r="U42">
            <v>0</v>
          </cell>
          <cell r="V42" t="str">
            <v xml:space="preserve"> </v>
          </cell>
          <cell r="W42" t="str">
            <v xml:space="preserve"> </v>
          </cell>
          <cell r="Y42" t="str">
            <v>IS</v>
          </cell>
          <cell r="AB42" t="str">
            <v>14</v>
          </cell>
          <cell r="AC42" t="str">
            <v>IS</v>
          </cell>
          <cell r="AE42">
            <v>38534</v>
          </cell>
          <cell r="AF42">
            <v>38899.25</v>
          </cell>
          <cell r="AG42">
            <v>1</v>
          </cell>
          <cell r="AH42">
            <v>0</v>
          </cell>
          <cell r="AI42">
            <v>0.2518822724161533</v>
          </cell>
          <cell r="AJ42">
            <v>0.50376454483230659</v>
          </cell>
          <cell r="AK42">
            <v>0</v>
          </cell>
          <cell r="AL42">
            <v>0</v>
          </cell>
          <cell r="AM42">
            <v>0</v>
          </cell>
          <cell r="AN42">
            <v>0</v>
          </cell>
          <cell r="AO42">
            <v>0</v>
          </cell>
          <cell r="AP42">
            <v>0</v>
          </cell>
          <cell r="AQ42">
            <v>0</v>
          </cell>
          <cell r="AR42">
            <v>0</v>
          </cell>
        </row>
        <row r="43">
          <cell r="B43" t="str">
            <v>IS-15</v>
          </cell>
          <cell r="C43" t="str">
            <v>Nordisk IS-nett</v>
          </cell>
          <cell r="D43" t="str">
            <v>Nordic_IP</v>
          </cell>
          <cell r="E43">
            <v>0</v>
          </cell>
          <cell r="F43" t="str">
            <v>Inger-Lise Rhoden</v>
          </cell>
          <cell r="G43" t="str">
            <v>Harald Graven</v>
          </cell>
          <cell r="H43" t="str">
            <v>Oppgradering av Nordisk IP basert nett for IS ( Nordisk IS-nett)
Forretningsmessige/funksjonelle drivere for IS-nett (Operational Excellence, Mobile Integration Program, Radikalt enklere Fixed og PF)
Krav fra Ultra SA med EDB
Krav/forventniger fra  arbeid</v>
          </cell>
          <cell r="I43">
            <v>0</v>
          </cell>
          <cell r="J43">
            <v>0</v>
          </cell>
          <cell r="K43" t="str">
            <v>B1</v>
          </cell>
          <cell r="L43" t="str">
            <v>Ny analyse</v>
          </cell>
          <cell r="O43" t="str">
            <v>IS</v>
          </cell>
          <cell r="P43">
            <v>0</v>
          </cell>
          <cell r="Q43">
            <v>0</v>
          </cell>
          <cell r="R43">
            <v>0</v>
          </cell>
          <cell r="S43">
            <v>0</v>
          </cell>
          <cell r="T43">
            <v>0</v>
          </cell>
          <cell r="U43">
            <v>0</v>
          </cell>
          <cell r="V43" t="str">
            <v xml:space="preserve"> </v>
          </cell>
          <cell r="W43" t="str">
            <v xml:space="preserve"> </v>
          </cell>
          <cell r="Y43" t="str">
            <v>IS</v>
          </cell>
          <cell r="AB43" t="str">
            <v>15</v>
          </cell>
          <cell r="AC43" t="str">
            <v>IS</v>
          </cell>
          <cell r="AE43">
            <v>38534</v>
          </cell>
          <cell r="AF43">
            <v>38899.25</v>
          </cell>
          <cell r="AG43">
            <v>1</v>
          </cell>
          <cell r="AH43">
            <v>0</v>
          </cell>
          <cell r="AI43">
            <v>0.2518822724161533</v>
          </cell>
          <cell r="AJ43">
            <v>0.50376454483230659</v>
          </cell>
          <cell r="AK43">
            <v>0</v>
          </cell>
          <cell r="AL43">
            <v>0</v>
          </cell>
          <cell r="AM43">
            <v>0</v>
          </cell>
          <cell r="AN43">
            <v>0</v>
          </cell>
          <cell r="AO43">
            <v>0</v>
          </cell>
          <cell r="AP43">
            <v>0</v>
          </cell>
          <cell r="AQ43">
            <v>0</v>
          </cell>
          <cell r="AR43">
            <v>0</v>
          </cell>
        </row>
        <row r="44">
          <cell r="B44" t="str">
            <v>FPT-1</v>
          </cell>
          <cell r="C44" t="str">
            <v>BRUT</v>
          </cell>
          <cell r="D44" t="str">
            <v>BRUT</v>
          </cell>
          <cell r="E44" t="str">
            <v>EAA033</v>
          </cell>
          <cell r="F44" t="str">
            <v>Nordic Fixed, Plattform og teknologi=HVIS($C4="";"";INDIREKTE($C4&amp;"!e3"))</v>
          </cell>
          <cell r="G44" t="str">
            <v>Bjørn Netland</v>
          </cell>
          <cell r="H44" t="str">
            <v>Et sterkt økende kapasitetsbehov fra dagens bredbåndstjenester vil generere behov for vesentlige investeringer i bredbåndsnettet i perioden 2005-2009. Analyser som er gjennomført viser at dagens bredbåndsnett ikke vil kunne videreutvikles på en kostnadsop</v>
          </cell>
          <cell r="I44" t="str">
            <v>Input:
 - Prosjekter:  Ingen
 - IS systemeiere:  Mange (re. GAP)
Output: Future.dsl, Nordic Connect, IPBB mm</v>
          </cell>
          <cell r="J44" t="str">
            <v>Gjennomføring</v>
          </cell>
          <cell r="K44" t="str">
            <v>Etter B2</v>
          </cell>
          <cell r="L44" t="str">
            <v>i utvikling</v>
          </cell>
          <cell r="O44" t="str">
            <v>Plattform</v>
          </cell>
          <cell r="P44">
            <v>120</v>
          </cell>
          <cell r="Q44">
            <v>140</v>
          </cell>
          <cell r="R44">
            <v>2.8</v>
          </cell>
          <cell r="S44">
            <v>37750</v>
          </cell>
          <cell r="T44">
            <v>8300</v>
          </cell>
          <cell r="U44">
            <v>2800</v>
          </cell>
          <cell r="V44">
            <v>38468</v>
          </cell>
          <cell r="W44">
            <v>38808</v>
          </cell>
          <cell r="X44" t="str">
            <v>Ja</v>
          </cell>
          <cell r="Y44" t="str">
            <v>Fixed</v>
          </cell>
          <cell r="Z44" t="str">
            <v>PT</v>
          </cell>
          <cell r="AB44" t="str">
            <v>1</v>
          </cell>
          <cell r="AC44" t="str">
            <v>FPT</v>
          </cell>
          <cell r="AE44">
            <v>38468</v>
          </cell>
          <cell r="AF44">
            <v>38808</v>
          </cell>
          <cell r="AG44">
            <v>0.9308692676249144</v>
          </cell>
          <cell r="AH44">
            <v>0.19411764705882353</v>
          </cell>
          <cell r="AI44">
            <v>0.46470588235294119</v>
          </cell>
          <cell r="AJ44">
            <v>0.73529411764705888</v>
          </cell>
          <cell r="AK44">
            <v>30422.058823529413</v>
          </cell>
          <cell r="AL44">
            <v>6688.8235294117649</v>
          </cell>
          <cell r="AM44">
            <v>2256.4705882352941</v>
          </cell>
          <cell r="AN44">
            <v>10214.705882352942</v>
          </cell>
          <cell r="AO44">
            <v>2245.8823529411766</v>
          </cell>
          <cell r="AP44">
            <v>757.64705882352951</v>
          </cell>
          <cell r="AQ44">
            <v>13975.882352941178</v>
          </cell>
          <cell r="AR44">
            <v>3.4331335465439261E-2</v>
          </cell>
        </row>
        <row r="45">
          <cell r="B45" t="str">
            <v>FPT-2</v>
          </cell>
          <cell r="C45" t="str">
            <v>IP Tjenesteplattform</v>
          </cell>
          <cell r="D45" t="str">
            <v>IPtjenesteplattform</v>
          </cell>
          <cell r="E45" t="str">
            <v xml:space="preserve"> </v>
          </cell>
          <cell r="F45" t="str">
            <v>Espen Fiane/Guttorm Hansen</v>
          </cell>
          <cell r="G45" t="str">
            <v>Espen Blattmann</v>
          </cell>
          <cell r="H45" t="str">
            <v>Hovedutfordringen til Telenor kan oppsummeres som:  for høye kostnader, for lang tid til marked og liten konkurransedyktighet.
Dagens produktportefølje innenfor  telefoni og leide samband opplever et dramatisk fall i inntekter. Dette skjer i hovedsak på g</v>
          </cell>
          <cell r="I45" t="str">
            <v>RIP, BBT, IPBB, Future DSL, Strada, Nordic Connect, m fl.
=&gt;Tjenesteplattform vil implementere sentrale støttesystemer, bygge videre på og være en kritisk suksessfaktor for nevnte prosjekter</v>
          </cell>
          <cell r="J45" t="str">
            <v>Analyse&amp;Konsept</v>
          </cell>
          <cell r="K45" t="str">
            <v>B2</v>
          </cell>
          <cell r="L45" t="str">
            <v>til utvikling</v>
          </cell>
          <cell r="O45" t="str">
            <v xml:space="preserve">Strategisk analyse </v>
          </cell>
          <cell r="P45">
            <v>1000</v>
          </cell>
          <cell r="Q45">
            <v>0</v>
          </cell>
          <cell r="R45">
            <v>1.5</v>
          </cell>
          <cell r="S45">
            <v>1300</v>
          </cell>
          <cell r="T45">
            <v>0</v>
          </cell>
          <cell r="U45">
            <v>0</v>
          </cell>
          <cell r="V45">
            <v>38626</v>
          </cell>
          <cell r="W45">
            <v>38808</v>
          </cell>
          <cell r="X45" t="str">
            <v>Ja</v>
          </cell>
          <cell r="Y45" t="str">
            <v>Fixed</v>
          </cell>
          <cell r="Z45" t="str">
            <v>PT</v>
          </cell>
          <cell r="AB45" t="str">
            <v>2</v>
          </cell>
          <cell r="AC45" t="str">
            <v>FPT</v>
          </cell>
          <cell r="AE45">
            <v>38626</v>
          </cell>
          <cell r="AF45">
            <v>38808</v>
          </cell>
          <cell r="AG45">
            <v>0.49828884325804246</v>
          </cell>
          <cell r="AH45">
            <v>0</v>
          </cell>
          <cell r="AI45">
            <v>0</v>
          </cell>
          <cell r="AJ45">
            <v>0.50549450549450547</v>
          </cell>
          <cell r="AK45">
            <v>1300</v>
          </cell>
          <cell r="AL45">
            <v>0</v>
          </cell>
          <cell r="AM45">
            <v>0</v>
          </cell>
          <cell r="AN45">
            <v>657.14285714285711</v>
          </cell>
          <cell r="AO45">
            <v>0</v>
          </cell>
          <cell r="AP45">
            <v>0</v>
          </cell>
          <cell r="AQ45">
            <v>657.14285714285711</v>
          </cell>
          <cell r="AR45">
            <v>1.6142517021503729E-3</v>
          </cell>
        </row>
        <row r="46">
          <cell r="B46" t="str">
            <v>FPT-3</v>
          </cell>
          <cell r="C46" t="str">
            <v>RIP</v>
          </cell>
          <cell r="D46" t="str">
            <v>RIP</v>
          </cell>
          <cell r="E46" t="str">
            <v xml:space="preserve"> </v>
          </cell>
          <cell r="F46" t="str">
            <v>HansErik Karsten/Berit Svendsen</v>
          </cell>
          <cell r="G46" t="str">
            <v>Geir Røkke</v>
          </cell>
          <cell r="H46" t="str">
            <v>Telenor opplever fallende inntekter på telefonitjenesten. Tapt fortjeneste for Fixed må dekkes gjennom reduserte driftskostnader og nye inntekstmuligheter. CTO-gruppen fremla 17.01.05 (oppdatert 30.03.05) en kostbasert evaluering av hvilke alternativer so</v>
          </cell>
          <cell r="I46" t="str">
            <v>IP tjenesteplattform (tjenesteplattform for tale)
BBT fase 2 (IP basert telefoni)
HW strategi for kundemodem
++ vil berøre flere prosjekter</v>
          </cell>
          <cell r="J46" t="str">
            <v>Analyse&amp;Konsept</v>
          </cell>
          <cell r="K46" t="str">
            <v>B2</v>
          </cell>
          <cell r="L46" t="str">
            <v>til utvikling</v>
          </cell>
          <cell r="O46" t="str">
            <v xml:space="preserve">Strategisk analyse </v>
          </cell>
          <cell r="P46">
            <v>0</v>
          </cell>
          <cell r="Q46">
            <v>1000</v>
          </cell>
          <cell r="R46">
            <v>0</v>
          </cell>
          <cell r="S46">
            <v>0</v>
          </cell>
          <cell r="T46">
            <v>0</v>
          </cell>
          <cell r="U46">
            <v>0</v>
          </cell>
          <cell r="V46">
            <v>38657</v>
          </cell>
          <cell r="W46" t="str">
            <v xml:space="preserve"> </v>
          </cell>
          <cell r="X46" t="str">
            <v>Ja</v>
          </cell>
          <cell r="Y46" t="str">
            <v>Fixed</v>
          </cell>
          <cell r="Z46" t="str">
            <v>PT</v>
          </cell>
          <cell r="AB46" t="str">
            <v>3</v>
          </cell>
          <cell r="AC46" t="str">
            <v>FPT</v>
          </cell>
          <cell r="AE46">
            <v>38657</v>
          </cell>
          <cell r="AF46">
            <v>39022.25</v>
          </cell>
          <cell r="AG46">
            <v>1</v>
          </cell>
          <cell r="AH46">
            <v>0</v>
          </cell>
          <cell r="AI46">
            <v>0</v>
          </cell>
          <cell r="AJ46">
            <v>0.16700889801505817</v>
          </cell>
          <cell r="AK46">
            <v>0</v>
          </cell>
          <cell r="AL46">
            <v>0</v>
          </cell>
          <cell r="AM46">
            <v>0</v>
          </cell>
          <cell r="AN46">
            <v>0</v>
          </cell>
          <cell r="AO46">
            <v>0</v>
          </cell>
          <cell r="AP46">
            <v>0</v>
          </cell>
          <cell r="AQ46">
            <v>0</v>
          </cell>
          <cell r="AR46">
            <v>0</v>
          </cell>
        </row>
        <row r="47">
          <cell r="B47" t="str">
            <v>FPT-4</v>
          </cell>
          <cell r="C47" t="str">
            <v>CWDM</v>
          </cell>
          <cell r="D47" t="str">
            <v>CWDM</v>
          </cell>
          <cell r="E47" t="str">
            <v>FAZ002</v>
          </cell>
          <cell r="F47" t="str">
            <v>Jon Weberg</v>
          </cell>
          <cell r="G47" t="str">
            <v>Irene Kaasbøl</v>
          </cell>
          <cell r="H47" t="str">
            <v xml:space="preserve">Bedre utnyttelse av eksisterende fiberinfrastruktur ved å kjøre flere kanaler pr. fiber. Lavere investeringskostnader for eksisterende og nye tjenester.  Gjennomføre RFQ, inngå en rammeavtale og implementere CWDM-utstyr i nettet. Innføring av CWDM-utstyr </v>
          </cell>
          <cell r="I47" t="str">
            <v>Kattegat (stor leverandør til Kattegat for leveranse av CWDM utstyr)</v>
          </cell>
          <cell r="J47" t="str">
            <v>Gjennomføring</v>
          </cell>
          <cell r="K47" t="str">
            <v>etter B2</v>
          </cell>
          <cell r="L47" t="str">
            <v>i utvikling</v>
          </cell>
          <cell r="O47" t="str">
            <v>Plattform</v>
          </cell>
          <cell r="P47">
            <v>110</v>
          </cell>
          <cell r="Q47">
            <v>4.34</v>
          </cell>
          <cell r="R47">
            <v>4.84</v>
          </cell>
          <cell r="S47">
            <v>5000</v>
          </cell>
          <cell r="T47">
            <v>2000</v>
          </cell>
          <cell r="U47">
            <v>0</v>
          </cell>
          <cell r="V47">
            <v>38208</v>
          </cell>
          <cell r="W47">
            <v>38646</v>
          </cell>
          <cell r="X47" t="str">
            <v>Nei</v>
          </cell>
          <cell r="Y47" t="str">
            <v>Fixed</v>
          </cell>
          <cell r="Z47" t="str">
            <v>PT</v>
          </cell>
          <cell r="AB47" t="str">
            <v>4</v>
          </cell>
          <cell r="AC47" t="str">
            <v>FPT</v>
          </cell>
          <cell r="AE47">
            <v>38208</v>
          </cell>
          <cell r="AF47">
            <v>38646</v>
          </cell>
          <cell r="AG47">
            <v>1.1991786447638604</v>
          </cell>
          <cell r="AH47">
            <v>0.74429223744292239</v>
          </cell>
          <cell r="AI47">
            <v>0.954337899543379</v>
          </cell>
          <cell r="AJ47">
            <v>1</v>
          </cell>
          <cell r="AK47">
            <v>1278.538812785388</v>
          </cell>
          <cell r="AL47">
            <v>511.41552511415523</v>
          </cell>
          <cell r="AM47">
            <v>0</v>
          </cell>
          <cell r="AN47">
            <v>228.31050228310502</v>
          </cell>
          <cell r="AO47">
            <v>91.324200913242009</v>
          </cell>
          <cell r="AP47">
            <v>0</v>
          </cell>
          <cell r="AQ47">
            <v>319.634703196347</v>
          </cell>
          <cell r="AR47">
            <v>7.8517305345809278E-4</v>
          </cell>
        </row>
        <row r="48">
          <cell r="B48" t="str">
            <v>FPT-5</v>
          </cell>
          <cell r="C48" t="str">
            <v>DWDM RFQ 2005</v>
          </cell>
          <cell r="D48" t="str">
            <v>DWDM</v>
          </cell>
          <cell r="E48" t="str">
            <v>FAA013</v>
          </cell>
          <cell r="F48" t="str">
            <v>Guttorm Hansen</v>
          </cell>
          <cell r="G48" t="str">
            <v>Johan Brandt</v>
          </cell>
          <cell r="H48" t="str">
            <v>Hensikten er å få en leverandør nr 2 på DWDM-utstyr i Norden, i tillegg til Tellabs, for å sikre riktige priser og funksjonalitet.</v>
          </cell>
          <cell r="I48" t="str">
            <v>Brut – viktigste klientnett for DWDM-plattformen
CWDM – vurdere synergigevinster og nettoptimalisering mellom D- og CWDM.</v>
          </cell>
          <cell r="J48" t="str">
            <v>Analyse&amp;Konsept</v>
          </cell>
          <cell r="K48" t="str">
            <v>etter B2</v>
          </cell>
          <cell r="L48" t="str">
            <v>i utvikling</v>
          </cell>
          <cell r="O48" t="str">
            <v>Plattform</v>
          </cell>
          <cell r="P48">
            <v>6.06</v>
          </cell>
          <cell r="Q48">
            <v>11.07</v>
          </cell>
          <cell r="R48">
            <v>0</v>
          </cell>
          <cell r="S48">
            <v>1750</v>
          </cell>
          <cell r="T48">
            <v>0</v>
          </cell>
          <cell r="U48">
            <v>0</v>
          </cell>
          <cell r="V48">
            <v>38464</v>
          </cell>
          <cell r="W48">
            <v>38717</v>
          </cell>
          <cell r="X48" t="str">
            <v>Nei</v>
          </cell>
          <cell r="Y48" t="str">
            <v>Fixed</v>
          </cell>
          <cell r="Z48" t="str">
            <v>PT</v>
          </cell>
          <cell r="AB48" t="str">
            <v>5</v>
          </cell>
          <cell r="AC48" t="str">
            <v>FPT</v>
          </cell>
          <cell r="AE48">
            <v>38464</v>
          </cell>
          <cell r="AF48">
            <v>38717</v>
          </cell>
          <cell r="AG48">
            <v>0.69267624914442161</v>
          </cell>
          <cell r="AH48">
            <v>0.27667984189723321</v>
          </cell>
          <cell r="AI48">
            <v>0.64031620553359681</v>
          </cell>
          <cell r="AJ48">
            <v>1</v>
          </cell>
          <cell r="AK48">
            <v>1265.810276679842</v>
          </cell>
          <cell r="AL48">
            <v>0</v>
          </cell>
          <cell r="AM48">
            <v>0</v>
          </cell>
          <cell r="AN48">
            <v>629.44664031620562</v>
          </cell>
          <cell r="AO48">
            <v>0</v>
          </cell>
          <cell r="AP48">
            <v>0</v>
          </cell>
          <cell r="AQ48">
            <v>629.44664031620562</v>
          </cell>
          <cell r="AR48">
            <v>1.5462167769136695E-3</v>
          </cell>
        </row>
        <row r="49">
          <cell r="B49" t="str">
            <v>FPT-6</v>
          </cell>
          <cell r="C49" t="str">
            <v>Bright Future</v>
          </cell>
          <cell r="D49" t="str">
            <v>BrightFuture</v>
          </cell>
          <cell r="E49" t="str">
            <v xml:space="preserve">FAA001 </v>
          </cell>
          <cell r="F49" t="str">
            <v>Guttorm Hansen</v>
          </cell>
          <cell r="G49" t="str">
            <v>Jan Helge Høgvoll</v>
          </cell>
          <cell r="H49" t="str">
            <v>Sørge for at Telenor kommer i gang med fiberinfrastruktur i de mest lønnsomme områder. Sørge for at dette skjer på en optimal måte. Bidra til at tjenesteproduksjon kan realiseres på fiberinfrastruktur i aksessnettet.</v>
          </cell>
          <cell r="I49" t="str">
            <v xml:space="preserve"> </v>
          </cell>
          <cell r="J49" t="str">
            <v>Analyse&amp;Konsept</v>
          </cell>
          <cell r="K49" t="str">
            <v>B2</v>
          </cell>
          <cell r="L49" t="str">
            <v>til utvikling</v>
          </cell>
          <cell r="O49" t="str">
            <v>Annet</v>
          </cell>
          <cell r="P49">
            <v>0</v>
          </cell>
          <cell r="Q49">
            <v>0</v>
          </cell>
          <cell r="R49">
            <v>4.75</v>
          </cell>
          <cell r="S49">
            <v>11000</v>
          </cell>
          <cell r="T49">
            <v>0</v>
          </cell>
          <cell r="U49">
            <v>0</v>
          </cell>
          <cell r="V49">
            <v>38687</v>
          </cell>
          <cell r="W49">
            <v>39052</v>
          </cell>
          <cell r="X49" t="str">
            <v>Ja</v>
          </cell>
          <cell r="Y49" t="str">
            <v>Fixed</v>
          </cell>
          <cell r="Z49" t="str">
            <v>PT</v>
          </cell>
          <cell r="AB49" t="str">
            <v>6</v>
          </cell>
          <cell r="AC49" t="str">
            <v>FPT</v>
          </cell>
          <cell r="AE49">
            <v>38687</v>
          </cell>
          <cell r="AF49">
            <v>39052</v>
          </cell>
          <cell r="AG49">
            <v>0.99931553730321698</v>
          </cell>
          <cell r="AH49">
            <v>0</v>
          </cell>
          <cell r="AI49">
            <v>0</v>
          </cell>
          <cell r="AJ49">
            <v>8.4931506849315067E-2</v>
          </cell>
          <cell r="AK49">
            <v>11000</v>
          </cell>
          <cell r="AL49">
            <v>0</v>
          </cell>
          <cell r="AM49">
            <v>0</v>
          </cell>
          <cell r="AN49">
            <v>934.24657534246569</v>
          </cell>
          <cell r="AO49">
            <v>0</v>
          </cell>
          <cell r="AP49">
            <v>0</v>
          </cell>
          <cell r="AQ49">
            <v>934.24657534246569</v>
          </cell>
          <cell r="AR49">
            <v>2.2949486676789397E-3</v>
          </cell>
        </row>
        <row r="50">
          <cell r="B50" t="str">
            <v>FPT-7</v>
          </cell>
          <cell r="C50" t="str">
            <v>Impacq</v>
          </cell>
          <cell r="D50" t="str">
            <v>Impacq</v>
          </cell>
          <cell r="E50" t="str">
            <v>EAX022</v>
          </cell>
          <cell r="F50" t="str">
            <v>Tormod Egeland</v>
          </cell>
          <cell r="G50" t="str">
            <v>Brita Rosenlund</v>
          </cell>
          <cell r="H50" t="str">
            <v>Allerede i dag trigger opp mot 85% av trafikk originert i fastnett, uten at triggingen kan ”utnyttes”. Ved innføring av AcQ, (Alltid IN), kan triggingen utnyttes slik at nye tjenester kan utvikles på IN, uten behov for tjenestekategori og sentralavhengigh</v>
          </cell>
          <cell r="I50" t="str">
            <v>EKOM prosjektet kan utvikle ekomtjenestene uten AcQ, men ønsker AcQ-løsning. Utvikling basert på AcQ er startet opp, og det er derfor nødvendig at alle detaljer i Impacq er på plass før lansering av EKOM tjenestene 01.01.06</v>
          </cell>
          <cell r="J50" t="str">
            <v>Analyse&amp;Konsept</v>
          </cell>
          <cell r="K50" t="str">
            <v>etter B2</v>
          </cell>
          <cell r="L50" t="str">
            <v>i utvikling</v>
          </cell>
          <cell r="O50" t="str">
            <v>VØT</v>
          </cell>
          <cell r="P50">
            <v>1.99</v>
          </cell>
          <cell r="Q50">
            <v>0.61899999999999999</v>
          </cell>
          <cell r="R50">
            <v>2.605</v>
          </cell>
          <cell r="S50">
            <v>600</v>
          </cell>
          <cell r="T50">
            <v>100</v>
          </cell>
          <cell r="U50">
            <v>185</v>
          </cell>
          <cell r="V50">
            <v>38449</v>
          </cell>
          <cell r="W50">
            <v>38640</v>
          </cell>
          <cell r="X50" t="str">
            <v>Nei</v>
          </cell>
          <cell r="Y50" t="str">
            <v>Fixed</v>
          </cell>
          <cell r="Z50" t="str">
            <v>PT</v>
          </cell>
          <cell r="AB50" t="str">
            <v>7</v>
          </cell>
          <cell r="AC50" t="str">
            <v>FPT</v>
          </cell>
          <cell r="AE50">
            <v>38449</v>
          </cell>
          <cell r="AF50">
            <v>38640</v>
          </cell>
          <cell r="AG50">
            <v>0.5229295003422314</v>
          </cell>
          <cell r="AH50">
            <v>0.44502617801047123</v>
          </cell>
          <cell r="AI50">
            <v>0.92670157068062831</v>
          </cell>
          <cell r="AJ50">
            <v>1</v>
          </cell>
          <cell r="AK50">
            <v>332.98429319371729</v>
          </cell>
          <cell r="AL50">
            <v>55.497382198952884</v>
          </cell>
          <cell r="AM50">
            <v>102.67015706806284</v>
          </cell>
          <cell r="AN50">
            <v>43.979057591623018</v>
          </cell>
          <cell r="AO50">
            <v>7.3298429319371694</v>
          </cell>
          <cell r="AP50">
            <v>13.560209424083764</v>
          </cell>
          <cell r="AQ50">
            <v>78.429319371727715</v>
          </cell>
          <cell r="AR50">
            <v>1.9265926870872758E-4</v>
          </cell>
        </row>
        <row r="51">
          <cell r="B51" t="str">
            <v>FPT-8</v>
          </cell>
          <cell r="C51" t="str">
            <v>Restrukturering av Sd-anlegg</v>
          </cell>
          <cell r="D51" t="str">
            <v>RestruktureringavSdanlegg</v>
          </cell>
          <cell r="E51" t="str">
            <v xml:space="preserve"> </v>
          </cell>
          <cell r="F51" t="str">
            <v>Arnulf Lothe</v>
          </cell>
          <cell r="G51" t="str">
            <v>Marit Øvringmo</v>
          </cell>
          <cell r="H51" t="str">
            <v>Prosjektet skal møte følgende behov i forretningen: 1. SD-anlegg må ha kapasitet til å møte etablerte utbyggingsplaner  2. Et innloggingspunkt på SD-anlegg  3. Redusere problemene med kommunikasjonen 4· Forenkle prosess for vedlikehold og utbygging av app</v>
          </cell>
          <cell r="I51" t="str">
            <v>(Aktiviteter - Ikke prosjekter)
Operations – ’Systemdrift’ Interne tiltak rundt drift av hjelpeteknikk som muligens kan oppnå noe synergi ved å koordinere 
IS Nordic – Portefølje Feil &amp; Alarm Interne mål om sammenslåing av applikasjoner, vurdering av vide</v>
          </cell>
          <cell r="J51" t="str">
            <v>Analyse&amp;Konsept</v>
          </cell>
          <cell r="K51" t="str">
            <v>B1 og B2</v>
          </cell>
          <cell r="L51"/>
          <cell r="O51" t="str">
            <v>IS</v>
          </cell>
          <cell r="P51">
            <v>0</v>
          </cell>
          <cell r="Q51">
            <v>2.5</v>
          </cell>
          <cell r="R51">
            <v>0</v>
          </cell>
          <cell r="S51">
            <v>2000</v>
          </cell>
          <cell r="T51">
            <v>1600</v>
          </cell>
          <cell r="U51">
            <v>2000</v>
          </cell>
          <cell r="V51">
            <v>38657</v>
          </cell>
          <cell r="W51">
            <v>38852</v>
          </cell>
          <cell r="X51" t="str">
            <v>Ja</v>
          </cell>
          <cell r="Y51" t="str">
            <v>Fixed</v>
          </cell>
          <cell r="Z51" t="str">
            <v>PT</v>
          </cell>
          <cell r="AB51" t="str">
            <v>8</v>
          </cell>
          <cell r="AC51" t="str">
            <v>FPT</v>
          </cell>
          <cell r="AE51">
            <v>38657</v>
          </cell>
          <cell r="AF51">
            <v>38852</v>
          </cell>
          <cell r="AG51">
            <v>0.53388090349075978</v>
          </cell>
          <cell r="AH51">
            <v>0</v>
          </cell>
          <cell r="AI51">
            <v>0</v>
          </cell>
          <cell r="AJ51">
            <v>0.31282051282051282</v>
          </cell>
          <cell r="AK51">
            <v>2000</v>
          </cell>
          <cell r="AL51">
            <v>1600</v>
          </cell>
          <cell r="AM51">
            <v>2000</v>
          </cell>
          <cell r="AN51">
            <v>625.64102564102564</v>
          </cell>
          <cell r="AO51">
            <v>500.5128205128205</v>
          </cell>
          <cell r="AP51">
            <v>625.64102564102564</v>
          </cell>
          <cell r="AQ51">
            <v>2377.4358974358975</v>
          </cell>
          <cell r="AR51">
            <v>5.840099915070669E-3</v>
          </cell>
        </row>
        <row r="52">
          <cell r="B52" t="str">
            <v>FTA-1</v>
          </cell>
          <cell r="C52" t="str">
            <v>VOIA</v>
          </cell>
          <cell r="D52" t="str">
            <v>VOIA</v>
          </cell>
          <cell r="E52" t="str">
            <v>XX0486</v>
          </cell>
          <cell r="F52" t="str">
            <v>Jørgen Grinnes</v>
          </cell>
          <cell r="G52" t="str">
            <v>Sigbjørn Isene</v>
          </cell>
          <cell r="H52" t="str">
            <v>Konkurransen i markedet på IP-telefoni tilsier at Telenor må ta en aktiv rolle for å kompensere for bortfallet i fast-telefoniinntekter. 
Ved å gjennomføre VoIA vil Telenor redusere churn til andre VoIP leverandører, binde opp kunden på xDSL og skape grun</v>
          </cell>
          <cell r="I52" t="str">
            <v xml:space="preserve">IP Link fase II (forbedring av teknisk plattform)
FLE Strada (nye og forbedrede lev.prosesser)
</v>
          </cell>
          <cell r="J52" t="str">
            <v>Analyse&amp;Konsept</v>
          </cell>
          <cell r="K52" t="str">
            <v>B2</v>
          </cell>
          <cell r="L52" t="str">
            <v>til utvikling</v>
          </cell>
          <cell r="N52" t="str">
            <v>Norge</v>
          </cell>
          <cell r="O52" t="str">
            <v>Tale</v>
          </cell>
          <cell r="P52">
            <v>4</v>
          </cell>
          <cell r="Q52">
            <v>2.7</v>
          </cell>
          <cell r="R52">
            <v>0</v>
          </cell>
          <cell r="S52">
            <v>0</v>
          </cell>
          <cell r="T52">
            <v>0</v>
          </cell>
          <cell r="U52">
            <v>0</v>
          </cell>
          <cell r="V52">
            <v>38604</v>
          </cell>
          <cell r="W52">
            <v>0</v>
          </cell>
          <cell r="X52" t="str">
            <v>Ja</v>
          </cell>
          <cell r="Y52" t="str">
            <v>Fixed</v>
          </cell>
          <cell r="Z52" t="str">
            <v>TA</v>
          </cell>
          <cell r="AB52" t="str">
            <v>1</v>
          </cell>
          <cell r="AC52" t="str">
            <v>FTA</v>
          </cell>
          <cell r="AE52">
            <v>38604</v>
          </cell>
          <cell r="AF52">
            <v>38969.25</v>
          </cell>
          <cell r="AG52">
            <v>1</v>
          </cell>
          <cell r="AH52">
            <v>0</v>
          </cell>
          <cell r="AI52">
            <v>6.0232717316906229E-2</v>
          </cell>
          <cell r="AJ52">
            <v>0.31211498973305957</v>
          </cell>
          <cell r="AK52">
            <v>0</v>
          </cell>
          <cell r="AL52">
            <v>0</v>
          </cell>
          <cell r="AM52">
            <v>0</v>
          </cell>
          <cell r="AN52">
            <v>0</v>
          </cell>
          <cell r="AO52">
            <v>0</v>
          </cell>
          <cell r="AP52">
            <v>0</v>
          </cell>
          <cell r="AQ52">
            <v>0</v>
          </cell>
          <cell r="AR52">
            <v>0</v>
          </cell>
        </row>
        <row r="53">
          <cell r="B53" t="str">
            <v>FTA-2</v>
          </cell>
          <cell r="C53" t="str">
            <v>BBT 2</v>
          </cell>
          <cell r="D53" t="str">
            <v>BBT2</v>
          </cell>
          <cell r="E53" t="str">
            <v>ESHA15</v>
          </cell>
          <cell r="F53" t="str">
            <v>Jørgen Grinnes</v>
          </cell>
          <cell r="G53" t="str">
            <v>Anita Nordheim</v>
          </cell>
          <cell r="H53" t="str">
            <v xml:space="preserve">Prosjektets mandat er å gjøre Telenors BBT produkt enklere, sikrere og mer konkurransedyktig. I tillegg skal det legges til rette for kommende ekom-krav, samt tilbys attraktive bundler med Telenors ADSL portefølje.
</v>
          </cell>
          <cell r="I53" t="str">
            <v>VoIP Fase 1 / Siril Sætersdal 
Overlappende ansvar, krav og ressursbehov mellom fase 1 og fase 2 prosjektene.
Migrasjonsprosjektet /Kjersti Moldeklev  
Analyserer totalvirkningen av migrasjon fra fast til mobil og BBT. Må taes hensyn til i strategiarbeid</v>
          </cell>
          <cell r="J53" t="str">
            <v>Analyse&amp;Konsept</v>
          </cell>
          <cell r="K53" t="str">
            <v>B2</v>
          </cell>
          <cell r="L53" t="str">
            <v>til utvikling</v>
          </cell>
          <cell r="N53" t="str">
            <v>Norge</v>
          </cell>
          <cell r="O53" t="str">
            <v>Tale</v>
          </cell>
          <cell r="P53">
            <v>100</v>
          </cell>
          <cell r="Q53">
            <v>0</v>
          </cell>
          <cell r="R53">
            <v>0</v>
          </cell>
          <cell r="S53">
            <v>0</v>
          </cell>
          <cell r="T53">
            <v>0</v>
          </cell>
          <cell r="U53">
            <v>0</v>
          </cell>
          <cell r="V53">
            <v>38596</v>
          </cell>
          <cell r="W53">
            <v>38991</v>
          </cell>
          <cell r="X53" t="str">
            <v>Ja</v>
          </cell>
          <cell r="Y53" t="str">
            <v>Fixed</v>
          </cell>
          <cell r="Z53" t="str">
            <v>TA</v>
          </cell>
          <cell r="AB53" t="str">
            <v>2</v>
          </cell>
          <cell r="AC53" t="str">
            <v>FTA</v>
          </cell>
          <cell r="AE53">
            <v>38596</v>
          </cell>
          <cell r="AF53">
            <v>38991</v>
          </cell>
          <cell r="AG53">
            <v>1.0814510609171799</v>
          </cell>
          <cell r="AH53">
            <v>0</v>
          </cell>
          <cell r="AI53">
            <v>7.5949367088607597E-2</v>
          </cell>
          <cell r="AJ53">
            <v>0.30886075949367087</v>
          </cell>
          <cell r="AK53">
            <v>0</v>
          </cell>
          <cell r="AL53">
            <v>0</v>
          </cell>
          <cell r="AM53">
            <v>0</v>
          </cell>
          <cell r="AN53">
            <v>0</v>
          </cell>
          <cell r="AO53">
            <v>0</v>
          </cell>
          <cell r="AP53">
            <v>0</v>
          </cell>
          <cell r="AQ53">
            <v>0</v>
          </cell>
          <cell r="AR53">
            <v>0</v>
          </cell>
        </row>
        <row r="54">
          <cell r="B54" t="str">
            <v>FTA-3</v>
          </cell>
          <cell r="C54" t="str">
            <v>Glocalnet kundecase</v>
          </cell>
          <cell r="D54" t="str">
            <v>Glocalnet</v>
          </cell>
          <cell r="E54">
            <v>0</v>
          </cell>
          <cell r="F54" t="str">
            <v>nn</v>
          </cell>
          <cell r="G54" t="str">
            <v>nn</v>
          </cell>
          <cell r="H54" t="str">
            <v xml:space="preserve">Telenors största kund Glocalnet är ute i upphandling avseende sin Voicetrafik. Kund efterfrågar ny funktionalitet som vi offererat. Tjänsterna är IA undantagslista, Röstbrevlåda, Statistik samt utveckling av beställningsgränssnitt. 
</v>
          </cell>
          <cell r="I54" t="str">
            <v>Att telenor tecknar avtal med Glocalnet</v>
          </cell>
          <cell r="J54" t="str">
            <v>Analyse&amp;Konsept</v>
          </cell>
          <cell r="K54" t="str">
            <v>B2</v>
          </cell>
          <cell r="L54" t="str">
            <v>til utvikling</v>
          </cell>
          <cell r="N54" t="str">
            <v>Sverige</v>
          </cell>
          <cell r="O54" t="str">
            <v>Tale</v>
          </cell>
          <cell r="P54">
            <v>0</v>
          </cell>
          <cell r="Q54">
            <v>0.68</v>
          </cell>
          <cell r="R54">
            <v>0</v>
          </cell>
          <cell r="S54">
            <v>0</v>
          </cell>
          <cell r="T54">
            <v>0</v>
          </cell>
          <cell r="U54">
            <v>0</v>
          </cell>
          <cell r="V54">
            <v>38991</v>
          </cell>
          <cell r="W54">
            <v>38718</v>
          </cell>
          <cell r="X54" t="str">
            <v>Ja</v>
          </cell>
          <cell r="Y54" t="str">
            <v>Fixed</v>
          </cell>
          <cell r="Z54" t="str">
            <v>TA</v>
          </cell>
          <cell r="AB54" t="str">
            <v>3</v>
          </cell>
          <cell r="AC54" t="str">
            <v>FTA</v>
          </cell>
          <cell r="AE54">
            <v>38991</v>
          </cell>
          <cell r="AF54">
            <v>39356.25</v>
          </cell>
          <cell r="AG54">
            <v>1</v>
          </cell>
          <cell r="AH54">
            <v>0</v>
          </cell>
          <cell r="AI54">
            <v>0</v>
          </cell>
          <cell r="AJ54">
            <v>0</v>
          </cell>
          <cell r="AK54">
            <v>0</v>
          </cell>
          <cell r="AL54">
            <v>0</v>
          </cell>
          <cell r="AM54">
            <v>0</v>
          </cell>
          <cell r="AN54">
            <v>0</v>
          </cell>
          <cell r="AO54">
            <v>0</v>
          </cell>
          <cell r="AP54">
            <v>0</v>
          </cell>
          <cell r="AQ54">
            <v>0</v>
          </cell>
          <cell r="AR54">
            <v>0</v>
          </cell>
        </row>
        <row r="55">
          <cell r="B55" t="str">
            <v>FTA-4</v>
          </cell>
          <cell r="C55" t="str">
            <v>Nordic IPT</v>
          </cell>
          <cell r="D55" t="str">
            <v>NordicIPT</v>
          </cell>
          <cell r="E55">
            <v>0</v>
          </cell>
          <cell r="F55" t="str">
            <v>Jørgen Grinnes</v>
          </cell>
          <cell r="G55" t="str">
            <v>Per Inge Bjerksether</v>
          </cell>
          <cell r="H55" t="str">
            <v>Flere større nordiske kunder er i gang med å vurdere nordiske IP-løsninger. Det er også behov for å etablere nasjonale løsninger for IP-Telefoni i  Sverige og Danmark. Prosjektet vil underbygge Telenors nordiske strategi, og vil være et tiltak for å kunne</v>
          </cell>
          <cell r="I55" t="str">
            <v xml:space="preserve">Nordic Connect fordi den er dette som er infrastruktur for IP-telefoni i Norden
</v>
          </cell>
          <cell r="J55" t="str">
            <v>Analyse&amp;Konsept</v>
          </cell>
          <cell r="K55" t="str">
            <v>B2</v>
          </cell>
          <cell r="L55" t="str">
            <v>til utvikling</v>
          </cell>
          <cell r="N55" t="str">
            <v>Nordisk</v>
          </cell>
          <cell r="O55" t="str">
            <v>Tale</v>
          </cell>
          <cell r="P55">
            <v>38</v>
          </cell>
          <cell r="Q55">
            <v>23</v>
          </cell>
          <cell r="R55">
            <v>0</v>
          </cell>
          <cell r="S55">
            <v>13300</v>
          </cell>
          <cell r="T55">
            <v>10800</v>
          </cell>
          <cell r="U55">
            <v>0</v>
          </cell>
          <cell r="V55">
            <v>38626</v>
          </cell>
          <cell r="W55" t="str">
            <v xml:space="preserve"> </v>
          </cell>
          <cell r="X55" t="str">
            <v>Ja</v>
          </cell>
          <cell r="Y55" t="str">
            <v>Fixed</v>
          </cell>
          <cell r="Z55" t="str">
            <v>TA</v>
          </cell>
          <cell r="AB55" t="str">
            <v>4</v>
          </cell>
          <cell r="AC55" t="str">
            <v>FTA</v>
          </cell>
          <cell r="AE55">
            <v>38626</v>
          </cell>
          <cell r="AF55">
            <v>38991.25</v>
          </cell>
          <cell r="AG55">
            <v>1</v>
          </cell>
          <cell r="AH55">
            <v>0</v>
          </cell>
          <cell r="AI55">
            <v>0</v>
          </cell>
          <cell r="AJ55">
            <v>0.2518822724161533</v>
          </cell>
          <cell r="AK55">
            <v>13300</v>
          </cell>
          <cell r="AL55">
            <v>10800</v>
          </cell>
          <cell r="AM55">
            <v>0</v>
          </cell>
          <cell r="AN55">
            <v>3350.0342231348391</v>
          </cell>
          <cell r="AO55">
            <v>2720.3285420944558</v>
          </cell>
          <cell r="AP55">
            <v>0</v>
          </cell>
          <cell r="AQ55">
            <v>6070.3627652292944</v>
          </cell>
          <cell r="AR55">
            <v>1.4911663909802485E-2</v>
          </cell>
        </row>
        <row r="56">
          <cell r="B56" t="str">
            <v>FTA-5</v>
          </cell>
          <cell r="C56" t="str">
            <v>IPT Fase 2</v>
          </cell>
          <cell r="D56" t="str">
            <v>IPTFase2</v>
          </cell>
          <cell r="E56" t="str">
            <v>XX0429</v>
          </cell>
          <cell r="F56" t="str">
            <v>Jørgen Grinnes</v>
          </cell>
          <cell r="G56" t="str">
            <v>Jan Stolpestad</v>
          </cell>
          <cell r="H56" t="str">
            <v>IP-telefoni for bedriftsmarkedet fase II bygger videre på verdikjedene og IT-løsningene fra IP-telefoni for bedriftsmarkedet fase I (prosjekt IP Link).
IP-telefoni for bedriftsmarkedet ble lansert i desember 2004. Hensikten med fase II er å sikre en størr</v>
          </cell>
          <cell r="I56" t="str">
            <v xml:space="preserve">IP-telefoni for bedriftsmarkedet fase II utvikler grunnfunksjonalitet som kan gjenbrukes av IPT Nordic og VoIA. </v>
          </cell>
          <cell r="J56" t="str">
            <v>Gjennomføring</v>
          </cell>
          <cell r="K56" t="str">
            <v>etter B2</v>
          </cell>
          <cell r="L56" t="str">
            <v>i utvikling</v>
          </cell>
          <cell r="N56" t="str">
            <v>Norge</v>
          </cell>
          <cell r="O56" t="str">
            <v>Tale</v>
          </cell>
          <cell r="P56">
            <v>2.7429999999999999</v>
          </cell>
          <cell r="Q56">
            <v>3.76</v>
          </cell>
          <cell r="R56">
            <v>0</v>
          </cell>
          <cell r="S56">
            <v>950</v>
          </cell>
          <cell r="T56">
            <v>60</v>
          </cell>
          <cell r="U56">
            <v>576</v>
          </cell>
          <cell r="V56">
            <v>38492</v>
          </cell>
          <cell r="W56">
            <v>38692</v>
          </cell>
          <cell r="X56" t="str">
            <v>Ja</v>
          </cell>
          <cell r="Y56" t="str">
            <v>Fixed</v>
          </cell>
          <cell r="Z56" t="str">
            <v>TA</v>
          </cell>
          <cell r="AB56" t="str">
            <v>5</v>
          </cell>
          <cell r="AC56" t="str">
            <v>FTA</v>
          </cell>
          <cell r="AE56">
            <v>38492</v>
          </cell>
          <cell r="AF56">
            <v>38692</v>
          </cell>
          <cell r="AG56">
            <v>0.54757015742642023</v>
          </cell>
          <cell r="AH56">
            <v>0.21</v>
          </cell>
          <cell r="AI56">
            <v>0.67</v>
          </cell>
          <cell r="AJ56">
            <v>1</v>
          </cell>
          <cell r="AK56">
            <v>750.5</v>
          </cell>
          <cell r="AL56">
            <v>47.400000000000006</v>
          </cell>
          <cell r="AM56">
            <v>455.04</v>
          </cell>
          <cell r="AN56">
            <v>313.49999999999994</v>
          </cell>
          <cell r="AO56">
            <v>19.799999999999997</v>
          </cell>
          <cell r="AP56">
            <v>190.07999999999998</v>
          </cell>
          <cell r="AQ56">
            <v>713.45999999999992</v>
          </cell>
          <cell r="AR56">
            <v>1.7525930730246599E-3</v>
          </cell>
        </row>
        <row r="57">
          <cell r="B57" t="str">
            <v>FTA-6</v>
          </cell>
          <cell r="C57" t="str">
            <v>Nordic kontaktsenter</v>
          </cell>
          <cell r="D57" t="str">
            <v>NordiskKontaktsenter</v>
          </cell>
          <cell r="E57">
            <v>0</v>
          </cell>
          <cell r="F57" t="str">
            <v>Morten Huseby</v>
          </cell>
          <cell r="G57" t="str">
            <v>Mette Kristine Kanestrøm</v>
          </cell>
          <cell r="H57" t="str">
            <v>NCC shall provide a hosted Contact Centre Solution to Telenor Customers in Norway, Sweden and Denmark. The Contact Centre solution shall provide customers with a Multi channel queue and distribution service for all customer interactions that require manua</v>
          </cell>
          <cell r="I57" t="str">
            <v>OSP = debitering trafikk/fakturasgrunnlag
Nordic Connect/Nordic IPT = aksess/ruting i Norden</v>
          </cell>
          <cell r="J57" t="str">
            <v>Analyse&amp;Konsept</v>
          </cell>
          <cell r="K57" t="str">
            <v>B2</v>
          </cell>
          <cell r="L57" t="str">
            <v>til utvikling</v>
          </cell>
          <cell r="N57" t="str">
            <v>Nordisk</v>
          </cell>
          <cell r="O57" t="str">
            <v>Tale</v>
          </cell>
          <cell r="P57">
            <v>18.5</v>
          </cell>
          <cell r="Q57">
            <v>10</v>
          </cell>
          <cell r="R57">
            <v>0</v>
          </cell>
          <cell r="S57">
            <v>0</v>
          </cell>
          <cell r="T57">
            <v>0</v>
          </cell>
          <cell r="U57">
            <v>0</v>
          </cell>
          <cell r="V57">
            <v>38518</v>
          </cell>
          <cell r="W57">
            <v>38777</v>
          </cell>
          <cell r="X57" t="str">
            <v>Ja</v>
          </cell>
          <cell r="Y57" t="str">
            <v>Fixed</v>
          </cell>
          <cell r="Z57" t="str">
            <v>TA</v>
          </cell>
          <cell r="AB57" t="str">
            <v>6</v>
          </cell>
          <cell r="AC57" t="str">
            <v>FTA</v>
          </cell>
          <cell r="AE57">
            <v>38518</v>
          </cell>
          <cell r="AF57">
            <v>38777</v>
          </cell>
          <cell r="AG57">
            <v>0.70910335386721424</v>
          </cell>
          <cell r="AH57">
            <v>6.1776061776061778E-2</v>
          </cell>
          <cell r="AI57">
            <v>0.41698841698841699</v>
          </cell>
          <cell r="AJ57">
            <v>0.77220077220077221</v>
          </cell>
          <cell r="AK57">
            <v>0</v>
          </cell>
          <cell r="AL57">
            <v>0</v>
          </cell>
          <cell r="AM57">
            <v>0</v>
          </cell>
          <cell r="AN57">
            <v>0</v>
          </cell>
          <cell r="AO57">
            <v>0</v>
          </cell>
          <cell r="AP57">
            <v>0</v>
          </cell>
          <cell r="AQ57">
            <v>0</v>
          </cell>
          <cell r="AR57">
            <v>0</v>
          </cell>
        </row>
        <row r="58">
          <cell r="B58" t="str">
            <v>FTA-7</v>
          </cell>
          <cell r="C58" t="str">
            <v>TIP (Telenor interpris)</v>
          </cell>
          <cell r="D58" t="str">
            <v>TIP</v>
          </cell>
          <cell r="E58">
            <v>0</v>
          </cell>
          <cell r="F58" t="str">
            <v>Ingelin Drøpping</v>
          </cell>
          <cell r="G58" t="str">
            <v>Jan Inge Aas Eidem</v>
          </cell>
          <cell r="H58" t="str">
            <v>Telenor Bedriftmarkedet har i dag en hel rekke løsninger for kundens interne taletrafikk (Ring Internt, Mobil Aksess (MA), Proffnett, Vip-nett), samtidig som ingen av løsningene er konkurransedyktige i markedet. Det er derfor et behov for å etablere en fe</v>
          </cell>
          <cell r="I58">
            <v>0</v>
          </cell>
          <cell r="J58" t="str">
            <v>Analyse&amp;Konsept</v>
          </cell>
          <cell r="K58" t="str">
            <v>B2</v>
          </cell>
          <cell r="L58" t="str">
            <v>til utvikling</v>
          </cell>
          <cell r="N58" t="str">
            <v>Norge</v>
          </cell>
          <cell r="O58" t="str">
            <v>Tale</v>
          </cell>
          <cell r="P58">
            <v>50</v>
          </cell>
          <cell r="Q58">
            <v>2</v>
          </cell>
          <cell r="R58">
            <v>3</v>
          </cell>
          <cell r="S58">
            <v>0</v>
          </cell>
          <cell r="T58">
            <v>0</v>
          </cell>
          <cell r="U58">
            <v>0</v>
          </cell>
          <cell r="V58">
            <v>38533</v>
          </cell>
          <cell r="W58">
            <v>0</v>
          </cell>
          <cell r="X58" t="str">
            <v>Ja</v>
          </cell>
          <cell r="Y58" t="str">
            <v>Fixed</v>
          </cell>
          <cell r="Z58" t="str">
            <v>TA</v>
          </cell>
          <cell r="AB58" t="str">
            <v>7</v>
          </cell>
          <cell r="AC58" t="str">
            <v>FTA</v>
          </cell>
          <cell r="AE58">
            <v>38533</v>
          </cell>
          <cell r="AF58">
            <v>38898.25</v>
          </cell>
          <cell r="AG58">
            <v>1</v>
          </cell>
          <cell r="AH58">
            <v>2.7378507871321013E-3</v>
          </cell>
          <cell r="AI58">
            <v>0.25462012320328542</v>
          </cell>
          <cell r="AJ58">
            <v>0.50650239561943877</v>
          </cell>
          <cell r="AK58">
            <v>0</v>
          </cell>
          <cell r="AL58">
            <v>0</v>
          </cell>
          <cell r="AM58">
            <v>0</v>
          </cell>
          <cell r="AN58">
            <v>0</v>
          </cell>
          <cell r="AO58">
            <v>0</v>
          </cell>
          <cell r="AP58">
            <v>0</v>
          </cell>
          <cell r="AQ58">
            <v>0</v>
          </cell>
          <cell r="AR58">
            <v>0</v>
          </cell>
        </row>
        <row r="59">
          <cell r="B59" t="str">
            <v>FTA-8</v>
          </cell>
          <cell r="C59" t="str">
            <v>IN på geografiske nummer</v>
          </cell>
          <cell r="D59" t="str">
            <v>INpåGeografiskeNummer</v>
          </cell>
          <cell r="E59">
            <v>0</v>
          </cell>
          <cell r="F59" t="str">
            <v>Tor Marstein</v>
          </cell>
          <cell r="G59">
            <v>0</v>
          </cell>
          <cell r="H59" t="str">
            <v xml:space="preserve">Går inn på markeder som distanserer oss fra typiske VØT leverandører som åpner nye markeder som Telenor ikke er inne på. Verdiøker en risikoutsatt portefølje som vi pr. i dag bare kan diversifisere på pris og rabatt avtaler. </v>
          </cell>
          <cell r="I59">
            <v>0</v>
          </cell>
          <cell r="J59" t="str">
            <v>Nytt prosjekt</v>
          </cell>
          <cell r="K59" t="str">
            <v>B1</v>
          </cell>
          <cell r="L59" t="str">
            <v>ny analyse</v>
          </cell>
          <cell r="N59" t="str">
            <v>Norge</v>
          </cell>
          <cell r="O59" t="str">
            <v>Tale</v>
          </cell>
          <cell r="P59">
            <v>0</v>
          </cell>
          <cell r="Q59">
            <v>0</v>
          </cell>
          <cell r="R59">
            <v>0</v>
          </cell>
          <cell r="S59">
            <v>0</v>
          </cell>
          <cell r="T59">
            <v>0</v>
          </cell>
          <cell r="U59">
            <v>0</v>
          </cell>
          <cell r="V59" t="str">
            <v xml:space="preserve"> </v>
          </cell>
          <cell r="W59">
            <v>38626</v>
          </cell>
          <cell r="X59" t="str">
            <v>Ja</v>
          </cell>
          <cell r="Y59" t="str">
            <v>Fixed</v>
          </cell>
          <cell r="Z59" t="str">
            <v>TA</v>
          </cell>
          <cell r="AB59" t="str">
            <v>8</v>
          </cell>
          <cell r="AC59" t="str">
            <v>FTA</v>
          </cell>
          <cell r="AE59">
            <v>38534</v>
          </cell>
          <cell r="AF59">
            <v>38899.25</v>
          </cell>
          <cell r="AG59">
            <v>1</v>
          </cell>
          <cell r="AH59">
            <v>0</v>
          </cell>
          <cell r="AI59">
            <v>0.2518822724161533</v>
          </cell>
          <cell r="AJ59">
            <v>0.50376454483230659</v>
          </cell>
          <cell r="AK59">
            <v>0</v>
          </cell>
          <cell r="AL59">
            <v>0</v>
          </cell>
          <cell r="AM59">
            <v>0</v>
          </cell>
          <cell r="AN59">
            <v>0</v>
          </cell>
          <cell r="AO59">
            <v>0</v>
          </cell>
          <cell r="AP59">
            <v>0</v>
          </cell>
          <cell r="AQ59">
            <v>0</v>
          </cell>
          <cell r="AR59">
            <v>0</v>
          </cell>
        </row>
        <row r="60">
          <cell r="B60" t="str">
            <v>FTA-9</v>
          </cell>
          <cell r="C60" t="str">
            <v>Respons</v>
          </cell>
          <cell r="D60" t="str">
            <v>Respons</v>
          </cell>
          <cell r="E60">
            <v>0</v>
          </cell>
          <cell r="F60" t="str">
            <v>Thor Steffensen</v>
          </cell>
          <cell r="G60">
            <v>0</v>
          </cell>
          <cell r="H60" t="str">
            <v>Nätbaserad talsvarstjänst med funktionalitet för intelligent samtalshantering av inkommande telefonitrafik. Tjänst som finns inom Telenor Nordic. Lansering kräver därmed begränsad investering. Tjänsten möjliggör merförsäljning på befintlig kundbas samt ny</v>
          </cell>
          <cell r="I60">
            <v>0</v>
          </cell>
          <cell r="J60" t="str">
            <v>Analyse&amp;Konsept</v>
          </cell>
          <cell r="K60" t="str">
            <v>B2</v>
          </cell>
          <cell r="L60" t="str">
            <v>til utvikling</v>
          </cell>
          <cell r="N60" t="str">
            <v>Sverige</v>
          </cell>
          <cell r="O60" t="str">
            <v>Tale</v>
          </cell>
          <cell r="P60">
            <v>0</v>
          </cell>
          <cell r="Q60">
            <v>0</v>
          </cell>
          <cell r="R60">
            <v>0</v>
          </cell>
          <cell r="S60">
            <v>0</v>
          </cell>
          <cell r="T60">
            <v>0</v>
          </cell>
          <cell r="U60">
            <v>0</v>
          </cell>
          <cell r="V60" t="str">
            <v xml:space="preserve"> </v>
          </cell>
          <cell r="W60" t="str">
            <v xml:space="preserve"> </v>
          </cell>
          <cell r="X60" t="str">
            <v>Ja</v>
          </cell>
          <cell r="Y60" t="str">
            <v>Fixed</v>
          </cell>
          <cell r="Z60" t="str">
            <v>TA</v>
          </cell>
          <cell r="AB60" t="str">
            <v>9</v>
          </cell>
          <cell r="AC60" t="str">
            <v>FTA</v>
          </cell>
          <cell r="AE60">
            <v>38534</v>
          </cell>
          <cell r="AF60">
            <v>38899.25</v>
          </cell>
          <cell r="AG60">
            <v>1</v>
          </cell>
          <cell r="AH60">
            <v>0</v>
          </cell>
          <cell r="AI60">
            <v>0.2518822724161533</v>
          </cell>
          <cell r="AJ60">
            <v>0.50376454483230659</v>
          </cell>
          <cell r="AK60">
            <v>0</v>
          </cell>
          <cell r="AL60">
            <v>0</v>
          </cell>
          <cell r="AM60">
            <v>0</v>
          </cell>
          <cell r="AN60">
            <v>0</v>
          </cell>
          <cell r="AO60">
            <v>0</v>
          </cell>
          <cell r="AP60">
            <v>0</v>
          </cell>
          <cell r="AQ60">
            <v>0</v>
          </cell>
          <cell r="AR60">
            <v>0</v>
          </cell>
        </row>
        <row r="61">
          <cell r="B61" t="str">
            <v>FTA-10</v>
          </cell>
          <cell r="C61" t="str">
            <v>Telefonipris bredbåndskunder</v>
          </cell>
          <cell r="D61" t="str">
            <v>TelefoniprisBredbåndskunde</v>
          </cell>
          <cell r="E61">
            <v>0</v>
          </cell>
          <cell r="F61" t="str">
            <v>Kjersti Moldeklev</v>
          </cell>
          <cell r="G61" t="str">
            <v>Hans Nerdrum</v>
          </cell>
          <cell r="H61" t="str">
            <v>Det er sannsynlig at det vil bli stilt krav (fra PT) om en rabatt på telefoniproduktet når kunden samtidig har xDSL. Dette kravet må forventes fremmet både for wholesale og egne sluttkunder - uavhengig av hvem som er kundens  xDSL bredbåndsleverandør.  Pr</v>
          </cell>
          <cell r="I61">
            <v>0</v>
          </cell>
          <cell r="J61" t="str">
            <v>Nytt prosjekt</v>
          </cell>
          <cell r="K61" t="str">
            <v>B2</v>
          </cell>
          <cell r="L61" t="str">
            <v>til utvikling</v>
          </cell>
          <cell r="N61" t="str">
            <v>Norge</v>
          </cell>
          <cell r="O61" t="str">
            <v>Tale</v>
          </cell>
          <cell r="P61">
            <v>0</v>
          </cell>
          <cell r="Q61">
            <v>0.8</v>
          </cell>
          <cell r="R61">
            <v>0</v>
          </cell>
          <cell r="S61">
            <v>0</v>
          </cell>
          <cell r="T61">
            <v>0</v>
          </cell>
          <cell r="U61">
            <v>0</v>
          </cell>
          <cell r="V61">
            <v>38626</v>
          </cell>
          <cell r="W61">
            <v>38777</v>
          </cell>
          <cell r="X61" t="str">
            <v>Ja</v>
          </cell>
          <cell r="Y61" t="str">
            <v>Fixed</v>
          </cell>
          <cell r="Z61" t="str">
            <v>TA</v>
          </cell>
          <cell r="AB61" t="str">
            <v>10</v>
          </cell>
          <cell r="AC61" t="str">
            <v>FTA</v>
          </cell>
          <cell r="AE61">
            <v>38626</v>
          </cell>
          <cell r="AF61">
            <v>38777</v>
          </cell>
          <cell r="AG61">
            <v>0.4134154688569473</v>
          </cell>
          <cell r="AH61">
            <v>0</v>
          </cell>
          <cell r="AI61">
            <v>0</v>
          </cell>
          <cell r="AJ61">
            <v>0.60927152317880795</v>
          </cell>
          <cell r="AK61">
            <v>0</v>
          </cell>
          <cell r="AL61">
            <v>0</v>
          </cell>
          <cell r="AM61">
            <v>0</v>
          </cell>
          <cell r="AN61">
            <v>0</v>
          </cell>
          <cell r="AO61">
            <v>0</v>
          </cell>
          <cell r="AP61">
            <v>0</v>
          </cell>
          <cell r="AQ61">
            <v>0</v>
          </cell>
          <cell r="AR61">
            <v>0</v>
          </cell>
        </row>
        <row r="62">
          <cell r="B62" t="str">
            <v>FTA-11</v>
          </cell>
          <cell r="C62" t="str">
            <v>Mulitkanal kontaktsenter</v>
          </cell>
          <cell r="D62" t="str">
            <v>MultikanalKontaktsenter</v>
          </cell>
          <cell r="E62">
            <v>0</v>
          </cell>
          <cell r="F62">
            <v>0</v>
          </cell>
          <cell r="G62">
            <v>0</v>
          </cell>
          <cell r="H62">
            <v>0</v>
          </cell>
          <cell r="I62">
            <v>0</v>
          </cell>
          <cell r="J62" t="str">
            <v>Nytt prosjekt</v>
          </cell>
          <cell r="K62" t="str">
            <v>B1</v>
          </cell>
          <cell r="L62" t="str">
            <v>ny analyse</v>
          </cell>
          <cell r="N62" t="str">
            <v>Norge</v>
          </cell>
          <cell r="O62" t="str">
            <v>Tale</v>
          </cell>
          <cell r="P62">
            <v>0</v>
          </cell>
          <cell r="Q62">
            <v>0</v>
          </cell>
          <cell r="R62">
            <v>0</v>
          </cell>
          <cell r="S62">
            <v>0</v>
          </cell>
          <cell r="T62">
            <v>0</v>
          </cell>
          <cell r="U62">
            <v>0</v>
          </cell>
          <cell r="V62" t="str">
            <v xml:space="preserve"> </v>
          </cell>
          <cell r="W62" t="str">
            <v xml:space="preserve"> </v>
          </cell>
          <cell r="X62" t="str">
            <v>Ja</v>
          </cell>
          <cell r="Y62" t="str">
            <v>Fixed</v>
          </cell>
          <cell r="Z62" t="str">
            <v>TA</v>
          </cell>
          <cell r="AB62" t="str">
            <v>11</v>
          </cell>
          <cell r="AC62" t="str">
            <v>FTA</v>
          </cell>
          <cell r="AE62">
            <v>38534</v>
          </cell>
          <cell r="AF62">
            <v>38899.25</v>
          </cell>
          <cell r="AG62">
            <v>1</v>
          </cell>
          <cell r="AH62">
            <v>0</v>
          </cell>
          <cell r="AI62">
            <v>0.2518822724161533</v>
          </cell>
          <cell r="AJ62">
            <v>0.50376454483230659</v>
          </cell>
          <cell r="AK62">
            <v>0</v>
          </cell>
          <cell r="AL62">
            <v>0</v>
          </cell>
          <cell r="AM62">
            <v>0</v>
          </cell>
          <cell r="AN62">
            <v>0</v>
          </cell>
          <cell r="AO62">
            <v>0</v>
          </cell>
          <cell r="AP62">
            <v>0</v>
          </cell>
          <cell r="AQ62">
            <v>0</v>
          </cell>
          <cell r="AR62">
            <v>0</v>
          </cell>
        </row>
        <row r="63">
          <cell r="B63" t="str">
            <v>FTA-12</v>
          </cell>
          <cell r="C63" t="str">
            <v>Virtuell PABX</v>
          </cell>
          <cell r="D63" t="str">
            <v>VirtuellPABX</v>
          </cell>
          <cell r="E63">
            <v>0</v>
          </cell>
          <cell r="F63">
            <v>0</v>
          </cell>
          <cell r="G63">
            <v>0</v>
          </cell>
          <cell r="H63">
            <v>0</v>
          </cell>
          <cell r="I63">
            <v>0</v>
          </cell>
          <cell r="J63" t="str">
            <v>Nytt prosjekt</v>
          </cell>
          <cell r="K63" t="str">
            <v>B1</v>
          </cell>
          <cell r="L63" t="str">
            <v>ny analyse</v>
          </cell>
          <cell r="N63" t="str">
            <v>Norge</v>
          </cell>
          <cell r="O63" t="str">
            <v>Tale</v>
          </cell>
          <cell r="P63">
            <v>0</v>
          </cell>
          <cell r="Q63">
            <v>0</v>
          </cell>
          <cell r="R63">
            <v>0</v>
          </cell>
          <cell r="S63">
            <v>0</v>
          </cell>
          <cell r="T63">
            <v>0</v>
          </cell>
          <cell r="U63">
            <v>0</v>
          </cell>
          <cell r="V63" t="str">
            <v xml:space="preserve"> </v>
          </cell>
          <cell r="W63" t="str">
            <v xml:space="preserve"> </v>
          </cell>
          <cell r="X63" t="str">
            <v>Ja</v>
          </cell>
          <cell r="Y63" t="str">
            <v>Fixed</v>
          </cell>
          <cell r="Z63" t="str">
            <v>TA</v>
          </cell>
          <cell r="AB63" t="str">
            <v>12</v>
          </cell>
          <cell r="AC63" t="str">
            <v>FTA</v>
          </cell>
          <cell r="AE63">
            <v>38534</v>
          </cell>
          <cell r="AF63">
            <v>38899.25</v>
          </cell>
          <cell r="AG63">
            <v>1</v>
          </cell>
          <cell r="AH63">
            <v>0</v>
          </cell>
          <cell r="AI63">
            <v>0.2518822724161533</v>
          </cell>
          <cell r="AJ63">
            <v>0.50376454483230659</v>
          </cell>
          <cell r="AK63">
            <v>0</v>
          </cell>
          <cell r="AL63">
            <v>0</v>
          </cell>
          <cell r="AM63">
            <v>0</v>
          </cell>
          <cell r="AN63">
            <v>0</v>
          </cell>
          <cell r="AO63">
            <v>0</v>
          </cell>
          <cell r="AP63">
            <v>0</v>
          </cell>
          <cell r="AQ63">
            <v>0</v>
          </cell>
          <cell r="AR63">
            <v>0</v>
          </cell>
        </row>
        <row r="64">
          <cell r="B64" t="str">
            <v>FTA-13</v>
          </cell>
          <cell r="C64" t="str">
            <v>VOIA (Sverige)</v>
          </cell>
          <cell r="D64" t="str">
            <v>VOIASverige</v>
          </cell>
          <cell r="E64">
            <v>0</v>
          </cell>
          <cell r="F64">
            <v>0</v>
          </cell>
          <cell r="G64">
            <v>0</v>
          </cell>
          <cell r="H64">
            <v>0</v>
          </cell>
          <cell r="I64">
            <v>0</v>
          </cell>
          <cell r="J64" t="str">
            <v>Nytt prosjekt</v>
          </cell>
          <cell r="K64" t="str">
            <v>B1</v>
          </cell>
          <cell r="L64" t="str">
            <v>ny analyse</v>
          </cell>
          <cell r="N64" t="str">
            <v>Sverige</v>
          </cell>
          <cell r="O64" t="str">
            <v>Tale</v>
          </cell>
          <cell r="P64">
            <v>0</v>
          </cell>
          <cell r="Q64">
            <v>0</v>
          </cell>
          <cell r="R64">
            <v>0</v>
          </cell>
          <cell r="S64">
            <v>0</v>
          </cell>
          <cell r="T64">
            <v>0</v>
          </cell>
          <cell r="U64">
            <v>0</v>
          </cell>
          <cell r="V64" t="str">
            <v xml:space="preserve"> </v>
          </cell>
          <cell r="W64" t="str">
            <v xml:space="preserve"> </v>
          </cell>
          <cell r="X64" t="str">
            <v>Ja</v>
          </cell>
          <cell r="Y64" t="str">
            <v>Fixed</v>
          </cell>
          <cell r="Z64" t="str">
            <v>TA</v>
          </cell>
          <cell r="AB64" t="str">
            <v>13</v>
          </cell>
          <cell r="AC64" t="str">
            <v>FTA</v>
          </cell>
          <cell r="AE64">
            <v>38534</v>
          </cell>
          <cell r="AF64">
            <v>38899.25</v>
          </cell>
          <cell r="AG64">
            <v>1</v>
          </cell>
          <cell r="AH64">
            <v>0</v>
          </cell>
          <cell r="AI64">
            <v>0.2518822724161533</v>
          </cell>
          <cell r="AJ64">
            <v>0.50376454483230659</v>
          </cell>
          <cell r="AK64">
            <v>0</v>
          </cell>
          <cell r="AL64">
            <v>0</v>
          </cell>
          <cell r="AM64">
            <v>0</v>
          </cell>
          <cell r="AN64">
            <v>0</v>
          </cell>
          <cell r="AO64">
            <v>0</v>
          </cell>
          <cell r="AP64">
            <v>0</v>
          </cell>
          <cell r="AQ64">
            <v>0</v>
          </cell>
          <cell r="AR64">
            <v>0</v>
          </cell>
        </row>
        <row r="65">
          <cell r="B65" t="str">
            <v>FTA-14</v>
          </cell>
          <cell r="C65" t="str">
            <v>Geoporteering</v>
          </cell>
          <cell r="D65" t="str">
            <v>Geoporteering</v>
          </cell>
          <cell r="E65" t="str">
            <v>FAZ010</v>
          </cell>
          <cell r="F65" t="str">
            <v>Ola Giørtz</v>
          </cell>
          <cell r="G65" t="str">
            <v>Trygve Godheim</v>
          </cell>
          <cell r="H65" t="str">
            <v xml:space="preserve">Det viktige er å kunne tilby Geografisk portering på lik linje som våre konkurrenter og samtidig forhindre migrasjon til mobil og IP-telefonløsninger. 
I tillegg vil en fjerne manuelle rutiner i KS og dermed forhindre inkonsistens i støttesystemene.
</v>
          </cell>
          <cell r="I65" t="str">
            <v>Nei</v>
          </cell>
          <cell r="J65" t="str">
            <v>Gjennomføring</v>
          </cell>
          <cell r="K65" t="str">
            <v>etter B2</v>
          </cell>
          <cell r="L65" t="str">
            <v>i utvikling</v>
          </cell>
          <cell r="N65" t="str">
            <v>Norge</v>
          </cell>
          <cell r="O65" t="str">
            <v>Tale</v>
          </cell>
          <cell r="P65">
            <v>7</v>
          </cell>
          <cell r="Q65">
            <v>2.8</v>
          </cell>
          <cell r="R65">
            <v>1</v>
          </cell>
          <cell r="S65">
            <v>0</v>
          </cell>
          <cell r="T65">
            <v>0</v>
          </cell>
          <cell r="U65">
            <v>0</v>
          </cell>
          <cell r="V65" t="str">
            <v xml:space="preserve"> </v>
          </cell>
          <cell r="W65">
            <v>38626</v>
          </cell>
          <cell r="X65" t="str">
            <v>Ja</v>
          </cell>
          <cell r="Y65" t="str">
            <v>Fixed</v>
          </cell>
          <cell r="Z65" t="str">
            <v>TA</v>
          </cell>
          <cell r="AB65" t="str">
            <v>14</v>
          </cell>
          <cell r="AC65" t="str">
            <v>FTA</v>
          </cell>
          <cell r="AE65">
            <v>38534</v>
          </cell>
          <cell r="AF65">
            <v>38899.25</v>
          </cell>
          <cell r="AG65">
            <v>1</v>
          </cell>
          <cell r="AH65">
            <v>0</v>
          </cell>
          <cell r="AI65">
            <v>0.2518822724161533</v>
          </cell>
          <cell r="AJ65">
            <v>0.50376454483230659</v>
          </cell>
          <cell r="AK65">
            <v>0</v>
          </cell>
          <cell r="AL65">
            <v>0</v>
          </cell>
          <cell r="AM65">
            <v>0</v>
          </cell>
          <cell r="AN65">
            <v>0</v>
          </cell>
          <cell r="AO65">
            <v>0</v>
          </cell>
          <cell r="AP65">
            <v>0</v>
          </cell>
          <cell r="AQ65">
            <v>0</v>
          </cell>
          <cell r="AR65">
            <v>0</v>
          </cell>
        </row>
        <row r="66">
          <cell r="B66" t="str">
            <v>FTA-15</v>
          </cell>
          <cell r="C66" t="str">
            <v>VoIP på 3dje parts nett</v>
          </cell>
          <cell r="D66" t="str">
            <v>VoIPpå3djePartsNett</v>
          </cell>
          <cell r="E66">
            <v>0</v>
          </cell>
          <cell r="F66">
            <v>0</v>
          </cell>
          <cell r="G66">
            <v>0</v>
          </cell>
          <cell r="H66">
            <v>0</v>
          </cell>
          <cell r="I66">
            <v>0</v>
          </cell>
          <cell r="J66" t="str">
            <v>Nytt prosjekt</v>
          </cell>
          <cell r="K66" t="str">
            <v>B1</v>
          </cell>
          <cell r="L66" t="str">
            <v>ny analyse</v>
          </cell>
          <cell r="N66" t="str">
            <v>Norge</v>
          </cell>
          <cell r="O66" t="str">
            <v>Tale</v>
          </cell>
          <cell r="P66">
            <v>0</v>
          </cell>
          <cell r="Q66">
            <v>0</v>
          </cell>
          <cell r="R66">
            <v>0</v>
          </cell>
          <cell r="S66">
            <v>0</v>
          </cell>
          <cell r="T66">
            <v>0</v>
          </cell>
          <cell r="U66">
            <v>0</v>
          </cell>
          <cell r="V66" t="str">
            <v xml:space="preserve"> </v>
          </cell>
          <cell r="W66" t="str">
            <v xml:space="preserve"> </v>
          </cell>
          <cell r="X66" t="str">
            <v>Ja</v>
          </cell>
          <cell r="Y66" t="str">
            <v>Fixed</v>
          </cell>
          <cell r="Z66" t="str">
            <v>TA</v>
          </cell>
          <cell r="AB66" t="str">
            <v>15</v>
          </cell>
          <cell r="AC66" t="str">
            <v>FTA</v>
          </cell>
          <cell r="AE66">
            <v>38534</v>
          </cell>
          <cell r="AF66">
            <v>38899.25</v>
          </cell>
          <cell r="AG66">
            <v>1</v>
          </cell>
          <cell r="AH66">
            <v>0</v>
          </cell>
          <cell r="AI66">
            <v>0.2518822724161533</v>
          </cell>
          <cell r="AJ66">
            <v>0.50376454483230659</v>
          </cell>
          <cell r="AK66">
            <v>0</v>
          </cell>
          <cell r="AL66">
            <v>0</v>
          </cell>
          <cell r="AM66">
            <v>0</v>
          </cell>
          <cell r="AN66">
            <v>0</v>
          </cell>
          <cell r="AO66">
            <v>0</v>
          </cell>
          <cell r="AP66">
            <v>0</v>
          </cell>
          <cell r="AQ66">
            <v>0</v>
          </cell>
          <cell r="AR66">
            <v>0</v>
          </cell>
        </row>
        <row r="67">
          <cell r="B67" t="str">
            <v>FTA-16</v>
          </cell>
          <cell r="C67" t="str">
            <v>Ruting selvbetjening</v>
          </cell>
          <cell r="D67" t="str">
            <v>RutingSelvbetjening</v>
          </cell>
          <cell r="E67">
            <v>0</v>
          </cell>
          <cell r="F67">
            <v>0</v>
          </cell>
          <cell r="G67">
            <v>0</v>
          </cell>
          <cell r="H67">
            <v>0</v>
          </cell>
          <cell r="I67">
            <v>0</v>
          </cell>
          <cell r="J67" t="str">
            <v>Nytt prosjekt</v>
          </cell>
          <cell r="K67" t="str">
            <v>B1</v>
          </cell>
          <cell r="L67" t="str">
            <v>ny analyse</v>
          </cell>
          <cell r="N67" t="str">
            <v>Norge</v>
          </cell>
          <cell r="O67" t="str">
            <v>Tale</v>
          </cell>
          <cell r="P67">
            <v>0</v>
          </cell>
          <cell r="Q67">
            <v>0</v>
          </cell>
          <cell r="R67">
            <v>0</v>
          </cell>
          <cell r="S67">
            <v>0</v>
          </cell>
          <cell r="T67">
            <v>0</v>
          </cell>
          <cell r="U67">
            <v>0</v>
          </cell>
          <cell r="V67" t="str">
            <v xml:space="preserve"> </v>
          </cell>
          <cell r="W67" t="str">
            <v xml:space="preserve"> </v>
          </cell>
          <cell r="X67" t="str">
            <v>Ja</v>
          </cell>
          <cell r="Y67" t="str">
            <v>Fixed</v>
          </cell>
          <cell r="Z67" t="str">
            <v>TA</v>
          </cell>
          <cell r="AB67" t="str">
            <v>16</v>
          </cell>
          <cell r="AC67" t="str">
            <v>FTA</v>
          </cell>
          <cell r="AE67">
            <v>38534</v>
          </cell>
          <cell r="AF67">
            <v>38899.25</v>
          </cell>
          <cell r="AG67">
            <v>1</v>
          </cell>
          <cell r="AH67">
            <v>0</v>
          </cell>
          <cell r="AI67">
            <v>0.2518822724161533</v>
          </cell>
          <cell r="AJ67">
            <v>0.50376454483230659</v>
          </cell>
          <cell r="AK67">
            <v>0</v>
          </cell>
          <cell r="AL67">
            <v>0</v>
          </cell>
          <cell r="AM67">
            <v>0</v>
          </cell>
          <cell r="AN67">
            <v>0</v>
          </cell>
          <cell r="AO67">
            <v>0</v>
          </cell>
          <cell r="AP67">
            <v>0</v>
          </cell>
          <cell r="AQ67">
            <v>0</v>
          </cell>
          <cell r="AR67">
            <v>0</v>
          </cell>
        </row>
        <row r="68">
          <cell r="B68" t="str">
            <v>FTA-17</v>
          </cell>
          <cell r="C68" t="str">
            <v>Ruting selvbetjening (Sverige)</v>
          </cell>
          <cell r="D68" t="str">
            <v>RutingSelvbetjeningSverige</v>
          </cell>
          <cell r="E68">
            <v>0</v>
          </cell>
          <cell r="F68">
            <v>0</v>
          </cell>
          <cell r="G68">
            <v>0</v>
          </cell>
          <cell r="H68">
            <v>0</v>
          </cell>
          <cell r="I68">
            <v>0</v>
          </cell>
          <cell r="J68" t="str">
            <v>Nytt prosjekt</v>
          </cell>
          <cell r="K68" t="str">
            <v>B1</v>
          </cell>
          <cell r="L68" t="str">
            <v>ny analyse</v>
          </cell>
          <cell r="N68" t="str">
            <v>Sverige</v>
          </cell>
          <cell r="O68" t="str">
            <v>Tale</v>
          </cell>
          <cell r="P68">
            <v>0</v>
          </cell>
          <cell r="Q68">
            <v>0</v>
          </cell>
          <cell r="R68">
            <v>0</v>
          </cell>
          <cell r="S68">
            <v>0</v>
          </cell>
          <cell r="T68">
            <v>0</v>
          </cell>
          <cell r="U68">
            <v>0</v>
          </cell>
          <cell r="V68" t="str">
            <v xml:space="preserve"> </v>
          </cell>
          <cell r="W68" t="str">
            <v xml:space="preserve"> </v>
          </cell>
          <cell r="X68" t="str">
            <v>Ja</v>
          </cell>
          <cell r="Y68" t="str">
            <v>Fixed</v>
          </cell>
          <cell r="Z68" t="str">
            <v>TA</v>
          </cell>
          <cell r="AB68" t="str">
            <v>17</v>
          </cell>
          <cell r="AC68" t="str">
            <v>FTA</v>
          </cell>
          <cell r="AE68">
            <v>38534</v>
          </cell>
          <cell r="AF68">
            <v>38899.25</v>
          </cell>
          <cell r="AG68">
            <v>1</v>
          </cell>
          <cell r="AH68">
            <v>0</v>
          </cell>
          <cell r="AI68">
            <v>0.2518822724161533</v>
          </cell>
          <cell r="AJ68">
            <v>0.50376454483230659</v>
          </cell>
          <cell r="AK68">
            <v>0</v>
          </cell>
          <cell r="AL68">
            <v>0</v>
          </cell>
          <cell r="AM68">
            <v>0</v>
          </cell>
          <cell r="AN68">
            <v>0</v>
          </cell>
          <cell r="AO68">
            <v>0</v>
          </cell>
          <cell r="AP68">
            <v>0</v>
          </cell>
          <cell r="AQ68">
            <v>0</v>
          </cell>
          <cell r="AR68">
            <v>0</v>
          </cell>
        </row>
        <row r="69">
          <cell r="B69" t="str">
            <v>FTA-18</v>
          </cell>
          <cell r="C69" t="str">
            <v>TRAP/Soa Bedriftsløsninger</v>
          </cell>
          <cell r="D69" t="str">
            <v>TRAPSOA</v>
          </cell>
          <cell r="E69">
            <v>0</v>
          </cell>
          <cell r="F69" t="str">
            <v>Hanne Huitfelt</v>
          </cell>
          <cell r="G69" t="str">
            <v>Petter Levin</v>
          </cell>
          <cell r="H69">
            <v>0</v>
          </cell>
          <cell r="I69">
            <v>0</v>
          </cell>
          <cell r="J69" t="str">
            <v>Gjennomføring</v>
          </cell>
          <cell r="K69" t="str">
            <v>etter B2</v>
          </cell>
          <cell r="L69" t="str">
            <v>i utvikling</v>
          </cell>
          <cell r="N69" t="str">
            <v>Norge</v>
          </cell>
          <cell r="O69" t="str">
            <v>Tale</v>
          </cell>
          <cell r="P69">
            <v>0</v>
          </cell>
          <cell r="Q69">
            <v>0</v>
          </cell>
          <cell r="R69">
            <v>0</v>
          </cell>
          <cell r="S69">
            <v>0</v>
          </cell>
          <cell r="T69">
            <v>0</v>
          </cell>
          <cell r="U69">
            <v>0</v>
          </cell>
          <cell r="V69" t="str">
            <v xml:space="preserve"> </v>
          </cell>
          <cell r="W69">
            <v>38548</v>
          </cell>
          <cell r="X69" t="str">
            <v>Nei</v>
          </cell>
          <cell r="Y69" t="str">
            <v>Fixed</v>
          </cell>
          <cell r="Z69" t="str">
            <v>TA</v>
          </cell>
          <cell r="AB69" t="str">
            <v>18</v>
          </cell>
          <cell r="AC69" t="str">
            <v>FTA</v>
          </cell>
          <cell r="AE69">
            <v>38534</v>
          </cell>
          <cell r="AF69">
            <v>38899.25</v>
          </cell>
          <cell r="AG69">
            <v>1</v>
          </cell>
          <cell r="AH69">
            <v>0</v>
          </cell>
          <cell r="AI69">
            <v>0.2518822724161533</v>
          </cell>
          <cell r="AJ69">
            <v>0.50376454483230659</v>
          </cell>
          <cell r="AK69">
            <v>0</v>
          </cell>
          <cell r="AL69">
            <v>0</v>
          </cell>
          <cell r="AM69">
            <v>0</v>
          </cell>
          <cell r="AN69">
            <v>0</v>
          </cell>
          <cell r="AO69">
            <v>0</v>
          </cell>
          <cell r="AP69">
            <v>0</v>
          </cell>
          <cell r="AQ69">
            <v>0</v>
          </cell>
          <cell r="AR69">
            <v>0</v>
          </cell>
        </row>
        <row r="70">
          <cell r="B70" t="str">
            <v>FTA-19</v>
          </cell>
          <cell r="C70" t="str">
            <v>Managed Voice Services</v>
          </cell>
          <cell r="D70" t="str">
            <v>ManagedVoiceServices</v>
          </cell>
          <cell r="E70">
            <v>0</v>
          </cell>
          <cell r="F70">
            <v>0</v>
          </cell>
          <cell r="G70">
            <v>0</v>
          </cell>
          <cell r="H70" t="str">
            <v>Tjänst som innebär att Telenor tar helhetsåtagande gällande drift och underhåll av kundens telefonimiljö, växel inkl. stödsystem. Tjänsten innebär ett steg upp i värdekedjan mot befintlig produktportfölj inom telefoniområdet där Telenor med denna tjänst a</v>
          </cell>
          <cell r="I70">
            <v>0</v>
          </cell>
          <cell r="J70" t="str">
            <v>Nytt prosjekt</v>
          </cell>
          <cell r="K70" t="str">
            <v>B1</v>
          </cell>
          <cell r="L70" t="str">
            <v>ny analyse</v>
          </cell>
          <cell r="N70" t="str">
            <v>Sverige</v>
          </cell>
          <cell r="O70" t="str">
            <v>Tale</v>
          </cell>
          <cell r="P70">
            <v>0</v>
          </cell>
          <cell r="Q70">
            <v>0</v>
          </cell>
          <cell r="R70">
            <v>0</v>
          </cell>
          <cell r="S70">
            <v>0</v>
          </cell>
          <cell r="T70">
            <v>0</v>
          </cell>
          <cell r="U70">
            <v>0</v>
          </cell>
          <cell r="V70" t="str">
            <v xml:space="preserve"> </v>
          </cell>
          <cell r="W70" t="str">
            <v xml:space="preserve"> </v>
          </cell>
          <cell r="X70" t="str">
            <v>Ja</v>
          </cell>
          <cell r="Y70" t="str">
            <v>Fixed</v>
          </cell>
          <cell r="Z70" t="str">
            <v>TA</v>
          </cell>
          <cell r="AB70" t="str">
            <v>19</v>
          </cell>
          <cell r="AC70" t="str">
            <v>FTA</v>
          </cell>
          <cell r="AE70">
            <v>38534</v>
          </cell>
          <cell r="AF70">
            <v>38899.25</v>
          </cell>
          <cell r="AG70">
            <v>1</v>
          </cell>
          <cell r="AH70">
            <v>0</v>
          </cell>
          <cell r="AI70">
            <v>0.2518822724161533</v>
          </cell>
          <cell r="AJ70">
            <v>0.50376454483230659</v>
          </cell>
          <cell r="AK70">
            <v>0</v>
          </cell>
          <cell r="AL70">
            <v>0</v>
          </cell>
          <cell r="AM70">
            <v>0</v>
          </cell>
          <cell r="AN70">
            <v>0</v>
          </cell>
          <cell r="AO70">
            <v>0</v>
          </cell>
          <cell r="AP70">
            <v>0</v>
          </cell>
          <cell r="AQ70">
            <v>0</v>
          </cell>
          <cell r="AR70">
            <v>0</v>
          </cell>
        </row>
        <row r="71">
          <cell r="B71" t="str">
            <v>FTA-20</v>
          </cell>
          <cell r="C71" t="str">
            <v xml:space="preserve">IA rutin (förbättra processerna för befintlig </v>
          </cell>
          <cell r="D71" t="str">
            <v>IARutin</v>
          </cell>
          <cell r="E71">
            <v>0</v>
          </cell>
          <cell r="F71">
            <v>0</v>
          </cell>
          <cell r="G71">
            <v>0</v>
          </cell>
          <cell r="H71">
            <v>0</v>
          </cell>
          <cell r="I71">
            <v>0</v>
          </cell>
          <cell r="J71" t="str">
            <v>Nytt prosjekt</v>
          </cell>
          <cell r="K71" t="str">
            <v>B1</v>
          </cell>
          <cell r="L71" t="str">
            <v>ny analyse</v>
          </cell>
          <cell r="N71" t="str">
            <v>Sverige</v>
          </cell>
          <cell r="O71" t="str">
            <v>Tale</v>
          </cell>
          <cell r="P71">
            <v>0</v>
          </cell>
          <cell r="Q71">
            <v>0</v>
          </cell>
          <cell r="R71">
            <v>0</v>
          </cell>
          <cell r="S71">
            <v>0</v>
          </cell>
          <cell r="T71">
            <v>0</v>
          </cell>
          <cell r="U71">
            <v>0</v>
          </cell>
          <cell r="V71" t="str">
            <v xml:space="preserve"> </v>
          </cell>
          <cell r="W71" t="str">
            <v xml:space="preserve"> </v>
          </cell>
          <cell r="X71" t="str">
            <v>Ja</v>
          </cell>
          <cell r="Y71" t="str">
            <v>Fixed</v>
          </cell>
          <cell r="Z71" t="str">
            <v>TA</v>
          </cell>
          <cell r="AB71" t="str">
            <v>20</v>
          </cell>
          <cell r="AC71" t="str">
            <v>FTA</v>
          </cell>
          <cell r="AE71">
            <v>38534</v>
          </cell>
          <cell r="AF71">
            <v>38899.25</v>
          </cell>
          <cell r="AG71">
            <v>1</v>
          </cell>
          <cell r="AH71">
            <v>0</v>
          </cell>
          <cell r="AI71">
            <v>0.2518822724161533</v>
          </cell>
          <cell r="AJ71">
            <v>0.50376454483230659</v>
          </cell>
          <cell r="AK71">
            <v>0</v>
          </cell>
          <cell r="AL71">
            <v>0</v>
          </cell>
          <cell r="AM71">
            <v>0</v>
          </cell>
          <cell r="AN71">
            <v>0</v>
          </cell>
          <cell r="AO71">
            <v>0</v>
          </cell>
          <cell r="AP71">
            <v>0</v>
          </cell>
          <cell r="AQ71">
            <v>0</v>
          </cell>
          <cell r="AR71">
            <v>0</v>
          </cell>
        </row>
        <row r="72">
          <cell r="B72" t="str">
            <v>FTA-21</v>
          </cell>
          <cell r="C72" t="str">
            <v>Telia Analoga Abonnemang</v>
          </cell>
          <cell r="D72" t="str">
            <v>TeliaAnalogaabonnemang</v>
          </cell>
          <cell r="E72">
            <v>0</v>
          </cell>
          <cell r="F72">
            <v>0</v>
          </cell>
          <cell r="G72">
            <v>0</v>
          </cell>
          <cell r="H72">
            <v>0</v>
          </cell>
          <cell r="I72">
            <v>0</v>
          </cell>
          <cell r="J72" t="str">
            <v>Nytt prosjekt</v>
          </cell>
          <cell r="K72" t="str">
            <v>B1</v>
          </cell>
          <cell r="L72" t="str">
            <v>ny analyse</v>
          </cell>
          <cell r="N72" t="str">
            <v>Sverige</v>
          </cell>
          <cell r="O72" t="str">
            <v>Tale</v>
          </cell>
          <cell r="P72">
            <v>0</v>
          </cell>
          <cell r="Q72">
            <v>0</v>
          </cell>
          <cell r="R72">
            <v>0</v>
          </cell>
          <cell r="S72">
            <v>0</v>
          </cell>
          <cell r="T72">
            <v>0</v>
          </cell>
          <cell r="U72">
            <v>0</v>
          </cell>
          <cell r="V72" t="str">
            <v xml:space="preserve"> </v>
          </cell>
          <cell r="W72" t="str">
            <v xml:space="preserve"> </v>
          </cell>
          <cell r="X72" t="str">
            <v>Ja</v>
          </cell>
          <cell r="Y72" t="str">
            <v>Fixed</v>
          </cell>
          <cell r="Z72" t="str">
            <v>TA</v>
          </cell>
          <cell r="AB72" t="str">
            <v>21</v>
          </cell>
          <cell r="AC72" t="str">
            <v>FTA</v>
          </cell>
          <cell r="AE72">
            <v>38534</v>
          </cell>
          <cell r="AF72">
            <v>38899.25</v>
          </cell>
          <cell r="AG72">
            <v>1</v>
          </cell>
          <cell r="AH72">
            <v>0</v>
          </cell>
          <cell r="AI72">
            <v>0.2518822724161533</v>
          </cell>
          <cell r="AJ72">
            <v>0.50376454483230659</v>
          </cell>
          <cell r="AK72">
            <v>0</v>
          </cell>
          <cell r="AL72">
            <v>0</v>
          </cell>
          <cell r="AM72">
            <v>0</v>
          </cell>
          <cell r="AN72">
            <v>0</v>
          </cell>
          <cell r="AO72">
            <v>0</v>
          </cell>
          <cell r="AP72">
            <v>0</v>
          </cell>
          <cell r="AQ72">
            <v>0</v>
          </cell>
          <cell r="AR72">
            <v>0</v>
          </cell>
        </row>
        <row r="73">
          <cell r="B73" t="str">
            <v>FTA-22</v>
          </cell>
          <cell r="C73" t="str">
            <v>MAO</v>
          </cell>
          <cell r="D73" t="str">
            <v>MAO</v>
          </cell>
          <cell r="E73">
            <v>0</v>
          </cell>
          <cell r="F73">
            <v>0</v>
          </cell>
          <cell r="G73">
            <v>0</v>
          </cell>
          <cell r="H73">
            <v>0</v>
          </cell>
          <cell r="I73">
            <v>0</v>
          </cell>
          <cell r="J73" t="str">
            <v>Nytt prosjekt</v>
          </cell>
          <cell r="K73" t="str">
            <v>B1</v>
          </cell>
          <cell r="L73" t="str">
            <v>ny analyse</v>
          </cell>
          <cell r="N73" t="str">
            <v>Norge</v>
          </cell>
          <cell r="O73" t="str">
            <v>Tale</v>
          </cell>
          <cell r="P73">
            <v>0</v>
          </cell>
          <cell r="Q73">
            <v>0</v>
          </cell>
          <cell r="R73">
            <v>0</v>
          </cell>
          <cell r="S73">
            <v>0</v>
          </cell>
          <cell r="T73">
            <v>0</v>
          </cell>
          <cell r="U73">
            <v>0</v>
          </cell>
          <cell r="V73" t="str">
            <v xml:space="preserve"> </v>
          </cell>
          <cell r="W73" t="str">
            <v xml:space="preserve"> </v>
          </cell>
          <cell r="X73" t="str">
            <v>Ja</v>
          </cell>
          <cell r="Y73" t="str">
            <v>Fixed</v>
          </cell>
          <cell r="Z73" t="str">
            <v>TA</v>
          </cell>
          <cell r="AB73" t="str">
            <v>22</v>
          </cell>
          <cell r="AC73" t="str">
            <v>FTA</v>
          </cell>
          <cell r="AE73">
            <v>38534</v>
          </cell>
          <cell r="AF73">
            <v>38899.25</v>
          </cell>
          <cell r="AG73">
            <v>1</v>
          </cell>
          <cell r="AH73">
            <v>0</v>
          </cell>
          <cell r="AI73">
            <v>0.2518822724161533</v>
          </cell>
          <cell r="AJ73">
            <v>0.50376454483230659</v>
          </cell>
          <cell r="AK73">
            <v>0</v>
          </cell>
          <cell r="AL73">
            <v>0</v>
          </cell>
          <cell r="AM73">
            <v>0</v>
          </cell>
          <cell r="AN73">
            <v>0</v>
          </cell>
          <cell r="AO73">
            <v>0</v>
          </cell>
          <cell r="AP73">
            <v>0</v>
          </cell>
          <cell r="AQ73">
            <v>0</v>
          </cell>
          <cell r="AR73">
            <v>0</v>
          </cell>
        </row>
        <row r="74">
          <cell r="B74" t="str">
            <v>FTA-23</v>
          </cell>
          <cell r="C74" t="str">
            <v>SPA VMS Fixed</v>
          </cell>
          <cell r="D74" t="str">
            <v>SPAVMS</v>
          </cell>
          <cell r="E74" t="str">
            <v>FAX-019</v>
          </cell>
          <cell r="F74" t="str">
            <v>Jan Hoffmann</v>
          </cell>
          <cell r="G74" t="str">
            <v>Knut Hellesvik</v>
          </cell>
          <cell r="H74" t="str">
            <v>KL besluttet 26.01.05 å gjennomføre konsolideringer av VMS-plattformer i Norden. Ansvaret for konsolideringen er lagt til Telenor Nordic Mobile som dermed også er tillagt ansvar for fremtidig produksjon av VMS produkter i Norden. 
PersonSvar-kunder skal f</v>
          </cell>
          <cell r="I74" t="str">
            <v>IT-leveransen OMS 6.0 og Jara NetBusiness leveranse i november.
Ny svareplattform må være klar (Mobilprosj).
OE forutsatte uttak av gevinst fra konsolidering av plattformer fra jan. 2006</v>
          </cell>
          <cell r="J74" t="str">
            <v>Analyse&amp;Konsept</v>
          </cell>
          <cell r="K74" t="str">
            <v>B2</v>
          </cell>
          <cell r="L74" t="str">
            <v>til utvikling</v>
          </cell>
          <cell r="N74" t="str">
            <v>Norge</v>
          </cell>
          <cell r="O74" t="str">
            <v>Tale</v>
          </cell>
          <cell r="P74">
            <v>-0.22</v>
          </cell>
          <cell r="Q74">
            <v>2.4239999999999999</v>
          </cell>
          <cell r="R74">
            <v>1.5</v>
          </cell>
          <cell r="S74">
            <v>2300</v>
          </cell>
          <cell r="T74">
            <v>230</v>
          </cell>
          <cell r="U74">
            <v>0</v>
          </cell>
          <cell r="V74">
            <v>38517</v>
          </cell>
          <cell r="W74">
            <v>38718</v>
          </cell>
          <cell r="X74" t="str">
            <v>Ja</v>
          </cell>
          <cell r="Y74" t="str">
            <v>Fixed</v>
          </cell>
          <cell r="Z74" t="str">
            <v>TA</v>
          </cell>
          <cell r="AB74" t="str">
            <v>23</v>
          </cell>
          <cell r="AC74" t="str">
            <v>FTA</v>
          </cell>
          <cell r="AE74">
            <v>38517</v>
          </cell>
          <cell r="AF74">
            <v>38718</v>
          </cell>
          <cell r="AG74">
            <v>0.55030800821355241</v>
          </cell>
          <cell r="AH74">
            <v>8.45771144278607E-2</v>
          </cell>
          <cell r="AI74">
            <v>0.54228855721393032</v>
          </cell>
          <cell r="AJ74">
            <v>1</v>
          </cell>
          <cell r="AK74">
            <v>2105.4726368159204</v>
          </cell>
          <cell r="AL74">
            <v>210.54726368159206</v>
          </cell>
          <cell r="AM74">
            <v>0</v>
          </cell>
          <cell r="AN74">
            <v>1052.7363184079602</v>
          </cell>
          <cell r="AO74">
            <v>105.27363184079603</v>
          </cell>
          <cell r="AP74">
            <v>0</v>
          </cell>
          <cell r="AQ74">
            <v>1158.0099502487562</v>
          </cell>
          <cell r="AR74">
            <v>2.8446166811027965E-3</v>
          </cell>
        </row>
        <row r="75">
          <cell r="B75" t="str">
            <v>FBB-1</v>
          </cell>
          <cell r="C75" t="str">
            <v>ADSL 1 av 5 i 6: Portefølje Q42005</v>
          </cell>
          <cell r="D75" t="str">
            <v>ADSLportefølje</v>
          </cell>
          <cell r="E75" t="str">
            <v>FA024/FA027</v>
          </cell>
          <cell r="F75" t="str">
            <v>Frode Saastad</v>
          </cell>
          <cell r="G75" t="str">
            <v>Jan Erik Berg</v>
          </cell>
          <cell r="H75" t="str">
            <v>Prosjektet skal sikrer konkurransedyktig i ADSL-porteføljen til inntil Q4 2006 i både Privat, Bedrift og WS-markedet. Ta en ledende produktposisjon – utligne hastighet/pris, bygge videre på differensiatorer. Viktige elementer i porteføljen:
* Må ta en and</v>
          </cell>
          <cell r="I75" t="str">
            <v xml:space="preserve">Flow 2.4.1 (Mulig dette prosjektet kjøres i linjen)
</v>
          </cell>
          <cell r="J75" t="str">
            <v>Analyse&amp;Konsept</v>
          </cell>
          <cell r="K75" t="str">
            <v>Etter B2</v>
          </cell>
          <cell r="L75" t="str">
            <v>i utvikling</v>
          </cell>
          <cell r="N75" t="str">
            <v>N consumer</v>
          </cell>
          <cell r="O75" t="str">
            <v>PU aksess</v>
          </cell>
          <cell r="P75">
            <v>100</v>
          </cell>
          <cell r="Q75">
            <v>15</v>
          </cell>
          <cell r="R75">
            <v>0</v>
          </cell>
          <cell r="S75">
            <v>11600</v>
          </cell>
          <cell r="T75">
            <v>5000</v>
          </cell>
          <cell r="U75">
            <v>0</v>
          </cell>
          <cell r="V75">
            <v>38534</v>
          </cell>
          <cell r="W75">
            <v>38640</v>
          </cell>
          <cell r="X75" t="str">
            <v>Ja</v>
          </cell>
          <cell r="Y75" t="str">
            <v>Fixed</v>
          </cell>
          <cell r="Z75" t="str">
            <v>BB</v>
          </cell>
          <cell r="AB75" t="str">
            <v>1</v>
          </cell>
          <cell r="AC75" t="str">
            <v>FBB</v>
          </cell>
          <cell r="AE75">
            <v>38534</v>
          </cell>
          <cell r="AF75">
            <v>38640</v>
          </cell>
          <cell r="AG75">
            <v>0.29021218343600275</v>
          </cell>
          <cell r="AH75">
            <v>0</v>
          </cell>
          <cell r="AI75">
            <v>0.86792452830188682</v>
          </cell>
          <cell r="AJ75">
            <v>1</v>
          </cell>
          <cell r="AK75">
            <v>11600</v>
          </cell>
          <cell r="AL75">
            <v>5000</v>
          </cell>
          <cell r="AM75">
            <v>0</v>
          </cell>
          <cell r="AN75">
            <v>1532.0754716981128</v>
          </cell>
          <cell r="AO75">
            <v>660.37735849056594</v>
          </cell>
          <cell r="AP75">
            <v>0</v>
          </cell>
          <cell r="AQ75">
            <v>2192.4528301886785</v>
          </cell>
          <cell r="AR75">
            <v>5.385694563285943E-3</v>
          </cell>
        </row>
        <row r="76">
          <cell r="B76" t="str">
            <v>FBB-2</v>
          </cell>
          <cell r="C76" t="str">
            <v>CPE SOS (HW-strategi implementering)</v>
          </cell>
          <cell r="D76" t="str">
            <v>CPE</v>
          </cell>
          <cell r="E76" t="str">
            <v>FA020</v>
          </cell>
          <cell r="F76" t="str">
            <v>Trygve Jarholt</v>
          </cell>
          <cell r="G76" t="str">
            <v>Mette Slåtten</v>
          </cell>
          <cell r="H76" t="str">
            <v>Prosjektet retter seg mot privatmarked for bredbånd. Bakgrunnen for prosjektet er utredninger og resultat fra HW strategi. Hensikten til prosjektet er å realisere dagens målbildet for kundeutstyr, gjennomføre nødvendig oppryddingstiltak, samt tilrettelegg</v>
          </cell>
          <cell r="I76" t="str">
            <v xml:space="preserve">LAP.dhcp (egen PV kode) er et prosjekt knyttet opp til CPE SOS.
Remote Control er et delprosjekt av CPE SOS.
</v>
          </cell>
          <cell r="J76" t="str">
            <v>Analyse&amp;Konsept</v>
          </cell>
          <cell r="K76" t="str">
            <v>etter b2</v>
          </cell>
          <cell r="L76" t="str">
            <v>i utvikling</v>
          </cell>
          <cell r="N76" t="str">
            <v>N consumer</v>
          </cell>
          <cell r="O76" t="str">
            <v>hjemmenett</v>
          </cell>
          <cell r="P76">
            <v>20</v>
          </cell>
          <cell r="Q76">
            <v>15</v>
          </cell>
          <cell r="R76">
            <v>5</v>
          </cell>
          <cell r="S76">
            <v>23000</v>
          </cell>
          <cell r="T76">
            <v>5000</v>
          </cell>
          <cell r="U76">
            <v>300</v>
          </cell>
          <cell r="V76">
            <v>38579</v>
          </cell>
          <cell r="W76">
            <v>38869</v>
          </cell>
          <cell r="X76" t="str">
            <v>Ja</v>
          </cell>
          <cell r="Y76" t="str">
            <v>Fixed</v>
          </cell>
          <cell r="Z76" t="str">
            <v>BB</v>
          </cell>
          <cell r="AB76" t="str">
            <v>2</v>
          </cell>
          <cell r="AC76" t="str">
            <v>FBB</v>
          </cell>
          <cell r="AE76">
            <v>38579</v>
          </cell>
          <cell r="AF76">
            <v>38869</v>
          </cell>
          <cell r="AG76">
            <v>0.79397672826830934</v>
          </cell>
          <cell r="AH76">
            <v>0</v>
          </cell>
          <cell r="AI76">
            <v>0.16206896551724137</v>
          </cell>
          <cell r="AJ76">
            <v>0.47931034482758622</v>
          </cell>
          <cell r="AK76">
            <v>23000</v>
          </cell>
          <cell r="AL76">
            <v>5000</v>
          </cell>
          <cell r="AM76">
            <v>300</v>
          </cell>
          <cell r="AN76">
            <v>7296.5517241379312</v>
          </cell>
          <cell r="AO76">
            <v>1586.2068965517242</v>
          </cell>
          <cell r="AP76">
            <v>95.172413793103459</v>
          </cell>
          <cell r="AQ76">
            <v>9073.1034482758623</v>
          </cell>
          <cell r="AR76">
            <v>2.2287806260034806E-2</v>
          </cell>
        </row>
        <row r="77">
          <cell r="B77" t="str">
            <v>FBB-3</v>
          </cell>
          <cell r="C77" t="str">
            <v>TVoDSL</v>
          </cell>
          <cell r="D77" t="str">
            <v>TVoDSL</v>
          </cell>
          <cell r="E77" t="str">
            <v>FAA022</v>
          </cell>
          <cell r="F77" t="str">
            <v>Arild Hustad</v>
          </cell>
          <cell r="G77" t="str">
            <v>Bjørn Skogland</v>
          </cell>
          <cell r="H77" t="str">
            <v>Prosjektet gjøres for å befeste Telenors ledende stilling i det norske privatmarkedet. Gjennom TV over DSL er Telenor i posisjon til å forsvare markedsandeler på både bredbånd og TV. Telenor Nordic øker sine inntekter ved at det tilrettelegges for salg og</v>
          </cell>
          <cell r="I77" t="str">
            <v xml:space="preserve">BRUT: innføring av ethernettbaserte DSLAM og nytt IP-nett med multicast
ADSL2+: innføring av ADSL2+ prosesser
CPE: innføring av ADSL2+ modem, linjeautentisering og DHCP
</v>
          </cell>
          <cell r="J77" t="str">
            <v>Analyse&amp;Konsept</v>
          </cell>
          <cell r="K77" t="str">
            <v>etter B2</v>
          </cell>
          <cell r="L77" t="str">
            <v>i utvikling</v>
          </cell>
          <cell r="N77" t="str">
            <v>N consumer</v>
          </cell>
          <cell r="O77" t="str">
            <v>verdiøkning DSL</v>
          </cell>
          <cell r="P77">
            <v>26</v>
          </cell>
          <cell r="Q77">
            <v>32.299999999999997</v>
          </cell>
          <cell r="R77">
            <v>0</v>
          </cell>
          <cell r="S77">
            <v>0</v>
          </cell>
          <cell r="T77">
            <v>0</v>
          </cell>
          <cell r="U77">
            <v>0</v>
          </cell>
          <cell r="V77">
            <v>38499</v>
          </cell>
          <cell r="W77">
            <v>39052</v>
          </cell>
          <cell r="X77" t="str">
            <v>Ja</v>
          </cell>
          <cell r="Y77" t="str">
            <v>Fixed</v>
          </cell>
          <cell r="Z77" t="str">
            <v>BB</v>
          </cell>
          <cell r="AB77" t="str">
            <v>3</v>
          </cell>
          <cell r="AC77" t="str">
            <v>FBB</v>
          </cell>
          <cell r="AE77">
            <v>38499</v>
          </cell>
          <cell r="AF77">
            <v>39052</v>
          </cell>
          <cell r="AG77">
            <v>1.514031485284052</v>
          </cell>
          <cell r="AH77">
            <v>6.3291139240506333E-2</v>
          </cell>
          <cell r="AI77">
            <v>0.22965641952983726</v>
          </cell>
          <cell r="AJ77">
            <v>0.39602169981916818</v>
          </cell>
          <cell r="AK77">
            <v>0</v>
          </cell>
          <cell r="AL77">
            <v>0</v>
          </cell>
          <cell r="AM77">
            <v>0</v>
          </cell>
          <cell r="AN77">
            <v>0</v>
          </cell>
          <cell r="AO77">
            <v>0</v>
          </cell>
          <cell r="AP77">
            <v>0</v>
          </cell>
          <cell r="AQ77">
            <v>0</v>
          </cell>
          <cell r="AR77">
            <v>0</v>
          </cell>
        </row>
        <row r="78">
          <cell r="B78" t="str">
            <v>FBB-4</v>
          </cell>
          <cell r="C78" t="str">
            <v>Fremtidens ADSL-plattform</v>
          </cell>
          <cell r="D78" t="str">
            <v>FleksibelBåndbreddeADSL</v>
          </cell>
          <cell r="E78" t="str">
            <v>FAA036</v>
          </cell>
          <cell r="F78" t="str">
            <v>Trygve Jarholt</v>
          </cell>
          <cell r="G78" t="str">
            <v>Kjell Orskaug</v>
          </cell>
          <cell r="H78" t="str">
            <v>Telenor har en stor utfordring mhp ledetiden for å  endring av hastighetene på hele ADSL-portefølje. VI bruker i dag i 6-8 måneder på å oppgradere hele porteføljen, mens konkurrentene som Nextgentel kan endre hastighet på sine produkter tilsynelatende ove</v>
          </cell>
          <cell r="I78">
            <v>0</v>
          </cell>
          <cell r="J78" t="str">
            <v>Nytt prosjekt</v>
          </cell>
          <cell r="K78" t="str">
            <v>B1</v>
          </cell>
          <cell r="L78" t="str">
            <v>ny analyse</v>
          </cell>
          <cell r="N78" t="str">
            <v>N consumer</v>
          </cell>
          <cell r="O78" t="str">
            <v>PU aksess</v>
          </cell>
          <cell r="P78">
            <v>0</v>
          </cell>
          <cell r="Q78">
            <v>0</v>
          </cell>
          <cell r="R78">
            <v>0</v>
          </cell>
          <cell r="S78">
            <v>0</v>
          </cell>
          <cell r="T78">
            <v>0</v>
          </cell>
          <cell r="U78">
            <v>0</v>
          </cell>
          <cell r="V78">
            <v>38718</v>
          </cell>
          <cell r="W78">
            <v>38838</v>
          </cell>
          <cell r="X78" t="str">
            <v>Ja</v>
          </cell>
          <cell r="Y78" t="str">
            <v>Fixed</v>
          </cell>
          <cell r="Z78" t="str">
            <v>BB</v>
          </cell>
          <cell r="AB78" t="str">
            <v>4</v>
          </cell>
          <cell r="AC78" t="str">
            <v>FBB</v>
          </cell>
          <cell r="AE78">
            <v>38718</v>
          </cell>
          <cell r="AF78">
            <v>38838</v>
          </cell>
          <cell r="AG78">
            <v>0.32854209445585214</v>
          </cell>
          <cell r="AH78">
            <v>0</v>
          </cell>
          <cell r="AI78">
            <v>0</v>
          </cell>
          <cell r="AJ78">
            <v>0</v>
          </cell>
          <cell r="AK78">
            <v>0</v>
          </cell>
          <cell r="AL78">
            <v>0</v>
          </cell>
          <cell r="AM78">
            <v>0</v>
          </cell>
          <cell r="AN78">
            <v>0</v>
          </cell>
          <cell r="AO78">
            <v>0</v>
          </cell>
          <cell r="AP78">
            <v>0</v>
          </cell>
          <cell r="AQ78">
            <v>0</v>
          </cell>
          <cell r="AR78">
            <v>0</v>
          </cell>
        </row>
        <row r="79">
          <cell r="B79" t="str">
            <v>FBB-5</v>
          </cell>
          <cell r="C79" t="str">
            <v>ADSL rekrutteringsprodukt</v>
          </cell>
          <cell r="D79" t="str">
            <v>Rekruttringsprodukt</v>
          </cell>
          <cell r="E79" t="str">
            <v>FAA034</v>
          </cell>
          <cell r="F79" t="str">
            <v>Trygve Jarholt</v>
          </cell>
          <cell r="G79" t="str">
            <v>Tom singdahlse</v>
          </cell>
          <cell r="H79" t="str">
            <v>Telenor har en meget svak posisjonpå bredbåndssiden i segmentet unge/etablerende (20-30% markedsandel) og spesielt i byområder hvor konkurransen er størst. Det er behov for å tilrettelegge produkter, distribusjon og branding for styrke posisjon i dette se</v>
          </cell>
          <cell r="I79" t="str">
            <v>City strategi og OnlineHomes.
Prosjektene ser på strategier mot By og Boligsammenslutninger</v>
          </cell>
          <cell r="J79" t="str">
            <v>Analyse&amp;Konsept</v>
          </cell>
          <cell r="K79" t="str">
            <v>B2</v>
          </cell>
          <cell r="L79" t="str">
            <v>til utvikling</v>
          </cell>
          <cell r="N79" t="str">
            <v>N consumer</v>
          </cell>
          <cell r="O79" t="str">
            <v>verdiøkning DSL</v>
          </cell>
          <cell r="P79">
            <v>0</v>
          </cell>
          <cell r="Q79">
            <v>0</v>
          </cell>
          <cell r="R79">
            <v>1</v>
          </cell>
          <cell r="S79">
            <v>0</v>
          </cell>
          <cell r="T79">
            <v>0</v>
          </cell>
          <cell r="U79">
            <v>0</v>
          </cell>
          <cell r="V79">
            <v>38718</v>
          </cell>
          <cell r="W79">
            <v>38838</v>
          </cell>
          <cell r="X79" t="str">
            <v>Ja</v>
          </cell>
          <cell r="Y79" t="str">
            <v>Fixed</v>
          </cell>
          <cell r="Z79" t="str">
            <v>BB</v>
          </cell>
          <cell r="AB79" t="str">
            <v>5</v>
          </cell>
          <cell r="AC79" t="str">
            <v>FBB</v>
          </cell>
          <cell r="AE79">
            <v>38718</v>
          </cell>
          <cell r="AF79">
            <v>38838</v>
          </cell>
          <cell r="AG79">
            <v>0.32854209445585214</v>
          </cell>
          <cell r="AH79">
            <v>0</v>
          </cell>
          <cell r="AI79">
            <v>0</v>
          </cell>
          <cell r="AJ79">
            <v>0</v>
          </cell>
          <cell r="AK79">
            <v>0</v>
          </cell>
          <cell r="AL79">
            <v>0</v>
          </cell>
          <cell r="AM79">
            <v>0</v>
          </cell>
          <cell r="AN79">
            <v>0</v>
          </cell>
          <cell r="AO79">
            <v>0</v>
          </cell>
          <cell r="AP79">
            <v>0</v>
          </cell>
          <cell r="AQ79">
            <v>0</v>
          </cell>
          <cell r="AR79">
            <v>0</v>
          </cell>
        </row>
        <row r="80">
          <cell r="B80" t="str">
            <v>FBB-6</v>
          </cell>
          <cell r="C80" t="str">
            <v>MIKS - Utfasing av Mobilpost</v>
          </cell>
          <cell r="D80" t="str">
            <v>MIKS</v>
          </cell>
          <cell r="E80">
            <v>0</v>
          </cell>
          <cell r="F80" t="str">
            <v>Frode Saastad</v>
          </cell>
          <cell r="G80" t="str">
            <v>Arve Fjellseth</v>
          </cell>
          <cell r="H80" t="str">
            <v>Nordic Mobile skal utfase sin Mobilpost, men ønsker firtsatt å tilby en e.post løsning til sine kunder.  Fixed etablerer derfor et gratis e-post produkt basert på Nextmail plattformen.  Telenor kan dermed tilby et ensartet e-post produkt med felles online</v>
          </cell>
          <cell r="I80" t="str">
            <v>Delta 4 i Mobil SPA programmet.  Produktet som utvikles skal erstatte MobilPost, som er vedtatt utfaset som en del av Delta 4 besluttning.</v>
          </cell>
          <cell r="J80" t="str">
            <v>Nytt prosjekt</v>
          </cell>
          <cell r="K80" t="str">
            <v>B2</v>
          </cell>
          <cell r="L80" t="str">
            <v>til utvikling</v>
          </cell>
          <cell r="N80" t="str">
            <v>N consumer</v>
          </cell>
          <cell r="O80" t="str">
            <v>D&amp;L</v>
          </cell>
          <cell r="P80">
            <v>0</v>
          </cell>
          <cell r="Q80">
            <v>0.7</v>
          </cell>
          <cell r="R80">
            <v>0</v>
          </cell>
          <cell r="S80">
            <v>1160</v>
          </cell>
          <cell r="T80">
            <v>60</v>
          </cell>
          <cell r="U80">
            <v>0</v>
          </cell>
          <cell r="V80">
            <v>38626</v>
          </cell>
          <cell r="W80">
            <v>38777</v>
          </cell>
          <cell r="X80" t="str">
            <v>Ja</v>
          </cell>
          <cell r="Y80" t="str">
            <v>Fixed</v>
          </cell>
          <cell r="Z80" t="str">
            <v>BB</v>
          </cell>
          <cell r="AB80" t="str">
            <v>6</v>
          </cell>
          <cell r="AC80" t="str">
            <v>FBB</v>
          </cell>
          <cell r="AE80">
            <v>38626</v>
          </cell>
          <cell r="AF80">
            <v>38777</v>
          </cell>
          <cell r="AG80">
            <v>0.4134154688569473</v>
          </cell>
          <cell r="AH80">
            <v>0</v>
          </cell>
          <cell r="AI80">
            <v>0</v>
          </cell>
          <cell r="AJ80">
            <v>0.60927152317880795</v>
          </cell>
          <cell r="AK80">
            <v>1160</v>
          </cell>
          <cell r="AL80">
            <v>60</v>
          </cell>
          <cell r="AM80">
            <v>0</v>
          </cell>
          <cell r="AN80">
            <v>706.75496688741725</v>
          </cell>
          <cell r="AO80">
            <v>36.556291390728475</v>
          </cell>
          <cell r="AP80">
            <v>0</v>
          </cell>
          <cell r="AQ80">
            <v>743.31125827814571</v>
          </cell>
          <cell r="AR80">
            <v>1.8259217928959187E-3</v>
          </cell>
        </row>
        <row r="81">
          <cell r="B81" t="str">
            <v>FBB-7</v>
          </cell>
          <cell r="C81" t="str">
            <v>Fiber aksess for tjeneste leveranser</v>
          </cell>
          <cell r="D81" t="str">
            <v>FiberAksess</v>
          </cell>
          <cell r="E81" t="str">
            <v>FAA033</v>
          </cell>
          <cell r="F81" t="str">
            <v>Trygve Jarholt</v>
          </cell>
          <cell r="G81" t="str">
            <v>Tom Singdahlsen</v>
          </cell>
          <cell r="H81" t="str">
            <v>Konkurrenter av Telenor investerer i fiberbaser infrastruktur i en slik fart at Telenor nå sitter på under 50% av eierskapet til fiber i aksessnettet. Det er nå blitt stor fokus på gå inn i privatmarkedet og da spesielt større boligsammenslutninger. Telen</v>
          </cell>
          <cell r="I81" t="str">
            <v>Bright Future, et prosjekt i regi av Fixed, Teknologi &amp; Plattform som går på et  teknisk studie i forhold til FTTH konseptet</v>
          </cell>
          <cell r="J81" t="str">
            <v>Nytt prosjekt</v>
          </cell>
          <cell r="K81" t="str">
            <v>B1</v>
          </cell>
          <cell r="L81" t="str">
            <v>ny analyse</v>
          </cell>
          <cell r="N81" t="str">
            <v>N consumer</v>
          </cell>
          <cell r="O81" t="str">
            <v>PU aksess</v>
          </cell>
          <cell r="P81">
            <v>0</v>
          </cell>
          <cell r="Q81">
            <v>0</v>
          </cell>
          <cell r="R81">
            <v>0</v>
          </cell>
          <cell r="S81">
            <v>0</v>
          </cell>
          <cell r="T81">
            <v>0</v>
          </cell>
          <cell r="U81">
            <v>0</v>
          </cell>
          <cell r="V81">
            <v>38718</v>
          </cell>
          <cell r="W81">
            <v>38899</v>
          </cell>
          <cell r="X81" t="str">
            <v>Ja</v>
          </cell>
          <cell r="Y81" t="str">
            <v>Fixed</v>
          </cell>
          <cell r="Z81" t="str">
            <v>BB</v>
          </cell>
          <cell r="AB81" t="str">
            <v>7</v>
          </cell>
          <cell r="AC81" t="str">
            <v>FBB</v>
          </cell>
          <cell r="AE81">
            <v>38718</v>
          </cell>
          <cell r="AF81">
            <v>38899</v>
          </cell>
          <cell r="AG81">
            <v>0.49555099247091033</v>
          </cell>
          <cell r="AH81">
            <v>0</v>
          </cell>
          <cell r="AI81">
            <v>0</v>
          </cell>
          <cell r="AJ81">
            <v>0</v>
          </cell>
          <cell r="AK81">
            <v>0</v>
          </cell>
          <cell r="AL81">
            <v>0</v>
          </cell>
          <cell r="AM81">
            <v>0</v>
          </cell>
          <cell r="AN81">
            <v>0</v>
          </cell>
          <cell r="AO81">
            <v>0</v>
          </cell>
          <cell r="AP81">
            <v>0</v>
          </cell>
          <cell r="AQ81">
            <v>0</v>
          </cell>
          <cell r="AR81">
            <v>0</v>
          </cell>
        </row>
        <row r="82">
          <cell r="B82" t="str">
            <v>FBB-8</v>
          </cell>
          <cell r="C82" t="str">
            <v>Nomadisk kommunikasjonsportefølje over IP</v>
          </cell>
          <cell r="D82" t="str">
            <v>Normadisk</v>
          </cell>
          <cell r="E82">
            <v>0</v>
          </cell>
          <cell r="F82" t="str">
            <v>Arild Hustad</v>
          </cell>
          <cell r="G82" t="str">
            <v>Ivar Hansen</v>
          </cell>
          <cell r="H82" t="str">
            <v>Med bredbånd inn i de fleste hjem, åpnes  muligheten for å bygge opp kommunikasjonsløsninger med basis i helt nye forretningsmodeller.  Dette er en trussel for eksisterende telco-forretningsmodeller. Utfordringer kommer på tjenester som VoIP og meldingshå</v>
          </cell>
          <cell r="I82" t="str">
            <v xml:space="preserve">Ny Tjenesteplattform: Bør bygge nye IP-kommunikasjonstjenester på ny tjeneste-plattform. Produktene kal benyttes av Mobil og Internett kunder.
</v>
          </cell>
          <cell r="J82" t="str">
            <v>Analyse&amp;Konsept</v>
          </cell>
          <cell r="K82" t="str">
            <v>B2</v>
          </cell>
          <cell r="L82" t="str">
            <v>til utvikling</v>
          </cell>
          <cell r="N82" t="str">
            <v>N consumer</v>
          </cell>
          <cell r="O82" t="str">
            <v>verdiøkning DSL</v>
          </cell>
          <cell r="P82">
            <v>0</v>
          </cell>
          <cell r="Q82">
            <v>0</v>
          </cell>
          <cell r="R82">
            <v>0</v>
          </cell>
          <cell r="S82">
            <v>0</v>
          </cell>
          <cell r="T82">
            <v>0</v>
          </cell>
          <cell r="U82">
            <v>0</v>
          </cell>
          <cell r="V82">
            <v>38657</v>
          </cell>
          <cell r="W82">
            <v>38718</v>
          </cell>
          <cell r="X82" t="str">
            <v>Ja</v>
          </cell>
          <cell r="Y82" t="str">
            <v>Fixed</v>
          </cell>
          <cell r="Z82" t="str">
            <v>BB</v>
          </cell>
          <cell r="AB82" t="str">
            <v>8</v>
          </cell>
          <cell r="AC82" t="str">
            <v>FBB</v>
          </cell>
          <cell r="AE82">
            <v>38657</v>
          </cell>
          <cell r="AF82">
            <v>38718</v>
          </cell>
          <cell r="AG82">
            <v>0.16700889801505817</v>
          </cell>
          <cell r="AH82">
            <v>0</v>
          </cell>
          <cell r="AI82">
            <v>0</v>
          </cell>
          <cell r="AJ82">
            <v>1</v>
          </cell>
          <cell r="AK82">
            <v>0</v>
          </cell>
          <cell r="AL82">
            <v>0</v>
          </cell>
          <cell r="AM82">
            <v>0</v>
          </cell>
          <cell r="AN82">
            <v>0</v>
          </cell>
          <cell r="AO82">
            <v>0</v>
          </cell>
          <cell r="AP82">
            <v>0</v>
          </cell>
          <cell r="AQ82">
            <v>0</v>
          </cell>
          <cell r="AR82">
            <v>0</v>
          </cell>
        </row>
        <row r="83">
          <cell r="B83" t="str">
            <v>FBB-9</v>
          </cell>
          <cell r="C83" t="str">
            <v>Innhold på bredbånd - fase 2</v>
          </cell>
          <cell r="D83" t="str">
            <v>InnholdPåBredbånd</v>
          </cell>
          <cell r="E83" t="str">
            <v>DAA022K</v>
          </cell>
          <cell r="F83" t="str">
            <v>Karianne Melleby</v>
          </cell>
          <cell r="G83" t="str">
            <v>Thomas Skovholt</v>
          </cell>
          <cell r="H83" t="str">
            <v>Definert inn i Telenors årsrapport som en hovedstrategi for Fixed: ” utvikle nye tjenester og tilrettelegge for at mange innholdstilbydere finner det attraktivt å levere over våre bredbåndsløsninger.” sitat slutt. Posisjonering som attraktiv partner for I</v>
          </cell>
          <cell r="I83" t="str">
            <v>prosjekt: (og hvorfor)</v>
          </cell>
          <cell r="J83" t="str">
            <v>Gjennomføring</v>
          </cell>
          <cell r="K83" t="str">
            <v>etter b2</v>
          </cell>
          <cell r="L83" t="str">
            <v>i utvikling</v>
          </cell>
          <cell r="N83" t="str">
            <v>N consumer</v>
          </cell>
          <cell r="O83" t="str">
            <v>verdiøkning DSL</v>
          </cell>
          <cell r="P83">
            <v>8.4749999999999996</v>
          </cell>
          <cell r="Q83">
            <v>14.7</v>
          </cell>
          <cell r="R83">
            <v>0.17</v>
          </cell>
          <cell r="S83">
            <v>6150</v>
          </cell>
          <cell r="T83">
            <v>1410</v>
          </cell>
          <cell r="U83">
            <v>4420</v>
          </cell>
          <cell r="V83">
            <v>38169</v>
          </cell>
          <cell r="W83">
            <v>38732</v>
          </cell>
          <cell r="X83" t="str">
            <v>Ja</v>
          </cell>
          <cell r="Y83" t="str">
            <v>Fixed</v>
          </cell>
          <cell r="Z83" t="str">
            <v>BB</v>
          </cell>
          <cell r="AB83" t="str">
            <v>9</v>
          </cell>
          <cell r="AC83" t="str">
            <v>FBB</v>
          </cell>
          <cell r="AE83">
            <v>38169</v>
          </cell>
          <cell r="AF83">
            <v>38732</v>
          </cell>
          <cell r="AG83">
            <v>1.5414099931553731</v>
          </cell>
          <cell r="AH83">
            <v>0.64831261101243343</v>
          </cell>
          <cell r="AI83">
            <v>0.81172291296625221</v>
          </cell>
          <cell r="AJ83">
            <v>0.9751332149200711</v>
          </cell>
          <cell r="AK83">
            <v>2162.8774422735346</v>
          </cell>
          <cell r="AL83">
            <v>495.87921847246889</v>
          </cell>
          <cell r="AM83">
            <v>1554.4582593250443</v>
          </cell>
          <cell r="AN83">
            <v>1004.9733570159862</v>
          </cell>
          <cell r="AO83">
            <v>230.40852575488464</v>
          </cell>
          <cell r="AP83">
            <v>722.27353463587951</v>
          </cell>
          <cell r="AQ83">
            <v>2679.92895204263</v>
          </cell>
          <cell r="AR83">
            <v>6.5831650233343841E-3</v>
          </cell>
        </row>
        <row r="84">
          <cell r="B84" t="str">
            <v>FBB-10</v>
          </cell>
          <cell r="C84" t="str">
            <v>VDSL</v>
          </cell>
          <cell r="D84" t="str">
            <v>VDSL</v>
          </cell>
          <cell r="E84" t="str">
            <v>FAA035</v>
          </cell>
          <cell r="F84" t="str">
            <v>Trygve Jarholt</v>
          </cell>
          <cell r="G84">
            <v>0</v>
          </cell>
          <cell r="H84" t="str">
            <v>Det er ønskelig å starte et analyseprosjekt for å se på utfordringer ved implementering av VDSL. Løsningen gir mulighet for høyere kapasiteter med symmetrisk overføring, og som muliggjør nye tjenester mot Privat-, Berdrift-og Wholesalemarkedet.   
Vi ønsk</v>
          </cell>
          <cell r="I84" t="str">
            <v>BRUT</v>
          </cell>
          <cell r="J84" t="str">
            <v>Nytt prosjekt</v>
          </cell>
          <cell r="K84" t="str">
            <v>B1</v>
          </cell>
          <cell r="L84" t="str">
            <v>ny analyse</v>
          </cell>
          <cell r="N84" t="str">
            <v>N consumer</v>
          </cell>
          <cell r="O84" t="str">
            <v>PU aksess</v>
          </cell>
          <cell r="P84">
            <v>0</v>
          </cell>
          <cell r="Q84">
            <v>0</v>
          </cell>
          <cell r="R84">
            <v>0</v>
          </cell>
          <cell r="S84">
            <v>0</v>
          </cell>
          <cell r="T84">
            <v>0</v>
          </cell>
          <cell r="U84">
            <v>0</v>
          </cell>
          <cell r="V84">
            <v>38718</v>
          </cell>
          <cell r="W84">
            <v>38899</v>
          </cell>
          <cell r="X84" t="str">
            <v>Ja</v>
          </cell>
          <cell r="Y84" t="str">
            <v>Fixed</v>
          </cell>
          <cell r="Z84" t="str">
            <v>BB</v>
          </cell>
          <cell r="AB84" t="str">
            <v>10</v>
          </cell>
          <cell r="AC84" t="str">
            <v>FBB</v>
          </cell>
          <cell r="AE84">
            <v>38718</v>
          </cell>
          <cell r="AF84">
            <v>38899</v>
          </cell>
          <cell r="AG84">
            <v>0.49555099247091033</v>
          </cell>
          <cell r="AH84">
            <v>0</v>
          </cell>
          <cell r="AI84">
            <v>0</v>
          </cell>
          <cell r="AJ84">
            <v>0</v>
          </cell>
          <cell r="AK84">
            <v>0</v>
          </cell>
          <cell r="AL84">
            <v>0</v>
          </cell>
          <cell r="AM84">
            <v>0</v>
          </cell>
          <cell r="AN84">
            <v>0</v>
          </cell>
          <cell r="AO84">
            <v>0</v>
          </cell>
          <cell r="AP84">
            <v>0</v>
          </cell>
          <cell r="AQ84">
            <v>0</v>
          </cell>
          <cell r="AR84">
            <v>0</v>
          </cell>
        </row>
        <row r="85">
          <cell r="B85" t="str">
            <v>FWS-1</v>
          </cell>
          <cell r="C85" t="str">
            <v>eBAP - Ethernet capacity for xDSL WS</v>
          </cell>
          <cell r="D85" t="str">
            <v>EBAP</v>
          </cell>
          <cell r="E85" t="str">
            <v>FAA014</v>
          </cell>
          <cell r="F85" t="str">
            <v>Turid Rønning</v>
          </cell>
          <cell r="G85" t="str">
            <v>Stein Vidar Hansen</v>
          </cell>
          <cell r="H85" t="str">
            <v>eBAP skal erstatte BAP Connect(skal fases ut) som fremføringsprodukt for DSL aksesser til eksterne ISPer.
eBAP vil benytte en del ressurser i BRUT, men f.eks fakturering må tas i eBAP.
eBAP i Sverige(Ethernet capacity) har kommet til og krever IS ressurse</v>
          </cell>
          <cell r="I85" t="str">
            <v xml:space="preserve">eBAP er sterkt linket til BRUT. Hvis eBAP ikke blir realisert iht tidplan, så vil BRUT bli forsinket. Det er derfor viktig at prosjektet får tilsvarende pri som BRUT. 
Regulatorisk er vi også pålagt dette produkt når BAP Connect fases ut i Norge 
</v>
          </cell>
          <cell r="J85" t="str">
            <v>Gjennomføring</v>
          </cell>
          <cell r="K85" t="str">
            <v>Etter B2</v>
          </cell>
          <cell r="L85" t="str">
            <v>i utvikling</v>
          </cell>
          <cell r="N85" t="str">
            <v>Nordisk</v>
          </cell>
          <cell r="O85" t="str">
            <v>Verdiøkn DSL</v>
          </cell>
          <cell r="P85">
            <v>32</v>
          </cell>
          <cell r="Q85">
            <v>2.4</v>
          </cell>
          <cell r="R85">
            <v>0</v>
          </cell>
          <cell r="S85">
            <v>1380</v>
          </cell>
          <cell r="T85">
            <v>300</v>
          </cell>
          <cell r="U85">
            <v>0</v>
          </cell>
          <cell r="V85">
            <v>38442</v>
          </cell>
          <cell r="W85">
            <v>38749</v>
          </cell>
          <cell r="X85" t="str">
            <v>Ja</v>
          </cell>
          <cell r="Y85" t="str">
            <v>Fixed</v>
          </cell>
          <cell r="Z85" t="str">
            <v>WS</v>
          </cell>
          <cell r="AB85" t="str">
            <v>1</v>
          </cell>
          <cell r="AC85" t="str">
            <v>FWS</v>
          </cell>
          <cell r="AE85">
            <v>38442</v>
          </cell>
          <cell r="AF85">
            <v>38749</v>
          </cell>
          <cell r="AG85">
            <v>0.84052019164955505</v>
          </cell>
          <cell r="AH85">
            <v>0.29967426710097722</v>
          </cell>
          <cell r="AI85">
            <v>0.59934853420195444</v>
          </cell>
          <cell r="AJ85">
            <v>0.89902280130293155</v>
          </cell>
          <cell r="AK85">
            <v>966.44951140065143</v>
          </cell>
          <cell r="AL85">
            <v>210.09771986970682</v>
          </cell>
          <cell r="AM85">
            <v>0</v>
          </cell>
          <cell r="AN85">
            <v>413.5504885993484</v>
          </cell>
          <cell r="AO85">
            <v>89.902280130293136</v>
          </cell>
          <cell r="AP85">
            <v>0</v>
          </cell>
          <cell r="AQ85">
            <v>503.45276872964155</v>
          </cell>
          <cell r="AR85">
            <v>1.2367166135041291E-3</v>
          </cell>
        </row>
        <row r="86">
          <cell r="B86" t="str">
            <v>FWS-2</v>
          </cell>
          <cell r="C86" t="str">
            <v>Program Jara Kunde</v>
          </cell>
          <cell r="D86" t="str">
            <v>JNB</v>
          </cell>
          <cell r="E86" t="str">
            <v>EAA053/EA054/EAA001/Eaa002/DA008/DA010/DA012/DA013</v>
          </cell>
          <cell r="F86" t="str">
            <v>Stein Gustavsen</v>
          </cell>
          <cell r="G86" t="str">
            <v>Harald Lundqvist</v>
          </cell>
          <cell r="H86" t="str">
            <v>Program Jara Kunde er et program med flere prosjekter og som håndterer en rekke investeringsforslag/BC, samt er underleverandør til en rekke prosjekter og oppdragsgivere.
Program Jara Kunde har følgende hensikt: "Program Jara Kunde skal utvikle en helhet</v>
          </cell>
          <cell r="I86" t="str">
            <v>Underleverndør til FLE, Strada, IP WS fase 2, ADSL 2+</v>
          </cell>
          <cell r="J86" t="str">
            <v>Gjennomføring</v>
          </cell>
          <cell r="K86" t="str">
            <v>Etter B2</v>
          </cell>
          <cell r="L86" t="str">
            <v>i utvikling</v>
          </cell>
          <cell r="N86" t="str">
            <v>WS</v>
          </cell>
          <cell r="O86" t="str">
            <v>Marked (WEB,CRM etc)</v>
          </cell>
          <cell r="P86">
            <v>41</v>
          </cell>
          <cell r="Q86">
            <v>55</v>
          </cell>
          <cell r="R86">
            <v>0</v>
          </cell>
          <cell r="S86">
            <v>8025</v>
          </cell>
          <cell r="T86">
            <v>720</v>
          </cell>
          <cell r="U86">
            <v>53500</v>
          </cell>
          <cell r="V86">
            <v>38295</v>
          </cell>
          <cell r="W86">
            <v>38667</v>
          </cell>
          <cell r="X86" t="str">
            <v>Ja</v>
          </cell>
          <cell r="Y86" t="str">
            <v>Fixed</v>
          </cell>
          <cell r="Z86" t="str">
            <v>WS</v>
          </cell>
          <cell r="AB86" t="str">
            <v>2</v>
          </cell>
          <cell r="AC86" t="str">
            <v>FWS</v>
          </cell>
          <cell r="AE86">
            <v>38295</v>
          </cell>
          <cell r="AF86">
            <v>38667</v>
          </cell>
          <cell r="AG86">
            <v>1.0184804928131417</v>
          </cell>
          <cell r="AH86">
            <v>0.64247311827956988</v>
          </cell>
          <cell r="AI86">
            <v>0.88978494623655913</v>
          </cell>
          <cell r="AJ86">
            <v>1</v>
          </cell>
          <cell r="AK86">
            <v>2869.1532258064517</v>
          </cell>
          <cell r="AL86">
            <v>257.41935483870969</v>
          </cell>
          <cell r="AM86">
            <v>19127.68817204301</v>
          </cell>
          <cell r="AN86">
            <v>884.47580645161304</v>
          </cell>
          <cell r="AO86">
            <v>79.354838709677423</v>
          </cell>
          <cell r="AP86">
            <v>5896.5053763440865</v>
          </cell>
          <cell r="AQ86">
            <v>12756.841397849463</v>
          </cell>
          <cell r="AR86">
            <v>3.1336797952996931E-2</v>
          </cell>
        </row>
        <row r="87">
          <cell r="B87" t="str">
            <v>FWS-3</v>
          </cell>
          <cell r="C87" t="str">
            <v>Whale</v>
          </cell>
          <cell r="D87" t="str">
            <v>Whale</v>
          </cell>
          <cell r="E87" t="str">
            <v xml:space="preserve"> </v>
          </cell>
          <cell r="F87" t="str">
            <v>Harald Krohg</v>
          </cell>
          <cell r="G87" t="str">
            <v xml:space="preserve"> </v>
          </cell>
          <cell r="H87" t="str">
            <v>Projektet syftar till att etablera Telenor som en fullvärdig wholesaleleverantör av DSL tjänster på den svenska marknaden. Under T3-05 kommer release Blåval och Quarneval att släppas. Blåvalen innehåller är planerad att innehålla funktionalitet för helaut</v>
          </cell>
          <cell r="I87" t="str">
            <v xml:space="preserve">Samtliga DSL-baserade tjänster
</v>
          </cell>
          <cell r="J87" t="str">
            <v>Analyse&amp;konsept</v>
          </cell>
          <cell r="K87" t="str">
            <v>B2</v>
          </cell>
          <cell r="L87" t="str">
            <v>til utvikling</v>
          </cell>
          <cell r="N87" t="str">
            <v>WS</v>
          </cell>
          <cell r="O87" t="str">
            <v>Verdiøkn DSL</v>
          </cell>
          <cell r="P87">
            <v>300</v>
          </cell>
          <cell r="Q87">
            <v>6</v>
          </cell>
          <cell r="R87">
            <v>0</v>
          </cell>
          <cell r="S87">
            <v>0</v>
          </cell>
          <cell r="T87">
            <v>0</v>
          </cell>
          <cell r="U87">
            <v>6720</v>
          </cell>
          <cell r="V87">
            <v>38626</v>
          </cell>
          <cell r="W87">
            <v>38718</v>
          </cell>
          <cell r="X87" t="str">
            <v>Ja</v>
          </cell>
          <cell r="Y87" t="str">
            <v>Fixed</v>
          </cell>
          <cell r="Z87" t="str">
            <v>WS</v>
          </cell>
          <cell r="AB87" t="str">
            <v>3</v>
          </cell>
          <cell r="AC87" t="str">
            <v>FWS</v>
          </cell>
          <cell r="AE87">
            <v>38626</v>
          </cell>
          <cell r="AF87">
            <v>38718</v>
          </cell>
          <cell r="AG87">
            <v>0.2518822724161533</v>
          </cell>
          <cell r="AH87">
            <v>0</v>
          </cell>
          <cell r="AI87">
            <v>0</v>
          </cell>
          <cell r="AJ87">
            <v>1</v>
          </cell>
          <cell r="AK87">
            <v>0</v>
          </cell>
          <cell r="AL87">
            <v>0</v>
          </cell>
          <cell r="AM87">
            <v>6720</v>
          </cell>
          <cell r="AN87">
            <v>0</v>
          </cell>
          <cell r="AO87">
            <v>0</v>
          </cell>
          <cell r="AP87">
            <v>6720</v>
          </cell>
          <cell r="AQ87">
            <v>13440</v>
          </cell>
          <cell r="AR87">
            <v>3.3014956551805891E-2</v>
          </cell>
        </row>
        <row r="88">
          <cell r="B88" t="str">
            <v>FWS-4</v>
          </cell>
          <cell r="C88" t="str">
            <v>SHDSL Fase II</v>
          </cell>
          <cell r="D88" t="str">
            <v>SHDSL</v>
          </cell>
          <cell r="E88" t="str">
            <v>DAA024</v>
          </cell>
          <cell r="F88" t="str">
            <v>Turid Rønning</v>
          </cell>
          <cell r="G88" t="str">
            <v>Børre Nordby</v>
          </cell>
          <cell r="H88" t="str">
            <v xml:space="preserve">Det var en forutsetning fra ledergruppen i Networks SMP at IT-automatisering måtte gjennomføres før man kan begynne og selge SHDSL aktivt. Denne forutsetningen må etterkommes så raskt som mulig.
</v>
          </cell>
          <cell r="I88">
            <v>0</v>
          </cell>
          <cell r="J88" t="str">
            <v>Gjennomføring</v>
          </cell>
          <cell r="K88" t="str">
            <v>Etter B2</v>
          </cell>
          <cell r="L88" t="str">
            <v>i utvikling</v>
          </cell>
          <cell r="N88" t="str">
            <v>WS</v>
          </cell>
          <cell r="O88" t="str">
            <v>Verdiøkn DSL</v>
          </cell>
          <cell r="P88">
            <v>64</v>
          </cell>
          <cell r="Q88">
            <v>4.3</v>
          </cell>
          <cell r="R88">
            <v>0</v>
          </cell>
          <cell r="S88">
            <v>0</v>
          </cell>
          <cell r="T88">
            <v>0</v>
          </cell>
          <cell r="U88">
            <v>0</v>
          </cell>
          <cell r="V88">
            <v>37945</v>
          </cell>
          <cell r="W88">
            <v>38657</v>
          </cell>
          <cell r="X88" t="str">
            <v>Ja</v>
          </cell>
          <cell r="Y88" t="str">
            <v>Fixed</v>
          </cell>
          <cell r="Z88" t="str">
            <v>WS</v>
          </cell>
          <cell r="AB88" t="str">
            <v>4</v>
          </cell>
          <cell r="AC88" t="str">
            <v>FWS</v>
          </cell>
          <cell r="AE88">
            <v>37945</v>
          </cell>
          <cell r="AF88">
            <v>38657</v>
          </cell>
          <cell r="AG88">
            <v>1.9493497604380561</v>
          </cell>
          <cell r="AH88">
            <v>0.827247191011236</v>
          </cell>
          <cell r="AI88">
            <v>0.9564606741573034</v>
          </cell>
          <cell r="AJ88">
            <v>1</v>
          </cell>
          <cell r="AK88">
            <v>0</v>
          </cell>
          <cell r="AL88">
            <v>0</v>
          </cell>
          <cell r="AM88">
            <v>0</v>
          </cell>
          <cell r="AN88">
            <v>0</v>
          </cell>
          <cell r="AO88">
            <v>0</v>
          </cell>
          <cell r="AP88">
            <v>0</v>
          </cell>
          <cell r="AQ88">
            <v>0</v>
          </cell>
          <cell r="AR88">
            <v>0</v>
          </cell>
        </row>
        <row r="89">
          <cell r="B89" t="str">
            <v>FWS-5</v>
          </cell>
          <cell r="C89" t="str">
            <v>VISP</v>
          </cell>
          <cell r="D89" t="str">
            <v>VISP</v>
          </cell>
          <cell r="E89" t="str">
            <v xml:space="preserve"> </v>
          </cell>
          <cell r="F89" t="str">
            <v>Turid Rønning</v>
          </cell>
          <cell r="G89" t="str">
            <v>Tore Arnestad</v>
          </cell>
          <cell r="H89" t="str">
            <v>Et av forslagene for øke markedsandelen på DSL-videresalg er etablering av en fullstendig VISP-løsning. VISP-løsningen bygger på DSL-videresalg realisert over IP Total DSL. Denne nettverksløsningen viser seg å være enkel å produsere og drifte, der formåle</v>
          </cell>
          <cell r="I89" t="str">
            <v>Linjeautentisering og Forenklet pålogging.</v>
          </cell>
          <cell r="J89" t="str">
            <v>Nytt prosjekt</v>
          </cell>
          <cell r="K89" t="str">
            <v>B2</v>
          </cell>
          <cell r="L89" t="str">
            <v>til utvikling</v>
          </cell>
          <cell r="N89" t="str">
            <v>WS</v>
          </cell>
          <cell r="O89" t="str">
            <v>Verdiøkn DSL</v>
          </cell>
          <cell r="P89">
            <v>20</v>
          </cell>
          <cell r="Q89">
            <v>5.5</v>
          </cell>
          <cell r="R89">
            <v>128</v>
          </cell>
          <cell r="S89">
            <v>2000</v>
          </cell>
          <cell r="T89">
            <v>1200</v>
          </cell>
          <cell r="U89">
            <v>0</v>
          </cell>
          <cell r="V89">
            <v>38657</v>
          </cell>
          <cell r="W89">
            <v>38808</v>
          </cell>
          <cell r="X89" t="str">
            <v>Ja</v>
          </cell>
          <cell r="Y89" t="str">
            <v>Fixed</v>
          </cell>
          <cell r="Z89" t="str">
            <v>WS</v>
          </cell>
          <cell r="AB89" t="str">
            <v>5</v>
          </cell>
          <cell r="AC89" t="str">
            <v>FWS</v>
          </cell>
          <cell r="AE89">
            <v>38657</v>
          </cell>
          <cell r="AF89">
            <v>38808</v>
          </cell>
          <cell r="AG89">
            <v>0.4134154688569473</v>
          </cell>
          <cell r="AH89">
            <v>0</v>
          </cell>
          <cell r="AI89">
            <v>0</v>
          </cell>
          <cell r="AJ89">
            <v>0.40397350993377484</v>
          </cell>
          <cell r="AK89">
            <v>2000</v>
          </cell>
          <cell r="AL89">
            <v>1200</v>
          </cell>
          <cell r="AM89">
            <v>0</v>
          </cell>
          <cell r="AN89">
            <v>807.94701986754967</v>
          </cell>
          <cell r="AO89">
            <v>484.76821192052984</v>
          </cell>
          <cell r="AP89">
            <v>0</v>
          </cell>
          <cell r="AQ89">
            <v>1292.7152317880796</v>
          </cell>
          <cell r="AR89">
            <v>3.1755161615581195E-3</v>
          </cell>
        </row>
        <row r="90">
          <cell r="B90" t="str">
            <v>FWS-6</v>
          </cell>
          <cell r="C90" t="str">
            <v>SPACE</v>
          </cell>
          <cell r="D90" t="str">
            <v>SPACE</v>
          </cell>
          <cell r="E90" t="str">
            <v>EAX006</v>
          </cell>
          <cell r="F90" t="str">
            <v>Turid Rønning</v>
          </cell>
          <cell r="G90" t="str">
            <v>Beatriz Perez</v>
          </cell>
          <cell r="H90" t="str">
            <v>Løse og forbedre identifiserte problemområder for Telelosji produktet vedrørende Adgangshåndteringen,Salgskanal,Produkt-og prisstruktur. Prosjektet vil kunne bidra med vesentlig bedre omdømme og tilrettelegging av dette regulatoriske produktet. Dette skal</v>
          </cell>
          <cell r="I90" t="str">
            <v>Ingen</v>
          </cell>
          <cell r="J90" t="str">
            <v>Analyse&amp;konsept</v>
          </cell>
          <cell r="K90" t="str">
            <v>etter B2</v>
          </cell>
          <cell r="L90" t="str">
            <v>i utvikling</v>
          </cell>
          <cell r="N90" t="str">
            <v>WS</v>
          </cell>
          <cell r="O90" t="str">
            <v>annen PU</v>
          </cell>
          <cell r="P90">
            <v>4.4000000000000004</v>
          </cell>
          <cell r="Q90">
            <v>3.6</v>
          </cell>
          <cell r="R90">
            <v>11</v>
          </cell>
          <cell r="S90">
            <v>4943</v>
          </cell>
          <cell r="T90">
            <v>1200</v>
          </cell>
          <cell r="U90">
            <v>0</v>
          </cell>
          <cell r="V90">
            <v>38504</v>
          </cell>
          <cell r="W90">
            <v>38666</v>
          </cell>
          <cell r="X90" t="str">
            <v>Ja</v>
          </cell>
          <cell r="Y90" t="str">
            <v>Fixed</v>
          </cell>
          <cell r="Z90" t="str">
            <v>WS</v>
          </cell>
          <cell r="AB90" t="str">
            <v>6</v>
          </cell>
          <cell r="AC90" t="str">
            <v>FWS</v>
          </cell>
          <cell r="AE90">
            <v>38504</v>
          </cell>
          <cell r="AF90">
            <v>38666</v>
          </cell>
          <cell r="AG90">
            <v>0.44353182751540043</v>
          </cell>
          <cell r="AH90">
            <v>0.18518518518518517</v>
          </cell>
          <cell r="AI90">
            <v>0.75308641975308643</v>
          </cell>
          <cell r="AJ90">
            <v>1</v>
          </cell>
          <cell r="AK90">
            <v>4027.62962962963</v>
          </cell>
          <cell r="AL90">
            <v>977.77777777777783</v>
          </cell>
          <cell r="AM90">
            <v>0</v>
          </cell>
          <cell r="AN90">
            <v>1220.4938271604938</v>
          </cell>
          <cell r="AO90">
            <v>296.2962962962963</v>
          </cell>
          <cell r="AP90">
            <v>0</v>
          </cell>
          <cell r="AQ90">
            <v>1516.7901234567901</v>
          </cell>
          <cell r="AR90">
            <v>3.7259494065576054E-3</v>
          </cell>
        </row>
        <row r="91">
          <cell r="B91" t="str">
            <v>FWS-7</v>
          </cell>
          <cell r="C91" t="str">
            <v>Handtering hel koppar</v>
          </cell>
          <cell r="D91" t="str">
            <v>Koppar</v>
          </cell>
          <cell r="E91" t="str">
            <v xml:space="preserve"> </v>
          </cell>
          <cell r="F91" t="str">
            <v>Harald Krohg</v>
          </cell>
          <cell r="G91" t="str">
            <v xml:space="preserve"> </v>
          </cell>
          <cell r="H91" t="str">
            <v>Migrationen slutkund  VoIP innebär att slutkunder har börjat säga upp teleabonnemang varvid Skanova gör om delad ledning till hel ledning och höjer vår månadskostnad för LLUB från 50 SEK till 105 SEK. Telenor AB har idag ej stöd för att hantera detta var</v>
          </cell>
          <cell r="I91" t="str">
            <v>Whale, VoIP + samtliga andra koppar projekt</v>
          </cell>
          <cell r="J91" t="str">
            <v>Nytt prosjekt</v>
          </cell>
          <cell r="K91" t="str">
            <v>B2</v>
          </cell>
          <cell r="L91" t="str">
            <v>til utvikling</v>
          </cell>
          <cell r="N91" t="str">
            <v>WS</v>
          </cell>
          <cell r="O91" t="str">
            <v>Verdiøkn DSL</v>
          </cell>
          <cell r="P91">
            <v>0</v>
          </cell>
          <cell r="Q91">
            <v>2.5</v>
          </cell>
          <cell r="R91">
            <v>0</v>
          </cell>
          <cell r="S91">
            <v>2000</v>
          </cell>
          <cell r="T91">
            <v>1400</v>
          </cell>
          <cell r="U91">
            <v>700</v>
          </cell>
          <cell r="V91">
            <v>38626</v>
          </cell>
          <cell r="W91">
            <v>38718</v>
          </cell>
          <cell r="X91" t="str">
            <v>Ja</v>
          </cell>
          <cell r="Y91" t="str">
            <v>Fixed</v>
          </cell>
          <cell r="Z91" t="str">
            <v>WS</v>
          </cell>
          <cell r="AB91" t="str">
            <v>7</v>
          </cell>
          <cell r="AC91" t="str">
            <v>FWS</v>
          </cell>
          <cell r="AE91">
            <v>38626</v>
          </cell>
          <cell r="AF91">
            <v>38718</v>
          </cell>
          <cell r="AG91">
            <v>0.2518822724161533</v>
          </cell>
          <cell r="AH91">
            <v>0</v>
          </cell>
          <cell r="AI91">
            <v>0</v>
          </cell>
          <cell r="AJ91">
            <v>1</v>
          </cell>
          <cell r="AK91">
            <v>2000</v>
          </cell>
          <cell r="AL91">
            <v>1400</v>
          </cell>
          <cell r="AM91">
            <v>700</v>
          </cell>
          <cell r="AN91">
            <v>2000</v>
          </cell>
          <cell r="AO91">
            <v>1400</v>
          </cell>
          <cell r="AP91">
            <v>700</v>
          </cell>
          <cell r="AQ91">
            <v>4800</v>
          </cell>
          <cell r="AR91">
            <v>1.1791055911359247E-2</v>
          </cell>
        </row>
        <row r="92">
          <cell r="B92" t="str">
            <v>FWS-8</v>
          </cell>
          <cell r="C92" t="str">
            <v>Høgre uppstrømshastighet (annex M)</v>
          </cell>
          <cell r="D92" t="str">
            <v>AnnexM</v>
          </cell>
          <cell r="E92" t="str">
            <v xml:space="preserve"> </v>
          </cell>
          <cell r="F92" t="str">
            <v>Harald Krohg</v>
          </cell>
          <cell r="G92" t="str">
            <v xml:space="preserve"> </v>
          </cell>
          <cell r="H92" t="str">
            <v>Projektet syftar till att möjliggöra högre upströms hastighet på ADSL2+ genom att anpassa våra system till hantering av nät och produkter som använder ADSL2+ Annex M. Med Annex M kan vi erhålla uppströms bandbredd runt  3Mbit/s vilket ger Telenor möjlighe</v>
          </cell>
          <cell r="I92" t="str">
            <v>Whale, Ethernet Capacity, Telenor är beroende av att Nokia har stöd för annex M som är lovat Juli 05</v>
          </cell>
          <cell r="J92" t="str">
            <v>Nytt prosjekt</v>
          </cell>
          <cell r="K92" t="str">
            <v>B2</v>
          </cell>
          <cell r="L92" t="str">
            <v>til utvikling</v>
          </cell>
          <cell r="N92" t="str">
            <v>WS</v>
          </cell>
          <cell r="O92" t="str">
            <v>Verdiøkn DSL</v>
          </cell>
          <cell r="P92">
            <v>0</v>
          </cell>
          <cell r="Q92">
            <v>0</v>
          </cell>
          <cell r="R92">
            <v>0</v>
          </cell>
          <cell r="S92">
            <v>0</v>
          </cell>
          <cell r="T92">
            <v>0</v>
          </cell>
          <cell r="U92">
            <v>0</v>
          </cell>
          <cell r="V92">
            <v>38626</v>
          </cell>
          <cell r="W92">
            <v>38718</v>
          </cell>
          <cell r="X92" t="str">
            <v>Ja</v>
          </cell>
          <cell r="Y92" t="str">
            <v>Fixed</v>
          </cell>
          <cell r="Z92" t="str">
            <v>WS</v>
          </cell>
          <cell r="AB92" t="str">
            <v>8</v>
          </cell>
          <cell r="AC92" t="str">
            <v>FWS</v>
          </cell>
          <cell r="AE92">
            <v>38626</v>
          </cell>
          <cell r="AF92">
            <v>38718</v>
          </cell>
          <cell r="AG92">
            <v>0.2518822724161533</v>
          </cell>
          <cell r="AH92">
            <v>0</v>
          </cell>
          <cell r="AI92">
            <v>0</v>
          </cell>
          <cell r="AJ92">
            <v>1</v>
          </cell>
          <cell r="AK92">
            <v>0</v>
          </cell>
          <cell r="AL92">
            <v>0</v>
          </cell>
          <cell r="AM92">
            <v>0</v>
          </cell>
          <cell r="AN92">
            <v>0</v>
          </cell>
          <cell r="AO92">
            <v>0</v>
          </cell>
          <cell r="AP92">
            <v>0</v>
          </cell>
          <cell r="AQ92">
            <v>0</v>
          </cell>
          <cell r="AR92">
            <v>0</v>
          </cell>
        </row>
        <row r="93">
          <cell r="B93" t="str">
            <v>FWS-9</v>
          </cell>
          <cell r="C93" t="str">
            <v>DHCP</v>
          </cell>
          <cell r="D93" t="str">
            <v>DHCP</v>
          </cell>
          <cell r="E93" t="str">
            <v xml:space="preserve"> </v>
          </cell>
          <cell r="F93" t="str">
            <v>Harald Krohg</v>
          </cell>
          <cell r="G93" t="str">
            <v xml:space="preserve"> </v>
          </cell>
          <cell r="H93" t="str">
            <v>Projektet syftar till att erbjuda wholesalekunder (och deras kunder) DHCP inloggning vid sidan av nuvarande PPPoE lösning. Detta är ett skall krav på Svenska marknaden där man går ifrån PPPoE. DHCP erbjuds av ett flertal aktörer i Sverige (däribland bredb</v>
          </cell>
          <cell r="I93" t="str">
            <v>Whale, IP-TV</v>
          </cell>
          <cell r="J93" t="str">
            <v>Nytt prosjekt</v>
          </cell>
          <cell r="K93" t="str">
            <v>B2</v>
          </cell>
          <cell r="L93" t="str">
            <v>til utvikling</v>
          </cell>
          <cell r="N93" t="str">
            <v>WS</v>
          </cell>
          <cell r="O93" t="str">
            <v>Verdiøkn DSL</v>
          </cell>
          <cell r="P93">
            <v>0</v>
          </cell>
          <cell r="Q93">
            <v>0.9</v>
          </cell>
          <cell r="R93">
            <v>0</v>
          </cell>
          <cell r="S93">
            <v>0</v>
          </cell>
          <cell r="T93">
            <v>0</v>
          </cell>
          <cell r="U93">
            <v>0</v>
          </cell>
          <cell r="V93">
            <v>38626</v>
          </cell>
          <cell r="W93">
            <v>38718</v>
          </cell>
          <cell r="X93" t="str">
            <v>Ja</v>
          </cell>
          <cell r="Y93" t="str">
            <v>Fixed</v>
          </cell>
          <cell r="Z93" t="str">
            <v>WS</v>
          </cell>
          <cell r="AB93" t="str">
            <v>9</v>
          </cell>
          <cell r="AC93" t="str">
            <v>FWS</v>
          </cell>
          <cell r="AE93">
            <v>38626</v>
          </cell>
          <cell r="AF93">
            <v>38718</v>
          </cell>
          <cell r="AG93">
            <v>0.2518822724161533</v>
          </cell>
          <cell r="AH93">
            <v>0</v>
          </cell>
          <cell r="AI93">
            <v>0</v>
          </cell>
          <cell r="AJ93">
            <v>1</v>
          </cell>
          <cell r="AK93">
            <v>0</v>
          </cell>
          <cell r="AL93">
            <v>0</v>
          </cell>
          <cell r="AM93">
            <v>0</v>
          </cell>
          <cell r="AN93">
            <v>0</v>
          </cell>
          <cell r="AO93">
            <v>0</v>
          </cell>
          <cell r="AP93">
            <v>0</v>
          </cell>
          <cell r="AQ93">
            <v>0</v>
          </cell>
          <cell r="AR93">
            <v>0</v>
          </cell>
        </row>
        <row r="94">
          <cell r="B94" t="str">
            <v>FWS-10</v>
          </cell>
          <cell r="C94" t="str">
            <v>IP-TV</v>
          </cell>
          <cell r="D94" t="str">
            <v>IPTV</v>
          </cell>
          <cell r="E94" t="str">
            <v xml:space="preserve"> </v>
          </cell>
          <cell r="F94" t="str">
            <v>Harald Krohg</v>
          </cell>
          <cell r="G94" t="str">
            <v xml:space="preserve"> </v>
          </cell>
          <cell r="H94" t="str">
            <v>Telenor avser ta fram en IP-TV lösning där wholesalekunder (ISP:s) respektive content providers (Viasat och/eller Canal Digital) ska kunna köpa hela eller delar av IP-TV anpassade dsl produkter. Projektet är av hög prioritet då IP-TV i dagsläget i Sverige</v>
          </cell>
          <cell r="I94" t="str">
            <v>DHCP för att kunna realisera lösningen</v>
          </cell>
          <cell r="J94" t="str">
            <v>Nytt prosjekt</v>
          </cell>
          <cell r="K94" t="str">
            <v>B2</v>
          </cell>
          <cell r="L94" t="str">
            <v>til utvikling</v>
          </cell>
          <cell r="N94" t="str">
            <v>WS</v>
          </cell>
          <cell r="O94" t="str">
            <v>Verdiøkn DSL</v>
          </cell>
          <cell r="P94">
            <v>0</v>
          </cell>
          <cell r="Q94">
            <v>1.8</v>
          </cell>
          <cell r="R94">
            <v>0</v>
          </cell>
          <cell r="S94">
            <v>720</v>
          </cell>
          <cell r="T94">
            <v>300</v>
          </cell>
          <cell r="U94">
            <v>1450</v>
          </cell>
          <cell r="V94">
            <v>38626</v>
          </cell>
          <cell r="W94">
            <v>38808</v>
          </cell>
          <cell r="X94" t="str">
            <v>Ja</v>
          </cell>
          <cell r="Y94" t="str">
            <v>Fixed</v>
          </cell>
          <cell r="Z94" t="str">
            <v>WS</v>
          </cell>
          <cell r="AB94" t="str">
            <v>10</v>
          </cell>
          <cell r="AC94" t="str">
            <v>FWS</v>
          </cell>
          <cell r="AE94">
            <v>38626</v>
          </cell>
          <cell r="AF94">
            <v>38808</v>
          </cell>
          <cell r="AG94">
            <v>0.49828884325804246</v>
          </cell>
          <cell r="AH94">
            <v>0</v>
          </cell>
          <cell r="AI94">
            <v>0</v>
          </cell>
          <cell r="AJ94">
            <v>0.50549450549450547</v>
          </cell>
          <cell r="AK94">
            <v>720</v>
          </cell>
          <cell r="AL94">
            <v>300</v>
          </cell>
          <cell r="AM94">
            <v>1450</v>
          </cell>
          <cell r="AN94">
            <v>363.95604395604391</v>
          </cell>
          <cell r="AO94">
            <v>151.64835164835165</v>
          </cell>
          <cell r="AP94">
            <v>732.96703296703299</v>
          </cell>
          <cell r="AQ94">
            <v>1981.5384615384614</v>
          </cell>
          <cell r="AR94">
            <v>4.8675897480226632E-3</v>
          </cell>
        </row>
        <row r="95">
          <cell r="B95" t="str">
            <v>FWS-11</v>
          </cell>
          <cell r="C95" t="str">
            <v>Kundentre</v>
          </cell>
          <cell r="D95" t="str">
            <v>Kundentre</v>
          </cell>
          <cell r="E95">
            <v>0</v>
          </cell>
          <cell r="F95">
            <v>0</v>
          </cell>
          <cell r="G95">
            <v>0</v>
          </cell>
          <cell r="H95">
            <v>0</v>
          </cell>
          <cell r="I95">
            <v>0</v>
          </cell>
          <cell r="J95">
            <v>0</v>
          </cell>
          <cell r="K95">
            <v>0</v>
          </cell>
          <cell r="L95"/>
          <cell r="N95" t="str">
            <v>WS</v>
          </cell>
          <cell r="O95" t="str">
            <v>Marked (WEB,CRM etc)</v>
          </cell>
          <cell r="P95">
            <v>0</v>
          </cell>
          <cell r="Q95">
            <v>0</v>
          </cell>
          <cell r="R95">
            <v>0</v>
          </cell>
          <cell r="S95">
            <v>0</v>
          </cell>
          <cell r="T95">
            <v>0</v>
          </cell>
          <cell r="U95">
            <v>0</v>
          </cell>
          <cell r="V95" t="str">
            <v xml:space="preserve"> </v>
          </cell>
          <cell r="W95" t="str">
            <v xml:space="preserve"> </v>
          </cell>
          <cell r="Y95" t="str">
            <v>Fixed</v>
          </cell>
          <cell r="Z95" t="str">
            <v>WS</v>
          </cell>
          <cell r="AB95" t="str">
            <v>11</v>
          </cell>
          <cell r="AC95" t="str">
            <v>FWS</v>
          </cell>
          <cell r="AE95">
            <v>38534</v>
          </cell>
          <cell r="AF95">
            <v>38899.25</v>
          </cell>
          <cell r="AG95">
            <v>1</v>
          </cell>
          <cell r="AH95">
            <v>0</v>
          </cell>
          <cell r="AI95">
            <v>0.2518822724161533</v>
          </cell>
          <cell r="AJ95">
            <v>0.50376454483230659</v>
          </cell>
          <cell r="AK95">
            <v>0</v>
          </cell>
          <cell r="AL95">
            <v>0</v>
          </cell>
          <cell r="AM95">
            <v>0</v>
          </cell>
          <cell r="AN95">
            <v>0</v>
          </cell>
          <cell r="AO95">
            <v>0</v>
          </cell>
          <cell r="AP95">
            <v>0</v>
          </cell>
          <cell r="AQ95">
            <v>0</v>
          </cell>
          <cell r="AR95">
            <v>0</v>
          </cell>
        </row>
        <row r="96">
          <cell r="B96" t="str">
            <v>FØ-1</v>
          </cell>
          <cell r="C96" t="str">
            <v>SOA 404 FIXED</v>
          </cell>
          <cell r="D96" t="str">
            <v>SOA404</v>
          </cell>
          <cell r="E96">
            <v>0</v>
          </cell>
          <cell r="F96" t="str">
            <v>Torstein Moland</v>
          </cell>
          <cell r="G96" t="str">
            <v>Eirik Jørgensen</v>
          </cell>
          <cell r="H96" t="str">
            <v xml:space="preserve">Telenor er notert på Nasdaq og dermed forpliktet til å etterleve den nye amerikanske lovgivingen for dokumentasjon, testing og ”reparasjon” av egen internkontroll (Sarbanes Oxleys Act – SOA). Det er etablert et konsernovergripende prosjekt for å håndtere </v>
          </cell>
          <cell r="I96">
            <v>0</v>
          </cell>
          <cell r="J96" t="str">
            <v>Nytt prosjekt</v>
          </cell>
          <cell r="K96" t="str">
            <v>B1</v>
          </cell>
          <cell r="L96" t="str">
            <v>ny analyse</v>
          </cell>
          <cell r="M96" t="str">
            <v>Nødvendig</v>
          </cell>
          <cell r="N96" t="str">
            <v>Nordisk</v>
          </cell>
          <cell r="O96" t="str">
            <v>annet</v>
          </cell>
          <cell r="P96">
            <v>0</v>
          </cell>
          <cell r="Q96">
            <v>5</v>
          </cell>
          <cell r="R96">
            <v>0</v>
          </cell>
          <cell r="S96">
            <v>3200</v>
          </cell>
          <cell r="T96">
            <v>1200</v>
          </cell>
          <cell r="U96">
            <v>6000</v>
          </cell>
          <cell r="V96" t="str">
            <v xml:space="preserve"> </v>
          </cell>
          <cell r="W96" t="str">
            <v xml:space="preserve"> </v>
          </cell>
          <cell r="X96" t="str">
            <v>Ja</v>
          </cell>
          <cell r="Y96" t="str">
            <v>Fixed</v>
          </cell>
          <cell r="Z96" t="str">
            <v>Ø</v>
          </cell>
          <cell r="AB96" t="str">
            <v>1</v>
          </cell>
          <cell r="AC96" t="str">
            <v>FØ</v>
          </cell>
          <cell r="AE96">
            <v>38534</v>
          </cell>
          <cell r="AF96">
            <v>38899.25</v>
          </cell>
          <cell r="AG96">
            <v>1</v>
          </cell>
          <cell r="AH96">
            <v>0</v>
          </cell>
          <cell r="AI96">
            <v>0.2518822724161533</v>
          </cell>
          <cell r="AJ96">
            <v>0.50376454483230659</v>
          </cell>
          <cell r="AK96">
            <v>3200</v>
          </cell>
          <cell r="AL96">
            <v>1200</v>
          </cell>
          <cell r="AM96">
            <v>6000</v>
          </cell>
          <cell r="AN96">
            <v>806.02327173169056</v>
          </cell>
          <cell r="AO96">
            <v>302.25872689938393</v>
          </cell>
          <cell r="AP96">
            <v>1511.2936344969198</v>
          </cell>
          <cell r="AQ96">
            <v>4130.8692676249138</v>
          </cell>
          <cell r="AR96">
            <v>1.0147356353558538E-2</v>
          </cell>
        </row>
        <row r="97">
          <cell r="B97" t="str">
            <v>FØ-2</v>
          </cell>
          <cell r="C97" t="str">
            <v>SOA FA Fixed</v>
          </cell>
          <cell r="D97" t="str">
            <v>SOAFA</v>
          </cell>
          <cell r="E97">
            <v>0</v>
          </cell>
          <cell r="F97">
            <v>0</v>
          </cell>
          <cell r="G97" t="str">
            <v>Are Færøvig</v>
          </cell>
          <cell r="H97" t="str">
            <v>Skal sikre at Fastnett i Norden blir SOA-godkjent for området Fixed Asset. Med dette menes godkjente rutiner, arbeidsbeskrivelse, kontrollpunkter, underliggende systemstøtte, og korrekte data om det enkelte anleggsmiddel</v>
          </cell>
          <cell r="I97" t="str">
            <v>NettInfo: Behov for standardisering av data-registrering/ -bruk</v>
          </cell>
          <cell r="J97" t="str">
            <v>Nytt prosjekt</v>
          </cell>
          <cell r="K97" t="str">
            <v>B1</v>
          </cell>
          <cell r="L97" t="str">
            <v>ny analyse</v>
          </cell>
          <cell r="M97" t="str">
            <v>Nødvendig</v>
          </cell>
          <cell r="N97" t="str">
            <v>Nordisk</v>
          </cell>
          <cell r="O97" t="str">
            <v>annet</v>
          </cell>
          <cell r="P97">
            <v>0</v>
          </cell>
          <cell r="Q97">
            <v>13</v>
          </cell>
          <cell r="R97">
            <v>13</v>
          </cell>
          <cell r="S97">
            <v>0</v>
          </cell>
          <cell r="T97">
            <v>0</v>
          </cell>
          <cell r="U97">
            <v>0</v>
          </cell>
          <cell r="X97" t="str">
            <v>Ja</v>
          </cell>
          <cell r="Y97" t="str">
            <v>Fixed</v>
          </cell>
          <cell r="Z97" t="str">
            <v>Ø</v>
          </cell>
          <cell r="AB97" t="str">
            <v>2</v>
          </cell>
          <cell r="AC97" t="str">
            <v>FØ</v>
          </cell>
          <cell r="AE97">
            <v>38534</v>
          </cell>
          <cell r="AF97">
            <v>38899.25</v>
          </cell>
          <cell r="AG97">
            <v>1</v>
          </cell>
          <cell r="AH97">
            <v>0</v>
          </cell>
          <cell r="AI97">
            <v>0.2518822724161533</v>
          </cell>
          <cell r="AJ97">
            <v>0.50376454483230659</v>
          </cell>
          <cell r="AK97">
            <v>0</v>
          </cell>
          <cell r="AL97">
            <v>0</v>
          </cell>
          <cell r="AM97">
            <v>0</v>
          </cell>
          <cell r="AN97">
            <v>0</v>
          </cell>
          <cell r="AO97">
            <v>0</v>
          </cell>
          <cell r="AP97">
            <v>0</v>
          </cell>
          <cell r="AQ97">
            <v>0</v>
          </cell>
          <cell r="AR97">
            <v>0</v>
          </cell>
        </row>
        <row r="98">
          <cell r="B98" t="str">
            <v>FØ-3</v>
          </cell>
          <cell r="C98" t="str">
            <v>SOA-RA</v>
          </cell>
          <cell r="D98" t="str">
            <v>SOARA</v>
          </cell>
          <cell r="E98">
            <v>0</v>
          </cell>
          <cell r="F98" t="str">
            <v>Katarina Norderud</v>
          </cell>
          <cell r="G98" t="str">
            <v>Kristen Meltvedt</v>
          </cell>
          <cell r="H98" t="str">
            <v>Paraplyprosjekt som basert på SOA-krav utvikler nye internkontroller i TRAP-løp (TRAP = Telenor Revenue Assurance Program).  Etter hvert som nye svakheter avsløres i SOA 404 vil det komme krav til nye kontroller som må utvikles for å få SOA-godkjenning</v>
          </cell>
          <cell r="I98" t="str">
            <v>SOA404 FIXED</v>
          </cell>
          <cell r="J98" t="str">
            <v>Nytt prosjekt</v>
          </cell>
          <cell r="K98" t="str">
            <v>B1</v>
          </cell>
          <cell r="L98" t="str">
            <v>Til utvikling</v>
          </cell>
          <cell r="M98" t="str">
            <v>Nødvendig</v>
          </cell>
          <cell r="N98" t="str">
            <v>Nordisk</v>
          </cell>
          <cell r="O98" t="str">
            <v>annet</v>
          </cell>
          <cell r="P98">
            <v>0</v>
          </cell>
          <cell r="Q98">
            <v>4</v>
          </cell>
          <cell r="R98">
            <v>0</v>
          </cell>
          <cell r="S98">
            <v>3200</v>
          </cell>
          <cell r="T98">
            <v>1600</v>
          </cell>
          <cell r="U98">
            <v>5000</v>
          </cell>
          <cell r="V98" t="str">
            <v xml:space="preserve"> </v>
          </cell>
          <cell r="W98" t="str">
            <v xml:space="preserve"> </v>
          </cell>
          <cell r="X98" t="str">
            <v>Ja</v>
          </cell>
          <cell r="Y98" t="str">
            <v>Fixed</v>
          </cell>
          <cell r="Z98" t="str">
            <v>Ø</v>
          </cell>
          <cell r="AB98" t="str">
            <v>3</v>
          </cell>
          <cell r="AC98" t="str">
            <v>FØ</v>
          </cell>
          <cell r="AE98">
            <v>38534</v>
          </cell>
          <cell r="AF98">
            <v>38899.25</v>
          </cell>
          <cell r="AG98">
            <v>1</v>
          </cell>
          <cell r="AH98">
            <v>0</v>
          </cell>
          <cell r="AI98">
            <v>0.2518822724161533</v>
          </cell>
          <cell r="AJ98">
            <v>0.50376454483230659</v>
          </cell>
          <cell r="AK98">
            <v>3200</v>
          </cell>
          <cell r="AL98">
            <v>1600</v>
          </cell>
          <cell r="AM98">
            <v>5000</v>
          </cell>
          <cell r="AN98">
            <v>806.02327173169056</v>
          </cell>
          <cell r="AO98">
            <v>403.01163586584528</v>
          </cell>
          <cell r="AP98">
            <v>1259.4113620807666</v>
          </cell>
          <cell r="AQ98">
            <v>3727.8576317590691</v>
          </cell>
          <cell r="AR98">
            <v>9.1573703678455107E-3</v>
          </cell>
        </row>
        <row r="99">
          <cell r="B99" t="str">
            <v>OPR-1</v>
          </cell>
          <cell r="C99" t="str">
            <v>Nettinfo</v>
          </cell>
          <cell r="D99" t="str">
            <v>Nettinfo</v>
          </cell>
          <cell r="E99" t="str">
            <v>EAA037/FAA012</v>
          </cell>
          <cell r="F99" t="str">
            <v>Gunnar Sønstebø/ Lars Vågsdal</v>
          </cell>
          <cell r="G99" t="str">
            <v>Fredrik Hilding</v>
          </cell>
          <cell r="H99" t="str">
            <v>Telenor har over 20 ulike nettinformasjonssystemer som støtter dagens forretningsprosesser. Det store antallet systemer er delvis historisk betinget og delvis en konsekvens av manglende koordinering på tvers i konsernet. I Networks, som er den største akt</v>
          </cell>
          <cell r="I99" t="str">
            <v xml:space="preserve">SOL / OMS </v>
          </cell>
          <cell r="J99" t="str">
            <v>Gjennomføring</v>
          </cell>
          <cell r="K99" t="str">
            <v>etter B2</v>
          </cell>
          <cell r="L99" t="str">
            <v>i utvikling</v>
          </cell>
          <cell r="O99" t="str">
            <v>D&amp;L</v>
          </cell>
          <cell r="P99">
            <v>0.89</v>
          </cell>
          <cell r="Q99">
            <v>114.1</v>
          </cell>
          <cell r="R99">
            <v>0.4</v>
          </cell>
          <cell r="S99">
            <v>91000</v>
          </cell>
          <cell r="T99">
            <v>21000</v>
          </cell>
          <cell r="U99">
            <v>43000</v>
          </cell>
          <cell r="V99">
            <v>38247</v>
          </cell>
          <cell r="W99">
            <v>38944</v>
          </cell>
          <cell r="Y99" t="str">
            <v>OPR</v>
          </cell>
          <cell r="AB99" t="str">
            <v>1</v>
          </cell>
          <cell r="AC99" t="str">
            <v>OPR</v>
          </cell>
          <cell r="AE99">
            <v>38247</v>
          </cell>
          <cell r="AF99">
            <v>38944</v>
          </cell>
          <cell r="AG99">
            <v>1.9082819986310746</v>
          </cell>
          <cell r="AH99">
            <v>0.41176470588235292</v>
          </cell>
          <cell r="AI99">
            <v>0.54375896700143467</v>
          </cell>
          <cell r="AJ99">
            <v>0.67575322812051652</v>
          </cell>
          <cell r="AK99">
            <v>53529.411764705881</v>
          </cell>
          <cell r="AL99">
            <v>12352.941176470589</v>
          </cell>
          <cell r="AM99">
            <v>25294.117647058825</v>
          </cell>
          <cell r="AN99">
            <v>12011.47776183645</v>
          </cell>
          <cell r="AO99">
            <v>2771.8794835007188</v>
          </cell>
          <cell r="AP99">
            <v>5675.7532281205195</v>
          </cell>
          <cell r="AQ99">
            <v>26134.863701578208</v>
          </cell>
          <cell r="AR99">
            <v>6.4199508154387894E-2</v>
          </cell>
        </row>
        <row r="100">
          <cell r="B100" t="str">
            <v>OPR-2</v>
          </cell>
          <cell r="C100" t="str">
            <v>Ultimas</v>
          </cell>
          <cell r="D100" t="str">
            <v>Ultimas</v>
          </cell>
          <cell r="E100" t="str">
            <v>EAA031</v>
          </cell>
          <cell r="F100" t="str">
            <v>Gunnar Sønstebø</v>
          </cell>
          <cell r="G100" t="str">
            <v>Olav Storli Ulvund</v>
          </cell>
          <cell r="H100" t="str">
            <v>Formålet med ULTIMAS prosjektet er å sikre kontinuitet, redusere kostnader og bedre kvaliteten for Service Assurance prosessen for Telenors operasjoner i Norden. Dette berører samtlige enheter i Nordic: Consumer Norway, Business Norway, Sweden, Denmark, F</v>
          </cell>
          <cell r="I100" t="str">
            <v>ULTIMAS er ikke avhengig av leveranser fra andre prosjekter utover Bizmas og Biztro. Prosjektet er avhengig av nært samarbeid med IS/IT og leveranseplaner fra forvaltingsmiljø av eksisterende systemer</v>
          </cell>
          <cell r="J100" t="str">
            <v>Analyse&amp;Konsept</v>
          </cell>
          <cell r="K100" t="str">
            <v>Etter B2</v>
          </cell>
          <cell r="L100" t="str">
            <v>i utvikling</v>
          </cell>
          <cell r="O100" t="str">
            <v>D&amp;L</v>
          </cell>
          <cell r="P100">
            <v>39.6</v>
          </cell>
          <cell r="Q100">
            <v>227</v>
          </cell>
          <cell r="R100">
            <v>15</v>
          </cell>
          <cell r="S100">
            <v>140000</v>
          </cell>
          <cell r="T100">
            <v>25500</v>
          </cell>
          <cell r="U100">
            <v>95000</v>
          </cell>
          <cell r="V100">
            <v>38533</v>
          </cell>
          <cell r="W100">
            <v>38990</v>
          </cell>
          <cell r="Y100" t="str">
            <v>OPR</v>
          </cell>
          <cell r="AB100" t="str">
            <v>2</v>
          </cell>
          <cell r="AC100" t="str">
            <v>OPR</v>
          </cell>
          <cell r="AE100">
            <v>38533</v>
          </cell>
          <cell r="AF100">
            <v>38990</v>
          </cell>
          <cell r="AG100">
            <v>1.2511978097193703</v>
          </cell>
          <cell r="AH100">
            <v>2.1881838074398249E-3</v>
          </cell>
          <cell r="AI100">
            <v>0.20350109409190373</v>
          </cell>
          <cell r="AJ100">
            <v>0.40481400437636761</v>
          </cell>
          <cell r="AK100">
            <v>139693.65426695842</v>
          </cell>
          <cell r="AL100">
            <v>25444.201312910285</v>
          </cell>
          <cell r="AM100">
            <v>94792.122538293217</v>
          </cell>
          <cell r="AN100">
            <v>28183.807439824945</v>
          </cell>
          <cell r="AO100">
            <v>5133.4792122538292</v>
          </cell>
          <cell r="AP100">
            <v>19124.726477024069</v>
          </cell>
          <cell r="AQ100">
            <v>71566.73960612691</v>
          </cell>
          <cell r="AR100">
            <v>0.17580154751865221</v>
          </cell>
        </row>
        <row r="101">
          <cell r="B101" t="str">
            <v>OPR-3</v>
          </cell>
          <cell r="C101" t="str">
            <v>Chili Tacos 3</v>
          </cell>
          <cell r="D101" t="str">
            <v>ChiliTacos3</v>
          </cell>
          <cell r="E101" t="str">
            <v xml:space="preserve">EAA026, EAA040, EAA041, EAA042, EAA043 og EAA044  ( Tacos3 er bygd opp i PV som et multiprosjekt )
</v>
          </cell>
          <cell r="F101" t="str">
            <v>Gunnar Sønstebø</v>
          </cell>
          <cell r="G101" t="str">
            <v>Jan Frode Larsen</v>
          </cell>
          <cell r="H101" t="str">
            <v>Formålet er å redusere kostnader vedrørende overvåkning og feilretting for Telenors operasjoner i Norden.  Dette inkluderer overvåkning for  Telenor AB, for Nordic Mobile og IT og tjenestedrift overført Drift i Networks gjennom Ultra. Med investeringen vi</v>
          </cell>
          <cell r="I101">
            <v>0</v>
          </cell>
          <cell r="J101" t="str">
            <v>Gjennomføring</v>
          </cell>
          <cell r="K101" t="str">
            <v>etter B2</v>
          </cell>
          <cell r="L101" t="str">
            <v>i utvikling</v>
          </cell>
          <cell r="O101" t="str">
            <v>D&amp;L</v>
          </cell>
          <cell r="P101">
            <v>21.2</v>
          </cell>
          <cell r="Q101">
            <v>32.4</v>
          </cell>
          <cell r="R101">
            <v>6.6</v>
          </cell>
          <cell r="S101">
            <v>19600</v>
          </cell>
          <cell r="T101">
            <v>14000</v>
          </cell>
          <cell r="U101">
            <v>19900</v>
          </cell>
          <cell r="V101">
            <v>38169</v>
          </cell>
          <cell r="W101">
            <v>38776</v>
          </cell>
          <cell r="Y101" t="str">
            <v>OPR</v>
          </cell>
          <cell r="AB101" t="str">
            <v>3</v>
          </cell>
          <cell r="AC101" t="str">
            <v>OPR</v>
          </cell>
          <cell r="AE101">
            <v>38169</v>
          </cell>
          <cell r="AF101">
            <v>38776</v>
          </cell>
          <cell r="AG101">
            <v>1.6618754277891854</v>
          </cell>
          <cell r="AH101">
            <v>0.60131795716639214</v>
          </cell>
          <cell r="AI101">
            <v>0.75288303130148271</v>
          </cell>
          <cell r="AJ101">
            <v>0.90444810543657328</v>
          </cell>
          <cell r="AK101">
            <v>7814.1680395387139</v>
          </cell>
          <cell r="AL101">
            <v>5581.5485996705102</v>
          </cell>
          <cell r="AM101">
            <v>7933.7726523887968</v>
          </cell>
          <cell r="AN101">
            <v>2970.6754530477751</v>
          </cell>
          <cell r="AO101">
            <v>2121.9110378912678</v>
          </cell>
          <cell r="AP101">
            <v>3016.1449752883022</v>
          </cell>
          <cell r="AQ101">
            <v>11124.876441515647</v>
          </cell>
          <cell r="AR101">
            <v>2.7327925026848811E-2</v>
          </cell>
        </row>
        <row r="102">
          <cell r="B102" t="str">
            <v>OPR-4</v>
          </cell>
          <cell r="C102" t="str">
            <v>Leveranseoptimering</v>
          </cell>
          <cell r="D102" t="str">
            <v>Leveranseoptimering</v>
          </cell>
          <cell r="E102" t="str">
            <v>FAX013</v>
          </cell>
          <cell r="F102" t="str">
            <v>Oddbjørn Schei</v>
          </cell>
          <cell r="G102" t="str">
            <v>Arild Gjerdseth</v>
          </cell>
          <cell r="H102" t="str">
            <v>Bakgrunn:
Som resultat av omorganisering i Nordic har Operations fått utvidet ansvar for hele Leveranseprosessen og ønsker i denne sammenheng å finne løsninger på de utfordringer som Telenor har i leveranseprosessen. Dette arbeidet utføres i samarbeid med</v>
          </cell>
          <cell r="K102" t="str">
            <v>B1</v>
          </cell>
          <cell r="L102" t="str">
            <v>ny analyse</v>
          </cell>
          <cell r="O102" t="str">
            <v>D&amp;L</v>
          </cell>
          <cell r="P102">
            <v>0</v>
          </cell>
          <cell r="R102">
            <v>4.5</v>
          </cell>
          <cell r="S102">
            <v>0</v>
          </cell>
          <cell r="T102">
            <v>0</v>
          </cell>
          <cell r="U102">
            <v>4440</v>
          </cell>
          <cell r="V102">
            <v>38626</v>
          </cell>
          <cell r="W102" t="str">
            <v xml:space="preserve"> </v>
          </cell>
          <cell r="Y102" t="str">
            <v>OPR</v>
          </cell>
          <cell r="AB102" t="str">
            <v>4</v>
          </cell>
          <cell r="AC102" t="str">
            <v>OPR</v>
          </cell>
          <cell r="AE102">
            <v>38626</v>
          </cell>
          <cell r="AF102">
            <v>38991.25</v>
          </cell>
          <cell r="AG102">
            <v>1</v>
          </cell>
          <cell r="AH102">
            <v>0</v>
          </cell>
          <cell r="AI102">
            <v>0</v>
          </cell>
          <cell r="AJ102">
            <v>0.2518822724161533</v>
          </cell>
          <cell r="AK102">
            <v>0</v>
          </cell>
          <cell r="AL102">
            <v>0</v>
          </cell>
          <cell r="AM102">
            <v>4440</v>
          </cell>
          <cell r="AN102">
            <v>0</v>
          </cell>
          <cell r="AO102">
            <v>0</v>
          </cell>
          <cell r="AP102">
            <v>1118.3572895277207</v>
          </cell>
          <cell r="AQ102">
            <v>2236.7145790554414</v>
          </cell>
          <cell r="AR102">
            <v>5.4944222207073063E-3</v>
          </cell>
        </row>
        <row r="103">
          <cell r="B103" t="str">
            <v>OPR-5</v>
          </cell>
          <cell r="C103" t="str">
            <v>Nye plan og utbygging</v>
          </cell>
          <cell r="D103" t="str">
            <v>NyePlanogUtbygging</v>
          </cell>
          <cell r="E103" t="str">
            <v>FAA021</v>
          </cell>
          <cell r="F103" t="str">
            <v>Ole Martin Gunhildsbu</v>
          </cell>
          <cell r="G103" t="str">
            <v>Tor Gunnar Lehne</v>
          </cell>
          <cell r="H103" t="str">
            <v>Etter omorganiseringen ble ny enhet Plan og Utbygging etablert som en del av Operations. Enheten er sammensatt av overførte enheter uten endringer i disses prosesser og rganisasjon. Et forprosjekt har vurdert at det er et betydelig effektiviseringspotensi</v>
          </cell>
          <cell r="I103">
            <v>0</v>
          </cell>
          <cell r="J103" t="str">
            <v>Nytt prosjekt</v>
          </cell>
          <cell r="K103" t="str">
            <v>B1</v>
          </cell>
          <cell r="L103" t="str">
            <v>ny analyse</v>
          </cell>
          <cell r="O103" t="str">
            <v>D&amp;L</v>
          </cell>
          <cell r="P103">
            <v>84</v>
          </cell>
          <cell r="Q103">
            <v>45</v>
          </cell>
          <cell r="R103">
            <v>12</v>
          </cell>
          <cell r="S103">
            <v>18000</v>
          </cell>
          <cell r="T103">
            <v>0</v>
          </cell>
          <cell r="U103">
            <v>23000</v>
          </cell>
          <cell r="V103">
            <v>38626</v>
          </cell>
          <cell r="W103">
            <v>39082</v>
          </cell>
          <cell r="Y103" t="str">
            <v>OPR</v>
          </cell>
          <cell r="AB103" t="str">
            <v>5</v>
          </cell>
          <cell r="AC103" t="str">
            <v>OPR</v>
          </cell>
          <cell r="AE103">
            <v>38626</v>
          </cell>
          <cell r="AF103">
            <v>39082</v>
          </cell>
          <cell r="AG103">
            <v>1.2484599589322383</v>
          </cell>
          <cell r="AH103">
            <v>0</v>
          </cell>
          <cell r="AI103">
            <v>0</v>
          </cell>
          <cell r="AJ103">
            <v>0.20175438596491227</v>
          </cell>
          <cell r="AK103">
            <v>18000</v>
          </cell>
          <cell r="AL103">
            <v>0</v>
          </cell>
          <cell r="AM103">
            <v>23000</v>
          </cell>
          <cell r="AN103">
            <v>3631.5789473684208</v>
          </cell>
          <cell r="AO103">
            <v>0</v>
          </cell>
          <cell r="AP103">
            <v>4640.3508771929819</v>
          </cell>
          <cell r="AQ103">
            <v>12912.280701754386</v>
          </cell>
          <cell r="AR103">
            <v>3.1718629936989783E-2</v>
          </cell>
        </row>
        <row r="104">
          <cell r="B104" t="str">
            <v>OPR-6</v>
          </cell>
          <cell r="C104" t="str">
            <v>ICON</v>
          </cell>
          <cell r="D104" t="str">
            <v>ICON</v>
          </cell>
          <cell r="E104" t="str">
            <v>EAA055</v>
          </cell>
          <cell r="F104" t="str">
            <v>Oddbjørn Schei</v>
          </cell>
          <cell r="G104" t="str">
            <v>Witold Sitek</v>
          </cell>
          <cell r="H104" t="str">
            <v>Prosjektet er videreføringen av ULTRA serverkonsolideringsprosjektet som er besluttet gjennomført av konsern IT Det er inngått kontrakt med IBM om gjennomføring av konsolidering både av ”grønn” drift i Operations og ”blå” drift hos EDB. Telenor er kontrak</v>
          </cell>
          <cell r="I104" t="str">
            <v>Påvirker alle prosjekter som skal anskaffe og plassere IT infrastruktur (tjenesteplattformer, nettutstyr, lagring, driftsverktøy)</v>
          </cell>
          <cell r="J104" t="str">
            <v>Analyse&amp;Konsept</v>
          </cell>
          <cell r="K104" t="str">
            <v>B2</v>
          </cell>
          <cell r="L104" t="str">
            <v>til utvikling</v>
          </cell>
          <cell r="O104" t="str">
            <v>D&amp;L</v>
          </cell>
          <cell r="P104">
            <v>0</v>
          </cell>
          <cell r="Q104">
            <v>340</v>
          </cell>
          <cell r="R104">
            <v>29</v>
          </cell>
          <cell r="S104">
            <v>0</v>
          </cell>
          <cell r="T104">
            <v>0</v>
          </cell>
          <cell r="U104">
            <v>0</v>
          </cell>
          <cell r="V104">
            <v>38686</v>
          </cell>
          <cell r="W104" t="str">
            <v xml:space="preserve"> </v>
          </cell>
          <cell r="Y104" t="str">
            <v>OPR</v>
          </cell>
          <cell r="AB104" t="str">
            <v>6</v>
          </cell>
          <cell r="AC104" t="str">
            <v>OPR</v>
          </cell>
          <cell r="AE104">
            <v>38686</v>
          </cell>
          <cell r="AF104">
            <v>39051.25</v>
          </cell>
          <cell r="AG104">
            <v>1</v>
          </cell>
          <cell r="AH104">
            <v>0</v>
          </cell>
          <cell r="AI104">
            <v>0</v>
          </cell>
          <cell r="AJ104">
            <v>8.761122518822724E-2</v>
          </cell>
          <cell r="AK104">
            <v>0</v>
          </cell>
          <cell r="AL104">
            <v>0</v>
          </cell>
          <cell r="AM104">
            <v>0</v>
          </cell>
          <cell r="AN104">
            <v>0</v>
          </cell>
          <cell r="AO104">
            <v>0</v>
          </cell>
          <cell r="AP104">
            <v>0</v>
          </cell>
          <cell r="AQ104">
            <v>0</v>
          </cell>
          <cell r="AR104">
            <v>0</v>
          </cell>
        </row>
        <row r="105">
          <cell r="B105" t="str">
            <v>OPR-7</v>
          </cell>
          <cell r="C105" t="str">
            <v>Nordisk Entreprenørkjøp</v>
          </cell>
          <cell r="D105" t="str">
            <v>NordiskEntreprenørkjøp</v>
          </cell>
          <cell r="E105">
            <v>0</v>
          </cell>
          <cell r="F105" t="str">
            <v>John Arild Vaag</v>
          </cell>
          <cell r="G105" t="str">
            <v>Eivind Thoresen</v>
          </cell>
          <cell r="H105" t="str">
            <v xml:space="preserve">Telenor Nordic ønsker ett marked og en operasjon. 
Operations har gitt mandat til Feltservice - Entreprenørkjøp til å etablere et nordisk entreprenørkjøpsområde i Norden. 
Kartlegging organiseres som et forprosjekt. Prosjektform vil kunne bli brukt for å </v>
          </cell>
          <cell r="I105" t="str">
            <v>Nei</v>
          </cell>
          <cell r="J105" t="str">
            <v>Nytt prosjekt</v>
          </cell>
          <cell r="K105" t="str">
            <v>B2</v>
          </cell>
          <cell r="L105" t="str">
            <v>til utvikling</v>
          </cell>
          <cell r="O105" t="str">
            <v>D&amp;L</v>
          </cell>
          <cell r="P105">
            <v>50</v>
          </cell>
          <cell r="Q105">
            <v>0</v>
          </cell>
          <cell r="R105">
            <v>5.2</v>
          </cell>
          <cell r="S105">
            <v>400</v>
          </cell>
          <cell r="T105">
            <v>0</v>
          </cell>
          <cell r="U105">
            <v>80</v>
          </cell>
          <cell r="V105">
            <v>38626</v>
          </cell>
          <cell r="W105">
            <v>38808</v>
          </cell>
          <cell r="Y105" t="str">
            <v>OPR</v>
          </cell>
          <cell r="AB105" t="str">
            <v>7</v>
          </cell>
          <cell r="AC105" t="str">
            <v>OPR</v>
          </cell>
          <cell r="AE105">
            <v>38626</v>
          </cell>
          <cell r="AF105">
            <v>38808</v>
          </cell>
          <cell r="AG105">
            <v>0.49828884325804246</v>
          </cell>
          <cell r="AH105">
            <v>0</v>
          </cell>
          <cell r="AI105">
            <v>0</v>
          </cell>
          <cell r="AJ105">
            <v>0.50549450549450547</v>
          </cell>
          <cell r="AK105">
            <v>400</v>
          </cell>
          <cell r="AL105">
            <v>0</v>
          </cell>
          <cell r="AM105">
            <v>80</v>
          </cell>
          <cell r="AN105">
            <v>202.19780219780219</v>
          </cell>
          <cell r="AO105">
            <v>0</v>
          </cell>
          <cell r="AP105">
            <v>40.439560439560438</v>
          </cell>
          <cell r="AQ105">
            <v>283.07692307692309</v>
          </cell>
          <cell r="AR105">
            <v>6.9536996400323763E-4</v>
          </cell>
        </row>
        <row r="106">
          <cell r="B106" t="str">
            <v>OPR-8</v>
          </cell>
          <cell r="C106" t="str">
            <v>Checkpoint</v>
          </cell>
          <cell r="D106" t="str">
            <v>Checkpoint</v>
          </cell>
          <cell r="E106" t="str">
            <v>EAA049</v>
          </cell>
          <cell r="F106" t="str">
            <v>Eivind Thoresen</v>
          </cell>
          <cell r="G106" t="str">
            <v>Marianne Brettingen</v>
          </cell>
          <cell r="H106" t="str">
            <v>Checkpoint gir en ny og forbedret prosess med tilhørende IT-løsning for kvalitetskontroller. Checkpoint gir enhetlig og styrt gjennomføring av Telenor Nordics prosess for kontroll/oppfølging av entreprenørtjenester - gir vesentlig grad av forenkling/autom</v>
          </cell>
          <cell r="I106" t="str">
            <v>Flow, Spider og FHS/Ultimas. 
Checkpoint vil benytte samme teknologiske plattform som Flow og Spider. Det vil være flest avhengigheter til Spider da man tenker å bruke samme external ordering modul som Spider. Se også Architecture Outline og 3PI-behandlin</v>
          </cell>
          <cell r="J106" t="str">
            <v>Analyse&amp;Konaept</v>
          </cell>
          <cell r="K106" t="str">
            <v>B2</v>
          </cell>
          <cell r="L106" t="str">
            <v>til utvikling</v>
          </cell>
          <cell r="O106" t="str">
            <v>D&amp;L</v>
          </cell>
          <cell r="P106">
            <v>20.353999999999999</v>
          </cell>
          <cell r="Q106">
            <v>11.847</v>
          </cell>
          <cell r="R106">
            <v>0</v>
          </cell>
          <cell r="S106">
            <v>4400</v>
          </cell>
          <cell r="T106">
            <v>0</v>
          </cell>
          <cell r="U106">
            <v>2402</v>
          </cell>
          <cell r="V106">
            <v>38626</v>
          </cell>
          <cell r="W106">
            <v>38961</v>
          </cell>
          <cell r="Y106" t="str">
            <v>OPR</v>
          </cell>
          <cell r="AB106" t="str">
            <v>8</v>
          </cell>
          <cell r="AC106" t="str">
            <v>OPR</v>
          </cell>
          <cell r="AE106">
            <v>38626</v>
          </cell>
          <cell r="AF106">
            <v>38961</v>
          </cell>
          <cell r="AG106">
            <v>0.91718001368925395</v>
          </cell>
          <cell r="AH106">
            <v>0</v>
          </cell>
          <cell r="AI106">
            <v>0</v>
          </cell>
          <cell r="AJ106">
            <v>0.2746268656716418</v>
          </cell>
          <cell r="AK106">
            <v>4400</v>
          </cell>
          <cell r="AL106">
            <v>0</v>
          </cell>
          <cell r="AM106">
            <v>2402</v>
          </cell>
          <cell r="AN106">
            <v>1208.358208955224</v>
          </cell>
          <cell r="AO106">
            <v>0</v>
          </cell>
          <cell r="AP106">
            <v>659.65373134328354</v>
          </cell>
          <cell r="AQ106">
            <v>2527.6656716417911</v>
          </cell>
          <cell r="AR106">
            <v>6.2091348457399545E-3</v>
          </cell>
        </row>
        <row r="107">
          <cell r="B107" t="str">
            <v>OPR-9</v>
          </cell>
          <cell r="C107" t="str">
            <v>Fleximan 5</v>
          </cell>
          <cell r="D107" t="str">
            <v>Fleximan5</v>
          </cell>
          <cell r="E107">
            <v>0</v>
          </cell>
          <cell r="F107" t="str">
            <v>John Arild Vaag</v>
          </cell>
          <cell r="G107" t="str">
            <v>Bente Walaunet Brandal</v>
          </cell>
          <cell r="H107" t="str">
            <v>Feltstyrken har vært gjennom en stor omstilling de siste to årene og har kommet et godt skritt på veien mot målbildet. Det er imidlertid noen faktorer som gjør at videre utvikling av Fleximan er nødvendig;
         Brukeropplevelsen blant feltressursene e</v>
          </cell>
          <cell r="I107">
            <v>0</v>
          </cell>
          <cell r="J107" t="str">
            <v>Analyse&amp;Konsept</v>
          </cell>
          <cell r="K107" t="str">
            <v>B2</v>
          </cell>
          <cell r="L107" t="str">
            <v>til utvikling</v>
          </cell>
          <cell r="O107" t="str">
            <v>D&amp;L</v>
          </cell>
          <cell r="P107">
            <v>3.5350000000000001</v>
          </cell>
          <cell r="Q107">
            <v>18.7</v>
          </cell>
          <cell r="R107">
            <v>1.4</v>
          </cell>
          <cell r="S107">
            <v>6244</v>
          </cell>
          <cell r="T107">
            <v>1858</v>
          </cell>
          <cell r="U107">
            <v>1063</v>
          </cell>
          <cell r="V107">
            <v>38626</v>
          </cell>
          <cell r="W107">
            <v>38869</v>
          </cell>
          <cell r="Y107" t="str">
            <v>OPR</v>
          </cell>
          <cell r="AB107" t="str">
            <v>9</v>
          </cell>
          <cell r="AC107" t="str">
            <v>OPR</v>
          </cell>
          <cell r="AE107">
            <v>38626</v>
          </cell>
          <cell r="AF107">
            <v>38869</v>
          </cell>
          <cell r="AG107">
            <v>0.6652977412731006</v>
          </cell>
          <cell r="AH107">
            <v>0</v>
          </cell>
          <cell r="AI107">
            <v>0</v>
          </cell>
          <cell r="AJ107">
            <v>0.37860082304526749</v>
          </cell>
          <cell r="AK107">
            <v>6244</v>
          </cell>
          <cell r="AL107">
            <v>1858</v>
          </cell>
          <cell r="AM107">
            <v>1063</v>
          </cell>
          <cell r="AN107">
            <v>2363.98353909465</v>
          </cell>
          <cell r="AO107">
            <v>703.44032921810697</v>
          </cell>
          <cell r="AP107">
            <v>402.45267489711932</v>
          </cell>
          <cell r="AQ107">
            <v>3872.3292181069955</v>
          </cell>
          <cell r="AR107">
            <v>9.512260482893671E-3</v>
          </cell>
        </row>
        <row r="108">
          <cell r="B108" t="str">
            <v>OPR-10</v>
          </cell>
          <cell r="C108" t="str">
            <v>Aksessverktyg (Telenor-AB)</v>
          </cell>
          <cell r="D108" t="str">
            <v>Aksessverktyg</v>
          </cell>
          <cell r="E108">
            <v>0</v>
          </cell>
          <cell r="F108" t="str">
            <v>Charlotte Kihl</v>
          </cell>
          <cell r="G108" t="str">
            <v>Torbjörn Dahlgren</v>
          </cell>
          <cell r="H108" t="str">
            <v xml:space="preserve">Projektet syftar att producera ett nytt verktyg för accessförfrågningar och beställningar i Telenor AB. Bakgrunden är det i dag i stort sett manuella och arbetsintensiva arbetssättet. 
</v>
          </cell>
          <cell r="I108">
            <v>0</v>
          </cell>
          <cell r="J108" t="str">
            <v>Analyse&amp;Konsept</v>
          </cell>
          <cell r="K108" t="str">
            <v>B2</v>
          </cell>
          <cell r="L108" t="str">
            <v>til utvikling</v>
          </cell>
          <cell r="O108" t="str">
            <v>D&amp;L</v>
          </cell>
          <cell r="P108">
            <v>1.9</v>
          </cell>
          <cell r="Q108">
            <v>1.8</v>
          </cell>
          <cell r="R108">
            <v>0</v>
          </cell>
          <cell r="S108">
            <v>1100</v>
          </cell>
          <cell r="T108">
            <v>880</v>
          </cell>
          <cell r="U108">
            <v>220</v>
          </cell>
          <cell r="V108">
            <v>38596</v>
          </cell>
          <cell r="W108" t="str">
            <v xml:space="preserve"> </v>
          </cell>
          <cell r="Y108" t="str">
            <v>OPR</v>
          </cell>
          <cell r="AB108" t="str">
            <v>10</v>
          </cell>
          <cell r="AC108" t="str">
            <v>OPR</v>
          </cell>
          <cell r="AE108">
            <v>38596</v>
          </cell>
          <cell r="AF108">
            <v>38961.25</v>
          </cell>
          <cell r="AG108">
            <v>1</v>
          </cell>
          <cell r="AH108">
            <v>0</v>
          </cell>
          <cell r="AI108">
            <v>8.2135523613963035E-2</v>
          </cell>
          <cell r="AJ108">
            <v>0.33401779603011633</v>
          </cell>
          <cell r="AK108">
            <v>1100</v>
          </cell>
          <cell r="AL108">
            <v>880</v>
          </cell>
          <cell r="AM108">
            <v>220</v>
          </cell>
          <cell r="AN108">
            <v>277.07049965776861</v>
          </cell>
          <cell r="AO108">
            <v>221.65639972621491</v>
          </cell>
          <cell r="AP108">
            <v>55.414099931553729</v>
          </cell>
          <cell r="AQ108">
            <v>609.55509924709099</v>
          </cell>
          <cell r="AR108">
            <v>1.497353803390955E-3</v>
          </cell>
        </row>
        <row r="109">
          <cell r="B109" t="str">
            <v>OPR-11</v>
          </cell>
          <cell r="C109" t="str">
            <v>STIL (Telenor-AB)</v>
          </cell>
          <cell r="D109" t="str">
            <v>Prosjekt11</v>
          </cell>
          <cell r="E109">
            <v>0</v>
          </cell>
          <cell r="F109" t="str">
            <v>Per Jacobsen</v>
          </cell>
          <cell r="G109" t="str">
            <v>Maria Gamberg</v>
          </cell>
          <cell r="H109" t="str">
            <v xml:space="preserve">STIL fas 1 syftade till att skapa processer och rutiner för Telenors samarbetet med Eltel. Eltel gör från 1 april alla våra accessbeställningar till Skanova, de installerar också accesserna och de gör installationen av vår kundutrustning när de är ute på </v>
          </cell>
          <cell r="I109" t="str">
            <v xml:space="preserve">Nordic connect, nätdatabasprojektet och Bib11 påverkar STIL eftersom de alla handlar om var vi lagrar data och i vilka system vi utför olika moment. Sammanhållande mellan projekten är informellt Björn Ragell.
</v>
          </cell>
          <cell r="J109" t="str">
            <v>Analyse&amp;Konsept</v>
          </cell>
          <cell r="K109" t="str">
            <v>etter B2</v>
          </cell>
          <cell r="L109" t="str">
            <v>i utvikling</v>
          </cell>
          <cell r="O109" t="str">
            <v>D&amp;L</v>
          </cell>
          <cell r="P109">
            <v>0</v>
          </cell>
          <cell r="Q109">
            <v>3.5</v>
          </cell>
          <cell r="R109">
            <v>0.52</v>
          </cell>
          <cell r="S109">
            <v>1294</v>
          </cell>
          <cell r="T109">
            <v>590</v>
          </cell>
          <cell r="U109">
            <v>0</v>
          </cell>
          <cell r="V109">
            <v>38503</v>
          </cell>
          <cell r="W109">
            <v>39240</v>
          </cell>
          <cell r="Y109" t="str">
            <v>OPR</v>
          </cell>
          <cell r="AB109" t="str">
            <v>11</v>
          </cell>
          <cell r="AC109" t="str">
            <v>OPR</v>
          </cell>
          <cell r="AE109">
            <v>38503</v>
          </cell>
          <cell r="AF109">
            <v>39240</v>
          </cell>
          <cell r="AG109">
            <v>2.0177960301163584</v>
          </cell>
          <cell r="AH109">
            <v>4.2062415196743558E-2</v>
          </cell>
          <cell r="AI109">
            <v>0.16689280868385345</v>
          </cell>
          <cell r="AJ109">
            <v>0.29172320217096337</v>
          </cell>
          <cell r="AK109">
            <v>1239.5712347354138</v>
          </cell>
          <cell r="AL109">
            <v>565.18317503392132</v>
          </cell>
          <cell r="AM109">
            <v>0</v>
          </cell>
          <cell r="AN109">
            <v>161.53052917232023</v>
          </cell>
          <cell r="AO109">
            <v>73.649932157394858</v>
          </cell>
          <cell r="AP109">
            <v>0</v>
          </cell>
          <cell r="AQ109">
            <v>235.18046132971509</v>
          </cell>
          <cell r="AR109">
            <v>5.7771374349956908E-4</v>
          </cell>
        </row>
        <row r="110">
          <cell r="B110" t="str">
            <v>FLE-1</v>
          </cell>
          <cell r="C110" t="str">
            <v>FLE Strada R3</v>
          </cell>
          <cell r="D110" t="str">
            <v>StradaR3</v>
          </cell>
          <cell r="E110" t="str">
            <v>EAA004</v>
          </cell>
          <cell r="F110" t="str">
            <v>Alf Nilsen</v>
          </cell>
          <cell r="G110" t="str">
            <v>Hilde Nestvold</v>
          </cell>
          <cell r="H110"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0" t="str">
            <v>Må være gjennomført før innføring av OMS 6.0, for å sikre tilstrekkelig kapasitet i linjen for å gjennomføre Strada R3</v>
          </cell>
          <cell r="J110" t="str">
            <v>Gjennomføring</v>
          </cell>
          <cell r="K110" t="str">
            <v>etter B2</v>
          </cell>
          <cell r="L110" t="str">
            <v>i utvikling</v>
          </cell>
          <cell r="M110">
            <v>350</v>
          </cell>
          <cell r="N110" t="str">
            <v>N bedrift</v>
          </cell>
          <cell r="O110" t="str">
            <v>D&amp;L</v>
          </cell>
          <cell r="P110">
            <v>3.2</v>
          </cell>
          <cell r="Q110">
            <v>37.299999999999997</v>
          </cell>
          <cell r="R110">
            <v>0</v>
          </cell>
          <cell r="S110">
            <v>15000</v>
          </cell>
          <cell r="T110">
            <v>11000</v>
          </cell>
          <cell r="U110">
            <v>25000</v>
          </cell>
          <cell r="V110">
            <v>38141</v>
          </cell>
          <cell r="W110">
            <v>38702</v>
          </cell>
          <cell r="X110" t="str">
            <v>Ja</v>
          </cell>
          <cell r="Y110" t="str">
            <v>Fixed</v>
          </cell>
          <cell r="Z110" t="str">
            <v>FLE</v>
          </cell>
          <cell r="AB110" t="str">
            <v>1</v>
          </cell>
          <cell r="AC110" t="str">
            <v>FLE</v>
          </cell>
          <cell r="AE110">
            <v>38141</v>
          </cell>
          <cell r="AF110">
            <v>38702</v>
          </cell>
          <cell r="AG110">
            <v>1.5359342915811087</v>
          </cell>
          <cell r="AH110">
            <v>0.70053475935828879</v>
          </cell>
          <cell r="AI110">
            <v>0.86452762923351156</v>
          </cell>
          <cell r="AJ110">
            <v>1</v>
          </cell>
          <cell r="AK110">
            <v>4491.9786096256685</v>
          </cell>
          <cell r="AL110">
            <v>3294.1176470588234</v>
          </cell>
          <cell r="AM110">
            <v>7486.6310160427802</v>
          </cell>
          <cell r="AN110">
            <v>2032.0855614973266</v>
          </cell>
          <cell r="AO110">
            <v>1490.1960784313728</v>
          </cell>
          <cell r="AP110">
            <v>3386.809269162211</v>
          </cell>
          <cell r="AQ110">
            <v>10295.900178253121</v>
          </cell>
          <cell r="AR110">
            <v>2.5291569720740873E-2</v>
          </cell>
        </row>
        <row r="111">
          <cell r="B111" t="str">
            <v>FLE-2</v>
          </cell>
          <cell r="C111" t="str">
            <v>FLE Strada R2, 4 &amp; 5</v>
          </cell>
          <cell r="D111" t="str">
            <v>StradaR5</v>
          </cell>
          <cell r="E111" t="str">
            <v>EAA004</v>
          </cell>
          <cell r="F111" t="str">
            <v>Alf Nilsen</v>
          </cell>
          <cell r="G111" t="str">
            <v>Hilde Nestvold</v>
          </cell>
          <cell r="H111" t="str">
            <v xml:space="preserve">Strada er et prosjekt i Program Fremragende Leveranse. Strada skal gjennomføre grunnleggende og radikale forbedringer i leveranseprosessen i Telenor som resulterer i økt kundetilfredshet, kortere leveringstid og redusert ressursbruk. Prosjektet vil bidra </v>
          </cell>
          <cell r="I111" t="str">
            <v>OMS 6.1 - systemutvikling, NIMS - systemutvikling, FLOW – systemutvikling</v>
          </cell>
          <cell r="J111" t="str">
            <v>Gjennomføring</v>
          </cell>
          <cell r="K111" t="str">
            <v>etter B2</v>
          </cell>
          <cell r="L111" t="str">
            <v>i utvikling</v>
          </cell>
          <cell r="M111">
            <v>350</v>
          </cell>
          <cell r="N111" t="str">
            <v>N Consumer</v>
          </cell>
          <cell r="O111" t="str">
            <v>D&amp;L</v>
          </cell>
          <cell r="P111">
            <v>26.1</v>
          </cell>
          <cell r="Q111">
            <v>87.5</v>
          </cell>
          <cell r="R111">
            <v>6.9</v>
          </cell>
          <cell r="S111">
            <v>93800</v>
          </cell>
          <cell r="T111">
            <v>68800</v>
          </cell>
          <cell r="U111">
            <v>60800</v>
          </cell>
          <cell r="V111">
            <v>38141</v>
          </cell>
          <cell r="W111">
            <v>39082</v>
          </cell>
          <cell r="X111" t="str">
            <v>Ja</v>
          </cell>
          <cell r="Y111" t="str">
            <v>Fixed</v>
          </cell>
          <cell r="Z111" t="str">
            <v>FLE</v>
          </cell>
          <cell r="AB111" t="str">
            <v>2</v>
          </cell>
          <cell r="AC111" t="str">
            <v>FLE</v>
          </cell>
          <cell r="AE111">
            <v>38141</v>
          </cell>
          <cell r="AF111">
            <v>39082</v>
          </cell>
          <cell r="AG111">
            <v>2.5763175906913074</v>
          </cell>
          <cell r="AH111">
            <v>0.41764080765143463</v>
          </cell>
          <cell r="AI111">
            <v>0.51540913921360254</v>
          </cell>
          <cell r="AJ111">
            <v>0.61317747077577045</v>
          </cell>
          <cell r="AK111">
            <v>54625.292242295429</v>
          </cell>
          <cell r="AL111">
            <v>40066.312433581297</v>
          </cell>
          <cell r="AM111">
            <v>35407.438894792773</v>
          </cell>
          <cell r="AN111">
            <v>9170.6695005313504</v>
          </cell>
          <cell r="AO111">
            <v>6726.4612114771526</v>
          </cell>
          <cell r="AP111">
            <v>5944.3145589798087</v>
          </cell>
          <cell r="AQ111">
            <v>27785.759829968119</v>
          </cell>
          <cell r="AR111">
            <v>6.8254884936407065E-2</v>
          </cell>
        </row>
        <row r="112">
          <cell r="B112" t="str">
            <v>FLE-3</v>
          </cell>
          <cell r="C112" t="str">
            <v>FLE Entreprenør - Selvbetjening montør</v>
          </cell>
          <cell r="D112" t="str">
            <v>Selvbetjening</v>
          </cell>
          <cell r="E112" t="str">
            <v>EAA006</v>
          </cell>
          <cell r="F112" t="str">
            <v>Alf Nilsen</v>
          </cell>
          <cell r="G112" t="str">
            <v>Erlend Arnet</v>
          </cell>
          <cell r="H112" t="str">
            <v>Selvbetjening montør er et tiltak under prosjektet FLE Entreprenør. Selvbetjening montør gir montør via pc en sikker tilgang til å utføre enkle endringer i linjeføring, ved hjelp av automatiserte prosesser mot NIMS. Feil ved linjeføring er i dag en vesent</v>
          </cell>
          <cell r="I112" t="str">
            <v>NIMS Nettinfo 1A - Systemutvikling</v>
          </cell>
          <cell r="J112" t="str">
            <v>Gjennomføring</v>
          </cell>
          <cell r="K112" t="str">
            <v>etter B2</v>
          </cell>
          <cell r="L112" t="str">
            <v>i utvikling</v>
          </cell>
          <cell r="M112">
            <v>280</v>
          </cell>
          <cell r="O112" t="str">
            <v>D&amp;L</v>
          </cell>
          <cell r="P112">
            <v>1.6</v>
          </cell>
          <cell r="Q112">
            <v>3.3</v>
          </cell>
          <cell r="R112">
            <v>0</v>
          </cell>
          <cell r="S112">
            <v>1050</v>
          </cell>
          <cell r="T112">
            <v>120</v>
          </cell>
          <cell r="U112">
            <v>2560</v>
          </cell>
          <cell r="V112">
            <v>38110</v>
          </cell>
          <cell r="W112">
            <v>38961</v>
          </cell>
          <cell r="X112" t="str">
            <v>Ja</v>
          </cell>
          <cell r="Y112" t="str">
            <v>Fixed</v>
          </cell>
          <cell r="Z112" t="str">
            <v>FLE</v>
          </cell>
          <cell r="AB112" t="str">
            <v>3</v>
          </cell>
          <cell r="AC112" t="str">
            <v>FLE</v>
          </cell>
          <cell r="AE112">
            <v>38110</v>
          </cell>
          <cell r="AF112">
            <v>38961</v>
          </cell>
          <cell r="AG112">
            <v>2.3299110198494182</v>
          </cell>
          <cell r="AH112">
            <v>0.49823736780258521</v>
          </cell>
          <cell r="AI112">
            <v>0.60634547591069332</v>
          </cell>
          <cell r="AJ112">
            <v>0.71445358401880144</v>
          </cell>
          <cell r="AK112">
            <v>526.85076380728549</v>
          </cell>
          <cell r="AL112">
            <v>60.211515863689776</v>
          </cell>
          <cell r="AM112">
            <v>1284.5123384253818</v>
          </cell>
          <cell r="AN112">
            <v>113.51351351351352</v>
          </cell>
          <cell r="AO112">
            <v>12.972972972972974</v>
          </cell>
          <cell r="AP112">
            <v>276.75675675675677</v>
          </cell>
          <cell r="AQ112">
            <v>680</v>
          </cell>
          <cell r="AR112">
            <v>1.6703995874425598E-3</v>
          </cell>
        </row>
        <row r="113">
          <cell r="B113" t="str">
            <v>FLE-4</v>
          </cell>
          <cell r="C113" t="str">
            <v>FLE Entreprenør – Automatisert leveransetest</v>
          </cell>
          <cell r="D113" t="str">
            <v>AutoTest</v>
          </cell>
          <cell r="E113" t="str">
            <v>EAA006</v>
          </cell>
          <cell r="F113" t="str">
            <v>Alf Nilsen</v>
          </cell>
          <cell r="G113" t="str">
            <v>Erlend Arnet</v>
          </cell>
          <cell r="H113" t="str">
            <v>Automatisert leveransetest er et tiltak under FLE Entreprenør. Tiltaket skal bidra til at Telenor kan overlevere en leveranse til kunde, og være sikker på at produktet fungerer. Ved leveranser av xDSL eller telefoniprodukter kombinert med xDSL, har vi i d</v>
          </cell>
          <cell r="I113" t="str">
            <v xml:space="preserve"> </v>
          </cell>
          <cell r="J113" t="str">
            <v>Gjennomføring</v>
          </cell>
          <cell r="K113" t="str">
            <v>etter B2</v>
          </cell>
          <cell r="L113" t="str">
            <v>i utvikling</v>
          </cell>
          <cell r="M113">
            <v>280</v>
          </cell>
          <cell r="O113" t="str">
            <v>D&amp;L</v>
          </cell>
          <cell r="P113">
            <v>4.4000000000000004</v>
          </cell>
          <cell r="Q113">
            <v>1.4</v>
          </cell>
          <cell r="R113">
            <v>2.8</v>
          </cell>
          <cell r="S113">
            <v>1000</v>
          </cell>
          <cell r="T113">
            <v>40</v>
          </cell>
          <cell r="U113">
            <v>460</v>
          </cell>
          <cell r="V113">
            <v>38413</v>
          </cell>
          <cell r="W113" t="str">
            <v xml:space="preserve"> </v>
          </cell>
          <cell r="X113" t="str">
            <v>Ja</v>
          </cell>
          <cell r="Y113" t="str">
            <v>Fixed</v>
          </cell>
          <cell r="Z113" t="str">
            <v>FLE</v>
          </cell>
          <cell r="AB113" t="str">
            <v>4</v>
          </cell>
          <cell r="AC113" t="str">
            <v>FLE</v>
          </cell>
          <cell r="AE113">
            <v>38413</v>
          </cell>
          <cell r="AF113">
            <v>38778.25</v>
          </cell>
          <cell r="AG113">
            <v>1</v>
          </cell>
          <cell r="AH113">
            <v>0.33127994524298426</v>
          </cell>
          <cell r="AI113">
            <v>0.58316221765913756</v>
          </cell>
          <cell r="AJ113">
            <v>0.83504449007529091</v>
          </cell>
          <cell r="AK113">
            <v>668.72005475701576</v>
          </cell>
          <cell r="AL113">
            <v>26.748802190280632</v>
          </cell>
          <cell r="AM113">
            <v>307.61122518822725</v>
          </cell>
          <cell r="AN113">
            <v>251.88227241615334</v>
          </cell>
          <cell r="AO113">
            <v>10.075290896646134</v>
          </cell>
          <cell r="AP113">
            <v>115.86584531143055</v>
          </cell>
          <cell r="AQ113">
            <v>493.68925393566059</v>
          </cell>
          <cell r="AR113">
            <v>1.2127328324984597E-3</v>
          </cell>
        </row>
        <row r="114">
          <cell r="B114" t="str">
            <v>FLE-5</v>
          </cell>
          <cell r="C114" t="str">
            <v>FLE Adressemaster - Marius</v>
          </cell>
          <cell r="D114" t="str">
            <v>Adressemaster</v>
          </cell>
          <cell r="E114" t="str">
            <v>EAA004</v>
          </cell>
          <cell r="F114" t="str">
            <v xml:space="preserve">Thomas Iversen </v>
          </cell>
          <cell r="G114" t="str">
            <v>Gunnar Gjerde</v>
          </cell>
          <cell r="H114" t="str">
            <v>Gjennom adressemasterprosjektet er det gjort en god del endringer i Far, bl.a innføring av bolignummer. Marius har i denne forbindelse behov for å oppgradere sitt grensesnitt til FAR. Bakgrunn er Arkitekturmessige hensyn, bedring av datakvalite og automat</v>
          </cell>
          <cell r="I114" t="str">
            <v>Videreføring av Adressemaster prosjektet</v>
          </cell>
          <cell r="J114" t="str">
            <v>Gjennomføring</v>
          </cell>
          <cell r="K114" t="str">
            <v>etter B2</v>
          </cell>
          <cell r="L114" t="str">
            <v>i utvikling</v>
          </cell>
          <cell r="M114">
            <v>280</v>
          </cell>
          <cell r="O114" t="str">
            <v>D&amp;L</v>
          </cell>
          <cell r="P114">
            <v>0.2</v>
          </cell>
          <cell r="Q114">
            <v>0.78</v>
          </cell>
          <cell r="R114">
            <v>0.18</v>
          </cell>
          <cell r="S114">
            <v>670</v>
          </cell>
          <cell r="T114">
            <v>0</v>
          </cell>
          <cell r="U114">
            <v>880</v>
          </cell>
          <cell r="V114">
            <v>38499</v>
          </cell>
          <cell r="W114">
            <v>38717</v>
          </cell>
          <cell r="X114" t="str">
            <v>Ja</v>
          </cell>
          <cell r="Y114" t="str">
            <v>Fixed</v>
          </cell>
          <cell r="Z114" t="str">
            <v>FLE</v>
          </cell>
          <cell r="AB114" t="str">
            <v>5</v>
          </cell>
          <cell r="AC114" t="str">
            <v>FLE</v>
          </cell>
          <cell r="AE114">
            <v>38499</v>
          </cell>
          <cell r="AF114">
            <v>38717</v>
          </cell>
          <cell r="AG114">
            <v>0.59685147159479812</v>
          </cell>
          <cell r="AH114">
            <v>0.16055045871559634</v>
          </cell>
          <cell r="AI114">
            <v>0.58256880733944949</v>
          </cell>
          <cell r="AJ114">
            <v>1</v>
          </cell>
          <cell r="AK114">
            <v>562.43119266055044</v>
          </cell>
          <cell r="AL114">
            <v>0</v>
          </cell>
          <cell r="AM114">
            <v>738.71559633027516</v>
          </cell>
          <cell r="AN114">
            <v>279.67889908256882</v>
          </cell>
          <cell r="AO114">
            <v>0</v>
          </cell>
          <cell r="AP114">
            <v>367.33944954128447</v>
          </cell>
          <cell r="AQ114">
            <v>1014.3577981651378</v>
          </cell>
          <cell r="AR114">
            <v>2.4917394817267494E-3</v>
          </cell>
        </row>
        <row r="115">
          <cell r="B115" t="str">
            <v>FLE-6</v>
          </cell>
          <cell r="C115" t="str">
            <v>FLE Entreprenør – Montør ringe kunde v2</v>
          </cell>
          <cell r="D115" t="str">
            <v>MontørRingKunde</v>
          </cell>
          <cell r="E115" t="str">
            <v>EAA006</v>
          </cell>
          <cell r="F115" t="str">
            <v>Alf Nilsen</v>
          </cell>
          <cell r="G115" t="str">
            <v>Erlend Arnet</v>
          </cell>
          <cell r="H115" t="str">
            <v xml:space="preserve">Montør ringe kunde versjon2 er et tiltak under FLE Entreprenør. Tiltaket skal sikre at det er kontakt mellom kunde og montør dagen før installasjon slik at en kan: redusere antallet bomturer, få kvalitetsikret kundes behov før montør reiser ut til kunde, </v>
          </cell>
          <cell r="I115" t="str">
            <v xml:space="preserve"> </v>
          </cell>
          <cell r="J115" t="str">
            <v>Gjennomføring</v>
          </cell>
          <cell r="K115" t="str">
            <v>etter B2</v>
          </cell>
          <cell r="L115" t="str">
            <v>i utvikling</v>
          </cell>
          <cell r="M115">
            <v>280</v>
          </cell>
          <cell r="O115" t="str">
            <v>D&amp;L</v>
          </cell>
          <cell r="P115">
            <v>1</v>
          </cell>
          <cell r="Q115">
            <v>0.6</v>
          </cell>
          <cell r="R115">
            <v>0</v>
          </cell>
          <cell r="S115">
            <v>1100</v>
          </cell>
          <cell r="T115">
            <v>20</v>
          </cell>
          <cell r="U115">
            <v>180</v>
          </cell>
          <cell r="V115">
            <v>38413</v>
          </cell>
          <cell r="W115">
            <v>38671</v>
          </cell>
          <cell r="X115" t="str">
            <v>Ja</v>
          </cell>
          <cell r="Y115" t="str">
            <v>Fixed</v>
          </cell>
          <cell r="Z115" t="str">
            <v>FLE</v>
          </cell>
          <cell r="AB115" t="str">
            <v>6</v>
          </cell>
          <cell r="AC115" t="str">
            <v>FLE</v>
          </cell>
          <cell r="AE115">
            <v>38413</v>
          </cell>
          <cell r="AF115">
            <v>38671</v>
          </cell>
          <cell r="AG115">
            <v>0.70636550308008217</v>
          </cell>
          <cell r="AH115">
            <v>0.4689922480620155</v>
          </cell>
          <cell r="AI115">
            <v>0.82558139534883723</v>
          </cell>
          <cell r="AJ115">
            <v>1</v>
          </cell>
          <cell r="AK115">
            <v>584.10852713178303</v>
          </cell>
          <cell r="AL115">
            <v>10.620155038759691</v>
          </cell>
          <cell r="AM115">
            <v>95.581395348837219</v>
          </cell>
          <cell r="AN115">
            <v>191.86046511627904</v>
          </cell>
          <cell r="AO115">
            <v>3.4883720930232553</v>
          </cell>
          <cell r="AP115">
            <v>31.395348837209298</v>
          </cell>
          <cell r="AQ115">
            <v>258.1395348837209</v>
          </cell>
          <cell r="AR115">
            <v>6.3411201848879658E-4</v>
          </cell>
        </row>
        <row r="116">
          <cell r="B116" t="str">
            <v>FLE-7</v>
          </cell>
          <cell r="C116" t="str">
            <v>FLE Entreprenør – Montør ringer kunde - feilretting</v>
          </cell>
          <cell r="D116" t="str">
            <v>MontørRingKundeFeil</v>
          </cell>
          <cell r="E116" t="str">
            <v>EAA006</v>
          </cell>
          <cell r="F116" t="str">
            <v>Alf Nilsen</v>
          </cell>
          <cell r="G116" t="str">
            <v>Erlend Arnet</v>
          </cell>
          <cell r="H116" t="str">
            <v>Fremragende Leveranseevne prosjekt Entreprenør har et tiltak ”Montør ringer kunde”, som er designet til bruk av montører på leveranseoppdrag som trenger kontakt med kunden.
Løsningen er nå i bestilling i versjon 2, som i stor grad forenkler montørens hver</v>
          </cell>
          <cell r="I116" t="str">
            <v xml:space="preserve"> </v>
          </cell>
          <cell r="J116" t="str">
            <v>Analyse&amp;Konsept</v>
          </cell>
          <cell r="K116" t="str">
            <v>B2</v>
          </cell>
          <cell r="L116" t="str">
            <v>til utvikling</v>
          </cell>
          <cell r="M116">
            <v>280</v>
          </cell>
          <cell r="O116" t="str">
            <v>D&amp;L</v>
          </cell>
          <cell r="P116">
            <v>0</v>
          </cell>
          <cell r="Q116">
            <v>0</v>
          </cell>
          <cell r="R116">
            <v>0</v>
          </cell>
          <cell r="S116">
            <v>200</v>
          </cell>
          <cell r="T116">
            <v>50</v>
          </cell>
          <cell r="U116">
            <v>0</v>
          </cell>
          <cell r="V116">
            <v>38533</v>
          </cell>
          <cell r="W116">
            <v>38657</v>
          </cell>
          <cell r="X116" t="str">
            <v>Ja</v>
          </cell>
          <cell r="Y116" t="str">
            <v>Fixed</v>
          </cell>
          <cell r="Z116" t="str">
            <v>FLE</v>
          </cell>
          <cell r="AB116" t="str">
            <v>7</v>
          </cell>
          <cell r="AC116" t="str">
            <v>FLE</v>
          </cell>
          <cell r="AE116">
            <v>38533</v>
          </cell>
          <cell r="AF116">
            <v>38657</v>
          </cell>
          <cell r="AG116">
            <v>0.33949349760438058</v>
          </cell>
          <cell r="AH116">
            <v>8.0645161290322578E-3</v>
          </cell>
          <cell r="AI116">
            <v>0.75</v>
          </cell>
          <cell r="AJ116">
            <v>1</v>
          </cell>
          <cell r="AK116">
            <v>198.38709677419354</v>
          </cell>
          <cell r="AL116">
            <v>49.596774193548384</v>
          </cell>
          <cell r="AM116">
            <v>0</v>
          </cell>
          <cell r="AN116">
            <v>50</v>
          </cell>
          <cell r="AO116">
            <v>12.5</v>
          </cell>
          <cell r="AP116">
            <v>0</v>
          </cell>
          <cell r="AQ116">
            <v>62.5</v>
          </cell>
          <cell r="AR116">
            <v>1.5352937384582351E-4</v>
          </cell>
        </row>
        <row r="117">
          <cell r="B117" t="str">
            <v>FLE-8</v>
          </cell>
          <cell r="C117" t="str">
            <v>FLE Entreprenør – Kompetanse</v>
          </cell>
          <cell r="D117" t="str">
            <v>Kompetanse</v>
          </cell>
          <cell r="E117" t="str">
            <v>EAA006</v>
          </cell>
          <cell r="F117" t="str">
            <v>Alf Nilsen</v>
          </cell>
          <cell r="G117" t="str">
            <v>Erlend Arnet</v>
          </cell>
          <cell r="H117" t="str">
            <v>Kompetanse er et prosjekt under FLE Entreprenør. Hensikten er å avdekke behov Privat og Bedrift har ift montørenes kompetanse. Det er identifisert behov for å sette atferdskrav til montørene og å måle etterlevelse. Videre er det  behov for å øke etterleve</v>
          </cell>
          <cell r="I117" t="str">
            <v xml:space="preserve"> </v>
          </cell>
          <cell r="J117" t="str">
            <v>Analyse&amp;Konsept</v>
          </cell>
          <cell r="K117" t="str">
            <v>B2</v>
          </cell>
          <cell r="L117" t="str">
            <v>til utvikling</v>
          </cell>
          <cell r="M117">
            <v>280</v>
          </cell>
          <cell r="O117" t="str">
            <v>D&amp;L</v>
          </cell>
          <cell r="P117">
            <v>0</v>
          </cell>
          <cell r="Q117">
            <v>0</v>
          </cell>
          <cell r="R117">
            <v>0</v>
          </cell>
          <cell r="S117">
            <v>500</v>
          </cell>
          <cell r="T117">
            <v>150</v>
          </cell>
          <cell r="U117">
            <v>0</v>
          </cell>
          <cell r="V117">
            <v>38579</v>
          </cell>
          <cell r="W117" t="str">
            <v xml:space="preserve"> </v>
          </cell>
          <cell r="X117" t="str">
            <v>Ja</v>
          </cell>
          <cell r="Y117" t="str">
            <v>Fixed</v>
          </cell>
          <cell r="Z117" t="str">
            <v>FLE</v>
          </cell>
          <cell r="AB117" t="str">
            <v>8</v>
          </cell>
          <cell r="AC117" t="str">
            <v>FLE</v>
          </cell>
          <cell r="AE117">
            <v>38579</v>
          </cell>
          <cell r="AF117">
            <v>38944.25</v>
          </cell>
          <cell r="AG117">
            <v>1</v>
          </cell>
          <cell r="AH117">
            <v>0</v>
          </cell>
          <cell r="AI117">
            <v>0.12867898699520877</v>
          </cell>
          <cell r="AJ117">
            <v>0.3805612594113621</v>
          </cell>
          <cell r="AK117">
            <v>500</v>
          </cell>
          <cell r="AL117">
            <v>150</v>
          </cell>
          <cell r="AM117">
            <v>0</v>
          </cell>
          <cell r="AN117">
            <v>125.94113620807667</v>
          </cell>
          <cell r="AO117">
            <v>37.782340862423005</v>
          </cell>
          <cell r="AP117">
            <v>0</v>
          </cell>
          <cell r="AQ117">
            <v>163.72347707049965</v>
          </cell>
          <cell r="AR117">
            <v>4.0218180669591768E-4</v>
          </cell>
        </row>
        <row r="118">
          <cell r="B118" t="str">
            <v>FLE-9</v>
          </cell>
          <cell r="C118" t="str">
            <v>FLE Entreprenør – Registrering av oppmøte hos kunde</v>
          </cell>
          <cell r="D118" t="str">
            <v>OppmøteKunde</v>
          </cell>
          <cell r="E118" t="str">
            <v>EAA006</v>
          </cell>
          <cell r="F118" t="str">
            <v>Alf Nilsen</v>
          </cell>
          <cell r="G118" t="str">
            <v>Erlend Arnet</v>
          </cell>
          <cell r="H118" t="str">
            <v>Registrering av oppmøte hos kunde er et tiltak under FLE Entreprenør. Bakgrunnen for tiltaket er et ønske om enklere etterlysning av montør på leveranseoppdrag. Etterlysningen kan enten foregå pro-aktivt ved at produksjonsstyring etterlyser montør hvis mo</v>
          </cell>
          <cell r="I118" t="str">
            <v xml:space="preserve"> </v>
          </cell>
          <cell r="J118" t="str">
            <v>Analyse&amp;Konsept</v>
          </cell>
          <cell r="K118" t="str">
            <v>B1</v>
          </cell>
          <cell r="L118" t="str">
            <v>ny analyse</v>
          </cell>
          <cell r="M118">
            <v>280</v>
          </cell>
          <cell r="O118" t="str">
            <v>D&amp;L</v>
          </cell>
          <cell r="P118">
            <v>0</v>
          </cell>
          <cell r="Q118">
            <v>0</v>
          </cell>
          <cell r="R118">
            <v>0</v>
          </cell>
          <cell r="S118">
            <v>100</v>
          </cell>
          <cell r="T118">
            <v>0</v>
          </cell>
          <cell r="U118">
            <v>0</v>
          </cell>
          <cell r="V118">
            <v>38533</v>
          </cell>
          <cell r="W118">
            <v>38657</v>
          </cell>
          <cell r="X118" t="str">
            <v>Ja</v>
          </cell>
          <cell r="Y118" t="str">
            <v>Fixed</v>
          </cell>
          <cell r="Z118" t="str">
            <v>FLE</v>
          </cell>
          <cell r="AB118" t="str">
            <v>9</v>
          </cell>
          <cell r="AC118" t="str">
            <v>FLE</v>
          </cell>
          <cell r="AE118">
            <v>38533</v>
          </cell>
          <cell r="AF118">
            <v>38657</v>
          </cell>
          <cell r="AG118">
            <v>0.33949349760438058</v>
          </cell>
          <cell r="AH118">
            <v>8.0645161290322578E-3</v>
          </cell>
          <cell r="AI118">
            <v>0.75</v>
          </cell>
          <cell r="AJ118">
            <v>1</v>
          </cell>
          <cell r="AK118">
            <v>99.193548387096769</v>
          </cell>
          <cell r="AL118">
            <v>0</v>
          </cell>
          <cell r="AM118">
            <v>0</v>
          </cell>
          <cell r="AN118">
            <v>25</v>
          </cell>
          <cell r="AO118">
            <v>0</v>
          </cell>
          <cell r="AP118">
            <v>0</v>
          </cell>
          <cell r="AQ118">
            <v>25</v>
          </cell>
          <cell r="AR118">
            <v>6.1411749538329405E-5</v>
          </cell>
        </row>
        <row r="119">
          <cell r="B119" t="str">
            <v>NC-1</v>
          </cell>
          <cell r="C119" t="str">
            <v>Sletting kundeinfo</v>
          </cell>
          <cell r="D119" t="str">
            <v>Prosjekt1</v>
          </cell>
          <cell r="E119">
            <v>0</v>
          </cell>
          <cell r="F119" t="str">
            <v xml:space="preserve"> Peter V. Due eier kravet for Telefoni</v>
          </cell>
          <cell r="G119" t="str">
            <v>Per Tore Granli – for Telefoni</v>
          </cell>
          <cell r="H119" t="str">
            <v>Pålagt aktivitet for å implementere krav fra Datatilsynet ved Personvernnemnda. Kravet pålegges det enkelte FO via Konserns Personvernsenter.</v>
          </cell>
          <cell r="I119" t="str">
            <v>Samkjøres mot IS med tilsvarende krav for Internett.</v>
          </cell>
          <cell r="J119" t="str">
            <v>Analyse&amp;Konsept</v>
          </cell>
          <cell r="K119">
            <v>0</v>
          </cell>
          <cell r="L119"/>
          <cell r="P119">
            <v>0</v>
          </cell>
          <cell r="Q119">
            <v>0</v>
          </cell>
          <cell r="R119">
            <v>0</v>
          </cell>
          <cell r="S119">
            <v>0</v>
          </cell>
          <cell r="T119">
            <v>0</v>
          </cell>
          <cell r="U119">
            <v>0</v>
          </cell>
          <cell r="Y119" t="str">
            <v>NC</v>
          </cell>
          <cell r="AB119" t="str">
            <v>1</v>
          </cell>
          <cell r="AC119" t="str">
            <v>NC</v>
          </cell>
          <cell r="AE119">
            <v>38534</v>
          </cell>
          <cell r="AF119">
            <v>38899.25</v>
          </cell>
          <cell r="AG119">
            <v>1</v>
          </cell>
          <cell r="AH119">
            <v>0</v>
          </cell>
          <cell r="AI119">
            <v>0.2518822724161533</v>
          </cell>
          <cell r="AJ119">
            <v>0.50376454483230659</v>
          </cell>
          <cell r="AK119">
            <v>0</v>
          </cell>
          <cell r="AL119">
            <v>0</v>
          </cell>
          <cell r="AM119">
            <v>0</v>
          </cell>
          <cell r="AN119">
            <v>0</v>
          </cell>
          <cell r="AO119">
            <v>0</v>
          </cell>
          <cell r="AP119">
            <v>0</v>
          </cell>
          <cell r="AQ119">
            <v>0</v>
          </cell>
          <cell r="AR119">
            <v>0</v>
          </cell>
        </row>
        <row r="120">
          <cell r="B120" t="str">
            <v>NC-2</v>
          </cell>
          <cell r="C120" t="str">
            <v>Totalkunde Fase2</v>
          </cell>
          <cell r="D120" t="str">
            <v>Prosjekt2</v>
          </cell>
          <cell r="E120">
            <v>0</v>
          </cell>
          <cell r="F120" t="str">
            <v>Knut Bech /Jon-Erik Haug</v>
          </cell>
          <cell r="G120" t="str">
            <v>Guro Fagerhaug</v>
          </cell>
          <cell r="H120" t="str">
            <v>Totalkunde Fase 2 er et IS prosjekt som skal realisere kravene fra Fase 1 som ikke ble løst. Dette gjelder i hovedsak rabatteringsmekanismen og muligheten til å differensiere på hvilke produkter/tjenester vi rabatterer på.I tillegg skal Fase 2 sørge for e</v>
          </cell>
          <cell r="I120">
            <v>0</v>
          </cell>
          <cell r="J120" t="str">
            <v>Analyse&amp;Konsept</v>
          </cell>
          <cell r="K120" t="str">
            <v>B2</v>
          </cell>
          <cell r="L120" t="str">
            <v>til utvikling</v>
          </cell>
          <cell r="P120">
            <v>250</v>
          </cell>
          <cell r="Q120">
            <v>0</v>
          </cell>
          <cell r="R120">
            <v>5</v>
          </cell>
          <cell r="S120">
            <v>0</v>
          </cell>
          <cell r="T120">
            <v>594</v>
          </cell>
          <cell r="U120">
            <v>288</v>
          </cell>
          <cell r="V120">
            <v>38534</v>
          </cell>
          <cell r="W120">
            <v>38626</v>
          </cell>
          <cell r="Y120" t="str">
            <v>NC</v>
          </cell>
          <cell r="AB120" t="str">
            <v>2</v>
          </cell>
          <cell r="AC120" t="str">
            <v>NC</v>
          </cell>
          <cell r="AE120">
            <v>38534</v>
          </cell>
          <cell r="AF120">
            <v>38626</v>
          </cell>
          <cell r="AG120">
            <v>0.2518822724161533</v>
          </cell>
          <cell r="AH120">
            <v>0</v>
          </cell>
          <cell r="AI120">
            <v>1</v>
          </cell>
          <cell r="AJ120">
            <v>1</v>
          </cell>
          <cell r="AK120">
            <v>0</v>
          </cell>
          <cell r="AL120">
            <v>594</v>
          </cell>
          <cell r="AM120">
            <v>288</v>
          </cell>
          <cell r="AN120">
            <v>0</v>
          </cell>
          <cell r="AO120">
            <v>0</v>
          </cell>
          <cell r="AP120">
            <v>0</v>
          </cell>
          <cell r="AQ120">
            <v>0</v>
          </cell>
          <cell r="AR120">
            <v>0</v>
          </cell>
        </row>
        <row r="121">
          <cell r="B121" t="str">
            <v>NC-3</v>
          </cell>
          <cell r="C121" t="str">
            <v>Felles kundeinnsikt</v>
          </cell>
          <cell r="D121" t="str">
            <v>Prosjekt3</v>
          </cell>
          <cell r="E121">
            <v>0</v>
          </cell>
          <cell r="F121" t="str">
            <v>Knut Bech /Jon-Erik Haug</v>
          </cell>
          <cell r="G121" t="str">
            <v>Marius Dybdahl</v>
          </cell>
          <cell r="H121">
            <v>0</v>
          </cell>
          <cell r="I121">
            <v>0</v>
          </cell>
          <cell r="J121" t="str">
            <v>Gjennomføring</v>
          </cell>
          <cell r="K121" t="str">
            <v>etter B2</v>
          </cell>
          <cell r="L121" t="str">
            <v>i utvikling</v>
          </cell>
          <cell r="P121">
            <v>0</v>
          </cell>
          <cell r="Q121">
            <v>0</v>
          </cell>
          <cell r="R121">
            <v>0</v>
          </cell>
          <cell r="S121">
            <v>0</v>
          </cell>
          <cell r="T121">
            <v>0</v>
          </cell>
          <cell r="U121">
            <v>0</v>
          </cell>
          <cell r="Y121" t="str">
            <v>NC</v>
          </cell>
          <cell r="AB121" t="str">
            <v>3</v>
          </cell>
          <cell r="AC121" t="str">
            <v>NC</v>
          </cell>
          <cell r="AE121">
            <v>38534</v>
          </cell>
          <cell r="AF121">
            <v>38899.25</v>
          </cell>
          <cell r="AG121">
            <v>1</v>
          </cell>
          <cell r="AH121">
            <v>0</v>
          </cell>
          <cell r="AI121">
            <v>0.2518822724161533</v>
          </cell>
          <cell r="AJ121">
            <v>0.50376454483230659</v>
          </cell>
          <cell r="AK121">
            <v>0</v>
          </cell>
          <cell r="AL121">
            <v>0</v>
          </cell>
          <cell r="AM121">
            <v>0</v>
          </cell>
          <cell r="AN121">
            <v>0</v>
          </cell>
          <cell r="AO121">
            <v>0</v>
          </cell>
          <cell r="AP121">
            <v>0</v>
          </cell>
          <cell r="AQ121">
            <v>0</v>
          </cell>
          <cell r="AR121">
            <v>0</v>
          </cell>
        </row>
        <row r="122">
          <cell r="B122" t="str">
            <v>NC-4</v>
          </cell>
          <cell r="C122" t="str">
            <v>Miks</v>
          </cell>
          <cell r="D122" t="str">
            <v>Prosjekt4</v>
          </cell>
          <cell r="E122">
            <v>0</v>
          </cell>
          <cell r="F122" t="str">
            <v>Petter Grunnan (Consumer Internett)</v>
          </cell>
          <cell r="G122" t="str">
            <v>Arve Fjellseth</v>
          </cell>
          <cell r="H122">
            <v>0</v>
          </cell>
          <cell r="I122">
            <v>0</v>
          </cell>
          <cell r="J122" t="str">
            <v>Analyse&amp;Konsept</v>
          </cell>
          <cell r="K122">
            <v>0</v>
          </cell>
          <cell r="L122"/>
          <cell r="P122">
            <v>0</v>
          </cell>
          <cell r="Q122">
            <v>0</v>
          </cell>
          <cell r="R122">
            <v>0</v>
          </cell>
          <cell r="S122">
            <v>0</v>
          </cell>
          <cell r="T122">
            <v>0</v>
          </cell>
          <cell r="U122">
            <v>0</v>
          </cell>
          <cell r="Y122" t="str">
            <v>NC</v>
          </cell>
          <cell r="AB122" t="str">
            <v>4</v>
          </cell>
          <cell r="AC122" t="str">
            <v>NC</v>
          </cell>
          <cell r="AE122">
            <v>38534</v>
          </cell>
          <cell r="AF122">
            <v>38899.25</v>
          </cell>
          <cell r="AG122">
            <v>1</v>
          </cell>
          <cell r="AH122">
            <v>0</v>
          </cell>
          <cell r="AI122">
            <v>0.2518822724161533</v>
          </cell>
          <cell r="AJ122">
            <v>0.50376454483230659</v>
          </cell>
          <cell r="AK122">
            <v>0</v>
          </cell>
          <cell r="AL122">
            <v>0</v>
          </cell>
          <cell r="AM122">
            <v>0</v>
          </cell>
          <cell r="AN122">
            <v>0</v>
          </cell>
          <cell r="AO122">
            <v>0</v>
          </cell>
          <cell r="AP122">
            <v>0</v>
          </cell>
          <cell r="AQ122">
            <v>0</v>
          </cell>
          <cell r="AR122">
            <v>0</v>
          </cell>
        </row>
        <row r="123">
          <cell r="B123" t="str">
            <v>FFU-1</v>
          </cell>
          <cell r="C123" t="str">
            <v>Telenor Nordic, Fixed</v>
          </cell>
          <cell r="D123" t="str">
            <v>TrådløssatsningFixed</v>
          </cell>
          <cell r="E123" t="str">
            <v xml:space="preserve"> </v>
          </cell>
          <cell r="F123" t="str">
            <v>Espen Fiane</v>
          </cell>
          <cell r="G123" t="str">
            <v>KariAnn Skow</v>
          </cell>
          <cell r="H123" t="str">
            <v xml:space="preserve">Hensikten med prosjektet er å utarbeide en strategi slik at vi blir istand til å utvikle kunderettede produkter som verdiøker dagens bredbåndsportefølje og som utnytter eller kompletterer  eksisterende infrastruktur på en effektiv måte.
En foranalyse har </v>
          </cell>
          <cell r="I123" t="str">
            <v>Lager nå et samlet prosjekt</v>
          </cell>
          <cell r="J123" t="str">
            <v>Analyse&amp;Konsept</v>
          </cell>
          <cell r="K123" t="str">
            <v>etter B2</v>
          </cell>
          <cell r="L123" t="str">
            <v>i utvikling</v>
          </cell>
          <cell r="P123">
            <v>300</v>
          </cell>
          <cell r="Q123">
            <v>0</v>
          </cell>
          <cell r="R123">
            <v>0</v>
          </cell>
          <cell r="S123">
            <v>0</v>
          </cell>
          <cell r="T123">
            <v>0</v>
          </cell>
          <cell r="U123">
            <v>0</v>
          </cell>
          <cell r="V123">
            <v>38473</v>
          </cell>
          <cell r="W123">
            <v>38869</v>
          </cell>
          <cell r="X123" t="str">
            <v>Ja</v>
          </cell>
          <cell r="Y123" t="str">
            <v>Fixed</v>
          </cell>
          <cell r="Z123" t="str">
            <v>FU</v>
          </cell>
          <cell r="AB123" t="str">
            <v>1</v>
          </cell>
          <cell r="AC123" t="str">
            <v>FFU</v>
          </cell>
          <cell r="AE123">
            <v>38473</v>
          </cell>
          <cell r="AF123">
            <v>38869</v>
          </cell>
          <cell r="AG123">
            <v>1.0841889117043122</v>
          </cell>
          <cell r="AH123">
            <v>0.15404040404040403</v>
          </cell>
          <cell r="AI123">
            <v>0.38636363636363635</v>
          </cell>
          <cell r="AJ123">
            <v>0.61868686868686873</v>
          </cell>
          <cell r="AK123">
            <v>0</v>
          </cell>
          <cell r="AL123">
            <v>0</v>
          </cell>
          <cell r="AM123">
            <v>0</v>
          </cell>
          <cell r="AN123">
            <v>0</v>
          </cell>
          <cell r="AO123">
            <v>0</v>
          </cell>
          <cell r="AP123">
            <v>0</v>
          </cell>
          <cell r="AQ123">
            <v>0</v>
          </cell>
          <cell r="AR123">
            <v>0</v>
          </cell>
        </row>
        <row r="124">
          <cell r="B124" t="str">
            <v>FFU-2</v>
          </cell>
          <cell r="C124" t="str">
            <v>Tjenester i 3.parts nett</v>
          </cell>
          <cell r="D124" t="str">
            <v>Tjenester3.partsnett</v>
          </cell>
          <cell r="E124" t="str">
            <v xml:space="preserve"> </v>
          </cell>
          <cell r="F124" t="str">
            <v>Espen Fiane</v>
          </cell>
          <cell r="G124" t="str">
            <v>Olai Bendik Erdal</v>
          </cell>
          <cell r="H124" t="str">
            <v>Telenor Fixed Nordic sine markedsandel for aksesstjenester i Norge er synkende. Pr 31.03.05 var den for bredbånd 47% for totalmarkedet og 37% for bedriftsmarkedet. Med en stadig større andel av aksesskundene tilknyttet andre operatørers nett, blir det vik</v>
          </cell>
          <cell r="I124">
            <v>0</v>
          </cell>
          <cell r="J124" t="str">
            <v>Nytt prosjekt</v>
          </cell>
          <cell r="K124" t="str">
            <v>B2</v>
          </cell>
          <cell r="L124" t="str">
            <v>til utvikling</v>
          </cell>
          <cell r="P124">
            <v>0</v>
          </cell>
          <cell r="Q124">
            <v>0</v>
          </cell>
          <cell r="R124">
            <v>0</v>
          </cell>
          <cell r="S124">
            <v>0</v>
          </cell>
          <cell r="T124">
            <v>0</v>
          </cell>
          <cell r="U124">
            <v>0</v>
          </cell>
          <cell r="V124">
            <v>38579</v>
          </cell>
          <cell r="W124">
            <v>38717</v>
          </cell>
          <cell r="X124" t="str">
            <v>Ja</v>
          </cell>
          <cell r="Y124" t="str">
            <v>Fixed</v>
          </cell>
          <cell r="Z124" t="str">
            <v>FU</v>
          </cell>
          <cell r="AB124" t="str">
            <v>2</v>
          </cell>
          <cell r="AC124" t="str">
            <v>FFU</v>
          </cell>
          <cell r="AE124">
            <v>38579</v>
          </cell>
          <cell r="AF124">
            <v>38717</v>
          </cell>
          <cell r="AG124">
            <v>0.37782340862422997</v>
          </cell>
          <cell r="AH124">
            <v>0</v>
          </cell>
          <cell r="AI124">
            <v>0.34057971014492755</v>
          </cell>
          <cell r="AJ124">
            <v>1</v>
          </cell>
          <cell r="AK124">
            <v>0</v>
          </cell>
          <cell r="AL124">
            <v>0</v>
          </cell>
          <cell r="AM124">
            <v>0</v>
          </cell>
          <cell r="AN124">
            <v>0</v>
          </cell>
          <cell r="AO124">
            <v>0</v>
          </cell>
          <cell r="AP124">
            <v>0</v>
          </cell>
          <cell r="AQ124">
            <v>0</v>
          </cell>
          <cell r="AR124">
            <v>0</v>
          </cell>
        </row>
        <row r="125">
          <cell r="B125" t="str">
            <v>FFU-3</v>
          </cell>
          <cell r="C125" t="str">
            <v>Nye prismodeller for fastnettet</v>
          </cell>
          <cell r="D125" t="str">
            <v>NyePrismodellerFastnett</v>
          </cell>
          <cell r="E125" t="str">
            <v xml:space="preserve"> </v>
          </cell>
          <cell r="F125" t="str">
            <v>Espen Fiane</v>
          </cell>
          <cell r="G125" t="str">
            <v>Eyvind Skaga</v>
          </cell>
          <cell r="H125" t="str">
            <v>Utarbeide en ny pris/forretningsmodell for fastnettet som priser tjenestene (eks: Data, tale/Ip-telefoni, internett, VoD, Tvetc. ) uavhengig av aksessform. Aksessen (kopper, fiber, trådløst etc.) prises separat. En slik forretningsmodell skal også tilrett</v>
          </cell>
          <cell r="I125" t="str">
            <v>Tjenester på 3.parts nett. Ny tjenesteplattform.
Begge prosjektene er avhengig av nye prismodeller for fastnettet hvor aksess og tjenester prises uavhengig av hverandre</v>
          </cell>
          <cell r="J125" t="str">
            <v>Nytt prosjekt</v>
          </cell>
          <cell r="K125" t="str">
            <v>B2</v>
          </cell>
          <cell r="L125" t="str">
            <v>til utvikling</v>
          </cell>
          <cell r="P125">
            <v>0</v>
          </cell>
          <cell r="Q125">
            <v>5</v>
          </cell>
          <cell r="R125">
            <v>0</v>
          </cell>
          <cell r="S125">
            <v>0</v>
          </cell>
          <cell r="T125">
            <v>0</v>
          </cell>
          <cell r="U125">
            <v>0</v>
          </cell>
          <cell r="V125">
            <v>38626</v>
          </cell>
          <cell r="W125" t="str">
            <v xml:space="preserve"> </v>
          </cell>
          <cell r="X125" t="str">
            <v>Ja</v>
          </cell>
          <cell r="Y125" t="str">
            <v>Fixed</v>
          </cell>
          <cell r="Z125" t="str">
            <v>FU</v>
          </cell>
          <cell r="AB125" t="str">
            <v>3</v>
          </cell>
          <cell r="AC125" t="str">
            <v>FFU</v>
          </cell>
          <cell r="AE125">
            <v>38626</v>
          </cell>
          <cell r="AF125">
            <v>38991.25</v>
          </cell>
          <cell r="AG125">
            <v>1</v>
          </cell>
          <cell r="AH125">
            <v>0</v>
          </cell>
          <cell r="AI125">
            <v>0</v>
          </cell>
          <cell r="AJ125">
            <v>0.2518822724161533</v>
          </cell>
          <cell r="AK125">
            <v>0</v>
          </cell>
          <cell r="AL125">
            <v>0</v>
          </cell>
          <cell r="AM125">
            <v>0</v>
          </cell>
          <cell r="AN125">
            <v>0</v>
          </cell>
          <cell r="AO125">
            <v>0</v>
          </cell>
          <cell r="AP125">
            <v>0</v>
          </cell>
          <cell r="AQ125">
            <v>0</v>
          </cell>
          <cell r="AR1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eadberegninger"/>
      <sheetName val="Ny modell januar 23"/>
      <sheetName val="SREP tabell desember 22"/>
      <sheetName val="Ny modell desember 22"/>
      <sheetName val="Ny modell november 22"/>
      <sheetName val="Ny modell oktober 22"/>
      <sheetName val="Ny modell september 22"/>
      <sheetName val="Ny modell august 22"/>
      <sheetName val="Ny modell juli 22"/>
      <sheetName val="Ny modell juni 22"/>
      <sheetName val="Ny modell mai 22"/>
      <sheetName val="Ny modell april 22"/>
      <sheetName val="Ny modell mars 22"/>
      <sheetName val="Holdings desember 22"/>
      <sheetName val="Holdings november 22"/>
      <sheetName val="Holdings oktober 22"/>
      <sheetName val="Holdings september 22"/>
      <sheetName val="Holdings august 22"/>
      <sheetName val="Holdings juli 22"/>
      <sheetName val="Holdings juni 22"/>
      <sheetName val="Holdings mai 22"/>
      <sheetName val="Holdings April 22"/>
      <sheetName val="Holdings Mars 22"/>
      <sheetName val="Holdings Februar 22"/>
      <sheetName val="Holdings Januar 22"/>
      <sheetName val="Rpt2 desember 22"/>
      <sheetName val="Rpt2 november 22"/>
      <sheetName val="Rpt2 oktober 22"/>
      <sheetName val="Rpt2 september 22"/>
      <sheetName val="Rpt2 august 22"/>
      <sheetName val="Rpt2 juli 22"/>
      <sheetName val="Rpt2 mai 22"/>
      <sheetName val="Rpt2 April 22"/>
      <sheetName val="Rpt2 Mars 22"/>
      <sheetName val="Rpt2 Februar 22"/>
      <sheetName val="Holdings Desember 21"/>
      <sheetName val="Rpt2 Desember 21"/>
      <sheetName val="HOLDINGS November 21"/>
      <sheetName val="HOLDINGS Oktober 21"/>
      <sheetName val="HOLDINGS September 21"/>
      <sheetName val="HOLDINGS August 21"/>
      <sheetName val="HOLDINGS Juli 21"/>
      <sheetName val="HOLDINGS April 21"/>
      <sheetName val="HOLDINGS Mars 21"/>
      <sheetName val="HOLDINGS Februar 21"/>
      <sheetName val="HOLDINGS Januar21"/>
      <sheetName val="HOLDINGS Desember20"/>
      <sheetName val="HOLDINGS November20"/>
      <sheetName val="HOLDINGS Oktober20"/>
      <sheetName val="HOLDINGS September20"/>
      <sheetName val="HOLDINGS August20"/>
      <sheetName val="HOLDINGS Juli20"/>
      <sheetName val="HOLDINGS Juni20"/>
      <sheetName val="HOLDINGS Mai20"/>
      <sheetName val="HOLDINGS April20"/>
      <sheetName val="HOLDINGS Mars20"/>
      <sheetName val="HOLDINGS Februar20"/>
      <sheetName val="HOLDINGS Januar20"/>
      <sheetName val="HOLDINGS Desember"/>
      <sheetName val="HOLDINGS November"/>
      <sheetName val="HOLDINGS Oktober"/>
      <sheetName val="HOLDINGS September"/>
      <sheetName val="HOLDINGS August"/>
      <sheetName val="HOLDINGS Juli"/>
      <sheetName val="HOLDINGS Juni"/>
      <sheetName val="HOLDINGS Mai"/>
      <sheetName val="Spread European Cov bonds"/>
      <sheetName val="TRANSACTIONS"/>
      <sheetName val="Spreadrisiko ICAP"/>
      <sheetName val="Gamel modell"/>
      <sheetName val="Lenker EUR Papirer"/>
    </sheetNames>
    <sheetDataSet>
      <sheetData sheetId="0" refreshError="1"/>
      <sheetData sheetId="1" refreshError="1"/>
      <sheetData sheetId="2" refreshError="1"/>
      <sheetData sheetId="3">
        <row r="6">
          <cell r="I6">
            <v>402963542.23000002</v>
          </cell>
          <cell r="J6">
            <v>406166646.19</v>
          </cell>
        </row>
        <row r="8">
          <cell r="I8">
            <v>99375000</v>
          </cell>
          <cell r="J8">
            <v>99375000</v>
          </cell>
        </row>
        <row r="9">
          <cell r="I9">
            <v>300000000</v>
          </cell>
          <cell r="J9">
            <v>303146681.35000002</v>
          </cell>
          <cell r="Q9">
            <v>3055718.548008</v>
          </cell>
        </row>
        <row r="11">
          <cell r="I11">
            <v>173724897.47</v>
          </cell>
          <cell r="J11">
            <v>170421646.99999997</v>
          </cell>
        </row>
        <row r="12">
          <cell r="I12">
            <v>11520909.859999999</v>
          </cell>
          <cell r="J12">
            <v>10589767.24</v>
          </cell>
          <cell r="Q12">
            <v>94471.813241467273</v>
          </cell>
        </row>
        <row r="13">
          <cell r="I13">
            <v>104507172</v>
          </cell>
          <cell r="J13">
            <v>104507172</v>
          </cell>
        </row>
        <row r="14">
          <cell r="I14">
            <v>69334931.99734199</v>
          </cell>
          <cell r="J14">
            <v>69334931.99734199</v>
          </cell>
        </row>
        <row r="15">
          <cell r="I15">
            <v>67248791.030000001</v>
          </cell>
          <cell r="J15">
            <v>60071093.019999996</v>
          </cell>
        </row>
        <row r="16">
          <cell r="I16">
            <v>35573418.840000004</v>
          </cell>
          <cell r="J16">
            <v>32668602.960000001</v>
          </cell>
          <cell r="Q16">
            <v>291438.1485212667</v>
          </cell>
        </row>
        <row r="17">
          <cell r="I17">
            <v>197265506</v>
          </cell>
          <cell r="J17">
            <v>197265506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ullgardiner"/>
      <sheetName val="Budget"/>
      <sheetName val="Data"/>
      <sheetName val="Inc_bal M"/>
      <sheetName val="Inc_bal Q"/>
      <sheetName val="Inc_bal Y"/>
      <sheetName val="Inc_bal M (NO Loan)"/>
      <sheetName val="Inc_bal M (SE Loan)"/>
      <sheetName val="Inc_bal M (FI Loan)"/>
      <sheetName val="Inc_bal M (NO Card)"/>
      <sheetName val="Inc_bal M (SE Card)"/>
      <sheetName val="Inc_bal M (FI Card)"/>
      <sheetName val="Inc_bal M (NO POS)"/>
      <sheetName val="Inc_bal M (SE POS)"/>
      <sheetName val="Inc_bal M (POS)"/>
      <sheetName val="1. IS_BS_KPI"/>
      <sheetName val="1.1 IS_BS_KPI (prod)"/>
      <sheetName val="1.2 IS_BS_KPI (prod)"/>
      <sheetName val="2. Development"/>
      <sheetName val="2.2 Graphs"/>
      <sheetName val="3. Yield"/>
      <sheetName val="4. ROA"/>
      <sheetName val="5.1 OPEX"/>
      <sheetName val="5.2 Customers"/>
      <sheetName val="5.2.1 Data kunder"/>
      <sheetName val="5.3 Liq reporting"/>
      <sheetName val="6. Budgets"/>
      <sheetName val="7. Finance"/>
      <sheetName val="7.1.2 CL History"/>
      <sheetName val="7.2 Sales Report update 1"/>
      <sheetName val="7.2.1 Sales Report"/>
      <sheetName val="7.2.2 Sales Report update chrn"/>
      <sheetName val="7.2.3 Sales Report 10 pct"/>
      <sheetName val="7.2.3 Sales Report 5 pct"/>
      <sheetName val="7.1 Finance KPI"/>
      <sheetName val="8. Capital"/>
      <sheetName val="9. Defaulted loans_old"/>
      <sheetName val="9. Defaulted loans_new"/>
      <sheetName val="9.1 Dclass"/>
      <sheetName val="9.1.2 Graf"/>
      <sheetName val="9.2 Utestående_fila"/>
      <sheetName val="10. Shareholders"/>
      <sheetName val="11. Forward Flow"/>
      <sheetName val="12. Currency loan"/>
      <sheetName val="12.1 Currency deposit"/>
      <sheetName val="12.2 Currency bank"/>
      <sheetName val="12.3 Norgesbank"/>
      <sheetName val="201601"/>
      <sheetName val="201602"/>
      <sheetName val="201603"/>
      <sheetName val="201604"/>
      <sheetName val="201605"/>
      <sheetName val="201606"/>
      <sheetName val="201607"/>
      <sheetName val="201608"/>
      <sheetName val="201609"/>
      <sheetName val="201610"/>
      <sheetName val="201611"/>
      <sheetName val="201612"/>
      <sheetName val="201701"/>
      <sheetName val="201702"/>
      <sheetName val="201703"/>
      <sheetName val="201704"/>
      <sheetName val="201705"/>
      <sheetName val="201706"/>
      <sheetName val="201707"/>
      <sheetName val="201708"/>
      <sheetName val="201709"/>
      <sheetName val="201710"/>
      <sheetName val="201711"/>
      <sheetName val="201712"/>
      <sheetName val="201801"/>
      <sheetName val="201802"/>
      <sheetName val="201803"/>
      <sheetName val="201804"/>
      <sheetName val="201805"/>
      <sheetName val="201806"/>
      <sheetName val="201807"/>
      <sheetName val="201808"/>
      <sheetName val="201809"/>
      <sheetName val="201810"/>
      <sheetName val="201811"/>
      <sheetName val="201812"/>
      <sheetName val="201901"/>
      <sheetName val="201902"/>
      <sheetName val="201903"/>
      <sheetName val="201904"/>
      <sheetName val="201905"/>
      <sheetName val="201906"/>
      <sheetName val="201907"/>
      <sheetName val="201908"/>
      <sheetName val="201909"/>
      <sheetName val="201910"/>
      <sheetName val="201911"/>
      <sheetName val="201912"/>
      <sheetName val="202001"/>
      <sheetName val="202002"/>
      <sheetName val="202003"/>
      <sheetName val="202004"/>
      <sheetName val="202005"/>
      <sheetName val="202006"/>
      <sheetName val="202007"/>
      <sheetName val="202008"/>
      <sheetName val="202009"/>
      <sheetName val="202010"/>
      <sheetName val="202011"/>
      <sheetName val="202012"/>
      <sheetName val="13. ROE"/>
      <sheetName val="202101"/>
      <sheetName val="202102"/>
      <sheetName val="202103"/>
      <sheetName val="202104"/>
      <sheetName val="202105"/>
      <sheetName val="202106"/>
      <sheetName val="202107"/>
      <sheetName val="202108"/>
      <sheetName val="202109"/>
      <sheetName val="202110"/>
      <sheetName val="202111"/>
      <sheetName val="202112"/>
      <sheetName val="202201"/>
      <sheetName val="202202"/>
      <sheetName val="202203"/>
      <sheetName val="202204"/>
      <sheetName val="202205"/>
      <sheetName val="202206"/>
      <sheetName val="202207"/>
      <sheetName val="202208"/>
      <sheetName val="202209"/>
      <sheetName val="202210"/>
      <sheetName val="202211"/>
      <sheetName val="202212"/>
      <sheetName val="202301"/>
      <sheetName val="202302"/>
      <sheetName val="202303"/>
      <sheetName val="202304"/>
      <sheetName val="202308"/>
      <sheetName val="202307"/>
      <sheetName val="202306"/>
      <sheetName val="202305"/>
      <sheetName val="ORBOF "/>
      <sheetName val="APM - draf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45">
          <cell r="BU45">
            <v>4175.0971478000001</v>
          </cell>
        </row>
        <row r="46">
          <cell r="BU46">
            <v>2987.1846657300002</v>
          </cell>
        </row>
        <row r="47">
          <cell r="BU47">
            <v>2477.8280242199999</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ow r="79">
          <cell r="CJ79">
            <v>9640109.8377500009</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115" zoomScaleNormal="115" workbookViewId="0">
      <selection activeCell="G6" sqref="G6"/>
    </sheetView>
  </sheetViews>
  <sheetFormatPr baseColWidth="10" defaultColWidth="9.140625" defaultRowHeight="15" x14ac:dyDescent="0.25"/>
  <cols>
    <col min="1" max="1" width="2.85546875" style="3" customWidth="1"/>
    <col min="2" max="2" width="8.140625" style="275" bestFit="1" customWidth="1"/>
    <col min="3" max="3" width="131.85546875" style="3" customWidth="1"/>
    <col min="4" max="4" width="19" style="3" bestFit="1" customWidth="1"/>
    <col min="5" max="5" width="12" style="3" bestFit="1" customWidth="1"/>
    <col min="6" max="6" width="17.42578125" style="3" bestFit="1" customWidth="1"/>
    <col min="7" max="7" width="19.5703125" style="3" customWidth="1"/>
    <col min="8" max="16384" width="9.140625" style="3"/>
  </cols>
  <sheetData>
    <row r="1" spans="1:7" x14ac:dyDescent="0.25">
      <c r="B1" s="3"/>
      <c r="D1" s="1"/>
      <c r="E1" s="1"/>
      <c r="F1" s="2"/>
    </row>
    <row r="2" spans="1:7" ht="26.25" x14ac:dyDescent="0.4">
      <c r="B2" s="3"/>
      <c r="C2" s="395" t="s">
        <v>715</v>
      </c>
      <c r="D2" s="243"/>
      <c r="E2" s="243"/>
      <c r="F2" s="244"/>
    </row>
    <row r="3" spans="1:7" x14ac:dyDescent="0.25">
      <c r="A3" s="246"/>
      <c r="B3" s="246"/>
      <c r="C3" s="249"/>
      <c r="D3" s="246"/>
      <c r="E3" s="246"/>
    </row>
    <row r="4" spans="1:7" x14ac:dyDescent="0.25">
      <c r="A4" s="246"/>
      <c r="B4" s="246"/>
      <c r="C4" s="246"/>
      <c r="D4" s="247"/>
      <c r="E4" s="247"/>
      <c r="F4" s="248"/>
    </row>
    <row r="5" spans="1:7" ht="30" customHeight="1" x14ac:dyDescent="0.25">
      <c r="B5" s="274" t="s">
        <v>566</v>
      </c>
      <c r="C5" s="274" t="s">
        <v>567</v>
      </c>
      <c r="D5" s="277" t="s">
        <v>572</v>
      </c>
      <c r="E5" s="277" t="s">
        <v>700</v>
      </c>
      <c r="F5" s="245" t="s">
        <v>568</v>
      </c>
      <c r="G5" s="276" t="s">
        <v>569</v>
      </c>
    </row>
    <row r="6" spans="1:7" x14ac:dyDescent="0.25">
      <c r="B6" s="275">
        <v>1</v>
      </c>
      <c r="C6" s="407" t="s">
        <v>509</v>
      </c>
      <c r="D6" s="4" t="s">
        <v>570</v>
      </c>
      <c r="E6" s="4">
        <v>1</v>
      </c>
      <c r="F6" s="5" t="s">
        <v>0</v>
      </c>
      <c r="G6" s="409">
        <v>45199</v>
      </c>
    </row>
    <row r="7" spans="1:7" x14ac:dyDescent="0.25">
      <c r="B7" s="275">
        <f t="shared" ref="B7:B12" si="0">B6+1</f>
        <v>2</v>
      </c>
      <c r="C7" s="408" t="s">
        <v>518</v>
      </c>
      <c r="D7" s="4" t="s">
        <v>570</v>
      </c>
      <c r="E7" s="4">
        <f>E6+1</f>
        <v>2</v>
      </c>
      <c r="F7" s="6" t="s">
        <v>0</v>
      </c>
      <c r="G7" s="409">
        <f>$G$6</f>
        <v>45199</v>
      </c>
    </row>
    <row r="8" spans="1:7" x14ac:dyDescent="0.25">
      <c r="B8" s="275">
        <f t="shared" si="0"/>
        <v>3</v>
      </c>
      <c r="C8" s="408" t="s">
        <v>519</v>
      </c>
      <c r="D8" s="4" t="s">
        <v>570</v>
      </c>
      <c r="E8" s="4">
        <f t="shared" ref="E8:E23" si="1">E7+1</f>
        <v>3</v>
      </c>
      <c r="F8" s="6" t="s">
        <v>0</v>
      </c>
      <c r="G8" s="409">
        <f t="shared" ref="G8:G9" si="2">$G$6</f>
        <v>45199</v>
      </c>
    </row>
    <row r="9" spans="1:7" x14ac:dyDescent="0.25">
      <c r="B9" s="275">
        <f t="shared" si="0"/>
        <v>4</v>
      </c>
      <c r="C9" s="408" t="s">
        <v>530</v>
      </c>
      <c r="D9" s="4" t="s">
        <v>571</v>
      </c>
      <c r="E9" s="4">
        <f t="shared" si="1"/>
        <v>4</v>
      </c>
      <c r="F9" s="6" t="s">
        <v>0</v>
      </c>
      <c r="G9" s="409">
        <f t="shared" si="2"/>
        <v>45199</v>
      </c>
    </row>
    <row r="10" spans="1:7" x14ac:dyDescent="0.25">
      <c r="B10" s="275">
        <f t="shared" si="0"/>
        <v>5</v>
      </c>
      <c r="C10" s="408" t="s">
        <v>470</v>
      </c>
      <c r="D10" s="4" t="s">
        <v>573</v>
      </c>
      <c r="E10" s="4">
        <f t="shared" si="1"/>
        <v>5</v>
      </c>
      <c r="F10" s="6" t="s">
        <v>1</v>
      </c>
      <c r="G10" s="409">
        <v>44926</v>
      </c>
    </row>
    <row r="11" spans="1:7" x14ac:dyDescent="0.25">
      <c r="B11" s="275">
        <f t="shared" si="0"/>
        <v>6</v>
      </c>
      <c r="C11" s="408" t="s">
        <v>495</v>
      </c>
      <c r="D11" s="4" t="s">
        <v>573</v>
      </c>
      <c r="E11" s="4">
        <f t="shared" si="1"/>
        <v>6</v>
      </c>
      <c r="F11" s="6" t="s">
        <v>1</v>
      </c>
      <c r="G11" s="409">
        <f>$G$10</f>
        <v>44926</v>
      </c>
    </row>
    <row r="12" spans="1:7" x14ac:dyDescent="0.25">
      <c r="B12" s="275">
        <f t="shared" si="0"/>
        <v>7</v>
      </c>
      <c r="C12" s="408" t="s">
        <v>3</v>
      </c>
      <c r="D12" s="4" t="s">
        <v>520</v>
      </c>
      <c r="E12" s="4">
        <f t="shared" si="1"/>
        <v>7</v>
      </c>
      <c r="F12" s="6" t="s">
        <v>1</v>
      </c>
      <c r="G12" s="409">
        <f t="shared" ref="G12:G23" si="3">$G$10</f>
        <v>44926</v>
      </c>
    </row>
    <row r="13" spans="1:7" x14ac:dyDescent="0.25">
      <c r="B13" s="275">
        <f>B12+1</f>
        <v>8</v>
      </c>
      <c r="C13" s="408" t="s">
        <v>5</v>
      </c>
      <c r="D13" s="4" t="s">
        <v>4</v>
      </c>
      <c r="E13" s="4">
        <f t="shared" si="1"/>
        <v>8</v>
      </c>
      <c r="F13" s="6" t="s">
        <v>1</v>
      </c>
      <c r="G13" s="409">
        <f t="shared" si="3"/>
        <v>44926</v>
      </c>
    </row>
    <row r="14" spans="1:7" x14ac:dyDescent="0.25">
      <c r="B14" s="275">
        <f t="shared" ref="B14:B23" si="4">B13+1</f>
        <v>9</v>
      </c>
      <c r="C14" s="408" t="s">
        <v>7</v>
      </c>
      <c r="D14" s="4" t="s">
        <v>6</v>
      </c>
      <c r="E14" s="4">
        <f t="shared" si="1"/>
        <v>9</v>
      </c>
      <c r="F14" s="6" t="s">
        <v>1</v>
      </c>
      <c r="G14" s="409">
        <f t="shared" si="3"/>
        <v>44926</v>
      </c>
    </row>
    <row r="15" spans="1:7" x14ac:dyDescent="0.25">
      <c r="B15" s="275">
        <f t="shared" si="4"/>
        <v>10</v>
      </c>
      <c r="C15" s="408" t="s">
        <v>9</v>
      </c>
      <c r="D15" s="4" t="s">
        <v>8</v>
      </c>
      <c r="E15" s="4">
        <f t="shared" si="1"/>
        <v>10</v>
      </c>
      <c r="F15" s="6" t="s">
        <v>1</v>
      </c>
      <c r="G15" s="409">
        <f t="shared" si="3"/>
        <v>44926</v>
      </c>
    </row>
    <row r="16" spans="1:7" x14ac:dyDescent="0.25">
      <c r="B16" s="275">
        <f t="shared" si="4"/>
        <v>11</v>
      </c>
      <c r="C16" s="408" t="s">
        <v>11</v>
      </c>
      <c r="D16" s="4" t="s">
        <v>10</v>
      </c>
      <c r="E16" s="4">
        <f t="shared" si="1"/>
        <v>11</v>
      </c>
      <c r="F16" s="6" t="s">
        <v>1</v>
      </c>
      <c r="G16" s="409">
        <f t="shared" si="3"/>
        <v>44926</v>
      </c>
    </row>
    <row r="17" spans="2:7" x14ac:dyDescent="0.25">
      <c r="B17" s="275">
        <f t="shared" si="4"/>
        <v>12</v>
      </c>
      <c r="C17" s="408" t="s">
        <v>13</v>
      </c>
      <c r="D17" s="4" t="s">
        <v>12</v>
      </c>
      <c r="E17" s="4">
        <f t="shared" si="1"/>
        <v>12</v>
      </c>
      <c r="F17" s="6" t="s">
        <v>1</v>
      </c>
      <c r="G17" s="409">
        <f t="shared" si="3"/>
        <v>44926</v>
      </c>
    </row>
    <row r="18" spans="2:7" x14ac:dyDescent="0.25">
      <c r="B18" s="275">
        <f t="shared" si="4"/>
        <v>13</v>
      </c>
      <c r="C18" s="408" t="s">
        <v>15</v>
      </c>
      <c r="D18" s="4" t="s">
        <v>14</v>
      </c>
      <c r="E18" s="4">
        <f t="shared" si="1"/>
        <v>13</v>
      </c>
      <c r="F18" s="6" t="s">
        <v>1</v>
      </c>
      <c r="G18" s="409">
        <f t="shared" si="3"/>
        <v>44926</v>
      </c>
    </row>
    <row r="19" spans="2:7" x14ac:dyDescent="0.25">
      <c r="B19" s="275">
        <f t="shared" si="4"/>
        <v>14</v>
      </c>
      <c r="C19" s="408" t="s">
        <v>17</v>
      </c>
      <c r="D19" s="4" t="s">
        <v>16</v>
      </c>
      <c r="E19" s="4">
        <f t="shared" si="1"/>
        <v>14</v>
      </c>
      <c r="F19" s="6" t="s">
        <v>1</v>
      </c>
      <c r="G19" s="409">
        <f t="shared" si="3"/>
        <v>44926</v>
      </c>
    </row>
    <row r="20" spans="2:7" x14ac:dyDescent="0.25">
      <c r="B20" s="275">
        <f t="shared" si="4"/>
        <v>15</v>
      </c>
      <c r="C20" s="408" t="s">
        <v>19</v>
      </c>
      <c r="D20" s="4" t="s">
        <v>18</v>
      </c>
      <c r="E20" s="4">
        <f t="shared" si="1"/>
        <v>15</v>
      </c>
      <c r="F20" s="6" t="s">
        <v>1</v>
      </c>
      <c r="G20" s="409">
        <f t="shared" si="3"/>
        <v>44926</v>
      </c>
    </row>
    <row r="21" spans="2:7" x14ac:dyDescent="0.25">
      <c r="B21" s="275">
        <f t="shared" si="4"/>
        <v>16</v>
      </c>
      <c r="C21" s="408" t="s">
        <v>21</v>
      </c>
      <c r="D21" s="4" t="s">
        <v>20</v>
      </c>
      <c r="E21" s="4">
        <f t="shared" si="1"/>
        <v>16</v>
      </c>
      <c r="F21" s="6" t="s">
        <v>1</v>
      </c>
      <c r="G21" s="409">
        <f t="shared" si="3"/>
        <v>44926</v>
      </c>
    </row>
    <row r="22" spans="2:7" x14ac:dyDescent="0.25">
      <c r="B22" s="275">
        <f t="shared" si="4"/>
        <v>17</v>
      </c>
      <c r="C22" s="408" t="s">
        <v>563</v>
      </c>
      <c r="D22" s="4" t="s">
        <v>561</v>
      </c>
      <c r="E22" s="4">
        <f t="shared" si="1"/>
        <v>17</v>
      </c>
      <c r="F22" s="6" t="s">
        <v>1</v>
      </c>
      <c r="G22" s="409">
        <f t="shared" si="3"/>
        <v>44926</v>
      </c>
    </row>
    <row r="23" spans="2:7" x14ac:dyDescent="0.25">
      <c r="B23" s="275">
        <f t="shared" si="4"/>
        <v>18</v>
      </c>
      <c r="C23" s="408" t="s">
        <v>564</v>
      </c>
      <c r="D23" s="4" t="s">
        <v>562</v>
      </c>
      <c r="E23" s="4">
        <f t="shared" si="1"/>
        <v>18</v>
      </c>
      <c r="F23" s="6" t="s">
        <v>1</v>
      </c>
      <c r="G23" s="409">
        <f t="shared" si="3"/>
        <v>44926</v>
      </c>
    </row>
    <row r="24" spans="2:7" x14ac:dyDescent="0.25">
      <c r="C24" s="407"/>
    </row>
  </sheetData>
  <hyperlinks>
    <hyperlink ref="D9" location="'A04'!A1" display="A04" xr:uid="{00000000-0004-0000-0000-000003000000}"/>
    <hyperlink ref="D12" location="'CCyB1'!A1" display="CCyB1" xr:uid="{00000000-0004-0000-0000-000007000000}"/>
    <hyperlink ref="D13" location="'LR1'!A1" display="LR1" xr:uid="{00000000-0004-0000-0000-000008000000}"/>
    <hyperlink ref="D14" location="'LR2'!A1" display="LR2" xr:uid="{00000000-0004-0000-0000-000009000000}"/>
    <hyperlink ref="D15" location="'LIQ1'!A1" display="LIQ1" xr:uid="{00000000-0004-0000-0000-00000A000000}"/>
    <hyperlink ref="D16" location="'AE'!A1" display="AE" xr:uid="{00000000-0004-0000-0000-00000B000000}"/>
    <hyperlink ref="D17" location="'CRB-E'!A1" display="CRB-E" xr:uid="{00000000-0004-0000-0000-00000F000000}"/>
    <hyperlink ref="D18" location="'CR1-A'!A1" display="CR1-A" xr:uid="{00000000-0004-0000-0000-000010000000}"/>
    <hyperlink ref="D19" location="'CR1-C'!A1" display="CR1-C" xr:uid="{00000000-0004-0000-0000-000012000000}"/>
    <hyperlink ref="D20" location="'CR1-D'!A1" display="CR1-D" xr:uid="{00000000-0004-0000-0000-000013000000}"/>
    <hyperlink ref="D21" location="'CR5'!A1" display="CR5" xr:uid="{00000000-0004-0000-0000-000018000000}"/>
    <hyperlink ref="D6" location="'A01'!A1" display="A01" xr:uid="{00000000-0004-0000-0000-00001D000000}"/>
    <hyperlink ref="D7" location="'A01'!A1" display="A01" xr:uid="{3150A15A-77CD-4AD4-B7E5-28F562AD0E14}"/>
    <hyperlink ref="D8" location="'A01'!A1" display="A01" xr:uid="{CB79C1B9-4B4B-444A-8DFD-B41D0DCE336F}"/>
    <hyperlink ref="C6" location="'1'!Print_Area" display="Capital adequacy" xr:uid="{AF99DC93-BF8E-41E4-8613-CBF0399690E6}"/>
    <hyperlink ref="C7" location="'2'!A1" display="Own funds disclosure template " xr:uid="{35AB5070-E700-4CA4-9F25-8CB3FEA75296}"/>
    <hyperlink ref="C8" location="'3'!A1" display="Terms of agreement for Additional Tier 1 and Tier 2 capital " xr:uid="{AA8C3B2C-C95C-4DB4-A577-AB85306332CE}"/>
    <hyperlink ref="C9" location="'4'!A1" display="Overview of RWAs" xr:uid="{98BD65CB-1BE7-481C-B061-775A3EA43244}"/>
    <hyperlink ref="C10" location="'5'!A1" display="Market risk" xr:uid="{98DCEB5A-8ABA-40B7-AA02-7E19B1FF48D5}"/>
    <hyperlink ref="C11" location="'6'!A1" display="Liquidity risk" xr:uid="{37B2F990-F6A7-4BDD-9E80-DAFE54B9C951}"/>
    <hyperlink ref="C12" location="'7'!A1" display="Geographical distribution of credit exposures used in the countercyclical capital buffer" xr:uid="{4DDFD684-55ED-4933-BA50-AA6CFFA8BF11}"/>
    <hyperlink ref="C13" location="'8'!A1" display="Summary comparison of accounting assets vs leverage ratio exposure" xr:uid="{9B1C9E7B-30A7-4BA6-AAC3-63FD13404C26}"/>
    <hyperlink ref="C14" location="'9'!A1" display="Leverage ratio common disclosure template" xr:uid="{287CA99B-D051-40F2-B2EE-2411548ED4AF}"/>
    <hyperlink ref="C15" location="'10'!A1" display="Liquidity Coverage Ratio (LCR)" xr:uid="{903805BA-F423-4269-81A4-6D8EFBF52464}"/>
    <hyperlink ref="C16" location="'11'!A1" display="Disclosure of asset encumbrance" xr:uid="{D4702EC4-46CA-4D20-A31A-B60AC6288719}"/>
    <hyperlink ref="C17" location="'12'!A1" display="Maturity of exposures" xr:uid="{E0FA691D-3CC0-439F-9188-10E022CEF35D}"/>
    <hyperlink ref="C18" location="'13'!A1" display="Credit quality of exposures by exposure class and instrument" xr:uid="{AA5A4936-0E24-4FC8-9F86-63D2B8BA2CE4}"/>
    <hyperlink ref="C19" location="'14'!A1" display="Credit quality of exposures by geography" xr:uid="{9CDC0F99-1CCF-4630-9E83-2B7A9F7AD241}"/>
    <hyperlink ref="C20" location="'15'!A1" display="Ageing of past-due exposures" xr:uid="{F55FB4F6-4A93-4827-95D6-C2615B09E978}"/>
    <hyperlink ref="C21" location="'17'!A1" display="Standardised approach" xr:uid="{94A36183-CB1B-4F67-8CE2-4F9D535E6121}"/>
    <hyperlink ref="C22" location="'18'!A1" display="Analysis of counterparty credit risk exposure by approach" xr:uid="{66AC1A2E-4D62-41E1-AC9B-E3A6438A52D4}"/>
    <hyperlink ref="C23" location="'19'!A1" display="Impact of netting and collateral held on exposure values" xr:uid="{4DD89925-D85F-4896-92C6-304F62994CC9}"/>
  </hyperlinks>
  <pageMargins left="0.7" right="0.7" top="0.75" bottom="0.75" header="0.3" footer="0.3"/>
  <pageSetup paperSize="9"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89"/>
  <sheetViews>
    <sheetView showGridLines="0" showRowColHeaders="0" zoomScaleNormal="100" workbookViewId="0"/>
  </sheetViews>
  <sheetFormatPr baseColWidth="10" defaultColWidth="11.42578125" defaultRowHeight="11.25" x14ac:dyDescent="0.2"/>
  <cols>
    <col min="1" max="1" width="2.85546875" style="23" customWidth="1"/>
    <col min="2" max="2" width="10" style="36" customWidth="1"/>
    <col min="3" max="3" width="75.140625" style="12" customWidth="1"/>
    <col min="4" max="5" width="13.85546875" style="12" customWidth="1"/>
    <col min="6" max="16384" width="11.42578125" style="12"/>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ht="12.75" customHeight="1" x14ac:dyDescent="0.2">
      <c r="A3" s="11"/>
      <c r="B3" s="461"/>
      <c r="C3" s="461"/>
      <c r="D3" s="461"/>
      <c r="E3" s="461"/>
      <c r="F3" s="461"/>
      <c r="G3" s="461"/>
      <c r="H3" s="461"/>
    </row>
    <row r="4" spans="1:11" s="10" customFormat="1" ht="5.0999999999999996" customHeight="1" x14ac:dyDescent="0.2">
      <c r="A4" s="7"/>
      <c r="B4" s="7"/>
      <c r="C4" s="7"/>
      <c r="D4" s="8"/>
      <c r="E4" s="338"/>
      <c r="F4" s="339"/>
      <c r="G4" s="9"/>
      <c r="H4" s="9"/>
      <c r="J4" s="7"/>
      <c r="K4" s="7"/>
    </row>
    <row r="5" spans="1:11" s="3" customFormat="1" ht="18" x14ac:dyDescent="0.25">
      <c r="A5" s="13"/>
      <c r="B5" s="136" t="s">
        <v>40</v>
      </c>
      <c r="E5" s="246"/>
      <c r="F5" s="246"/>
    </row>
    <row r="6" spans="1:11" x14ac:dyDescent="0.2">
      <c r="B6" s="35"/>
      <c r="C6" s="36"/>
      <c r="D6" s="36"/>
      <c r="E6" s="340"/>
      <c r="F6" s="340"/>
      <c r="G6" s="36"/>
      <c r="H6" s="36"/>
    </row>
    <row r="7" spans="1:11" x14ac:dyDescent="0.2">
      <c r="A7" s="14"/>
      <c r="B7" s="464" t="s">
        <v>22</v>
      </c>
      <c r="C7" s="465"/>
      <c r="D7" s="109" t="s">
        <v>23</v>
      </c>
      <c r="E7" s="342"/>
      <c r="F7" s="341"/>
      <c r="G7" s="38"/>
    </row>
    <row r="8" spans="1:11" x14ac:dyDescent="0.2">
      <c r="A8" s="14"/>
      <c r="B8" s="466"/>
      <c r="C8" s="467"/>
      <c r="D8" s="349">
        <f>CONTENTS!G14</f>
        <v>44926</v>
      </c>
      <c r="E8" s="343"/>
      <c r="F8" s="341"/>
      <c r="G8" s="35"/>
    </row>
    <row r="9" spans="1:11" x14ac:dyDescent="0.2">
      <c r="A9" s="12"/>
      <c r="B9" s="39" t="s">
        <v>41</v>
      </c>
      <c r="C9" s="35"/>
      <c r="D9" s="336"/>
      <c r="E9" s="344"/>
      <c r="F9" s="341"/>
    </row>
    <row r="10" spans="1:11" ht="22.5" x14ac:dyDescent="0.2">
      <c r="A10" s="12"/>
      <c r="B10" s="40">
        <v>1</v>
      </c>
      <c r="C10" s="41" t="s">
        <v>42</v>
      </c>
      <c r="D10" s="423">
        <f>'8'!D8</f>
        <v>11528.02758217</v>
      </c>
      <c r="E10" s="345"/>
      <c r="F10" s="341"/>
    </row>
    <row r="11" spans="1:11" x14ac:dyDescent="0.2">
      <c r="A11" s="12"/>
      <c r="B11" s="42">
        <v>2</v>
      </c>
      <c r="C11" s="41" t="s">
        <v>43</v>
      </c>
      <c r="D11" s="424"/>
      <c r="E11" s="345"/>
      <c r="F11" s="341"/>
    </row>
    <row r="12" spans="1:11" x14ac:dyDescent="0.2">
      <c r="A12" s="12"/>
      <c r="B12" s="42">
        <v>3</v>
      </c>
      <c r="C12" s="41" t="s">
        <v>44</v>
      </c>
      <c r="D12" s="424">
        <f>D10</f>
        <v>11528.02758217</v>
      </c>
      <c r="E12" s="345"/>
      <c r="F12" s="341"/>
    </row>
    <row r="13" spans="1:11" x14ac:dyDescent="0.2">
      <c r="A13" s="12"/>
      <c r="B13" s="39" t="s">
        <v>45</v>
      </c>
      <c r="C13" s="43"/>
      <c r="D13" s="423"/>
      <c r="E13" s="346"/>
      <c r="F13" s="341"/>
    </row>
    <row r="14" spans="1:11" ht="22.5" x14ac:dyDescent="0.2">
      <c r="A14" s="12"/>
      <c r="B14" s="40">
        <v>4</v>
      </c>
      <c r="C14" s="41" t="s">
        <v>46</v>
      </c>
      <c r="D14" s="424"/>
      <c r="E14" s="345"/>
      <c r="F14" s="341"/>
    </row>
    <row r="15" spans="1:11" x14ac:dyDescent="0.2">
      <c r="A15" s="12"/>
      <c r="B15" s="40">
        <v>5</v>
      </c>
      <c r="C15" s="41" t="s">
        <v>47</v>
      </c>
      <c r="D15" s="424"/>
      <c r="E15" s="345"/>
      <c r="F15" s="341"/>
    </row>
    <row r="16" spans="1:11" ht="22.5" x14ac:dyDescent="0.2">
      <c r="A16" s="12"/>
      <c r="B16" s="40">
        <v>6</v>
      </c>
      <c r="C16" s="41" t="s">
        <v>48</v>
      </c>
      <c r="D16" s="424"/>
      <c r="E16" s="345"/>
      <c r="F16" s="341"/>
    </row>
    <row r="17" spans="1:6" x14ac:dyDescent="0.2">
      <c r="A17" s="12"/>
      <c r="B17" s="42">
        <v>7</v>
      </c>
      <c r="C17" s="41" t="s">
        <v>49</v>
      </c>
      <c r="D17" s="424"/>
      <c r="E17" s="345"/>
      <c r="F17" s="341"/>
    </row>
    <row r="18" spans="1:6" x14ac:dyDescent="0.2">
      <c r="A18" s="12"/>
      <c r="B18" s="42">
        <v>8</v>
      </c>
      <c r="C18" s="41" t="s">
        <v>50</v>
      </c>
      <c r="D18" s="424"/>
      <c r="E18" s="345"/>
      <c r="F18" s="341"/>
    </row>
    <row r="19" spans="1:6" x14ac:dyDescent="0.2">
      <c r="A19" s="12"/>
      <c r="B19" s="42">
        <v>9</v>
      </c>
      <c r="C19" s="41" t="s">
        <v>51</v>
      </c>
      <c r="D19" s="424"/>
      <c r="E19" s="345"/>
      <c r="F19" s="341"/>
    </row>
    <row r="20" spans="1:6" x14ac:dyDescent="0.2">
      <c r="A20" s="12"/>
      <c r="B20" s="42">
        <v>10</v>
      </c>
      <c r="C20" s="41" t="s">
        <v>52</v>
      </c>
      <c r="D20" s="424"/>
      <c r="E20" s="345"/>
      <c r="F20" s="341"/>
    </row>
    <row r="21" spans="1:6" x14ac:dyDescent="0.2">
      <c r="A21" s="12"/>
      <c r="B21" s="42">
        <v>11</v>
      </c>
      <c r="C21" s="41" t="s">
        <v>53</v>
      </c>
      <c r="D21" s="424"/>
      <c r="E21" s="345"/>
      <c r="F21" s="341"/>
    </row>
    <row r="22" spans="1:6" x14ac:dyDescent="0.2">
      <c r="A22" s="12"/>
      <c r="B22" s="39" t="s">
        <v>54</v>
      </c>
      <c r="C22" s="43"/>
      <c r="D22" s="423"/>
      <c r="E22" s="346"/>
      <c r="F22" s="341"/>
    </row>
    <row r="23" spans="1:6" x14ac:dyDescent="0.2">
      <c r="A23" s="12"/>
      <c r="B23" s="42">
        <v>12</v>
      </c>
      <c r="C23" s="41" t="s">
        <v>55</v>
      </c>
      <c r="D23" s="424"/>
      <c r="E23" s="345"/>
      <c r="F23" s="341"/>
    </row>
    <row r="24" spans="1:6" x14ac:dyDescent="0.2">
      <c r="A24" s="12"/>
      <c r="B24" s="42">
        <v>13</v>
      </c>
      <c r="C24" s="41" t="s">
        <v>56</v>
      </c>
      <c r="D24" s="424"/>
      <c r="E24" s="345"/>
      <c r="F24" s="341"/>
    </row>
    <row r="25" spans="1:6" x14ac:dyDescent="0.2">
      <c r="A25" s="12"/>
      <c r="B25" s="42">
        <v>14</v>
      </c>
      <c r="C25" s="41" t="s">
        <v>57</v>
      </c>
      <c r="D25" s="424"/>
      <c r="E25" s="345"/>
      <c r="F25" s="341"/>
    </row>
    <row r="26" spans="1:6" x14ac:dyDescent="0.2">
      <c r="A26" s="12"/>
      <c r="B26" s="42">
        <v>15</v>
      </c>
      <c r="C26" s="41" t="s">
        <v>58</v>
      </c>
      <c r="D26" s="424"/>
      <c r="E26" s="345"/>
      <c r="F26" s="341"/>
    </row>
    <row r="27" spans="1:6" x14ac:dyDescent="0.2">
      <c r="A27" s="12"/>
      <c r="B27" s="42">
        <v>16</v>
      </c>
      <c r="C27" s="41" t="s">
        <v>59</v>
      </c>
      <c r="D27" s="424"/>
      <c r="E27" s="345"/>
      <c r="F27" s="341"/>
    </row>
    <row r="28" spans="1:6" x14ac:dyDescent="0.2">
      <c r="A28" s="12"/>
      <c r="B28" s="39" t="s">
        <v>60</v>
      </c>
      <c r="C28" s="43"/>
      <c r="D28" s="423"/>
      <c r="E28" s="346"/>
      <c r="F28" s="341"/>
    </row>
    <row r="29" spans="1:6" x14ac:dyDescent="0.2">
      <c r="A29" s="12"/>
      <c r="B29" s="42">
        <v>17</v>
      </c>
      <c r="C29" s="41" t="s">
        <v>61</v>
      </c>
      <c r="D29" s="423">
        <f>'8'!D13</f>
        <v>9640.1098377500002</v>
      </c>
      <c r="E29" s="345"/>
      <c r="F29" s="341"/>
    </row>
    <row r="30" spans="1:6" x14ac:dyDescent="0.2">
      <c r="A30" s="12"/>
      <c r="B30" s="42">
        <v>18</v>
      </c>
      <c r="C30" s="41" t="s">
        <v>62</v>
      </c>
      <c r="D30" s="424"/>
      <c r="E30" s="345"/>
      <c r="F30" s="341"/>
    </row>
    <row r="31" spans="1:6" x14ac:dyDescent="0.2">
      <c r="A31" s="12"/>
      <c r="B31" s="42">
        <v>19</v>
      </c>
      <c r="C31" s="41" t="s">
        <v>63</v>
      </c>
      <c r="D31" s="424">
        <f>D29</f>
        <v>9640.1098377500002</v>
      </c>
      <c r="E31" s="345"/>
      <c r="F31" s="341"/>
    </row>
    <row r="32" spans="1:6" x14ac:dyDescent="0.2">
      <c r="A32" s="12"/>
      <c r="B32" s="39" t="s">
        <v>64</v>
      </c>
      <c r="C32" s="43"/>
      <c r="D32" s="423"/>
      <c r="E32" s="346"/>
      <c r="F32" s="341"/>
    </row>
    <row r="33" spans="1:7" x14ac:dyDescent="0.2">
      <c r="A33" s="12"/>
      <c r="B33" s="42">
        <v>20</v>
      </c>
      <c r="C33" s="41" t="s">
        <v>65</v>
      </c>
      <c r="D33" s="423">
        <f>'1'!J29</f>
        <v>1641.1316196980172</v>
      </c>
      <c r="E33" s="345"/>
      <c r="F33" s="341"/>
    </row>
    <row r="34" spans="1:7" x14ac:dyDescent="0.2">
      <c r="A34" s="12"/>
      <c r="B34" s="42">
        <v>21</v>
      </c>
      <c r="C34" s="41" t="s">
        <v>66</v>
      </c>
      <c r="D34" s="423">
        <f>D12+D31</f>
        <v>21168.13741992</v>
      </c>
      <c r="E34" s="347"/>
      <c r="F34" s="341"/>
    </row>
    <row r="35" spans="1:7" x14ac:dyDescent="0.2">
      <c r="A35" s="12"/>
      <c r="B35" s="39" t="s">
        <v>67</v>
      </c>
      <c r="C35" s="43"/>
      <c r="D35" s="44"/>
      <c r="E35" s="348"/>
      <c r="F35" s="341"/>
    </row>
    <row r="36" spans="1:7" x14ac:dyDescent="0.2">
      <c r="A36" s="12"/>
      <c r="B36" s="42">
        <v>22</v>
      </c>
      <c r="C36" s="41" t="s">
        <v>68</v>
      </c>
      <c r="D36" s="337">
        <f>D33/D34</f>
        <v>7.7528390294445637E-2</v>
      </c>
      <c r="E36" s="347"/>
      <c r="F36" s="341"/>
    </row>
    <row r="37" spans="1:7" x14ac:dyDescent="0.2">
      <c r="A37" s="12"/>
      <c r="B37" s="36" t="s">
        <v>69</v>
      </c>
      <c r="E37" s="341"/>
      <c r="F37" s="341"/>
      <c r="G37" s="45"/>
    </row>
    <row r="38" spans="1:7" x14ac:dyDescent="0.2">
      <c r="A38" s="12"/>
      <c r="E38" s="341"/>
      <c r="F38" s="341"/>
    </row>
    <row r="39" spans="1:7" ht="21" customHeight="1" x14ac:dyDescent="0.2">
      <c r="A39" s="12"/>
      <c r="E39" s="341"/>
      <c r="F39" s="341"/>
    </row>
    <row r="40" spans="1:7" ht="21" customHeight="1" x14ac:dyDescent="0.2">
      <c r="A40" s="12"/>
      <c r="E40" s="341"/>
      <c r="F40" s="341"/>
    </row>
    <row r="41" spans="1:7" ht="21" customHeight="1" x14ac:dyDescent="0.2">
      <c r="A41" s="12"/>
    </row>
    <row r="42" spans="1:7" x14ac:dyDescent="0.2">
      <c r="A42" s="12"/>
    </row>
    <row r="43" spans="1:7" x14ac:dyDescent="0.2">
      <c r="A43" s="12"/>
    </row>
    <row r="44" spans="1:7" x14ac:dyDescent="0.2">
      <c r="A44" s="12"/>
    </row>
    <row r="45" spans="1:7" x14ac:dyDescent="0.2">
      <c r="A45" s="12"/>
    </row>
    <row r="46" spans="1:7" x14ac:dyDescent="0.2">
      <c r="A46" s="12"/>
    </row>
    <row r="47" spans="1:7" x14ac:dyDescent="0.2">
      <c r="A47" s="12"/>
    </row>
    <row r="48" spans="1:7"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8"/>
  </mergeCells>
  <pageMargins left="0.70866141732283472" right="0.70866141732283472" top="0.74803149606299213" bottom="0.74803149606299213" header="0.31496062992125984" footer="0.31496062992125984"/>
  <pageSetup paperSize="9" orientation="landscape" r:id="rId1"/>
  <colBreaks count="1" manualBreakCount="1">
    <brk id="6"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89"/>
  <sheetViews>
    <sheetView showGridLines="0" showRowColHeaders="0" zoomScaleNormal="100" workbookViewId="0">
      <selection activeCell="G19" sqref="G19"/>
    </sheetView>
  </sheetViews>
  <sheetFormatPr baseColWidth="10" defaultColWidth="11.42578125" defaultRowHeight="11.25" x14ac:dyDescent="0.2"/>
  <cols>
    <col min="1" max="1" width="2.85546875" style="23" customWidth="1"/>
    <col min="2" max="2" width="4.140625" style="16" customWidth="1"/>
    <col min="3" max="3" width="62.85546875" style="16" customWidth="1"/>
    <col min="4" max="5" width="13.85546875" style="16" customWidth="1"/>
    <col min="6"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1"/>
      <c r="C3" s="461"/>
      <c r="D3" s="461"/>
      <c r="E3" s="461"/>
      <c r="F3" s="461"/>
      <c r="G3" s="461"/>
      <c r="H3" s="461"/>
    </row>
    <row r="4" spans="1:11" s="10" customFormat="1" ht="5.0999999999999996" customHeight="1" x14ac:dyDescent="0.2">
      <c r="A4" s="7"/>
      <c r="B4" s="7"/>
      <c r="C4" s="7"/>
      <c r="D4" s="8"/>
      <c r="E4" s="8"/>
      <c r="F4" s="9"/>
      <c r="G4" s="9"/>
      <c r="H4" s="9"/>
      <c r="J4" s="7"/>
      <c r="K4" s="7"/>
    </row>
    <row r="5" spans="1:11" s="3" customFormat="1" ht="18" x14ac:dyDescent="0.25">
      <c r="A5" s="13"/>
      <c r="B5" s="136" t="s">
        <v>70</v>
      </c>
    </row>
    <row r="7" spans="1:11" x14ac:dyDescent="0.2">
      <c r="A7" s="14"/>
      <c r="B7" s="468" t="s">
        <v>22</v>
      </c>
      <c r="C7" s="469"/>
      <c r="D7" s="46" t="s">
        <v>23</v>
      </c>
      <c r="E7" s="47" t="s">
        <v>24</v>
      </c>
    </row>
    <row r="8" spans="1:11" ht="33.75" x14ac:dyDescent="0.2">
      <c r="A8" s="14"/>
      <c r="B8" s="470"/>
      <c r="C8" s="471"/>
      <c r="D8" s="17" t="s">
        <v>71</v>
      </c>
      <c r="E8" s="48" t="s">
        <v>72</v>
      </c>
    </row>
    <row r="9" spans="1:11" x14ac:dyDescent="0.2">
      <c r="A9" s="12"/>
      <c r="B9" s="472" t="s">
        <v>73</v>
      </c>
      <c r="C9" s="473"/>
      <c r="D9" s="473"/>
      <c r="E9" s="474"/>
    </row>
    <row r="10" spans="1:11" x14ac:dyDescent="0.2">
      <c r="A10" s="12"/>
      <c r="B10" s="25">
        <v>1</v>
      </c>
      <c r="C10" s="15" t="s">
        <v>74</v>
      </c>
      <c r="D10" s="49"/>
      <c r="E10" s="50">
        <v>1091.2474340447</v>
      </c>
    </row>
    <row r="11" spans="1:11" x14ac:dyDescent="0.2">
      <c r="A11" s="12"/>
      <c r="B11" s="472" t="s">
        <v>75</v>
      </c>
      <c r="C11" s="473"/>
      <c r="D11" s="473"/>
      <c r="E11" s="474"/>
    </row>
    <row r="12" spans="1:11" x14ac:dyDescent="0.2">
      <c r="A12" s="12"/>
      <c r="B12" s="25">
        <v>2</v>
      </c>
      <c r="C12" s="15" t="s">
        <v>76</v>
      </c>
      <c r="D12" s="394">
        <v>9347.6081591300008</v>
      </c>
      <c r="E12" s="427"/>
    </row>
    <row r="13" spans="1:11" x14ac:dyDescent="0.2">
      <c r="A13" s="12"/>
      <c r="B13" s="25">
        <v>3</v>
      </c>
      <c r="C13" s="15" t="s">
        <v>77</v>
      </c>
      <c r="D13" s="18">
        <v>6682.4446439210296</v>
      </c>
      <c r="E13" s="50">
        <f>D13*5%</f>
        <v>334.12223219605153</v>
      </c>
    </row>
    <row r="14" spans="1:11" x14ac:dyDescent="0.2">
      <c r="A14" s="12"/>
      <c r="B14" s="25">
        <v>4</v>
      </c>
      <c r="C14" s="15" t="s">
        <v>78</v>
      </c>
      <c r="D14" s="18">
        <v>0</v>
      </c>
      <c r="E14" s="50">
        <f>D14*100%</f>
        <v>0</v>
      </c>
    </row>
    <row r="15" spans="1:11" x14ac:dyDescent="0.2">
      <c r="A15" s="12"/>
      <c r="B15" s="25">
        <v>5</v>
      </c>
      <c r="C15" s="15" t="s">
        <v>79</v>
      </c>
      <c r="D15" s="18"/>
      <c r="E15" s="50"/>
    </row>
    <row r="16" spans="1:11" ht="11.25" customHeight="1" x14ac:dyDescent="0.2">
      <c r="A16" s="12"/>
      <c r="B16" s="25">
        <v>6</v>
      </c>
      <c r="C16" s="15" t="s">
        <v>80</v>
      </c>
      <c r="D16" s="18"/>
      <c r="E16" s="50"/>
    </row>
    <row r="17" spans="1:5" x14ac:dyDescent="0.2">
      <c r="A17" s="12"/>
      <c r="B17" s="25">
        <v>7</v>
      </c>
      <c r="C17" s="15" t="s">
        <v>81</v>
      </c>
      <c r="D17" s="18">
        <v>2651.5185906531301</v>
      </c>
      <c r="E17" s="50">
        <f>D17*10%</f>
        <v>265.15185906531303</v>
      </c>
    </row>
    <row r="18" spans="1:5" x14ac:dyDescent="0.2">
      <c r="A18" s="12"/>
      <c r="B18" s="25">
        <v>8</v>
      </c>
      <c r="C18" s="15" t="s">
        <v>82</v>
      </c>
      <c r="D18" s="18"/>
      <c r="E18" s="50"/>
    </row>
    <row r="19" spans="1:5" x14ac:dyDescent="0.2">
      <c r="A19" s="12"/>
      <c r="B19" s="25">
        <v>9</v>
      </c>
      <c r="C19" s="15" t="s">
        <v>83</v>
      </c>
      <c r="D19" s="51"/>
      <c r="E19" s="50"/>
    </row>
    <row r="20" spans="1:5" x14ac:dyDescent="0.2">
      <c r="A20" s="12"/>
      <c r="B20" s="25">
        <v>10</v>
      </c>
      <c r="C20" s="15" t="s">
        <v>84</v>
      </c>
      <c r="D20" s="18"/>
      <c r="E20" s="50"/>
    </row>
    <row r="21" spans="1:5" x14ac:dyDescent="0.2">
      <c r="A21" s="12"/>
      <c r="B21" s="25">
        <v>11</v>
      </c>
      <c r="C21" s="15" t="s">
        <v>85</v>
      </c>
      <c r="D21" s="18"/>
      <c r="E21" s="50"/>
    </row>
    <row r="22" spans="1:5" x14ac:dyDescent="0.2">
      <c r="A22" s="12"/>
      <c r="B22" s="25">
        <v>12</v>
      </c>
      <c r="C22" s="15" t="s">
        <v>86</v>
      </c>
      <c r="D22" s="18"/>
      <c r="E22" s="50"/>
    </row>
    <row r="23" spans="1:5" x14ac:dyDescent="0.2">
      <c r="A23" s="12"/>
      <c r="B23" s="25">
        <v>13</v>
      </c>
      <c r="C23" s="15" t="s">
        <v>87</v>
      </c>
      <c r="D23" s="18">
        <v>1453.0150022607199</v>
      </c>
      <c r="E23" s="50">
        <f>D23*5%</f>
        <v>72.650750113035997</v>
      </c>
    </row>
    <row r="24" spans="1:5" x14ac:dyDescent="0.2">
      <c r="A24" s="12"/>
      <c r="B24" s="25">
        <v>14</v>
      </c>
      <c r="C24" s="15" t="s">
        <v>88</v>
      </c>
      <c r="D24" s="394">
        <v>3186.8479750440101</v>
      </c>
      <c r="E24" s="50">
        <f>(2272829098.64401*5%+914018876.4*20%)/1000000</f>
        <v>296.4452302122005</v>
      </c>
    </row>
    <row r="25" spans="1:5" x14ac:dyDescent="0.2">
      <c r="A25" s="12"/>
      <c r="B25" s="25">
        <v>15</v>
      </c>
      <c r="C25" s="15" t="s">
        <v>89</v>
      </c>
      <c r="D25" s="18"/>
      <c r="E25" s="50"/>
    </row>
    <row r="26" spans="1:5" x14ac:dyDescent="0.2">
      <c r="A26" s="12"/>
      <c r="B26" s="25">
        <v>16</v>
      </c>
      <c r="C26" s="15" t="s">
        <v>90</v>
      </c>
      <c r="D26" s="51"/>
      <c r="E26" s="52">
        <f>SUM(E13:E25)</f>
        <v>968.37007158660106</v>
      </c>
    </row>
    <row r="27" spans="1:5" x14ac:dyDescent="0.2">
      <c r="A27" s="12"/>
      <c r="B27" s="472" t="s">
        <v>91</v>
      </c>
      <c r="C27" s="473"/>
      <c r="D27" s="473"/>
      <c r="E27" s="474"/>
    </row>
    <row r="28" spans="1:5" x14ac:dyDescent="0.2">
      <c r="A28" s="12"/>
      <c r="B28" s="25">
        <v>17</v>
      </c>
      <c r="C28" s="15" t="s">
        <v>92</v>
      </c>
      <c r="D28" s="18"/>
      <c r="E28" s="50"/>
    </row>
    <row r="29" spans="1:5" x14ac:dyDescent="0.2">
      <c r="A29" s="12"/>
      <c r="B29" s="25">
        <v>18</v>
      </c>
      <c r="C29" s="15" t="s">
        <v>93</v>
      </c>
      <c r="D29" s="18"/>
      <c r="E29" s="50"/>
    </row>
    <row r="30" spans="1:5" x14ac:dyDescent="0.2">
      <c r="A30" s="12"/>
      <c r="B30" s="25">
        <v>19</v>
      </c>
      <c r="C30" s="15" t="s">
        <v>94</v>
      </c>
      <c r="D30" s="18">
        <v>900.87864154000602</v>
      </c>
      <c r="E30" s="52">
        <f>D30</f>
        <v>900.87864154000602</v>
      </c>
    </row>
    <row r="31" spans="1:5" x14ac:dyDescent="0.2">
      <c r="A31" s="12"/>
      <c r="B31" s="25">
        <v>20</v>
      </c>
      <c r="C31" s="15" t="s">
        <v>95</v>
      </c>
      <c r="D31" s="18">
        <f>D30</f>
        <v>900.87864154000602</v>
      </c>
      <c r="E31" s="52">
        <f>E30</f>
        <v>900.87864154000602</v>
      </c>
    </row>
    <row r="32" spans="1:5" ht="22.5" x14ac:dyDescent="0.2">
      <c r="A32" s="12"/>
      <c r="B32" s="53"/>
      <c r="C32" s="54"/>
      <c r="D32" s="54"/>
      <c r="E32" s="48" t="s">
        <v>96</v>
      </c>
    </row>
    <row r="33" spans="1:6" x14ac:dyDescent="0.2">
      <c r="A33" s="12"/>
      <c r="B33" s="25">
        <v>21</v>
      </c>
      <c r="C33" s="15" t="s">
        <v>74</v>
      </c>
      <c r="D33" s="55"/>
      <c r="E33" s="50">
        <f>E10</f>
        <v>1091.2474340447</v>
      </c>
    </row>
    <row r="34" spans="1:6" x14ac:dyDescent="0.2">
      <c r="A34" s="12"/>
      <c r="B34" s="25">
        <v>22</v>
      </c>
      <c r="C34" s="15" t="s">
        <v>97</v>
      </c>
      <c r="D34" s="55"/>
      <c r="E34" s="50">
        <f>E26-MIN(E31,0.75*E26)</f>
        <v>242.09251789665029</v>
      </c>
      <c r="F34" s="32"/>
    </row>
    <row r="35" spans="1:6" x14ac:dyDescent="0.2">
      <c r="A35" s="12"/>
      <c r="B35" s="30">
        <v>23</v>
      </c>
      <c r="C35" s="19" t="s">
        <v>98</v>
      </c>
      <c r="D35" s="56"/>
      <c r="E35" s="57">
        <f>E33/E34</f>
        <v>4.5075636518042055</v>
      </c>
    </row>
    <row r="36" spans="1:6" x14ac:dyDescent="0.2">
      <c r="A36" s="12"/>
    </row>
    <row r="37" spans="1:6" x14ac:dyDescent="0.2">
      <c r="A37" s="12"/>
    </row>
    <row r="38" spans="1:6" x14ac:dyDescent="0.2">
      <c r="A38" s="12"/>
    </row>
    <row r="39" spans="1:6" x14ac:dyDescent="0.2">
      <c r="A39" s="12"/>
      <c r="C39" s="58"/>
    </row>
    <row r="40" spans="1:6" x14ac:dyDescent="0.2">
      <c r="A40" s="12"/>
    </row>
    <row r="41" spans="1:6" x14ac:dyDescent="0.2">
      <c r="A41" s="12"/>
    </row>
    <row r="42" spans="1:6" x14ac:dyDescent="0.2">
      <c r="A42" s="12"/>
    </row>
    <row r="43" spans="1:6" x14ac:dyDescent="0.2">
      <c r="A43" s="12"/>
    </row>
    <row r="44" spans="1:6" x14ac:dyDescent="0.2">
      <c r="A44" s="12"/>
    </row>
    <row r="45" spans="1:6" x14ac:dyDescent="0.2">
      <c r="A45" s="12"/>
    </row>
    <row r="46" spans="1:6" x14ac:dyDescent="0.2">
      <c r="A46" s="12"/>
    </row>
    <row r="47" spans="1:6" x14ac:dyDescent="0.2">
      <c r="A47" s="12"/>
    </row>
    <row r="48" spans="1:6"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8" spans="1:5" x14ac:dyDescent="0.2">
      <c r="E68" s="16">
        <v>1</v>
      </c>
    </row>
    <row r="71" spans="1:5" x14ac:dyDescent="0.2">
      <c r="A71" s="20"/>
    </row>
    <row r="72" spans="1:5" x14ac:dyDescent="0.2">
      <c r="A72" s="20"/>
    </row>
    <row r="73" spans="1:5" x14ac:dyDescent="0.2">
      <c r="A73" s="21"/>
    </row>
    <row r="74" spans="1:5" x14ac:dyDescent="0.2">
      <c r="A74" s="12"/>
    </row>
    <row r="75" spans="1:5" x14ac:dyDescent="0.2">
      <c r="A75" s="12"/>
    </row>
    <row r="76" spans="1:5" x14ac:dyDescent="0.2">
      <c r="A76" s="12"/>
    </row>
    <row r="77" spans="1:5" x14ac:dyDescent="0.2">
      <c r="A77" s="12"/>
    </row>
    <row r="78" spans="1:5" x14ac:dyDescent="0.2">
      <c r="A78" s="12"/>
    </row>
    <row r="79" spans="1:5" x14ac:dyDescent="0.2">
      <c r="A79" s="12"/>
    </row>
    <row r="80" spans="1:5"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5">
    <mergeCell ref="B3:H3"/>
    <mergeCell ref="B7:C8"/>
    <mergeCell ref="B9:E9"/>
    <mergeCell ref="B11:E11"/>
    <mergeCell ref="B27:E27"/>
  </mergeCells>
  <pageMargins left="0.23622047244094491" right="0.23622047244094491"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J92"/>
  <sheetViews>
    <sheetView showGridLines="0" showRowColHeaders="0" zoomScaleNormal="100" workbookViewId="0">
      <selection activeCell="F32" sqref="F32"/>
    </sheetView>
  </sheetViews>
  <sheetFormatPr baseColWidth="10" defaultColWidth="8.85546875" defaultRowHeight="11.25" x14ac:dyDescent="0.25"/>
  <cols>
    <col min="1" max="1" width="2.85546875" style="23" customWidth="1"/>
    <col min="2" max="2" width="11.5703125" style="59" customWidth="1"/>
    <col min="3" max="3" width="50.85546875" style="59" customWidth="1"/>
    <col min="4" max="11" width="15.85546875" style="59" customWidth="1"/>
    <col min="12" max="12" width="13.85546875" style="59" customWidth="1"/>
    <col min="13" max="13" width="9.5703125" style="59" bestFit="1" customWidth="1"/>
    <col min="14" max="16384" width="8.85546875" style="59"/>
  </cols>
  <sheetData>
    <row r="1" spans="1:36" s="10" customFormat="1" ht="11.25" customHeight="1" x14ac:dyDescent="0.2">
      <c r="A1" s="7"/>
      <c r="B1" s="7"/>
      <c r="C1" s="7"/>
      <c r="D1" s="8"/>
      <c r="E1" s="8"/>
      <c r="F1" s="9"/>
      <c r="G1" s="9"/>
      <c r="H1" s="9"/>
    </row>
    <row r="2" spans="1:36" s="10" customFormat="1" ht="5.25" customHeight="1" x14ac:dyDescent="0.2">
      <c r="A2" s="7"/>
      <c r="B2" s="7"/>
      <c r="C2" s="7"/>
      <c r="D2" s="8"/>
      <c r="E2" s="8"/>
      <c r="F2" s="9"/>
      <c r="G2" s="9"/>
      <c r="H2" s="9"/>
    </row>
    <row r="3" spans="1:36" s="12" customFormat="1" ht="12.75" customHeight="1" x14ac:dyDescent="0.2">
      <c r="A3" s="11"/>
      <c r="B3" s="461"/>
      <c r="C3" s="461"/>
      <c r="D3" s="461"/>
      <c r="E3" s="461"/>
      <c r="F3" s="461"/>
      <c r="G3" s="461"/>
      <c r="H3" s="461"/>
    </row>
    <row r="4" spans="1:36" s="10" customFormat="1" ht="5.0999999999999996" customHeight="1" x14ac:dyDescent="0.2">
      <c r="A4" s="7"/>
      <c r="B4" s="7"/>
      <c r="C4" s="7"/>
      <c r="D4" s="8"/>
      <c r="E4" s="8"/>
      <c r="F4" s="9"/>
      <c r="G4" s="9"/>
      <c r="H4" s="9"/>
      <c r="J4" s="7"/>
      <c r="K4" s="7"/>
    </row>
    <row r="5" spans="1:36" s="3" customFormat="1" ht="18" x14ac:dyDescent="0.25">
      <c r="A5" s="13"/>
      <c r="B5" s="136" t="s">
        <v>511</v>
      </c>
    </row>
    <row r="6" spans="1:36" ht="11.25" customHeight="1" x14ac:dyDescent="0.25">
      <c r="F6" s="60"/>
      <c r="G6" s="60"/>
      <c r="H6" s="60"/>
      <c r="I6" s="60"/>
      <c r="J6" s="60"/>
      <c r="K6" s="60"/>
    </row>
    <row r="7" spans="1:36" x14ac:dyDescent="0.25">
      <c r="A7" s="14"/>
      <c r="C7" s="61"/>
      <c r="D7" s="61"/>
      <c r="E7" s="60"/>
      <c r="F7" s="60"/>
      <c r="G7" s="60"/>
      <c r="H7" s="60"/>
      <c r="I7" s="60"/>
      <c r="J7" s="60"/>
      <c r="K7" s="60"/>
    </row>
    <row r="8" spans="1:36" s="63" customFormat="1" ht="15" customHeight="1" x14ac:dyDescent="0.2">
      <c r="A8" s="12"/>
      <c r="B8" s="62"/>
      <c r="C8" s="62"/>
      <c r="D8" s="62"/>
      <c r="E8" s="62"/>
      <c r="F8" s="62"/>
      <c r="G8" s="62"/>
      <c r="H8" s="62"/>
      <c r="I8" s="62"/>
      <c r="J8" s="62"/>
      <c r="K8" s="59"/>
      <c r="L8" s="59"/>
      <c r="M8" s="59"/>
      <c r="N8" s="59"/>
      <c r="O8" s="59"/>
      <c r="P8" s="59"/>
      <c r="Q8" s="59"/>
      <c r="R8" s="59"/>
      <c r="S8" s="59"/>
      <c r="T8" s="59"/>
      <c r="U8" s="59"/>
      <c r="V8" s="59"/>
      <c r="W8" s="59"/>
      <c r="X8" s="59"/>
      <c r="Y8" s="59"/>
      <c r="Z8" s="59"/>
      <c r="AA8" s="59"/>
      <c r="AB8" s="59"/>
      <c r="AC8" s="59"/>
      <c r="AD8" s="59"/>
      <c r="AE8" s="59"/>
      <c r="AF8" s="59"/>
      <c r="AG8" s="59"/>
      <c r="AH8" s="59"/>
      <c r="AI8" s="59"/>
      <c r="AJ8" s="59"/>
    </row>
    <row r="9" spans="1:36" s="66" customFormat="1" x14ac:dyDescent="0.2">
      <c r="A9" s="12"/>
      <c r="B9" s="64"/>
      <c r="C9" s="65"/>
      <c r="D9" s="492"/>
      <c r="E9" s="493"/>
      <c r="F9" s="496"/>
      <c r="G9" s="497"/>
      <c r="H9" s="492"/>
      <c r="I9" s="493"/>
      <c r="J9" s="496"/>
      <c r="K9" s="497"/>
    </row>
    <row r="10" spans="1:36" s="66" customFormat="1" x14ac:dyDescent="0.2">
      <c r="A10" s="12"/>
      <c r="B10" s="362" t="s">
        <v>650</v>
      </c>
      <c r="C10" s="68"/>
      <c r="D10" s="494"/>
      <c r="E10" s="495"/>
      <c r="F10" s="498"/>
      <c r="G10" s="499"/>
      <c r="H10" s="494"/>
      <c r="I10" s="495"/>
      <c r="J10" s="498"/>
      <c r="K10" s="499"/>
    </row>
    <row r="11" spans="1:36" s="66" customFormat="1" ht="15" x14ac:dyDescent="0.2">
      <c r="A11" s="12"/>
      <c r="B11" s="67"/>
      <c r="C11" s="69"/>
      <c r="D11" s="475" t="s">
        <v>99</v>
      </c>
      <c r="E11" s="475"/>
      <c r="F11" s="475"/>
      <c r="G11" s="475" t="s">
        <v>100</v>
      </c>
      <c r="H11" s="475"/>
      <c r="I11" s="475" t="s">
        <v>101</v>
      </c>
      <c r="J11" s="475"/>
      <c r="K11" s="475"/>
      <c r="L11" s="475" t="s">
        <v>102</v>
      </c>
      <c r="M11" s="475"/>
    </row>
    <row r="12" spans="1:36" s="66" customFormat="1" ht="60" x14ac:dyDescent="0.2">
      <c r="A12" s="12"/>
      <c r="B12" s="71"/>
      <c r="C12" s="68"/>
      <c r="D12" s="350"/>
      <c r="E12" s="351" t="s">
        <v>635</v>
      </c>
      <c r="F12" s="351" t="s">
        <v>636</v>
      </c>
      <c r="G12" s="350"/>
      <c r="H12" s="351" t="s">
        <v>636</v>
      </c>
      <c r="I12" s="350"/>
      <c r="J12" s="351" t="s">
        <v>635</v>
      </c>
      <c r="K12" s="351" t="s">
        <v>636</v>
      </c>
      <c r="L12" s="350"/>
      <c r="M12" s="428" t="s">
        <v>636</v>
      </c>
      <c r="N12" s="355"/>
      <c r="O12" s="355"/>
      <c r="P12" s="355"/>
    </row>
    <row r="13" spans="1:36" x14ac:dyDescent="0.2">
      <c r="A13" s="12"/>
      <c r="B13" s="73" t="s">
        <v>637</v>
      </c>
      <c r="C13" s="359" t="s">
        <v>638</v>
      </c>
      <c r="D13" s="359">
        <v>10</v>
      </c>
      <c r="E13" s="359">
        <v>20</v>
      </c>
      <c r="F13" s="359">
        <v>30</v>
      </c>
      <c r="G13" s="359">
        <v>40</v>
      </c>
      <c r="H13" s="359">
        <v>50</v>
      </c>
      <c r="I13" s="359">
        <v>60</v>
      </c>
      <c r="J13" s="359">
        <v>70</v>
      </c>
      <c r="K13" s="359">
        <v>80</v>
      </c>
      <c r="L13" s="359">
        <v>90</v>
      </c>
      <c r="M13" s="359">
        <v>100</v>
      </c>
      <c r="N13" s="356"/>
      <c r="O13" s="357"/>
      <c r="P13" s="357"/>
    </row>
    <row r="14" spans="1:36" x14ac:dyDescent="0.2">
      <c r="A14" s="12"/>
      <c r="B14" s="353">
        <v>10</v>
      </c>
      <c r="C14" s="352" t="s">
        <v>111</v>
      </c>
      <c r="D14" s="361">
        <v>0</v>
      </c>
      <c r="E14" s="361">
        <v>0</v>
      </c>
      <c r="F14" s="361">
        <v>0</v>
      </c>
      <c r="G14" s="361">
        <v>0</v>
      </c>
      <c r="H14" s="361">
        <v>0</v>
      </c>
      <c r="I14" s="361">
        <v>2417.2948197300034</v>
      </c>
      <c r="J14" s="361">
        <v>0</v>
      </c>
      <c r="K14" s="361">
        <v>1453.5332506299999</v>
      </c>
      <c r="L14" s="361">
        <v>0</v>
      </c>
      <c r="M14" s="361">
        <v>0</v>
      </c>
      <c r="N14" s="356"/>
      <c r="O14" s="357"/>
      <c r="P14" s="357"/>
    </row>
    <row r="15" spans="1:36" x14ac:dyDescent="0.2">
      <c r="A15" s="12"/>
      <c r="B15" s="354">
        <v>20</v>
      </c>
      <c r="C15" s="352" t="s">
        <v>639</v>
      </c>
      <c r="D15" s="361">
        <v>0</v>
      </c>
      <c r="E15" s="361"/>
      <c r="F15" s="361">
        <v>0</v>
      </c>
      <c r="G15" s="361">
        <v>0</v>
      </c>
      <c r="H15" s="361">
        <v>0</v>
      </c>
      <c r="I15" s="361">
        <v>807.81879038000386</v>
      </c>
      <c r="J15" s="361">
        <v>0</v>
      </c>
      <c r="K15" s="361">
        <v>0</v>
      </c>
      <c r="L15" s="361">
        <v>0</v>
      </c>
      <c r="M15" s="361">
        <v>0</v>
      </c>
      <c r="N15" s="356"/>
      <c r="O15" s="357"/>
      <c r="P15" s="357"/>
    </row>
    <row r="16" spans="1:36" x14ac:dyDescent="0.2">
      <c r="A16" s="12"/>
      <c r="B16" s="354">
        <v>30</v>
      </c>
      <c r="C16" s="352" t="s">
        <v>640</v>
      </c>
      <c r="D16" s="361">
        <v>0</v>
      </c>
      <c r="E16" s="361">
        <v>0</v>
      </c>
      <c r="F16" s="361">
        <v>0</v>
      </c>
      <c r="G16" s="361">
        <v>0</v>
      </c>
      <c r="H16" s="361">
        <v>0</v>
      </c>
      <c r="I16" s="361">
        <v>0</v>
      </c>
      <c r="J16" s="361">
        <v>0</v>
      </c>
      <c r="K16" s="361">
        <v>0</v>
      </c>
      <c r="L16" s="361">
        <v>0</v>
      </c>
      <c r="M16" s="361">
        <v>0</v>
      </c>
      <c r="N16" s="356"/>
      <c r="O16" s="357"/>
      <c r="P16" s="357"/>
    </row>
    <row r="17" spans="1:36" x14ac:dyDescent="0.2">
      <c r="A17" s="12"/>
      <c r="B17" s="354">
        <v>40</v>
      </c>
      <c r="C17" s="352" t="s">
        <v>641</v>
      </c>
      <c r="D17" s="361">
        <v>0</v>
      </c>
      <c r="E17" s="361">
        <v>0</v>
      </c>
      <c r="F17" s="361">
        <v>0</v>
      </c>
      <c r="G17" s="361">
        <v>0</v>
      </c>
      <c r="H17" s="361">
        <v>0</v>
      </c>
      <c r="I17" s="361">
        <v>1453.5332506299999</v>
      </c>
      <c r="J17" s="361">
        <v>0</v>
      </c>
      <c r="K17" s="361">
        <v>1453.5332506299999</v>
      </c>
      <c r="L17" s="361">
        <v>1453.5332506299999</v>
      </c>
      <c r="M17" s="361">
        <v>1453.5332506299999</v>
      </c>
      <c r="N17" s="356"/>
      <c r="O17" s="357"/>
      <c r="P17" s="357"/>
    </row>
    <row r="18" spans="1:36" x14ac:dyDescent="0.2">
      <c r="A18" s="12"/>
      <c r="B18" s="354">
        <v>50</v>
      </c>
      <c r="C18" s="352" t="s">
        <v>642</v>
      </c>
      <c r="D18" s="361">
        <v>0</v>
      </c>
      <c r="E18" s="361">
        <v>0</v>
      </c>
      <c r="F18" s="361">
        <v>0</v>
      </c>
      <c r="G18" s="361">
        <v>0</v>
      </c>
      <c r="H18" s="361">
        <v>0</v>
      </c>
      <c r="I18" s="361">
        <v>94.122239589999992</v>
      </c>
      <c r="J18" s="361">
        <v>0</v>
      </c>
      <c r="K18" s="361">
        <v>94.122239589999992</v>
      </c>
      <c r="L18" s="361">
        <v>94.122239589999992</v>
      </c>
      <c r="M18" s="361">
        <v>94.122239589999992</v>
      </c>
      <c r="N18" s="356"/>
      <c r="O18" s="357"/>
      <c r="P18" s="357"/>
    </row>
    <row r="19" spans="1:36" x14ac:dyDescent="0.2">
      <c r="A19" s="12"/>
      <c r="B19" s="354">
        <v>60</v>
      </c>
      <c r="C19" s="352" t="s">
        <v>643</v>
      </c>
      <c r="D19" s="361">
        <v>0</v>
      </c>
      <c r="E19" s="361">
        <v>0</v>
      </c>
      <c r="F19" s="361">
        <v>0</v>
      </c>
      <c r="G19" s="361">
        <v>0</v>
      </c>
      <c r="H19" s="361">
        <v>0</v>
      </c>
      <c r="I19" s="361">
        <v>0</v>
      </c>
      <c r="J19" s="361">
        <v>0</v>
      </c>
      <c r="K19" s="361">
        <v>0</v>
      </c>
      <c r="L19" s="361">
        <v>0</v>
      </c>
      <c r="M19" s="361">
        <v>0</v>
      </c>
      <c r="N19" s="356"/>
      <c r="O19" s="357"/>
      <c r="P19" s="357"/>
    </row>
    <row r="20" spans="1:36" x14ac:dyDescent="0.2">
      <c r="A20" s="12"/>
      <c r="B20" s="354">
        <v>70</v>
      </c>
      <c r="C20" s="352" t="s">
        <v>644</v>
      </c>
      <c r="D20" s="361">
        <v>0</v>
      </c>
      <c r="E20" s="361">
        <v>0</v>
      </c>
      <c r="F20" s="361">
        <v>0</v>
      </c>
      <c r="G20" s="361">
        <v>0</v>
      </c>
      <c r="H20" s="361">
        <v>0</v>
      </c>
      <c r="I20" s="361">
        <v>956.88932969000007</v>
      </c>
      <c r="J20" s="361">
        <v>0</v>
      </c>
      <c r="K20" s="361">
        <v>956.88932969000007</v>
      </c>
      <c r="L20" s="361">
        <v>956.88932969000007</v>
      </c>
      <c r="M20" s="361">
        <v>956.88932969000007</v>
      </c>
      <c r="N20" s="356"/>
      <c r="O20" s="357"/>
      <c r="P20" s="357"/>
    </row>
    <row r="21" spans="1:36" x14ac:dyDescent="0.2">
      <c r="A21" s="12"/>
      <c r="B21" s="354">
        <v>80</v>
      </c>
      <c r="C21" s="352" t="s">
        <v>645</v>
      </c>
      <c r="D21" s="361">
        <v>0</v>
      </c>
      <c r="E21" s="361">
        <v>0</v>
      </c>
      <c r="F21" s="361">
        <v>0</v>
      </c>
      <c r="G21" s="361">
        <v>0</v>
      </c>
      <c r="H21" s="361">
        <v>0</v>
      </c>
      <c r="I21" s="361">
        <v>0.30314668135000006</v>
      </c>
      <c r="J21" s="361">
        <v>0</v>
      </c>
      <c r="K21" s="361">
        <v>0</v>
      </c>
      <c r="L21" s="361">
        <v>0</v>
      </c>
      <c r="M21" s="361">
        <v>0</v>
      </c>
      <c r="N21" s="356"/>
      <c r="O21" s="357"/>
      <c r="P21" s="357"/>
    </row>
    <row r="22" spans="1:36" x14ac:dyDescent="0.2">
      <c r="A22" s="12"/>
      <c r="B22" s="354">
        <v>90</v>
      </c>
      <c r="C22" s="352" t="s">
        <v>646</v>
      </c>
      <c r="D22" s="361">
        <v>0</v>
      </c>
      <c r="E22" s="361">
        <v>0</v>
      </c>
      <c r="F22" s="361">
        <v>0</v>
      </c>
      <c r="G22" s="361">
        <v>0</v>
      </c>
      <c r="H22" s="361">
        <v>0</v>
      </c>
      <c r="I22" s="361">
        <v>0</v>
      </c>
      <c r="J22" s="361">
        <v>0</v>
      </c>
      <c r="K22" s="361">
        <v>0</v>
      </c>
      <c r="L22" s="361">
        <v>0</v>
      </c>
      <c r="M22" s="361">
        <v>0</v>
      </c>
      <c r="N22" s="356"/>
      <c r="O22" s="357"/>
      <c r="P22" s="357"/>
    </row>
    <row r="23" spans="1:36" x14ac:dyDescent="0.2">
      <c r="A23" s="12"/>
      <c r="B23" s="354">
        <v>100</v>
      </c>
      <c r="C23" s="352" t="s">
        <v>647</v>
      </c>
      <c r="D23" s="361">
        <v>0</v>
      </c>
      <c r="E23" s="361">
        <v>0</v>
      </c>
      <c r="F23" s="361">
        <v>0</v>
      </c>
      <c r="G23" s="361">
        <v>0</v>
      </c>
      <c r="H23" s="361">
        <v>0</v>
      </c>
      <c r="I23" s="361">
        <v>0</v>
      </c>
      <c r="J23" s="361">
        <v>0</v>
      </c>
      <c r="K23" s="361">
        <v>0</v>
      </c>
      <c r="L23" s="361">
        <v>0</v>
      </c>
      <c r="M23" s="361">
        <v>0</v>
      </c>
      <c r="N23" s="356"/>
      <c r="O23" s="357"/>
      <c r="P23" s="357"/>
    </row>
    <row r="24" spans="1:36" x14ac:dyDescent="0.2">
      <c r="A24" s="12"/>
      <c r="B24" s="354">
        <v>110</v>
      </c>
      <c r="C24" s="352" t="s">
        <v>648</v>
      </c>
      <c r="D24" s="361">
        <v>0</v>
      </c>
      <c r="E24" s="361">
        <v>0</v>
      </c>
      <c r="F24" s="361">
        <v>0</v>
      </c>
      <c r="G24" s="361">
        <v>0</v>
      </c>
      <c r="H24" s="361">
        <v>0</v>
      </c>
      <c r="I24" s="361">
        <v>0</v>
      </c>
      <c r="J24" s="361">
        <v>0</v>
      </c>
      <c r="K24" s="361">
        <v>0</v>
      </c>
      <c r="L24" s="361">
        <v>0</v>
      </c>
      <c r="M24" s="361">
        <v>0</v>
      </c>
      <c r="N24" s="356"/>
      <c r="O24" s="357"/>
      <c r="P24" s="357"/>
    </row>
    <row r="25" spans="1:36" x14ac:dyDescent="0.2">
      <c r="A25" s="12"/>
      <c r="B25" s="354">
        <v>120</v>
      </c>
      <c r="C25" s="352" t="s">
        <v>649</v>
      </c>
      <c r="D25" s="361">
        <v>0</v>
      </c>
      <c r="E25" s="361">
        <v>0</v>
      </c>
      <c r="F25" s="361">
        <v>0</v>
      </c>
      <c r="G25" s="361">
        <v>0</v>
      </c>
      <c r="H25" s="361">
        <v>0</v>
      </c>
      <c r="I25" s="361">
        <v>155.94277872000001</v>
      </c>
      <c r="J25" s="361">
        <v>0</v>
      </c>
      <c r="K25" s="361">
        <v>0</v>
      </c>
      <c r="L25" s="361">
        <v>0</v>
      </c>
      <c r="M25" s="361">
        <v>0</v>
      </c>
      <c r="N25" s="357"/>
      <c r="O25" s="357"/>
      <c r="P25" s="357"/>
    </row>
    <row r="26" spans="1:36" s="78" customFormat="1" x14ac:dyDescent="0.2">
      <c r="A26" s="12"/>
      <c r="B26" s="76"/>
      <c r="C26" s="77"/>
      <c r="D26" s="75"/>
      <c r="E26" s="75"/>
      <c r="F26" s="75"/>
      <c r="G26" s="75"/>
      <c r="H26" s="75"/>
      <c r="I26" s="75"/>
      <c r="J26" s="75"/>
      <c r="N26" s="358"/>
      <c r="O26" s="358"/>
      <c r="P26" s="358"/>
    </row>
    <row r="27" spans="1:36" s="63" customFormat="1" x14ac:dyDescent="0.2">
      <c r="A27" s="12"/>
      <c r="B27" s="369"/>
      <c r="C27" s="363"/>
      <c r="D27" s="363"/>
      <c r="E27" s="363"/>
      <c r="F27" s="363"/>
      <c r="G27" s="363"/>
      <c r="H27" s="62"/>
      <c r="J27" s="59"/>
      <c r="K27" s="59"/>
      <c r="L27" s="59"/>
      <c r="M27" s="59"/>
      <c r="N27" s="357"/>
      <c r="O27" s="357"/>
      <c r="P27" s="357"/>
      <c r="Q27" s="59"/>
      <c r="R27" s="59"/>
      <c r="S27" s="59"/>
      <c r="T27" s="59"/>
      <c r="U27" s="59"/>
      <c r="V27" s="59"/>
      <c r="W27" s="59"/>
      <c r="X27" s="59"/>
      <c r="Y27" s="59"/>
      <c r="Z27" s="59"/>
      <c r="AA27" s="59"/>
      <c r="AB27" s="59"/>
      <c r="AC27" s="59"/>
      <c r="AD27" s="59"/>
      <c r="AE27" s="59"/>
      <c r="AF27" s="59"/>
      <c r="AG27" s="59"/>
      <c r="AH27" s="59"/>
      <c r="AI27" s="59"/>
      <c r="AJ27" s="59"/>
    </row>
    <row r="28" spans="1:36" s="66" customFormat="1" x14ac:dyDescent="0.2">
      <c r="A28" s="12"/>
      <c r="B28" s="379" t="s">
        <v>117</v>
      </c>
      <c r="C28" s="371"/>
      <c r="D28" s="378"/>
      <c r="E28" s="378"/>
      <c r="F28" s="506"/>
      <c r="G28" s="507"/>
      <c r="H28" s="366"/>
      <c r="I28" s="79"/>
      <c r="N28" s="355"/>
      <c r="O28" s="355"/>
      <c r="P28" s="355"/>
    </row>
    <row r="29" spans="1:36" s="66" customFormat="1" ht="36.75" customHeight="1" x14ac:dyDescent="0.2">
      <c r="A29" s="12"/>
      <c r="B29" s="370"/>
      <c r="D29" s="377" t="s">
        <v>117</v>
      </c>
      <c r="E29" s="378"/>
      <c r="F29" s="506"/>
      <c r="G29" s="506"/>
      <c r="H29" s="508"/>
      <c r="N29" s="355"/>
      <c r="O29" s="355"/>
      <c r="P29" s="355"/>
    </row>
    <row r="30" spans="1:36" s="66" customFormat="1" x14ac:dyDescent="0.2">
      <c r="A30" s="12"/>
      <c r="B30" s="73" t="s">
        <v>638</v>
      </c>
      <c r="C30" s="359" t="s">
        <v>637</v>
      </c>
      <c r="D30" s="359">
        <v>10</v>
      </c>
      <c r="E30" s="372"/>
      <c r="F30" s="373"/>
      <c r="G30" s="372"/>
      <c r="H30" s="508"/>
    </row>
    <row r="31" spans="1:36" s="66" customFormat="1" x14ac:dyDescent="0.2">
      <c r="A31" s="12"/>
      <c r="B31" s="383">
        <v>10</v>
      </c>
      <c r="C31" s="384" t="s">
        <v>651</v>
      </c>
      <c r="D31" s="364"/>
      <c r="E31" s="374"/>
      <c r="F31" s="374"/>
      <c r="G31" s="374"/>
      <c r="H31" s="80"/>
    </row>
    <row r="32" spans="1:36" x14ac:dyDescent="0.2">
      <c r="A32" s="12"/>
      <c r="B32" s="385">
        <v>20</v>
      </c>
      <c r="C32" s="380" t="s">
        <v>652</v>
      </c>
      <c r="D32" s="386"/>
      <c r="E32" s="376"/>
      <c r="F32" s="376"/>
      <c r="G32" s="376"/>
      <c r="H32" s="74"/>
      <c r="L32" s="410"/>
    </row>
    <row r="33" spans="1:10" x14ac:dyDescent="0.2">
      <c r="A33" s="12"/>
      <c r="B33" s="385">
        <v>30</v>
      </c>
      <c r="C33" s="382" t="s">
        <v>653</v>
      </c>
      <c r="D33" s="386"/>
      <c r="E33" s="376"/>
      <c r="F33" s="376"/>
      <c r="G33" s="376"/>
      <c r="H33" s="74"/>
    </row>
    <row r="34" spans="1:10" x14ac:dyDescent="0.2">
      <c r="A34" s="12"/>
      <c r="B34" s="385">
        <v>40</v>
      </c>
      <c r="C34" s="382" t="s">
        <v>654</v>
      </c>
      <c r="D34" s="386"/>
      <c r="E34" s="376"/>
      <c r="F34" s="376"/>
      <c r="G34" s="376"/>
      <c r="H34" s="74"/>
    </row>
    <row r="35" spans="1:10" x14ac:dyDescent="0.2">
      <c r="A35" s="12"/>
      <c r="B35" s="385">
        <v>50</v>
      </c>
      <c r="C35" s="382" t="s">
        <v>655</v>
      </c>
      <c r="D35" s="386"/>
      <c r="E35" s="376"/>
      <c r="F35" s="376"/>
      <c r="G35" s="376"/>
      <c r="H35" s="74"/>
    </row>
    <row r="36" spans="1:10" s="78" customFormat="1" x14ac:dyDescent="0.2">
      <c r="A36" s="12"/>
      <c r="B36" s="385">
        <v>60</v>
      </c>
      <c r="C36" s="365" t="s">
        <v>656</v>
      </c>
      <c r="D36" s="386"/>
      <c r="E36" s="376"/>
      <c r="F36" s="376"/>
      <c r="G36" s="376"/>
      <c r="H36" s="74"/>
    </row>
    <row r="37" spans="1:10" s="78" customFormat="1" x14ac:dyDescent="0.2">
      <c r="A37" s="12"/>
      <c r="B37" s="385">
        <v>70</v>
      </c>
      <c r="C37" s="365" t="s">
        <v>657</v>
      </c>
      <c r="D37" s="386"/>
      <c r="E37" s="376"/>
      <c r="F37" s="376"/>
      <c r="G37" s="376"/>
      <c r="H37" s="74"/>
    </row>
    <row r="38" spans="1:10" s="78" customFormat="1" x14ac:dyDescent="0.2">
      <c r="A38" s="12"/>
      <c r="B38" s="385">
        <v>80</v>
      </c>
      <c r="C38" s="365" t="s">
        <v>656</v>
      </c>
      <c r="D38" s="386"/>
      <c r="E38" s="376"/>
      <c r="F38" s="376"/>
      <c r="G38" s="376"/>
      <c r="H38" s="74"/>
    </row>
    <row r="39" spans="1:10" s="78" customFormat="1" x14ac:dyDescent="0.2">
      <c r="A39" s="12"/>
      <c r="B39" s="385">
        <v>90</v>
      </c>
      <c r="C39" s="365" t="s">
        <v>658</v>
      </c>
      <c r="D39" s="386"/>
      <c r="E39" s="376"/>
      <c r="F39" s="376"/>
      <c r="G39" s="376"/>
      <c r="H39" s="74"/>
    </row>
    <row r="40" spans="1:10" s="78" customFormat="1" x14ac:dyDescent="0.2">
      <c r="A40" s="12"/>
      <c r="B40" s="385">
        <v>100</v>
      </c>
      <c r="C40" s="365" t="s">
        <v>659</v>
      </c>
      <c r="D40" s="386"/>
      <c r="E40" s="376"/>
      <c r="F40" s="376"/>
      <c r="G40" s="376"/>
      <c r="H40" s="74"/>
    </row>
    <row r="41" spans="1:10" s="78" customFormat="1" x14ac:dyDescent="0.2">
      <c r="A41" s="12"/>
      <c r="B41" s="385">
        <v>110</v>
      </c>
      <c r="C41" s="382" t="s">
        <v>660</v>
      </c>
      <c r="D41" s="386"/>
      <c r="E41" s="376"/>
      <c r="F41" s="376"/>
      <c r="G41" s="376"/>
      <c r="H41" s="74"/>
    </row>
    <row r="42" spans="1:10" s="78" customFormat="1" x14ac:dyDescent="0.2">
      <c r="A42" s="12"/>
      <c r="B42" s="385">
        <v>120</v>
      </c>
      <c r="C42" s="382" t="s">
        <v>661</v>
      </c>
      <c r="D42" s="386"/>
      <c r="E42" s="376"/>
      <c r="F42" s="376"/>
      <c r="G42" s="376"/>
      <c r="H42" s="74"/>
    </row>
    <row r="43" spans="1:10" s="78" customFormat="1" x14ac:dyDescent="0.2">
      <c r="A43" s="12"/>
      <c r="B43" s="385">
        <v>170</v>
      </c>
      <c r="C43" s="365" t="s">
        <v>662</v>
      </c>
      <c r="D43" s="386"/>
      <c r="E43" s="376"/>
      <c r="F43" s="376"/>
      <c r="G43" s="376"/>
      <c r="H43" s="74"/>
    </row>
    <row r="44" spans="1:10" s="78" customFormat="1" x14ac:dyDescent="0.2">
      <c r="A44" s="12"/>
      <c r="B44" s="374"/>
      <c r="C44" s="375"/>
      <c r="D44" s="376"/>
      <c r="E44" s="376"/>
      <c r="F44" s="376"/>
      <c r="G44" s="376"/>
      <c r="H44" s="74"/>
    </row>
    <row r="45" spans="1:10" s="78" customFormat="1" x14ac:dyDescent="0.2">
      <c r="A45" s="12"/>
      <c r="B45" s="374"/>
      <c r="C45" s="375"/>
      <c r="D45" s="75"/>
      <c r="E45" s="75"/>
      <c r="F45" s="75"/>
      <c r="G45" s="75"/>
      <c r="H45" s="74"/>
    </row>
    <row r="46" spans="1:10" x14ac:dyDescent="0.2">
      <c r="A46" s="12"/>
      <c r="B46" s="374"/>
      <c r="C46" s="375"/>
      <c r="D46" s="75" t="s">
        <v>116</v>
      </c>
      <c r="E46" s="75"/>
      <c r="F46" s="75"/>
      <c r="G46" s="75"/>
      <c r="H46" s="74"/>
    </row>
    <row r="47" spans="1:10" s="78" customFormat="1" x14ac:dyDescent="0.2">
      <c r="A47" s="12"/>
      <c r="B47" s="367"/>
      <c r="C47" s="368"/>
      <c r="D47" s="75"/>
      <c r="E47" s="75"/>
      <c r="F47" s="75"/>
      <c r="G47" s="75"/>
      <c r="H47" s="75"/>
      <c r="I47" s="75"/>
      <c r="J47" s="75"/>
    </row>
    <row r="48" spans="1:10" s="78" customFormat="1" x14ac:dyDescent="0.2">
      <c r="A48" s="12"/>
      <c r="B48" s="387"/>
      <c r="C48" s="388"/>
      <c r="D48" s="360"/>
      <c r="E48" s="360"/>
      <c r="F48" s="75"/>
      <c r="G48" s="75"/>
      <c r="H48" s="75"/>
      <c r="I48" s="75"/>
      <c r="J48" s="75"/>
    </row>
    <row r="49" spans="1:11" x14ac:dyDescent="0.2">
      <c r="A49" s="12"/>
      <c r="B49" s="396" t="s">
        <v>637</v>
      </c>
      <c r="C49" s="397" t="s">
        <v>638</v>
      </c>
      <c r="D49" s="398">
        <v>10</v>
      </c>
      <c r="E49" s="399"/>
      <c r="F49" s="61"/>
      <c r="G49" s="61"/>
      <c r="H49" s="61"/>
      <c r="I49" s="61"/>
      <c r="J49" s="61"/>
      <c r="K49" s="61"/>
    </row>
    <row r="50" spans="1:11" s="66" customFormat="1" ht="62.25" customHeight="1" x14ac:dyDescent="0.2">
      <c r="A50" s="12"/>
      <c r="B50" s="384">
        <v>10</v>
      </c>
      <c r="C50" s="391" t="s">
        <v>663</v>
      </c>
      <c r="D50" s="70"/>
      <c r="E50" s="393"/>
      <c r="G50" s="82"/>
    </row>
    <row r="51" spans="1:11" s="66" customFormat="1" x14ac:dyDescent="0.2">
      <c r="A51" s="12"/>
      <c r="B51" s="384">
        <v>30</v>
      </c>
      <c r="C51" s="391" t="s">
        <v>664</v>
      </c>
      <c r="D51" s="70"/>
      <c r="E51" s="393"/>
      <c r="G51" s="82"/>
    </row>
    <row r="52" spans="1:11" s="66" customFormat="1" x14ac:dyDescent="0.2">
      <c r="A52" s="12"/>
      <c r="B52" s="383">
        <v>50</v>
      </c>
      <c r="C52" s="391" t="s">
        <v>665</v>
      </c>
      <c r="D52" s="72"/>
      <c r="E52" s="72"/>
      <c r="G52" s="80"/>
    </row>
    <row r="53" spans="1:11" x14ac:dyDescent="0.2">
      <c r="A53" s="12"/>
      <c r="B53" s="384">
        <v>70</v>
      </c>
      <c r="C53" s="392" t="s">
        <v>666</v>
      </c>
      <c r="D53" s="381"/>
      <c r="E53" s="81"/>
      <c r="G53" s="74"/>
    </row>
    <row r="54" spans="1:11" x14ac:dyDescent="0.2">
      <c r="A54" s="12"/>
      <c r="B54" s="389">
        <v>90</v>
      </c>
      <c r="C54" s="390" t="s">
        <v>667</v>
      </c>
      <c r="D54" s="381"/>
      <c r="E54" s="81"/>
      <c r="G54" s="74"/>
    </row>
    <row r="55" spans="1:11" x14ac:dyDescent="0.2">
      <c r="A55" s="12"/>
      <c r="B55" s="389">
        <v>110</v>
      </c>
      <c r="C55" s="390" t="s">
        <v>668</v>
      </c>
      <c r="D55" s="381"/>
      <c r="E55" s="81"/>
      <c r="G55" s="74"/>
    </row>
    <row r="56" spans="1:11" x14ac:dyDescent="0.2">
      <c r="A56" s="12"/>
      <c r="B56" s="389">
        <v>130</v>
      </c>
      <c r="C56" s="390" t="s">
        <v>669</v>
      </c>
      <c r="D56" s="381"/>
      <c r="E56" s="81"/>
      <c r="G56" s="74"/>
    </row>
    <row r="57" spans="1:11" x14ac:dyDescent="0.2">
      <c r="A57" s="12"/>
      <c r="B57" s="389">
        <v>150</v>
      </c>
      <c r="C57" s="390" t="s">
        <v>670</v>
      </c>
      <c r="D57" s="381"/>
      <c r="E57" s="81"/>
      <c r="G57" s="74"/>
    </row>
    <row r="58" spans="1:11" x14ac:dyDescent="0.2">
      <c r="A58" s="12"/>
      <c r="B58" s="389">
        <v>170</v>
      </c>
      <c r="C58" s="390" t="s">
        <v>671</v>
      </c>
      <c r="D58" s="381"/>
      <c r="E58" s="81"/>
      <c r="G58" s="74"/>
    </row>
    <row r="59" spans="1:11" x14ac:dyDescent="0.2">
      <c r="A59" s="12"/>
      <c r="B59" s="83"/>
      <c r="C59" s="84"/>
    </row>
    <row r="60" spans="1:11" x14ac:dyDescent="0.2">
      <c r="A60" s="12"/>
      <c r="B60" s="12"/>
    </row>
    <row r="61" spans="1:11" x14ac:dyDescent="0.25">
      <c r="B61" s="85" t="s">
        <v>119</v>
      </c>
      <c r="D61" s="59" t="s">
        <v>120</v>
      </c>
      <c r="E61" s="59" t="s">
        <v>121</v>
      </c>
      <c r="K61" s="59" t="s">
        <v>122</v>
      </c>
    </row>
    <row r="62" spans="1:11" x14ac:dyDescent="0.2">
      <c r="A62" s="12"/>
    </row>
    <row r="63" spans="1:11" ht="11.25" customHeight="1" x14ac:dyDescent="0.2">
      <c r="A63" s="12"/>
      <c r="B63" s="500"/>
      <c r="C63" s="501"/>
      <c r="D63" s="501"/>
      <c r="E63" s="501"/>
      <c r="F63" s="501"/>
      <c r="G63" s="501"/>
      <c r="H63" s="501"/>
      <c r="I63" s="502"/>
    </row>
    <row r="64" spans="1:11" x14ac:dyDescent="0.2">
      <c r="A64" s="12"/>
      <c r="B64" s="503"/>
      <c r="C64" s="504"/>
      <c r="D64" s="504"/>
      <c r="E64" s="504"/>
      <c r="F64" s="504"/>
      <c r="G64" s="504"/>
      <c r="H64" s="504"/>
      <c r="I64" s="505"/>
    </row>
    <row r="65" spans="1:9" x14ac:dyDescent="0.2">
      <c r="A65" s="12"/>
      <c r="B65" s="503"/>
      <c r="C65" s="504"/>
      <c r="D65" s="504"/>
      <c r="E65" s="504"/>
      <c r="F65" s="504"/>
      <c r="G65" s="504"/>
      <c r="H65" s="504"/>
      <c r="I65" s="505"/>
    </row>
    <row r="66" spans="1:9" x14ac:dyDescent="0.2">
      <c r="A66" s="12"/>
      <c r="B66" s="503"/>
      <c r="C66" s="504"/>
      <c r="D66" s="504"/>
      <c r="E66" s="504"/>
      <c r="F66" s="504"/>
      <c r="G66" s="504"/>
      <c r="H66" s="504"/>
      <c r="I66" s="505"/>
    </row>
    <row r="67" spans="1:9" x14ac:dyDescent="0.2">
      <c r="A67" s="12"/>
      <c r="B67" s="503"/>
      <c r="C67" s="504"/>
      <c r="D67" s="504"/>
      <c r="E67" s="504"/>
      <c r="F67" s="504"/>
      <c r="G67" s="504"/>
      <c r="H67" s="504"/>
      <c r="I67" s="505"/>
    </row>
    <row r="68" spans="1:9" x14ac:dyDescent="0.25">
      <c r="B68" s="86"/>
      <c r="C68" s="87"/>
      <c r="D68" s="87"/>
      <c r="E68" s="87"/>
      <c r="F68" s="87"/>
      <c r="G68" s="87"/>
      <c r="H68" s="87"/>
      <c r="I68" s="88"/>
    </row>
    <row r="69" spans="1:9" x14ac:dyDescent="0.25">
      <c r="B69" s="478"/>
      <c r="C69" s="487"/>
      <c r="D69" s="487"/>
      <c r="E69" s="487"/>
      <c r="F69" s="487"/>
      <c r="G69" s="487"/>
      <c r="H69" s="487"/>
      <c r="I69" s="480"/>
    </row>
    <row r="70" spans="1:9" x14ac:dyDescent="0.25">
      <c r="B70" s="86"/>
      <c r="C70" s="89"/>
      <c r="D70" s="89"/>
      <c r="E70" s="89"/>
      <c r="F70" s="89"/>
      <c r="G70" s="89"/>
      <c r="H70" s="89"/>
      <c r="I70" s="90"/>
    </row>
    <row r="71" spans="1:9" x14ac:dyDescent="0.25">
      <c r="B71" s="91"/>
      <c r="C71" s="89"/>
      <c r="D71" s="89"/>
      <c r="E71" s="89"/>
      <c r="F71" s="89"/>
      <c r="G71" s="89"/>
      <c r="H71" s="89"/>
      <c r="I71" s="90"/>
    </row>
    <row r="72" spans="1:9" x14ac:dyDescent="0.25">
      <c r="B72" s="91"/>
      <c r="C72" s="89"/>
      <c r="D72" s="89"/>
      <c r="E72" s="89"/>
      <c r="F72" s="89"/>
      <c r="G72" s="89"/>
      <c r="H72" s="89"/>
      <c r="I72" s="90"/>
    </row>
    <row r="73" spans="1:9" x14ac:dyDescent="0.25">
      <c r="B73" s="478"/>
      <c r="C73" s="479"/>
      <c r="D73" s="479"/>
      <c r="E73" s="479"/>
      <c r="F73" s="479"/>
      <c r="G73" s="479"/>
      <c r="H73" s="479"/>
      <c r="I73" s="491"/>
    </row>
    <row r="74" spans="1:9" x14ac:dyDescent="0.25">
      <c r="A74" s="20"/>
      <c r="B74" s="481"/>
      <c r="C74" s="482"/>
      <c r="D74" s="482"/>
      <c r="E74" s="482"/>
      <c r="F74" s="482"/>
      <c r="G74" s="482"/>
      <c r="H74" s="482"/>
      <c r="I74" s="92"/>
    </row>
    <row r="75" spans="1:9" x14ac:dyDescent="0.25">
      <c r="A75" s="20"/>
      <c r="B75" s="478"/>
      <c r="C75" s="479"/>
      <c r="D75" s="479"/>
      <c r="E75" s="479"/>
      <c r="F75" s="479"/>
      <c r="G75" s="479"/>
      <c r="H75" s="479"/>
      <c r="I75" s="480"/>
    </row>
    <row r="76" spans="1:9" x14ac:dyDescent="0.2">
      <c r="A76" s="21"/>
      <c r="B76" s="478"/>
      <c r="C76" s="479"/>
      <c r="D76" s="479"/>
      <c r="E76" s="479"/>
      <c r="F76" s="479"/>
      <c r="G76" s="479"/>
      <c r="H76" s="479"/>
      <c r="I76" s="480"/>
    </row>
    <row r="77" spans="1:9" x14ac:dyDescent="0.2">
      <c r="A77" s="12"/>
      <c r="B77" s="481"/>
      <c r="C77" s="482"/>
      <c r="D77" s="482"/>
      <c r="E77" s="482"/>
      <c r="F77" s="482"/>
      <c r="G77" s="482"/>
      <c r="H77" s="482"/>
      <c r="I77" s="480"/>
    </row>
    <row r="78" spans="1:9" x14ac:dyDescent="0.2">
      <c r="A78" s="12"/>
      <c r="B78" s="481"/>
      <c r="C78" s="482"/>
      <c r="D78" s="482"/>
      <c r="E78" s="482"/>
      <c r="F78" s="482"/>
      <c r="G78" s="482"/>
      <c r="H78" s="482"/>
      <c r="I78" s="480"/>
    </row>
    <row r="79" spans="1:9" x14ac:dyDescent="0.2">
      <c r="A79" s="12"/>
      <c r="B79" s="483"/>
      <c r="C79" s="484"/>
      <c r="D79" s="484"/>
      <c r="E79" s="484"/>
      <c r="F79" s="484"/>
      <c r="G79" s="484"/>
      <c r="H79" s="484"/>
      <c r="I79" s="485"/>
    </row>
    <row r="80" spans="1:9" x14ac:dyDescent="0.2">
      <c r="A80" s="12"/>
      <c r="B80" s="486"/>
      <c r="C80" s="482"/>
      <c r="D80" s="482"/>
      <c r="E80" s="482"/>
      <c r="F80" s="482"/>
      <c r="G80" s="482"/>
      <c r="H80" s="482"/>
      <c r="I80" s="487"/>
    </row>
    <row r="81" spans="1:9" x14ac:dyDescent="0.2">
      <c r="A81" s="12"/>
      <c r="B81" s="486"/>
      <c r="C81" s="486"/>
      <c r="D81" s="486"/>
      <c r="E81" s="486"/>
      <c r="F81" s="486"/>
      <c r="G81" s="486"/>
      <c r="H81" s="486"/>
      <c r="I81" s="487"/>
    </row>
    <row r="82" spans="1:9" x14ac:dyDescent="0.2">
      <c r="A82" s="12"/>
      <c r="B82" s="486"/>
      <c r="C82" s="486"/>
      <c r="D82" s="486"/>
      <c r="E82" s="486"/>
      <c r="F82" s="486"/>
      <c r="G82" s="486"/>
      <c r="H82" s="486"/>
      <c r="I82" s="488"/>
    </row>
    <row r="83" spans="1:9" x14ac:dyDescent="0.2">
      <c r="A83" s="12"/>
      <c r="B83" s="489"/>
      <c r="C83" s="489"/>
      <c r="D83" s="489"/>
      <c r="E83" s="489"/>
      <c r="F83" s="489"/>
      <c r="G83" s="489"/>
      <c r="H83" s="489"/>
      <c r="I83" s="490"/>
    </row>
    <row r="84" spans="1:9" x14ac:dyDescent="0.2">
      <c r="A84" s="12"/>
      <c r="B84" s="489"/>
      <c r="C84" s="489"/>
      <c r="D84" s="489"/>
      <c r="E84" s="489"/>
      <c r="F84" s="489"/>
      <c r="G84" s="489"/>
      <c r="H84" s="489"/>
      <c r="I84" s="490"/>
    </row>
    <row r="85" spans="1:9" x14ac:dyDescent="0.2">
      <c r="A85" s="22"/>
      <c r="B85" s="476"/>
      <c r="C85" s="477"/>
      <c r="D85" s="477"/>
      <c r="E85" s="477"/>
      <c r="F85" s="477"/>
      <c r="G85" s="477"/>
      <c r="H85" s="477"/>
    </row>
    <row r="86" spans="1:9" x14ac:dyDescent="0.2">
      <c r="A86" s="22"/>
      <c r="B86" s="476"/>
      <c r="C86" s="477"/>
      <c r="D86" s="477"/>
      <c r="E86" s="477"/>
      <c r="F86" s="477"/>
      <c r="G86" s="477"/>
      <c r="H86" s="477"/>
    </row>
    <row r="87" spans="1:9" x14ac:dyDescent="0.2">
      <c r="A87" s="22"/>
      <c r="B87" s="476"/>
      <c r="C87" s="477"/>
      <c r="D87" s="477"/>
      <c r="E87" s="477"/>
      <c r="F87" s="477"/>
      <c r="G87" s="477"/>
      <c r="H87" s="477"/>
    </row>
    <row r="88" spans="1:9" x14ac:dyDescent="0.2">
      <c r="A88" s="22"/>
      <c r="C88" s="93"/>
    </row>
    <row r="89" spans="1:9" x14ac:dyDescent="0.2">
      <c r="A89" s="22"/>
    </row>
    <row r="90" spans="1:9" x14ac:dyDescent="0.2">
      <c r="A90" s="22"/>
    </row>
    <row r="91" spans="1:9" x14ac:dyDescent="0.2">
      <c r="A91" s="22"/>
    </row>
    <row r="92" spans="1:9" x14ac:dyDescent="0.2">
      <c r="A92" s="22"/>
    </row>
  </sheetData>
  <mergeCells count="29">
    <mergeCell ref="B74:H74"/>
    <mergeCell ref="B3:H3"/>
    <mergeCell ref="D9:E10"/>
    <mergeCell ref="F9:G10"/>
    <mergeCell ref="H9:I10"/>
    <mergeCell ref="B63:I67"/>
    <mergeCell ref="D11:F11"/>
    <mergeCell ref="G11:H11"/>
    <mergeCell ref="I11:K11"/>
    <mergeCell ref="J9:K10"/>
    <mergeCell ref="F28:G28"/>
    <mergeCell ref="F29:G29"/>
    <mergeCell ref="H29:H30"/>
    <mergeCell ref="L11:M11"/>
    <mergeCell ref="B87:H87"/>
    <mergeCell ref="B76:I76"/>
    <mergeCell ref="B77:I77"/>
    <mergeCell ref="B78:I78"/>
    <mergeCell ref="B79:I79"/>
    <mergeCell ref="B80:I80"/>
    <mergeCell ref="B81:I81"/>
    <mergeCell ref="B82:I82"/>
    <mergeCell ref="B83:I83"/>
    <mergeCell ref="B84:I84"/>
    <mergeCell ref="B85:H85"/>
    <mergeCell ref="B86:H86"/>
    <mergeCell ref="B75:I75"/>
    <mergeCell ref="B69:I69"/>
    <mergeCell ref="B73:I73"/>
  </mergeCells>
  <conditionalFormatting sqref="G47:J48 H32:H46 G31:G46 D28:F29 D51 F30:F45 D46:F48 D26:J26 D31:E44 D49:G49 D52:E58 G51:G58 B51:B58">
    <cfRule type="cellIs" dxfId="2" priority="3" stopIfTrue="1" operator="lessThan">
      <formula>0</formula>
    </cfRule>
  </conditionalFormatting>
  <conditionalFormatting sqref="D45:E45">
    <cfRule type="cellIs" dxfId="1" priority="2" stopIfTrue="1" operator="lessThan">
      <formula>0</formula>
    </cfRule>
  </conditionalFormatting>
  <conditionalFormatting sqref="D50 G50 B50">
    <cfRule type="cellIs" dxfId="0" priority="1" stopIfTrue="1" operator="lessThan">
      <formula>0</formula>
    </cfRule>
  </conditionalFormatting>
  <printOptions horizontalCentered="1" verticalCentered="1"/>
  <pageMargins left="0.23622047244094491" right="0.23622047244094491" top="0.74803149606299213" bottom="0.74803149606299213" header="0.31496062992125984" footer="0.31496062992125984"/>
  <pageSetup paperSize="9" scale="6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4"/>
  <sheetViews>
    <sheetView showGridLines="0" zoomScaleNormal="100" workbookViewId="0">
      <selection activeCell="H11" sqref="H11"/>
    </sheetView>
  </sheetViews>
  <sheetFormatPr baseColWidth="10" defaultColWidth="11.42578125" defaultRowHeight="15" x14ac:dyDescent="0.25"/>
  <cols>
    <col min="1" max="1" width="2.85546875" style="23" customWidth="1"/>
    <col min="2" max="2" width="4.140625" style="3" customWidth="1"/>
    <col min="3" max="3" width="35.85546875" style="3" customWidth="1"/>
    <col min="4" max="8" width="11.5703125" style="3" bestFit="1" customWidth="1"/>
    <col min="9" max="9" width="12.140625" style="3" bestFit="1" customWidth="1"/>
    <col min="10"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1"/>
      <c r="C3" s="461"/>
      <c r="D3" s="461"/>
      <c r="E3" s="461"/>
      <c r="F3" s="461"/>
      <c r="G3" s="461"/>
      <c r="H3" s="461"/>
    </row>
    <row r="4" spans="1:11" s="10" customFormat="1" ht="5.0999999999999996" customHeight="1" x14ac:dyDescent="0.2">
      <c r="A4" s="7"/>
      <c r="B4" s="7"/>
      <c r="C4" s="7"/>
      <c r="D4" s="8"/>
      <c r="E4" s="8"/>
      <c r="F4" s="9"/>
      <c r="G4" s="9"/>
      <c r="H4" s="9"/>
      <c r="J4" s="7"/>
      <c r="K4" s="7"/>
    </row>
    <row r="5" spans="1:11" ht="18" x14ac:dyDescent="0.25">
      <c r="A5" s="13"/>
      <c r="B5" s="136" t="s">
        <v>133</v>
      </c>
    </row>
    <row r="6" spans="1:11" ht="11.25" customHeight="1" x14ac:dyDescent="0.25">
      <c r="A6" s="14"/>
      <c r="B6" s="101"/>
      <c r="C6" s="101"/>
      <c r="D6" s="101"/>
      <c r="E6" s="101"/>
      <c r="F6" s="101"/>
      <c r="G6" s="101"/>
      <c r="H6" s="101"/>
      <c r="I6" s="101"/>
    </row>
    <row r="7" spans="1:11" ht="11.25" customHeight="1" x14ac:dyDescent="0.25">
      <c r="A7" s="14"/>
      <c r="B7" s="509"/>
      <c r="C7" s="510"/>
      <c r="D7" s="513" t="s">
        <v>134</v>
      </c>
      <c r="E7" s="513"/>
      <c r="F7" s="513"/>
      <c r="G7" s="513"/>
      <c r="H7" s="513"/>
      <c r="I7" s="513"/>
    </row>
    <row r="8" spans="1:11" ht="22.5" x14ac:dyDescent="0.25">
      <c r="A8" s="12"/>
      <c r="B8" s="511"/>
      <c r="C8" s="512"/>
      <c r="D8" s="102" t="s">
        <v>135</v>
      </c>
      <c r="E8" s="102" t="s">
        <v>136</v>
      </c>
      <c r="F8" s="102" t="s">
        <v>137</v>
      </c>
      <c r="G8" s="102" t="s">
        <v>138</v>
      </c>
      <c r="H8" s="102" t="s">
        <v>139</v>
      </c>
      <c r="I8" s="102" t="s">
        <v>30</v>
      </c>
    </row>
    <row r="9" spans="1:11" ht="11.25" customHeight="1" x14ac:dyDescent="0.25">
      <c r="A9" s="12"/>
      <c r="B9" s="514" t="s">
        <v>22</v>
      </c>
      <c r="C9" s="515"/>
      <c r="D9" s="103"/>
      <c r="E9" s="103"/>
      <c r="F9" s="103"/>
      <c r="G9" s="103"/>
      <c r="H9" s="103"/>
      <c r="I9" s="103"/>
    </row>
    <row r="10" spans="1:11" ht="11.25" customHeight="1" x14ac:dyDescent="0.25">
      <c r="A10" s="12"/>
      <c r="B10" s="98">
        <v>1</v>
      </c>
      <c r="C10" s="97" t="s">
        <v>126</v>
      </c>
      <c r="D10" s="415">
        <f>'6'!B26</f>
        <v>0</v>
      </c>
      <c r="E10" s="104">
        <f>+'6'!C26</f>
        <v>9.6</v>
      </c>
      <c r="F10" s="104">
        <f>'6'!D26</f>
        <v>4864.5</v>
      </c>
      <c r="G10" s="104">
        <f>'6'!E26</f>
        <v>0</v>
      </c>
      <c r="H10" s="104">
        <f>'6'!F26</f>
        <v>5639.6</v>
      </c>
      <c r="I10" s="104">
        <f>SUM(D10:H10)</f>
        <v>10513.7</v>
      </c>
    </row>
    <row r="11" spans="1:11" ht="11.25" customHeight="1" x14ac:dyDescent="0.25">
      <c r="A11" s="12"/>
      <c r="B11" s="98">
        <v>2</v>
      </c>
      <c r="C11" s="97" t="s">
        <v>130</v>
      </c>
      <c r="D11" s="415">
        <f>'6'!B27+'6'!B28+'6'!B25</f>
        <v>20.7</v>
      </c>
      <c r="E11" s="104">
        <f>'6'!C27+'6'!C28+'6'!C25</f>
        <v>0</v>
      </c>
      <c r="F11" s="104">
        <f>'6'!D27+'6'!D28+'6'!D25</f>
        <v>0</v>
      </c>
      <c r="G11" s="104">
        <f>'6'!E27+'6'!E28+'6'!E25</f>
        <v>0</v>
      </c>
      <c r="H11" s="104">
        <f>'6'!F27+'6'!F28+'6'!F25</f>
        <v>2261.3000000000002</v>
      </c>
      <c r="I11" s="104">
        <f>SUM(D11:H11)</f>
        <v>2282</v>
      </c>
    </row>
    <row r="12" spans="1:11" s="105" customFormat="1" ht="11.25" customHeight="1" x14ac:dyDescent="0.25">
      <c r="A12" s="12"/>
      <c r="B12" s="252">
        <v>17</v>
      </c>
      <c r="C12" s="253" t="s">
        <v>30</v>
      </c>
      <c r="D12" s="263">
        <f>SUM(D10:D11)</f>
        <v>20.7</v>
      </c>
      <c r="E12" s="263">
        <f t="shared" ref="E12:I12" si="0">SUM(E10:E11)</f>
        <v>9.6</v>
      </c>
      <c r="F12" s="263">
        <f t="shared" si="0"/>
        <v>4864.5</v>
      </c>
      <c r="G12" s="263">
        <f t="shared" si="0"/>
        <v>0</v>
      </c>
      <c r="H12" s="263">
        <f t="shared" si="0"/>
        <v>7900.9000000000005</v>
      </c>
      <c r="I12" s="263">
        <f t="shared" si="0"/>
        <v>12795.7</v>
      </c>
    </row>
    <row r="13" spans="1:11" x14ac:dyDescent="0.25">
      <c r="A13" s="12"/>
      <c r="D13" s="106"/>
      <c r="E13" s="106"/>
      <c r="F13" s="106"/>
      <c r="G13" s="106"/>
      <c r="H13" s="106"/>
      <c r="I13" s="16"/>
    </row>
    <row r="14" spans="1:11" x14ac:dyDescent="0.25">
      <c r="A14" s="12"/>
    </row>
    <row r="15" spans="1:11" x14ac:dyDescent="0.25">
      <c r="A15" s="12"/>
    </row>
    <row r="16" spans="1:11" x14ac:dyDescent="0.25">
      <c r="A16" s="12"/>
    </row>
    <row r="17" spans="1:1" x14ac:dyDescent="0.25">
      <c r="A17" s="12"/>
    </row>
    <row r="18" spans="1:1" x14ac:dyDescent="0.25">
      <c r="A18" s="12"/>
    </row>
    <row r="19" spans="1:1" x14ac:dyDescent="0.25">
      <c r="A19" s="12"/>
    </row>
    <row r="20" spans="1:1" x14ac:dyDescent="0.25">
      <c r="A20" s="12"/>
    </row>
    <row r="21" spans="1:1" x14ac:dyDescent="0.25">
      <c r="A21" s="12"/>
    </row>
    <row r="22" spans="1:1" x14ac:dyDescent="0.25">
      <c r="A22" s="12"/>
    </row>
    <row r="23" spans="1:1" x14ac:dyDescent="0.25">
      <c r="A23" s="12"/>
    </row>
    <row r="24" spans="1:1" x14ac:dyDescent="0.25">
      <c r="A24" s="12"/>
    </row>
    <row r="25" spans="1:1" x14ac:dyDescent="0.25">
      <c r="A25" s="12"/>
    </row>
    <row r="26" spans="1:1" x14ac:dyDescent="0.25">
      <c r="A26" s="12"/>
    </row>
    <row r="27" spans="1:1" x14ac:dyDescent="0.25">
      <c r="A27" s="12"/>
    </row>
    <row r="28" spans="1:1" x14ac:dyDescent="0.25">
      <c r="A28" s="12"/>
    </row>
    <row r="29" spans="1:1" x14ac:dyDescent="0.25">
      <c r="A29" s="12"/>
    </row>
    <row r="30" spans="1:1" x14ac:dyDescent="0.25">
      <c r="A30" s="12"/>
    </row>
    <row r="31" spans="1:1" x14ac:dyDescent="0.25">
      <c r="A31" s="12"/>
    </row>
    <row r="32" spans="1:1" x14ac:dyDescent="0.25">
      <c r="A32" s="12"/>
    </row>
    <row r="33" spans="1:1" x14ac:dyDescent="0.25">
      <c r="A33" s="12"/>
    </row>
    <row r="34" spans="1:1" x14ac:dyDescent="0.25">
      <c r="A34" s="12"/>
    </row>
    <row r="35" spans="1:1" x14ac:dyDescent="0.25">
      <c r="A35" s="12"/>
    </row>
    <row r="36" spans="1: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6" spans="1:1" x14ac:dyDescent="0.25">
      <c r="A56" s="20"/>
    </row>
    <row r="57" spans="1:1" x14ac:dyDescent="0.25">
      <c r="A57" s="20"/>
    </row>
    <row r="58" spans="1:1" x14ac:dyDescent="0.25">
      <c r="A58" s="21"/>
    </row>
    <row r="59" spans="1:1" x14ac:dyDescent="0.25">
      <c r="A59" s="12"/>
    </row>
    <row r="60" spans="1:1" x14ac:dyDescent="0.25">
      <c r="A60" s="12"/>
    </row>
    <row r="61" spans="1:1" x14ac:dyDescent="0.25">
      <c r="A61" s="12"/>
    </row>
    <row r="62" spans="1:1" x14ac:dyDescent="0.25">
      <c r="A62" s="12"/>
    </row>
    <row r="63" spans="1:1" x14ac:dyDescent="0.25">
      <c r="A63" s="12"/>
    </row>
    <row r="64" spans="1:1" x14ac:dyDescent="0.25">
      <c r="A64" s="12"/>
    </row>
    <row r="65" spans="1:1" x14ac:dyDescent="0.25">
      <c r="A65" s="12"/>
    </row>
    <row r="66" spans="1:1" x14ac:dyDescent="0.25">
      <c r="A66" s="12"/>
    </row>
    <row r="67" spans="1:1" x14ac:dyDescent="0.25">
      <c r="A67" s="22"/>
    </row>
    <row r="68" spans="1:1" x14ac:dyDescent="0.25">
      <c r="A68" s="22"/>
    </row>
    <row r="69" spans="1:1" x14ac:dyDescent="0.25">
      <c r="A69" s="22"/>
    </row>
    <row r="70" spans="1:1" x14ac:dyDescent="0.25">
      <c r="A70" s="22"/>
    </row>
    <row r="71" spans="1:1" x14ac:dyDescent="0.25">
      <c r="A71" s="22"/>
    </row>
    <row r="72" spans="1:1" x14ac:dyDescent="0.25">
      <c r="A72" s="22"/>
    </row>
    <row r="73" spans="1:1" x14ac:dyDescent="0.25">
      <c r="A73" s="22"/>
    </row>
    <row r="74" spans="1:1" x14ac:dyDescent="0.25">
      <c r="A74" s="22"/>
    </row>
  </sheetData>
  <mergeCells count="4">
    <mergeCell ref="B3:H3"/>
    <mergeCell ref="B7:C8"/>
    <mergeCell ref="D7:I7"/>
    <mergeCell ref="B9:C9"/>
  </mergeCells>
  <pageMargins left="0.7" right="0.7" top="0.75" bottom="0.75" header="0.3" footer="0.3"/>
  <pageSetup paperSize="9" scale="6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79"/>
  <sheetViews>
    <sheetView showGridLines="0" zoomScaleNormal="100" workbookViewId="0">
      <selection activeCell="I17" sqref="I17"/>
    </sheetView>
  </sheetViews>
  <sheetFormatPr baseColWidth="10" defaultColWidth="11.42578125" defaultRowHeight="15" x14ac:dyDescent="0.25"/>
  <cols>
    <col min="1" max="1" width="2.85546875" style="23" customWidth="1"/>
    <col min="2" max="2" width="4.140625" style="3" customWidth="1"/>
    <col min="3" max="3" width="35.85546875" style="3" customWidth="1"/>
    <col min="4" max="4" width="11.5703125" style="3" bestFit="1" customWidth="1"/>
    <col min="5" max="5" width="12.140625" style="3" bestFit="1" customWidth="1"/>
    <col min="6" max="10" width="12.140625" style="3" customWidth="1"/>
    <col min="11" max="16384" width="11.42578125" style="3"/>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1"/>
      <c r="C3" s="461"/>
      <c r="D3" s="461"/>
      <c r="E3" s="461"/>
      <c r="F3" s="461"/>
      <c r="G3" s="461"/>
      <c r="H3" s="461"/>
    </row>
    <row r="4" spans="1:11" s="10" customFormat="1" ht="5.0999999999999996" customHeight="1" x14ac:dyDescent="0.2">
      <c r="A4" s="7"/>
      <c r="B4" s="7"/>
      <c r="C4" s="7"/>
      <c r="D4" s="8"/>
      <c r="E4" s="8"/>
      <c r="F4" s="9"/>
      <c r="G4" s="9"/>
      <c r="H4" s="9"/>
      <c r="J4" s="7"/>
      <c r="K4" s="7"/>
    </row>
    <row r="5" spans="1:11" ht="18" x14ac:dyDescent="0.25">
      <c r="A5" s="13"/>
      <c r="B5" s="136" t="s">
        <v>140</v>
      </c>
    </row>
    <row r="6" spans="1:11" ht="11.25" customHeight="1" x14ac:dyDescent="0.25">
      <c r="A6" s="14"/>
      <c r="B6" s="16"/>
      <c r="C6" s="16"/>
      <c r="D6" s="16"/>
      <c r="E6" s="16"/>
      <c r="F6" s="16"/>
      <c r="G6" s="16"/>
      <c r="H6" s="16"/>
      <c r="I6" s="16"/>
      <c r="J6" s="16"/>
    </row>
    <row r="7" spans="1:11" ht="11.25" customHeight="1" x14ac:dyDescent="0.25">
      <c r="A7" s="14"/>
      <c r="B7" s="107"/>
      <c r="C7" s="108"/>
      <c r="D7" s="109" t="s">
        <v>23</v>
      </c>
      <c r="E7" s="110" t="s">
        <v>24</v>
      </c>
      <c r="F7" s="110" t="s">
        <v>25</v>
      </c>
      <c r="G7" s="110" t="s">
        <v>26</v>
      </c>
      <c r="H7" s="110" t="s">
        <v>27</v>
      </c>
      <c r="I7" s="110" t="s">
        <v>141</v>
      </c>
      <c r="J7" s="111" t="s">
        <v>142</v>
      </c>
    </row>
    <row r="8" spans="1:11" ht="11.25" customHeight="1" x14ac:dyDescent="0.25">
      <c r="A8" s="12"/>
      <c r="B8" s="107"/>
      <c r="C8" s="108"/>
      <c r="D8" s="518" t="s">
        <v>143</v>
      </c>
      <c r="E8" s="519"/>
      <c r="F8" s="520" t="s">
        <v>144</v>
      </c>
      <c r="G8" s="520" t="s">
        <v>145</v>
      </c>
      <c r="H8" s="520" t="s">
        <v>146</v>
      </c>
      <c r="I8" s="520" t="s">
        <v>147</v>
      </c>
      <c r="J8" s="112" t="s">
        <v>132</v>
      </c>
    </row>
    <row r="9" spans="1:11" ht="24" customHeight="1" x14ac:dyDescent="0.25">
      <c r="A9" s="12"/>
      <c r="B9" s="113"/>
      <c r="C9" s="114"/>
      <c r="D9" s="522" t="s">
        <v>148</v>
      </c>
      <c r="E9" s="524" t="s">
        <v>149</v>
      </c>
      <c r="F9" s="521"/>
      <c r="G9" s="521"/>
      <c r="H9" s="521"/>
      <c r="I9" s="521"/>
      <c r="J9" s="516" t="s">
        <v>508</v>
      </c>
    </row>
    <row r="10" spans="1:11" ht="11.25" customHeight="1" x14ac:dyDescent="0.25">
      <c r="A10" s="12"/>
      <c r="B10" s="514" t="s">
        <v>22</v>
      </c>
      <c r="C10" s="515"/>
      <c r="D10" s="523"/>
      <c r="E10" s="525"/>
      <c r="F10" s="521"/>
      <c r="G10" s="521"/>
      <c r="H10" s="521"/>
      <c r="I10" s="521"/>
      <c r="J10" s="517"/>
    </row>
    <row r="11" spans="1:11" ht="11.25" customHeight="1" x14ac:dyDescent="0.25">
      <c r="A11" s="12"/>
      <c r="B11" s="98"/>
      <c r="C11" s="96" t="s">
        <v>532</v>
      </c>
      <c r="D11" s="104"/>
      <c r="E11" s="104">
        <v>1056.2643296900001</v>
      </c>
      <c r="F11" s="104"/>
      <c r="G11" s="104"/>
      <c r="H11" s="104"/>
      <c r="I11" s="104"/>
      <c r="J11" s="104">
        <f t="shared" ref="J11:J13" si="0">D11+E11-F11-G11</f>
        <v>1056.2643296900001</v>
      </c>
    </row>
    <row r="12" spans="1:11" ht="11.25" customHeight="1" x14ac:dyDescent="0.25">
      <c r="A12" s="12"/>
      <c r="B12" s="98"/>
      <c r="C12" s="96" t="s">
        <v>533</v>
      </c>
      <c r="D12" s="104"/>
      <c r="E12" s="104">
        <v>0</v>
      </c>
      <c r="F12" s="104"/>
      <c r="G12" s="104"/>
      <c r="H12" s="104"/>
      <c r="I12" s="104"/>
      <c r="J12" s="104">
        <f t="shared" si="0"/>
        <v>0</v>
      </c>
    </row>
    <row r="13" spans="1:11" ht="11.25" customHeight="1" x14ac:dyDescent="0.25">
      <c r="A13" s="12"/>
      <c r="B13" s="98"/>
      <c r="C13" s="96" t="s">
        <v>128</v>
      </c>
      <c r="D13" s="104"/>
      <c r="E13" s="104">
        <v>807.81879038000397</v>
      </c>
      <c r="F13" s="104"/>
      <c r="G13" s="104"/>
      <c r="H13" s="104"/>
      <c r="I13" s="104"/>
      <c r="J13" s="104">
        <f t="shared" si="0"/>
        <v>807.81879038000397</v>
      </c>
    </row>
    <row r="14" spans="1:11" ht="11.25" customHeight="1" x14ac:dyDescent="0.25">
      <c r="A14" s="12"/>
      <c r="B14" s="98"/>
      <c r="C14" s="96" t="s">
        <v>126</v>
      </c>
      <c r="D14" s="104">
        <v>429.71739689372799</v>
      </c>
      <c r="E14" s="104">
        <f>9640.10983775-D14</f>
        <v>9210.3924408562725</v>
      </c>
      <c r="F14" s="104">
        <v>529.37707531000001</v>
      </c>
      <c r="G14" s="104"/>
      <c r="H14" s="104"/>
      <c r="I14" s="104"/>
      <c r="J14" s="104">
        <f>D14+E14-F14-G14</f>
        <v>9110.7327624400004</v>
      </c>
    </row>
    <row r="15" spans="1:11" ht="11.25" customHeight="1" x14ac:dyDescent="0.25">
      <c r="A15" s="12"/>
      <c r="B15" s="98"/>
      <c r="C15" s="96" t="s">
        <v>469</v>
      </c>
      <c r="D15" s="104"/>
      <c r="E15" s="104">
        <v>94.122239590000007</v>
      </c>
      <c r="F15" s="104"/>
      <c r="G15" s="104"/>
      <c r="H15" s="104"/>
      <c r="I15" s="104"/>
      <c r="J15" s="104">
        <f>D15+E15-F15-G15</f>
        <v>94.122239590000007</v>
      </c>
    </row>
    <row r="16" spans="1:11" ht="11.25" customHeight="1" x14ac:dyDescent="0.25">
      <c r="A16" s="12"/>
      <c r="B16" s="98"/>
      <c r="C16" s="96" t="s">
        <v>130</v>
      </c>
      <c r="D16" s="104"/>
      <c r="E16" s="104">
        <v>335.89718786999998</v>
      </c>
      <c r="F16" s="104"/>
      <c r="G16" s="104"/>
      <c r="H16" s="104"/>
      <c r="I16" s="104"/>
      <c r="J16" s="104">
        <f t="shared" ref="J16:J21" si="1">D16+E16-F16-G16</f>
        <v>335.89718786999998</v>
      </c>
    </row>
    <row r="17" spans="1:10" s="105" customFormat="1" ht="11.25" customHeight="1" x14ac:dyDescent="0.25">
      <c r="A17" s="12"/>
      <c r="B17" s="115"/>
      <c r="C17" s="131" t="s">
        <v>131</v>
      </c>
      <c r="D17" s="263">
        <f>SUM(D11:D16)</f>
        <v>429.71739689372799</v>
      </c>
      <c r="E17" s="263">
        <f>SUM(E11:E16)</f>
        <v>11504.494988386276</v>
      </c>
      <c r="F17" s="263">
        <f>SUM(F11:F16)</f>
        <v>529.37707531000001</v>
      </c>
      <c r="G17" s="263">
        <f t="shared" ref="G17:I17" si="2">SUM(G11:G16)</f>
        <v>0</v>
      </c>
      <c r="H17" s="263">
        <f t="shared" si="2"/>
        <v>0</v>
      </c>
      <c r="I17" s="263">
        <f t="shared" si="2"/>
        <v>0</v>
      </c>
      <c r="J17" s="263">
        <f t="shared" si="1"/>
        <v>11404.835309970003</v>
      </c>
    </row>
    <row r="18" spans="1:10" s="105" customFormat="1" ht="11.25" customHeight="1" x14ac:dyDescent="0.25">
      <c r="A18" s="12"/>
      <c r="B18" s="115"/>
      <c r="C18" s="131" t="s">
        <v>30</v>
      </c>
      <c r="D18" s="263">
        <f>D17</f>
        <v>429.71739689372799</v>
      </c>
      <c r="E18" s="263">
        <f>E17</f>
        <v>11504.494988386276</v>
      </c>
      <c r="F18" s="263">
        <f t="shared" ref="F18:I18" si="3">F17</f>
        <v>529.37707531000001</v>
      </c>
      <c r="G18" s="263">
        <f t="shared" si="3"/>
        <v>0</v>
      </c>
      <c r="H18" s="263">
        <f t="shared" si="3"/>
        <v>0</v>
      </c>
      <c r="I18" s="263">
        <f t="shared" si="3"/>
        <v>0</v>
      </c>
      <c r="J18" s="263">
        <f t="shared" si="1"/>
        <v>11404.835309970003</v>
      </c>
    </row>
    <row r="19" spans="1:10" ht="11.25" customHeight="1" x14ac:dyDescent="0.25">
      <c r="A19" s="12"/>
      <c r="B19" s="116"/>
      <c r="C19" s="94" t="s">
        <v>150</v>
      </c>
      <c r="D19" s="104"/>
      <c r="E19" s="104"/>
      <c r="F19" s="104"/>
      <c r="G19" s="104"/>
      <c r="H19" s="104"/>
      <c r="I19" s="104"/>
      <c r="J19" s="104">
        <f t="shared" si="1"/>
        <v>0</v>
      </c>
    </row>
    <row r="20" spans="1:10" ht="11.25" customHeight="1" x14ac:dyDescent="0.25">
      <c r="A20" s="12"/>
      <c r="B20" s="116"/>
      <c r="C20" s="95" t="s">
        <v>151</v>
      </c>
      <c r="D20" s="104"/>
      <c r="E20" s="104"/>
      <c r="F20" s="104"/>
      <c r="G20" s="104"/>
      <c r="H20" s="104"/>
      <c r="I20" s="104"/>
      <c r="J20" s="104">
        <f t="shared" si="1"/>
        <v>0</v>
      </c>
    </row>
    <row r="21" spans="1:10" ht="11.25" customHeight="1" x14ac:dyDescent="0.25">
      <c r="A21" s="12"/>
      <c r="B21" s="116"/>
      <c r="C21" s="95" t="s">
        <v>152</v>
      </c>
      <c r="D21" s="104"/>
      <c r="E21" s="104"/>
      <c r="F21" s="104"/>
      <c r="G21" s="104"/>
      <c r="H21" s="104"/>
      <c r="I21" s="104"/>
      <c r="J21" s="104">
        <f t="shared" si="1"/>
        <v>0</v>
      </c>
    </row>
    <row r="22" spans="1:10" ht="11.25" customHeight="1" x14ac:dyDescent="0.25">
      <c r="A22" s="12"/>
    </row>
    <row r="23" spans="1:10" ht="11.25" customHeight="1" x14ac:dyDescent="0.25">
      <c r="A23" s="12"/>
      <c r="E23" s="117"/>
    </row>
    <row r="24" spans="1:10" ht="11.25" customHeight="1" x14ac:dyDescent="0.25">
      <c r="A24" s="12"/>
    </row>
    <row r="25" spans="1:10" ht="11.25" customHeight="1" x14ac:dyDescent="0.25">
      <c r="A25" s="12"/>
    </row>
    <row r="26" spans="1:10" ht="11.25" customHeight="1" x14ac:dyDescent="0.25">
      <c r="A26" s="12"/>
    </row>
    <row r="27" spans="1:10" ht="11.25" customHeight="1" x14ac:dyDescent="0.25">
      <c r="A27" s="12"/>
    </row>
    <row r="28" spans="1:10" ht="11.25" customHeight="1" x14ac:dyDescent="0.25">
      <c r="A28" s="12"/>
    </row>
    <row r="29" spans="1:10" ht="11.25" customHeight="1" x14ac:dyDescent="0.25">
      <c r="A29" s="12"/>
    </row>
    <row r="30" spans="1:10" ht="11.25" customHeight="1" x14ac:dyDescent="0.25">
      <c r="A30" s="12"/>
    </row>
    <row r="31" spans="1:10" ht="11.25" customHeight="1" x14ac:dyDescent="0.25">
      <c r="A31" s="12"/>
    </row>
    <row r="32" spans="1:10"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ht="11.25" customHeight="1" x14ac:dyDescent="0.25">
      <c r="A37" s="12"/>
    </row>
    <row r="38" spans="1:1" ht="11.25" customHeight="1" x14ac:dyDescent="0.25">
      <c r="A38" s="12"/>
    </row>
    <row r="39" spans="1:1" ht="11.25" customHeight="1" x14ac:dyDescent="0.25">
      <c r="A39" s="12"/>
    </row>
    <row r="40" spans="1:1" ht="11.25" customHeight="1" x14ac:dyDescent="0.25">
      <c r="A40" s="12"/>
    </row>
    <row r="41" spans="1:1" ht="11.25" customHeight="1" x14ac:dyDescent="0.25">
      <c r="A41" s="12"/>
    </row>
    <row r="42" spans="1:1" ht="11.25" customHeight="1" x14ac:dyDescent="0.25">
      <c r="A42" s="12"/>
    </row>
    <row r="43" spans="1:1" ht="11.25" customHeight="1" x14ac:dyDescent="0.25">
      <c r="A43" s="12"/>
    </row>
    <row r="44" spans="1:1" ht="11.25" customHeight="1" x14ac:dyDescent="0.25">
      <c r="A44" s="12"/>
    </row>
    <row r="45" spans="1:1" ht="11.25" customHeight="1" x14ac:dyDescent="0.25">
      <c r="A45" s="12"/>
    </row>
    <row r="46" spans="1:1" ht="11.25" customHeight="1" x14ac:dyDescent="0.25">
      <c r="A46" s="12"/>
    </row>
    <row r="47" spans="1:1" ht="11.25" customHeight="1" x14ac:dyDescent="0.25">
      <c r="A47" s="12"/>
    </row>
    <row r="48" spans="1:1" ht="11.25" customHeight="1" x14ac:dyDescent="0.25">
      <c r="A48" s="12"/>
    </row>
    <row r="49" spans="1:1" ht="11.25" customHeight="1" x14ac:dyDescent="0.25">
      <c r="A49" s="12"/>
    </row>
    <row r="50" spans="1:1" ht="11.25" customHeight="1" x14ac:dyDescent="0.25">
      <c r="A50" s="12"/>
    </row>
    <row r="51" spans="1:1" ht="11.25" customHeight="1" x14ac:dyDescent="0.25">
      <c r="A51" s="12"/>
    </row>
    <row r="52" spans="1:1" ht="11.25" customHeight="1" x14ac:dyDescent="0.25">
      <c r="A52" s="12"/>
    </row>
    <row r="53" spans="1:1" ht="11.25" customHeight="1" x14ac:dyDescent="0.25">
      <c r="A53" s="12"/>
    </row>
    <row r="54" spans="1:1" ht="11.25" customHeight="1" x14ac:dyDescent="0.25">
      <c r="A54" s="12"/>
    </row>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c r="A61" s="20"/>
    </row>
    <row r="62" spans="1:1" ht="11.25" customHeight="1" x14ac:dyDescent="0.25">
      <c r="A62" s="20"/>
    </row>
    <row r="63" spans="1:1" ht="11.25" customHeight="1" x14ac:dyDescent="0.25">
      <c r="A63" s="21"/>
    </row>
    <row r="64" spans="1:1" ht="11.25" customHeight="1" x14ac:dyDescent="0.25">
      <c r="A64" s="12"/>
    </row>
    <row r="65" spans="1:1" ht="11.25" customHeight="1" x14ac:dyDescent="0.25">
      <c r="A65" s="12"/>
    </row>
    <row r="66" spans="1:1" ht="11.25" customHeight="1" x14ac:dyDescent="0.25">
      <c r="A66" s="12"/>
    </row>
    <row r="67" spans="1:1" ht="11.25" customHeight="1" x14ac:dyDescent="0.25">
      <c r="A67" s="12"/>
    </row>
    <row r="68" spans="1:1" ht="11.25" customHeight="1" x14ac:dyDescent="0.25">
      <c r="A68" s="12"/>
    </row>
    <row r="69" spans="1:1" ht="11.25" customHeight="1" x14ac:dyDescent="0.25">
      <c r="A69" s="12"/>
    </row>
    <row r="70" spans="1:1" ht="11.25" customHeight="1" x14ac:dyDescent="0.25">
      <c r="A70" s="12"/>
    </row>
    <row r="71" spans="1:1" x14ac:dyDescent="0.25">
      <c r="A71" s="12"/>
    </row>
    <row r="72" spans="1:1" x14ac:dyDescent="0.25">
      <c r="A72" s="2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sheetData>
  <mergeCells count="10">
    <mergeCell ref="J9:J10"/>
    <mergeCell ref="B10:C10"/>
    <mergeCell ref="B3:H3"/>
    <mergeCell ref="D8:E8"/>
    <mergeCell ref="F8:F10"/>
    <mergeCell ref="G8:G10"/>
    <mergeCell ref="H8:H10"/>
    <mergeCell ref="I8:I10"/>
    <mergeCell ref="D9:D10"/>
    <mergeCell ref="E9:E10"/>
  </mergeCells>
  <pageMargins left="0.7" right="0.7" top="0.75" bottom="0.75" header="0.3" footer="0.3"/>
  <pageSetup paperSize="9" scale="63"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80"/>
  <sheetViews>
    <sheetView showGridLines="0" zoomScaleNormal="100" workbookViewId="0">
      <selection activeCell="J37" sqref="J37"/>
    </sheetView>
  </sheetViews>
  <sheetFormatPr baseColWidth="10" defaultColWidth="11.42578125" defaultRowHeight="15" x14ac:dyDescent="0.25"/>
  <cols>
    <col min="1" max="1" width="2.85546875" style="23" customWidth="1"/>
    <col min="2" max="2" width="21.140625" style="3" customWidth="1"/>
    <col min="3" max="9" width="12.140625" style="3" customWidth="1"/>
    <col min="10" max="16384" width="11.42578125" style="3"/>
  </cols>
  <sheetData>
    <row r="1" spans="1:12" s="10" customFormat="1" ht="11.25" customHeight="1" x14ac:dyDescent="0.2">
      <c r="A1" s="7"/>
      <c r="B1" s="7"/>
      <c r="C1" s="7"/>
      <c r="D1" s="8"/>
      <c r="E1" s="8"/>
      <c r="F1" s="9"/>
      <c r="G1" s="9"/>
      <c r="H1" s="9"/>
    </row>
    <row r="2" spans="1:12" s="10" customFormat="1" ht="5.25" customHeight="1" x14ac:dyDescent="0.2">
      <c r="A2" s="7"/>
      <c r="B2" s="7"/>
      <c r="C2" s="7"/>
      <c r="D2" s="8"/>
      <c r="E2" s="8"/>
      <c r="F2" s="9"/>
      <c r="G2" s="9"/>
      <c r="H2" s="9"/>
    </row>
    <row r="3" spans="1:12" s="12" customFormat="1" ht="12.75" customHeight="1" x14ac:dyDescent="0.2">
      <c r="A3" s="11"/>
      <c r="B3" s="461"/>
      <c r="C3" s="461"/>
      <c r="D3" s="461"/>
      <c r="E3" s="461"/>
      <c r="F3" s="461"/>
      <c r="G3" s="461"/>
      <c r="H3" s="461"/>
    </row>
    <row r="4" spans="1:12" s="10" customFormat="1" ht="5.0999999999999996" customHeight="1" x14ac:dyDescent="0.2">
      <c r="A4" s="7"/>
      <c r="B4" s="7"/>
      <c r="C4" s="7"/>
      <c r="D4" s="8"/>
      <c r="E4" s="8"/>
      <c r="F4" s="9"/>
      <c r="G4" s="9"/>
      <c r="H4" s="9"/>
      <c r="J4" s="7"/>
      <c r="K4" s="7"/>
    </row>
    <row r="5" spans="1:12" ht="18" x14ac:dyDescent="0.25">
      <c r="A5" s="13"/>
      <c r="B5" s="136" t="s">
        <v>154</v>
      </c>
    </row>
    <row r="6" spans="1:12" ht="11.25" customHeight="1" x14ac:dyDescent="0.25">
      <c r="A6" s="14"/>
      <c r="B6" s="16"/>
      <c r="C6" s="16"/>
      <c r="D6" s="16"/>
      <c r="E6" s="16"/>
      <c r="F6" s="16"/>
      <c r="G6" s="16"/>
      <c r="H6" s="16"/>
      <c r="I6" s="16"/>
    </row>
    <row r="7" spans="1:12" ht="11.25" customHeight="1" x14ac:dyDescent="0.25">
      <c r="A7" s="14"/>
      <c r="B7" s="108"/>
      <c r="C7" s="37" t="s">
        <v>23</v>
      </c>
      <c r="D7" s="37" t="s">
        <v>24</v>
      </c>
      <c r="E7" s="37" t="s">
        <v>25</v>
      </c>
      <c r="F7" s="37" t="s">
        <v>26</v>
      </c>
      <c r="G7" s="37" t="s">
        <v>27</v>
      </c>
      <c r="H7" s="37" t="s">
        <v>141</v>
      </c>
      <c r="I7" s="37" t="s">
        <v>142</v>
      </c>
    </row>
    <row r="8" spans="1:12" ht="24.75" customHeight="1" x14ac:dyDescent="0.25">
      <c r="A8" s="12"/>
      <c r="B8" s="108"/>
      <c r="C8" s="527" t="s">
        <v>143</v>
      </c>
      <c r="D8" s="528"/>
      <c r="E8" s="526" t="s">
        <v>144</v>
      </c>
      <c r="F8" s="526" t="s">
        <v>145</v>
      </c>
      <c r="G8" s="529" t="s">
        <v>146</v>
      </c>
      <c r="H8" s="526" t="s">
        <v>153</v>
      </c>
      <c r="I8" s="102" t="s">
        <v>132</v>
      </c>
    </row>
    <row r="9" spans="1:12" ht="13.5" customHeight="1" x14ac:dyDescent="0.25">
      <c r="A9" s="12"/>
      <c r="B9" s="118"/>
      <c r="C9" s="529" t="s">
        <v>148</v>
      </c>
      <c r="D9" s="529" t="s">
        <v>149</v>
      </c>
      <c r="E9" s="526"/>
      <c r="F9" s="526"/>
      <c r="G9" s="530"/>
      <c r="H9" s="526"/>
      <c r="I9" s="526" t="s">
        <v>507</v>
      </c>
      <c r="K9" s="121"/>
    </row>
    <row r="10" spans="1:12" ht="23.25" customHeight="1" x14ac:dyDescent="0.25">
      <c r="A10" s="12"/>
      <c r="B10" s="122" t="s">
        <v>22</v>
      </c>
      <c r="C10" s="531"/>
      <c r="D10" s="531"/>
      <c r="E10" s="526"/>
      <c r="F10" s="526"/>
      <c r="G10" s="531"/>
      <c r="H10" s="526"/>
      <c r="I10" s="526"/>
      <c r="K10" s="121"/>
    </row>
    <row r="11" spans="1:12" ht="11.25" customHeight="1" x14ac:dyDescent="0.25">
      <c r="A11" s="12"/>
      <c r="B11" s="123" t="s">
        <v>28</v>
      </c>
      <c r="C11" s="119">
        <v>187.60999483000001</v>
      </c>
      <c r="D11" s="119">
        <f>4175.0971478-C11</f>
        <v>3987.4871529700004</v>
      </c>
      <c r="E11" s="119">
        <v>186.39906994923399</v>
      </c>
      <c r="F11" s="119"/>
      <c r="G11" s="119"/>
      <c r="H11" s="119"/>
      <c r="I11" s="119">
        <f>C11+D11-E11-F11</f>
        <v>3988.6980778507659</v>
      </c>
      <c r="J11" s="124"/>
    </row>
    <row r="12" spans="1:12" ht="11.25" customHeight="1" x14ac:dyDescent="0.25">
      <c r="A12" s="12"/>
      <c r="B12" s="125" t="s">
        <v>29</v>
      </c>
      <c r="C12" s="119">
        <v>111.82046416464399</v>
      </c>
      <c r="D12" s="119">
        <f>2477.82802422-C12</f>
        <v>2366.007560055356</v>
      </c>
      <c r="E12" s="119">
        <v>184.28558487142701</v>
      </c>
      <c r="F12" s="119"/>
      <c r="G12" s="119"/>
      <c r="H12" s="119"/>
      <c r="I12" s="119">
        <f t="shared" ref="I12:I13" si="0">C12+D12-E12-F12</f>
        <v>2293.5424393485728</v>
      </c>
      <c r="J12" s="124"/>
    </row>
    <row r="13" spans="1:12" ht="11.25" customHeight="1" x14ac:dyDescent="0.25">
      <c r="A13" s="12"/>
      <c r="B13" s="125" t="s">
        <v>512</v>
      </c>
      <c r="C13" s="119">
        <v>130.28693789908399</v>
      </c>
      <c r="D13" s="119">
        <f>2987.18466573-C13</f>
        <v>2856.8977278309158</v>
      </c>
      <c r="E13" s="119">
        <v>158.692908456407</v>
      </c>
      <c r="F13" s="119"/>
      <c r="G13" s="119"/>
      <c r="H13" s="119"/>
      <c r="I13" s="119">
        <f t="shared" si="0"/>
        <v>2828.4917572735926</v>
      </c>
      <c r="J13" s="124"/>
    </row>
    <row r="14" spans="1:12" s="105" customFormat="1" ht="11.25" customHeight="1" x14ac:dyDescent="0.25">
      <c r="A14" s="12"/>
      <c r="B14" s="264" t="s">
        <v>30</v>
      </c>
      <c r="C14" s="265">
        <f>SUM(C11:C13)</f>
        <v>429.71739689372805</v>
      </c>
      <c r="D14" s="265">
        <f>SUM(D11:D13)</f>
        <v>9210.3924408562725</v>
      </c>
      <c r="E14" s="265">
        <f t="shared" ref="E14:F14" si="1">SUM(E11:E13)</f>
        <v>529.37756327706802</v>
      </c>
      <c r="F14" s="265">
        <f t="shared" si="1"/>
        <v>0</v>
      </c>
      <c r="G14" s="265">
        <f t="shared" ref="G14" si="2">SUM(G11:G13)</f>
        <v>0</v>
      </c>
      <c r="H14" s="265">
        <f t="shared" ref="H14" si="3">SUM(H11:H13)</f>
        <v>0</v>
      </c>
      <c r="I14" s="265">
        <f t="shared" ref="I14" si="4">SUM(I11:I13)</f>
        <v>9110.7322744729317</v>
      </c>
      <c r="J14" s="124"/>
    </row>
    <row r="15" spans="1:12" ht="11.25" customHeight="1" x14ac:dyDescent="0.25">
      <c r="A15" s="12"/>
      <c r="K15" s="121"/>
    </row>
    <row r="16" spans="1:12" ht="11.25" customHeight="1" x14ac:dyDescent="0.25">
      <c r="A16" s="12"/>
      <c r="K16" s="121"/>
      <c r="L16" s="400"/>
    </row>
    <row r="17" spans="1:11" ht="11.25" customHeight="1" x14ac:dyDescent="0.25">
      <c r="A17" s="12"/>
      <c r="K17" s="121"/>
    </row>
    <row r="18" spans="1:11" ht="11.25" customHeight="1" x14ac:dyDescent="0.25">
      <c r="A18" s="12"/>
      <c r="K18" s="121"/>
    </row>
    <row r="19" spans="1:11" ht="11.25" customHeight="1" x14ac:dyDescent="0.25">
      <c r="A19" s="12"/>
    </row>
    <row r="20" spans="1:11" ht="11.25" customHeight="1" x14ac:dyDescent="0.25">
      <c r="A20" s="12"/>
    </row>
    <row r="21" spans="1:11" ht="11.25" customHeight="1" x14ac:dyDescent="0.25">
      <c r="A21" s="12"/>
      <c r="J21" s="411"/>
      <c r="K21" s="120"/>
    </row>
    <row r="22" spans="1:11" ht="11.25" customHeight="1" x14ac:dyDescent="0.25">
      <c r="A22" s="12"/>
      <c r="J22" s="411"/>
      <c r="K22" s="120"/>
    </row>
    <row r="23" spans="1:11" ht="11.25" customHeight="1" x14ac:dyDescent="0.25">
      <c r="A23" s="12"/>
      <c r="J23" s="411"/>
      <c r="K23" s="120"/>
    </row>
    <row r="24" spans="1:11" ht="11.25" customHeight="1" x14ac:dyDescent="0.25">
      <c r="A24" s="12"/>
      <c r="J24" s="411"/>
      <c r="K24" s="120"/>
    </row>
    <row r="25" spans="1:11" ht="11.25" customHeight="1" x14ac:dyDescent="0.25">
      <c r="A25" s="12"/>
    </row>
    <row r="26" spans="1:11" ht="11.25" customHeight="1" x14ac:dyDescent="0.25">
      <c r="A26" s="12"/>
    </row>
    <row r="27" spans="1:11" ht="11.25" customHeight="1" x14ac:dyDescent="0.25">
      <c r="A27" s="12"/>
    </row>
    <row r="28" spans="1:11" ht="11.25" customHeight="1" x14ac:dyDescent="0.25">
      <c r="A28" s="12"/>
    </row>
    <row r="29" spans="1:11" ht="11.25" customHeight="1" x14ac:dyDescent="0.25">
      <c r="A29" s="12"/>
    </row>
    <row r="30" spans="1:11" ht="11.25" customHeight="1" x14ac:dyDescent="0.25">
      <c r="A30" s="12"/>
    </row>
    <row r="31" spans="1:11" ht="11.25" customHeight="1" x14ac:dyDescent="0.25">
      <c r="A31" s="12"/>
    </row>
    <row r="32" spans="1:11" ht="11.25" customHeight="1" x14ac:dyDescent="0.25">
      <c r="A32" s="12"/>
    </row>
    <row r="33" spans="1:1" ht="11.25" customHeight="1" x14ac:dyDescent="0.25">
      <c r="A33" s="12"/>
    </row>
    <row r="34" spans="1:1" ht="11.25" customHeight="1" x14ac:dyDescent="0.25">
      <c r="A34" s="12"/>
    </row>
    <row r="35" spans="1:1" ht="11.25" customHeight="1" x14ac:dyDescent="0.25">
      <c r="A35" s="12"/>
    </row>
    <row r="36" spans="1:1" ht="11.25" customHeight="1" x14ac:dyDescent="0.25">
      <c r="A36" s="12"/>
    </row>
    <row r="37" spans="1:1" x14ac:dyDescent="0.25">
      <c r="A37" s="12"/>
    </row>
    <row r="38" spans="1:1" x14ac:dyDescent="0.25">
      <c r="A38" s="12"/>
    </row>
    <row r="39" spans="1:1" x14ac:dyDescent="0.25">
      <c r="A39" s="12"/>
    </row>
    <row r="40" spans="1:1" x14ac:dyDescent="0.25">
      <c r="A40" s="12"/>
    </row>
    <row r="41" spans="1:1" x14ac:dyDescent="0.25">
      <c r="A41" s="12"/>
    </row>
    <row r="42" spans="1:1" x14ac:dyDescent="0.25">
      <c r="A42" s="12"/>
    </row>
    <row r="43" spans="1:1" x14ac:dyDescent="0.25">
      <c r="A43" s="12"/>
    </row>
    <row r="44" spans="1:1" x14ac:dyDescent="0.25">
      <c r="A44" s="12"/>
    </row>
    <row r="45" spans="1:1" x14ac:dyDescent="0.25">
      <c r="A45" s="12"/>
    </row>
    <row r="46" spans="1:1" x14ac:dyDescent="0.25">
      <c r="A46" s="12"/>
    </row>
    <row r="47" spans="1:1" x14ac:dyDescent="0.25">
      <c r="A47" s="12"/>
    </row>
    <row r="48" spans="1:1" x14ac:dyDescent="0.25">
      <c r="A48" s="12"/>
    </row>
    <row r="49" spans="1:1" x14ac:dyDescent="0.25">
      <c r="A49" s="12"/>
    </row>
    <row r="50" spans="1:1" x14ac:dyDescent="0.25">
      <c r="A50" s="12"/>
    </row>
    <row r="51" spans="1:1" x14ac:dyDescent="0.25">
      <c r="A51" s="12"/>
    </row>
    <row r="52" spans="1:1" x14ac:dyDescent="0.25">
      <c r="A52" s="12"/>
    </row>
    <row r="53" spans="1:1" x14ac:dyDescent="0.25">
      <c r="A53" s="12"/>
    </row>
    <row r="54" spans="1:1" x14ac:dyDescent="0.25">
      <c r="A54" s="12"/>
    </row>
    <row r="55" spans="1:1" x14ac:dyDescent="0.25">
      <c r="A55" s="12"/>
    </row>
    <row r="62" spans="1:1" x14ac:dyDescent="0.25">
      <c r="A62" s="20"/>
    </row>
    <row r="63" spans="1:1" x14ac:dyDescent="0.25">
      <c r="A63" s="20"/>
    </row>
    <row r="64" spans="1:1" x14ac:dyDescent="0.25">
      <c r="A64" s="21"/>
    </row>
    <row r="65" spans="1:1" x14ac:dyDescent="0.25">
      <c r="A65" s="12"/>
    </row>
    <row r="66" spans="1:1" x14ac:dyDescent="0.25">
      <c r="A66" s="12"/>
    </row>
    <row r="67" spans="1:1" x14ac:dyDescent="0.25">
      <c r="A67" s="12"/>
    </row>
    <row r="68" spans="1:1" x14ac:dyDescent="0.25">
      <c r="A68" s="12"/>
    </row>
    <row r="69" spans="1:1" x14ac:dyDescent="0.25">
      <c r="A69" s="12"/>
    </row>
    <row r="70" spans="1:1" x14ac:dyDescent="0.25">
      <c r="A70" s="12"/>
    </row>
    <row r="71" spans="1:1" x14ac:dyDescent="0.25">
      <c r="A71" s="12"/>
    </row>
    <row r="72" spans="1:1" x14ac:dyDescent="0.25">
      <c r="A72" s="12"/>
    </row>
    <row r="73" spans="1:1" x14ac:dyDescent="0.25">
      <c r="A73" s="22"/>
    </row>
    <row r="74" spans="1:1" x14ac:dyDescent="0.25">
      <c r="A74" s="22"/>
    </row>
    <row r="75" spans="1:1" x14ac:dyDescent="0.25">
      <c r="A75" s="22"/>
    </row>
    <row r="76" spans="1:1" x14ac:dyDescent="0.25">
      <c r="A76" s="22"/>
    </row>
    <row r="77" spans="1:1" x14ac:dyDescent="0.25">
      <c r="A77" s="22"/>
    </row>
    <row r="78" spans="1:1" x14ac:dyDescent="0.25">
      <c r="A78" s="22"/>
    </row>
    <row r="79" spans="1:1" x14ac:dyDescent="0.25">
      <c r="A79" s="22"/>
    </row>
    <row r="80" spans="1:1" x14ac:dyDescent="0.25">
      <c r="A80" s="22"/>
    </row>
  </sheetData>
  <mergeCells count="9">
    <mergeCell ref="I9:I10"/>
    <mergeCell ref="B3:H3"/>
    <mergeCell ref="C8:D8"/>
    <mergeCell ref="E8:E10"/>
    <mergeCell ref="F8:F10"/>
    <mergeCell ref="G8:G10"/>
    <mergeCell ref="H8:H10"/>
    <mergeCell ref="C9:C10"/>
    <mergeCell ref="D9:D10"/>
  </mergeCells>
  <pageMargins left="0.7" right="0.7" top="0.75" bottom="0.75" header="0.3" footer="0.3"/>
  <pageSetup paperSize="9" scale="66" orientation="landscape" r:id="rId1"/>
  <rowBreaks count="1" manualBreakCount="1">
    <brk id="28"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K86"/>
  <sheetViews>
    <sheetView showGridLines="0" showRowColHeaders="0" zoomScaleNormal="100" workbookViewId="0">
      <selection activeCell="J59" sqref="J59"/>
    </sheetView>
  </sheetViews>
  <sheetFormatPr baseColWidth="10" defaultColWidth="11.42578125" defaultRowHeight="11.25" x14ac:dyDescent="0.2"/>
  <cols>
    <col min="1" max="1" width="2.85546875" style="23" customWidth="1"/>
    <col min="2" max="2" width="4.140625" style="16" customWidth="1"/>
    <col min="3" max="3" width="21.140625" style="16" customWidth="1"/>
    <col min="4" max="9" width="11.42578125" style="16" customWidth="1"/>
    <col min="10" max="11" width="11.42578125" style="16"/>
    <col min="12" max="13" width="16.140625" style="16" bestFit="1" customWidth="1"/>
    <col min="14" max="14" width="14.42578125" style="16" bestFit="1" customWidth="1"/>
    <col min="15" max="17" width="16.140625" style="16" bestFit="1" customWidth="1"/>
    <col min="18"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1"/>
      <c r="C3" s="461"/>
      <c r="D3" s="461"/>
      <c r="E3" s="461"/>
      <c r="F3" s="461"/>
      <c r="G3" s="461"/>
      <c r="H3" s="461"/>
    </row>
    <row r="4" spans="1:11" s="10" customFormat="1" ht="5.0999999999999996" customHeight="1" x14ac:dyDescent="0.2">
      <c r="A4" s="7"/>
      <c r="B4" s="7"/>
      <c r="C4" s="7"/>
      <c r="D4" s="8"/>
      <c r="E4" s="8"/>
      <c r="F4" s="9"/>
      <c r="G4" s="9"/>
      <c r="H4" s="9"/>
      <c r="J4" s="7"/>
      <c r="K4" s="7"/>
    </row>
    <row r="5" spans="1:11" s="3" customFormat="1" ht="18" x14ac:dyDescent="0.25">
      <c r="A5" s="13"/>
      <c r="B5" s="136" t="s">
        <v>155</v>
      </c>
    </row>
    <row r="6" spans="1:11" x14ac:dyDescent="0.2">
      <c r="A6" s="12"/>
    </row>
    <row r="7" spans="1:11" x14ac:dyDescent="0.2">
      <c r="A7" s="12"/>
      <c r="B7" s="468" t="s">
        <v>22</v>
      </c>
      <c r="C7" s="532"/>
      <c r="D7" s="47" t="s">
        <v>23</v>
      </c>
      <c r="E7" s="47" t="s">
        <v>24</v>
      </c>
      <c r="F7" s="47" t="s">
        <v>25</v>
      </c>
      <c r="G7" s="47" t="s">
        <v>26</v>
      </c>
      <c r="H7" s="404"/>
      <c r="I7" s="404"/>
    </row>
    <row r="8" spans="1:11" ht="11.25" customHeight="1" x14ac:dyDescent="0.2">
      <c r="A8" s="12"/>
      <c r="B8" s="533"/>
      <c r="C8" s="534"/>
      <c r="D8" s="537" t="s">
        <v>156</v>
      </c>
      <c r="E8" s="538"/>
      <c r="F8" s="538"/>
      <c r="G8" s="539"/>
      <c r="H8" s="406"/>
      <c r="I8" s="406"/>
    </row>
    <row r="9" spans="1:11" ht="22.5" x14ac:dyDescent="0.2">
      <c r="A9" s="12"/>
      <c r="B9" s="535"/>
      <c r="C9" s="536"/>
      <c r="D9" s="405" t="s">
        <v>689</v>
      </c>
      <c r="E9" s="405" t="s">
        <v>157</v>
      </c>
      <c r="F9" s="405" t="s">
        <v>158</v>
      </c>
      <c r="G9" s="405" t="s">
        <v>673</v>
      </c>
      <c r="H9" s="401"/>
      <c r="I9" s="401"/>
    </row>
    <row r="10" spans="1:11" x14ac:dyDescent="0.2">
      <c r="A10" s="12"/>
      <c r="B10" s="127">
        <v>1</v>
      </c>
      <c r="C10" s="97" t="s">
        <v>159</v>
      </c>
      <c r="D10" s="52">
        <f>9640.10983775-SUM(E10:G10)</f>
        <v>8878.6519530728456</v>
      </c>
      <c r="E10" s="52">
        <v>329.36606650659297</v>
      </c>
      <c r="F10" s="52">
        <v>131.27551247026</v>
      </c>
      <c r="G10" s="52">
        <v>300.81630570030097</v>
      </c>
      <c r="H10" s="402"/>
      <c r="I10" s="402"/>
    </row>
    <row r="11" spans="1:11" x14ac:dyDescent="0.2">
      <c r="A11" s="12"/>
      <c r="B11" s="127">
        <v>2</v>
      </c>
      <c r="C11" s="97" t="s">
        <v>112</v>
      </c>
      <c r="D11" s="128">
        <v>0</v>
      </c>
      <c r="E11" s="128">
        <v>0</v>
      </c>
      <c r="F11" s="128">
        <v>0</v>
      </c>
      <c r="G11" s="128">
        <v>0</v>
      </c>
      <c r="H11" s="403"/>
      <c r="I11" s="403"/>
    </row>
    <row r="12" spans="1:11" x14ac:dyDescent="0.2">
      <c r="A12" s="12"/>
      <c r="B12" s="129">
        <v>3</v>
      </c>
      <c r="C12" s="130" t="s">
        <v>160</v>
      </c>
      <c r="D12" s="52">
        <f>SUM(D10:D11)</f>
        <v>8878.6519530728456</v>
      </c>
      <c r="E12" s="52">
        <f t="shared" ref="E12:G12" si="0">SUM(E10:E11)</f>
        <v>329.36606650659297</v>
      </c>
      <c r="F12" s="52">
        <f t="shared" si="0"/>
        <v>131.27551247026</v>
      </c>
      <c r="G12" s="52">
        <f t="shared" si="0"/>
        <v>300.81630570030097</v>
      </c>
      <c r="H12" s="402"/>
      <c r="I12" s="402"/>
    </row>
    <row r="13" spans="1:11" x14ac:dyDescent="0.2">
      <c r="A13" s="12"/>
    </row>
    <row r="14" spans="1:11" x14ac:dyDescent="0.2">
      <c r="A14" s="12"/>
    </row>
    <row r="15" spans="1:11" x14ac:dyDescent="0.2">
      <c r="A15" s="12"/>
    </row>
    <row r="16" spans="1:11"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7:C9"/>
    <mergeCell ref="D8:G8"/>
  </mergeCells>
  <pageMargins left="0.23622047244094491" right="0.23622047244094491"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U88"/>
  <sheetViews>
    <sheetView showGridLines="0" showRowColHeaders="0" zoomScaleNormal="100" workbookViewId="0">
      <selection activeCell="P30" sqref="P30"/>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21" width="8.140625" style="16" customWidth="1"/>
    <col min="22" max="16384" width="11.42578125" style="16"/>
  </cols>
  <sheetData>
    <row r="1" spans="1:21" s="10" customFormat="1" ht="11.25" customHeight="1" x14ac:dyDescent="0.2">
      <c r="A1" s="7"/>
      <c r="B1" s="7"/>
      <c r="C1" s="7"/>
      <c r="D1" s="8"/>
      <c r="E1" s="8"/>
      <c r="F1" s="9"/>
      <c r="G1" s="9"/>
      <c r="H1" s="9"/>
    </row>
    <row r="2" spans="1:21" s="10" customFormat="1" ht="5.25" customHeight="1" x14ac:dyDescent="0.2">
      <c r="A2" s="7"/>
      <c r="B2" s="7"/>
      <c r="C2" s="7"/>
      <c r="D2" s="8"/>
      <c r="E2" s="8"/>
      <c r="F2" s="9"/>
      <c r="G2" s="9"/>
      <c r="H2" s="9"/>
    </row>
    <row r="3" spans="1:21" s="12" customFormat="1" ht="12.75" customHeight="1" x14ac:dyDescent="0.2">
      <c r="A3" s="11"/>
      <c r="B3" s="461"/>
      <c r="C3" s="461"/>
      <c r="D3" s="461"/>
      <c r="E3" s="461"/>
      <c r="F3" s="461"/>
      <c r="G3" s="461"/>
      <c r="H3" s="461"/>
    </row>
    <row r="4" spans="1:21" s="10" customFormat="1" ht="5.0999999999999996" customHeight="1" x14ac:dyDescent="0.2">
      <c r="A4" s="7"/>
      <c r="B4" s="7"/>
      <c r="C4" s="7"/>
      <c r="D4" s="8"/>
      <c r="E4" s="8"/>
      <c r="F4" s="9"/>
      <c r="G4" s="9"/>
      <c r="H4" s="9"/>
      <c r="J4" s="7"/>
      <c r="K4" s="7"/>
    </row>
    <row r="5" spans="1:21" s="3" customFormat="1" ht="18" x14ac:dyDescent="0.25">
      <c r="A5" s="13"/>
      <c r="B5" s="136" t="s">
        <v>164</v>
      </c>
    </row>
    <row r="6" spans="1:21" x14ac:dyDescent="0.2">
      <c r="A6" s="14"/>
    </row>
    <row r="7" spans="1:21" x14ac:dyDescent="0.2">
      <c r="A7" s="14"/>
      <c r="B7" s="16" t="s">
        <v>22</v>
      </c>
    </row>
    <row r="8" spans="1:21" x14ac:dyDescent="0.2">
      <c r="A8" s="12"/>
      <c r="B8" s="541"/>
      <c r="C8" s="542" t="s">
        <v>161</v>
      </c>
      <c r="D8" s="544" t="s">
        <v>165</v>
      </c>
      <c r="E8" s="544"/>
      <c r="F8" s="544"/>
      <c r="G8" s="544"/>
      <c r="H8" s="544"/>
      <c r="I8" s="544"/>
      <c r="J8" s="544"/>
      <c r="K8" s="544"/>
      <c r="L8" s="544"/>
      <c r="M8" s="544"/>
      <c r="N8" s="544"/>
      <c r="O8" s="544"/>
      <c r="P8" s="544"/>
      <c r="Q8" s="544"/>
      <c r="R8" s="544"/>
      <c r="S8" s="544"/>
      <c r="T8" s="540" t="s">
        <v>30</v>
      </c>
      <c r="U8" s="540" t="s">
        <v>166</v>
      </c>
    </row>
    <row r="9" spans="1:21" x14ac:dyDescent="0.2">
      <c r="A9" s="12"/>
      <c r="B9" s="541"/>
      <c r="C9" s="543"/>
      <c r="D9" s="57">
        <v>0</v>
      </c>
      <c r="E9" s="57">
        <v>0.02</v>
      </c>
      <c r="F9" s="57">
        <v>0.04</v>
      </c>
      <c r="G9" s="57">
        <v>0.1</v>
      </c>
      <c r="H9" s="57">
        <v>0.2</v>
      </c>
      <c r="I9" s="57">
        <v>0.35</v>
      </c>
      <c r="J9" s="57">
        <v>0.5</v>
      </c>
      <c r="K9" s="57">
        <v>0.7</v>
      </c>
      <c r="L9" s="57">
        <v>0.75</v>
      </c>
      <c r="M9" s="57">
        <v>1</v>
      </c>
      <c r="N9" s="57">
        <v>1.5</v>
      </c>
      <c r="O9" s="57">
        <v>2.5</v>
      </c>
      <c r="P9" s="57">
        <v>3.7</v>
      </c>
      <c r="Q9" s="57">
        <v>12.5</v>
      </c>
      <c r="R9" s="126" t="s">
        <v>167</v>
      </c>
      <c r="S9" s="126" t="s">
        <v>168</v>
      </c>
      <c r="T9" s="540"/>
      <c r="U9" s="540"/>
    </row>
    <row r="10" spans="1:21" x14ac:dyDescent="0.2">
      <c r="A10" s="12"/>
      <c r="B10" s="132">
        <v>1</v>
      </c>
      <c r="C10" s="31" t="s">
        <v>127</v>
      </c>
      <c r="D10" s="52">
        <f>'13'!$E$11</f>
        <v>1056.2643296900001</v>
      </c>
      <c r="E10" s="52"/>
      <c r="F10" s="52"/>
      <c r="G10" s="52">
        <v>94.122239590000007</v>
      </c>
      <c r="H10" s="52">
        <v>303.14668134999999</v>
      </c>
      <c r="I10" s="52"/>
      <c r="J10" s="52"/>
      <c r="K10" s="52"/>
      <c r="L10" s="52"/>
      <c r="M10" s="52"/>
      <c r="N10" s="52"/>
      <c r="O10" s="52"/>
      <c r="P10" s="52"/>
      <c r="Q10" s="52"/>
      <c r="R10" s="52"/>
      <c r="S10" s="52"/>
      <c r="T10" s="100">
        <f>SUM(D10:S10)</f>
        <v>1453.5332506300001</v>
      </c>
      <c r="U10" s="52"/>
    </row>
    <row r="11" spans="1:21" x14ac:dyDescent="0.2">
      <c r="A11" s="12"/>
      <c r="B11" s="132">
        <v>2</v>
      </c>
      <c r="C11" s="31" t="s">
        <v>128</v>
      </c>
      <c r="D11" s="52"/>
      <c r="E11" s="52"/>
      <c r="F11" s="52"/>
      <c r="G11" s="52"/>
      <c r="H11" s="52">
        <f>'13'!E13</f>
        <v>807.81879038000397</v>
      </c>
      <c r="I11" s="52"/>
      <c r="J11" s="52"/>
      <c r="K11" s="52"/>
      <c r="L11" s="52"/>
      <c r="M11" s="52"/>
      <c r="N11" s="52"/>
      <c r="O11" s="52"/>
      <c r="P11" s="52"/>
      <c r="Q11" s="52"/>
      <c r="R11" s="52"/>
      <c r="S11" s="52"/>
      <c r="T11" s="100">
        <f t="shared" ref="T11:T16" si="0">SUM(D11:S11)</f>
        <v>807.81879038000397</v>
      </c>
      <c r="U11" s="52"/>
    </row>
    <row r="12" spans="1:21" x14ac:dyDescent="0.2">
      <c r="A12" s="12"/>
      <c r="B12" s="132">
        <v>3</v>
      </c>
      <c r="C12" s="31" t="s">
        <v>125</v>
      </c>
      <c r="D12" s="52"/>
      <c r="E12" s="52"/>
      <c r="F12" s="52"/>
      <c r="G12" s="52"/>
      <c r="H12" s="52"/>
      <c r="I12" s="52"/>
      <c r="J12" s="52"/>
      <c r="K12" s="52"/>
      <c r="L12" s="52"/>
      <c r="M12" s="52"/>
      <c r="N12" s="52"/>
      <c r="O12" s="52"/>
      <c r="P12" s="52"/>
      <c r="Q12" s="52"/>
      <c r="R12" s="52"/>
      <c r="S12" s="52"/>
      <c r="T12" s="100">
        <f t="shared" si="0"/>
        <v>0</v>
      </c>
      <c r="U12" s="52"/>
    </row>
    <row r="13" spans="1:21" x14ac:dyDescent="0.2">
      <c r="A13" s="12"/>
      <c r="B13" s="132">
        <v>4</v>
      </c>
      <c r="C13" s="31" t="s">
        <v>126</v>
      </c>
      <c r="D13" s="52"/>
      <c r="E13" s="52"/>
      <c r="F13" s="52"/>
      <c r="G13" s="52"/>
      <c r="H13" s="52"/>
      <c r="I13" s="52"/>
      <c r="J13" s="52"/>
      <c r="K13" s="52"/>
      <c r="L13" s="52">
        <f>SUM('15'!D10:G10)-M13</f>
        <v>9210.3924408562707</v>
      </c>
      <c r="M13" s="52">
        <f>'13'!D14</f>
        <v>429.71739689372799</v>
      </c>
      <c r="N13" s="52"/>
      <c r="O13" s="52"/>
      <c r="P13" s="52"/>
      <c r="Q13" s="52"/>
      <c r="R13" s="52"/>
      <c r="S13" s="52">
        <f>-'13'!F14</f>
        <v>-529.37707531000001</v>
      </c>
      <c r="T13" s="100">
        <f t="shared" si="0"/>
        <v>9110.7327624399986</v>
      </c>
      <c r="U13" s="52"/>
    </row>
    <row r="14" spans="1:21" x14ac:dyDescent="0.2">
      <c r="A14" s="12"/>
      <c r="B14" s="132">
        <v>5</v>
      </c>
      <c r="C14" s="31" t="s">
        <v>129</v>
      </c>
      <c r="D14" s="52"/>
      <c r="E14" s="52"/>
      <c r="F14" s="52"/>
      <c r="G14" s="52"/>
      <c r="H14" s="52"/>
      <c r="I14" s="52"/>
      <c r="J14" s="52"/>
      <c r="K14" s="52"/>
      <c r="L14" s="52"/>
      <c r="M14" s="52"/>
      <c r="N14" s="52"/>
      <c r="O14" s="52"/>
      <c r="P14" s="52"/>
      <c r="Q14" s="52"/>
      <c r="R14" s="52"/>
      <c r="S14" s="52"/>
      <c r="T14" s="100">
        <f t="shared" si="0"/>
        <v>0</v>
      </c>
      <c r="U14" s="52"/>
    </row>
    <row r="15" spans="1:21" x14ac:dyDescent="0.2">
      <c r="A15" s="12"/>
      <c r="B15" s="132">
        <v>6</v>
      </c>
      <c r="C15" s="31" t="s">
        <v>162</v>
      </c>
      <c r="D15" s="52"/>
      <c r="E15" s="52"/>
      <c r="F15" s="52"/>
      <c r="G15" s="52"/>
      <c r="H15" s="52"/>
      <c r="I15" s="52"/>
      <c r="J15" s="52"/>
      <c r="K15" s="52"/>
      <c r="L15" s="52"/>
      <c r="M15" s="52"/>
      <c r="N15" s="52"/>
      <c r="O15" s="52"/>
      <c r="P15" s="52"/>
      <c r="Q15" s="52"/>
      <c r="R15" s="52"/>
      <c r="S15" s="52"/>
      <c r="T15" s="100">
        <f t="shared" si="0"/>
        <v>0</v>
      </c>
      <c r="U15" s="52"/>
    </row>
    <row r="16" spans="1:21" x14ac:dyDescent="0.2">
      <c r="A16" s="12"/>
      <c r="B16" s="132">
        <v>7</v>
      </c>
      <c r="C16" s="31" t="s">
        <v>163</v>
      </c>
      <c r="D16" s="52"/>
      <c r="E16" s="52"/>
      <c r="F16" s="52"/>
      <c r="G16" s="52"/>
      <c r="H16" s="52"/>
      <c r="I16" s="52"/>
      <c r="J16" s="52"/>
      <c r="K16" s="52"/>
      <c r="L16" s="52"/>
      <c r="M16" s="52">
        <f>'4'!BJ14</f>
        <v>32.750506520000002</v>
      </c>
      <c r="N16" s="52"/>
      <c r="O16" s="52"/>
      <c r="P16" s="52"/>
      <c r="Q16" s="52"/>
      <c r="R16" s="52"/>
      <c r="S16" s="52"/>
      <c r="T16" s="100">
        <f t="shared" si="0"/>
        <v>32.750506520000002</v>
      </c>
      <c r="U16" s="52"/>
    </row>
    <row r="17" spans="1:21" x14ac:dyDescent="0.2">
      <c r="A17" s="12"/>
      <c r="B17" s="433">
        <v>8</v>
      </c>
      <c r="C17" s="266" t="s">
        <v>30</v>
      </c>
      <c r="D17" s="434">
        <f>SUM(D10:D16)</f>
        <v>1056.2643296900001</v>
      </c>
      <c r="E17" s="434">
        <f t="shared" ref="E17:T17" si="1">SUM(E10:E16)</f>
        <v>0</v>
      </c>
      <c r="F17" s="434">
        <f t="shared" si="1"/>
        <v>0</v>
      </c>
      <c r="G17" s="434">
        <f t="shared" si="1"/>
        <v>94.122239590000007</v>
      </c>
      <c r="H17" s="434">
        <f t="shared" si="1"/>
        <v>1110.9654717300041</v>
      </c>
      <c r="I17" s="434">
        <f t="shared" si="1"/>
        <v>0</v>
      </c>
      <c r="J17" s="434">
        <f t="shared" si="1"/>
        <v>0</v>
      </c>
      <c r="K17" s="434">
        <f t="shared" si="1"/>
        <v>0</v>
      </c>
      <c r="L17" s="434">
        <f t="shared" si="1"/>
        <v>9210.3924408562707</v>
      </c>
      <c r="M17" s="434">
        <f t="shared" si="1"/>
        <v>462.46790341372798</v>
      </c>
      <c r="N17" s="434">
        <f t="shared" si="1"/>
        <v>0</v>
      </c>
      <c r="O17" s="434">
        <f t="shared" si="1"/>
        <v>0</v>
      </c>
      <c r="P17" s="434">
        <f t="shared" si="1"/>
        <v>0</v>
      </c>
      <c r="Q17" s="434">
        <f t="shared" si="1"/>
        <v>0</v>
      </c>
      <c r="R17" s="434">
        <f t="shared" si="1"/>
        <v>0</v>
      </c>
      <c r="S17" s="434">
        <f t="shared" si="1"/>
        <v>-529.37707531000001</v>
      </c>
      <c r="T17" s="435">
        <f t="shared" si="1"/>
        <v>11404.835309970003</v>
      </c>
      <c r="U17" s="52"/>
    </row>
    <row r="18" spans="1:21" x14ac:dyDescent="0.2">
      <c r="A18" s="12"/>
      <c r="P18" s="32"/>
    </row>
    <row r="19" spans="1:21" x14ac:dyDescent="0.2">
      <c r="A19" s="12"/>
    </row>
    <row r="20" spans="1:21" x14ac:dyDescent="0.2">
      <c r="A20" s="12"/>
      <c r="D20" s="32"/>
      <c r="E20" s="32"/>
      <c r="F20" s="32"/>
      <c r="G20" s="32"/>
      <c r="H20" s="32"/>
      <c r="I20" s="32"/>
      <c r="J20" s="32"/>
      <c r="K20" s="32"/>
      <c r="L20" s="32"/>
      <c r="M20" s="32"/>
      <c r="N20" s="32"/>
      <c r="O20" s="32"/>
      <c r="P20" s="32"/>
      <c r="Q20" s="32"/>
      <c r="R20" s="32"/>
      <c r="S20" s="32"/>
      <c r="T20" s="32"/>
    </row>
    <row r="21" spans="1:21" x14ac:dyDescent="0.2">
      <c r="A21" s="12"/>
    </row>
    <row r="22" spans="1:21" x14ac:dyDescent="0.2">
      <c r="A22" s="12"/>
      <c r="L22" s="32"/>
    </row>
    <row r="23" spans="1:21" x14ac:dyDescent="0.2">
      <c r="A23" s="12"/>
    </row>
    <row r="24" spans="1:21" x14ac:dyDescent="0.2">
      <c r="A24" s="12"/>
      <c r="L24" s="32"/>
    </row>
    <row r="25" spans="1:21" x14ac:dyDescent="0.2">
      <c r="A25" s="12"/>
    </row>
    <row r="26" spans="1:21" x14ac:dyDescent="0.2">
      <c r="A26" s="12"/>
    </row>
    <row r="27" spans="1:21" x14ac:dyDescent="0.2">
      <c r="A27" s="12"/>
    </row>
    <row r="28" spans="1:21" x14ac:dyDescent="0.2">
      <c r="A28" s="12"/>
    </row>
    <row r="29" spans="1:21" x14ac:dyDescent="0.2">
      <c r="A29" s="12"/>
    </row>
    <row r="30" spans="1:21" x14ac:dyDescent="0.2">
      <c r="A30" s="12"/>
    </row>
    <row r="31" spans="1:21" x14ac:dyDescent="0.2">
      <c r="A31" s="12"/>
    </row>
    <row r="32" spans="1:2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70" spans="1:1" x14ac:dyDescent="0.2">
      <c r="A70" s="20"/>
    </row>
    <row r="71" spans="1:1" x14ac:dyDescent="0.2">
      <c r="A71" s="20"/>
    </row>
    <row r="72" spans="1:1" x14ac:dyDescent="0.2">
      <c r="A72" s="21"/>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sheetData>
  <mergeCells count="6">
    <mergeCell ref="U8:U9"/>
    <mergeCell ref="B3:H3"/>
    <mergeCell ref="B8:B9"/>
    <mergeCell ref="C8:C9"/>
    <mergeCell ref="D8:S8"/>
    <mergeCell ref="T8:T9"/>
  </mergeCells>
  <pageMargins left="0.23622047244094491" right="0.23622047244094491" top="0.74803149606299213" bottom="0.74803149606299213" header="0.31496062992125984" footer="0.31496062992125984"/>
  <pageSetup paperSize="9" scale="71" orientation="landscape" r:id="rId1"/>
  <ignoredErrors>
    <ignoredError sqref="E17:T1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6E5E-ECB2-445C-A43B-0EE7D4390D30}">
  <sheetPr>
    <pageSetUpPr fitToPage="1"/>
  </sheetPr>
  <dimension ref="A1:J86"/>
  <sheetViews>
    <sheetView showGridLines="0" zoomScaleNormal="100" workbookViewId="0">
      <selection activeCell="I26" sqref="I26"/>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10" width="14.85546875" style="16" customWidth="1"/>
    <col min="11" max="16384" width="11.42578125" style="16"/>
  </cols>
  <sheetData>
    <row r="1" spans="1:10" s="10" customFormat="1" ht="11.25" customHeight="1" x14ac:dyDescent="0.2">
      <c r="A1" s="7"/>
      <c r="B1" s="7"/>
      <c r="C1" s="7"/>
      <c r="D1" s="8"/>
      <c r="E1" s="8"/>
      <c r="F1" s="9"/>
      <c r="G1" s="9"/>
      <c r="H1" s="9"/>
    </row>
    <row r="2" spans="1:10" s="10" customFormat="1" ht="5.25" customHeight="1" x14ac:dyDescent="0.2">
      <c r="A2" s="7"/>
      <c r="B2" s="7"/>
      <c r="C2" s="7"/>
      <c r="D2" s="8"/>
      <c r="E2" s="8"/>
      <c r="F2" s="9"/>
      <c r="G2" s="9"/>
      <c r="H2" s="9"/>
    </row>
    <row r="3" spans="1:10" s="12" customFormat="1" ht="12.75" customHeight="1" x14ac:dyDescent="0.2">
      <c r="A3" s="11"/>
      <c r="B3" s="461"/>
      <c r="C3" s="461"/>
      <c r="D3" s="461"/>
      <c r="E3" s="461"/>
      <c r="F3" s="461"/>
      <c r="G3" s="461"/>
      <c r="H3" s="461"/>
    </row>
    <row r="4" spans="1:10" s="10" customFormat="1" ht="5.0999999999999996" customHeight="1" x14ac:dyDescent="0.2">
      <c r="A4" s="7"/>
      <c r="B4" s="7"/>
      <c r="C4" s="7"/>
      <c r="D4" s="8"/>
      <c r="E4" s="8"/>
      <c r="F4" s="9"/>
      <c r="G4" s="9"/>
      <c r="H4" s="9"/>
      <c r="J4" s="7"/>
    </row>
    <row r="5" spans="1:10" s="3" customFormat="1" ht="18" x14ac:dyDescent="0.25">
      <c r="A5" s="13"/>
      <c r="B5" s="136" t="s">
        <v>672</v>
      </c>
    </row>
    <row r="6" spans="1:10" x14ac:dyDescent="0.2">
      <c r="A6" s="14"/>
    </row>
    <row r="7" spans="1:10" x14ac:dyDescent="0.2">
      <c r="A7" s="14"/>
      <c r="B7" s="16" t="s">
        <v>22</v>
      </c>
    </row>
    <row r="8" spans="1:10" x14ac:dyDescent="0.2">
      <c r="A8" s="14"/>
    </row>
    <row r="9" spans="1:10" x14ac:dyDescent="0.2">
      <c r="A9" s="12"/>
      <c r="B9" s="545"/>
      <c r="C9" s="546"/>
      <c r="D9" s="239" t="s">
        <v>23</v>
      </c>
      <c r="E9" s="239" t="s">
        <v>24</v>
      </c>
      <c r="F9" s="239" t="s">
        <v>25</v>
      </c>
      <c r="G9" s="239" t="s">
        <v>26</v>
      </c>
      <c r="H9" s="239" t="s">
        <v>27</v>
      </c>
      <c r="I9" s="239" t="s">
        <v>141</v>
      </c>
      <c r="J9" s="239" t="s">
        <v>142</v>
      </c>
    </row>
    <row r="10" spans="1:10" ht="33.75" x14ac:dyDescent="0.2">
      <c r="A10" s="12"/>
      <c r="B10" s="545"/>
      <c r="C10" s="471"/>
      <c r="D10" s="268" t="s">
        <v>534</v>
      </c>
      <c r="E10" s="268" t="s">
        <v>535</v>
      </c>
      <c r="F10" s="268" t="s">
        <v>536</v>
      </c>
      <c r="G10" s="268" t="s">
        <v>537</v>
      </c>
      <c r="H10" s="268" t="s">
        <v>538</v>
      </c>
      <c r="I10" s="268" t="s">
        <v>539</v>
      </c>
      <c r="J10" s="268" t="s">
        <v>124</v>
      </c>
    </row>
    <row r="11" spans="1:10" x14ac:dyDescent="0.2">
      <c r="A11" s="12"/>
      <c r="B11" s="132">
        <v>1</v>
      </c>
      <c r="C11" s="240" t="s">
        <v>540</v>
      </c>
      <c r="D11" s="267"/>
      <c r="E11" s="52"/>
      <c r="F11" s="52"/>
      <c r="G11" s="267"/>
      <c r="H11" s="267"/>
      <c r="I11" s="52"/>
      <c r="J11" s="52"/>
    </row>
    <row r="12" spans="1:10" x14ac:dyDescent="0.2">
      <c r="A12" s="12"/>
      <c r="B12" s="132">
        <v>2</v>
      </c>
      <c r="C12" s="240" t="s">
        <v>541</v>
      </c>
      <c r="D12" s="52"/>
      <c r="E12" s="267"/>
      <c r="F12" s="267"/>
      <c r="G12" s="267"/>
      <c r="H12" s="267"/>
      <c r="I12" s="52"/>
      <c r="J12" s="52"/>
    </row>
    <row r="13" spans="1:10" x14ac:dyDescent="0.2">
      <c r="A13" s="12"/>
      <c r="B13" s="132">
        <v>3</v>
      </c>
      <c r="C13" s="240" t="s">
        <v>21</v>
      </c>
      <c r="D13" s="267"/>
      <c r="E13" s="52"/>
      <c r="F13" s="267"/>
      <c r="G13" s="267"/>
      <c r="H13" s="52"/>
      <c r="I13" s="52"/>
      <c r="J13" s="52"/>
    </row>
    <row r="14" spans="1:10" x14ac:dyDescent="0.2">
      <c r="A14" s="12"/>
      <c r="B14" s="132">
        <v>4</v>
      </c>
      <c r="C14" s="240" t="s">
        <v>542</v>
      </c>
      <c r="D14" s="267"/>
      <c r="E14" s="267"/>
      <c r="F14" s="267"/>
      <c r="G14" s="52"/>
      <c r="H14" s="52"/>
      <c r="I14" s="52"/>
      <c r="J14" s="52"/>
    </row>
    <row r="15" spans="1:10" x14ac:dyDescent="0.2">
      <c r="A15" s="12"/>
      <c r="B15" s="132">
        <v>5</v>
      </c>
      <c r="C15" s="266" t="s">
        <v>30</v>
      </c>
      <c r="D15" s="267"/>
      <c r="E15" s="267"/>
      <c r="F15" s="267"/>
      <c r="G15" s="52"/>
      <c r="H15" s="52"/>
      <c r="I15" s="52"/>
      <c r="J15" s="52"/>
    </row>
    <row r="16" spans="1:10"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8" spans="1:1" x14ac:dyDescent="0.2">
      <c r="A68" s="20"/>
    </row>
    <row r="69" spans="1:1" x14ac:dyDescent="0.2">
      <c r="A69" s="20"/>
    </row>
    <row r="70" spans="1:1" x14ac:dyDescent="0.2">
      <c r="A70" s="21"/>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row r="86" spans="1:1" x14ac:dyDescent="0.2">
      <c r="A86"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scale="92"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7332C-6275-4B83-88CC-3592C85524B7}">
  <sheetPr>
    <pageSetUpPr fitToPage="1"/>
  </sheetPr>
  <dimension ref="A1:H85"/>
  <sheetViews>
    <sheetView showGridLines="0" zoomScaleNormal="100" workbookViewId="0">
      <selection activeCell="F39" sqref="F39"/>
    </sheetView>
  </sheetViews>
  <sheetFormatPr baseColWidth="10" defaultColWidth="11.42578125" defaultRowHeight="11.25" x14ac:dyDescent="0.2"/>
  <cols>
    <col min="1" max="1" width="2.85546875" style="23" customWidth="1"/>
    <col min="2" max="2" width="4.140625" style="16" customWidth="1"/>
    <col min="3" max="3" width="33.42578125" style="16" customWidth="1"/>
    <col min="4" max="8" width="14.85546875" style="16" customWidth="1"/>
    <col min="9" max="16384" width="11.42578125" style="16"/>
  </cols>
  <sheetData>
    <row r="1" spans="1:8" s="10" customFormat="1" ht="11.25" customHeight="1" x14ac:dyDescent="0.2">
      <c r="A1" s="7"/>
      <c r="B1" s="7"/>
      <c r="C1" s="7"/>
      <c r="D1" s="8"/>
      <c r="E1" s="8"/>
      <c r="F1" s="9"/>
      <c r="G1" s="9"/>
      <c r="H1" s="9"/>
    </row>
    <row r="2" spans="1:8" s="10" customFormat="1" ht="5.25" customHeight="1" x14ac:dyDescent="0.2">
      <c r="A2" s="7"/>
      <c r="B2" s="7"/>
      <c r="C2" s="7"/>
      <c r="D2" s="8"/>
      <c r="E2" s="8"/>
      <c r="F2" s="9"/>
      <c r="G2" s="9"/>
      <c r="H2" s="9"/>
    </row>
    <row r="3" spans="1:8" s="12" customFormat="1" ht="12.75" customHeight="1" x14ac:dyDescent="0.2">
      <c r="A3" s="11"/>
      <c r="B3" s="461"/>
      <c r="C3" s="461"/>
      <c r="D3" s="461"/>
      <c r="E3" s="461"/>
      <c r="F3" s="461"/>
      <c r="G3" s="461"/>
      <c r="H3" s="461"/>
    </row>
    <row r="4" spans="1:8" s="10" customFormat="1" ht="5.0999999999999996" customHeight="1" x14ac:dyDescent="0.2">
      <c r="A4" s="7"/>
      <c r="B4" s="7"/>
      <c r="C4" s="7"/>
      <c r="D4" s="8"/>
      <c r="E4" s="8"/>
      <c r="F4" s="9"/>
      <c r="G4" s="9"/>
      <c r="H4" s="9"/>
    </row>
    <row r="5" spans="1:8" s="3" customFormat="1" ht="18" x14ac:dyDescent="0.25">
      <c r="A5" s="13"/>
      <c r="B5" s="136" t="s">
        <v>543</v>
      </c>
    </row>
    <row r="6" spans="1:8" x14ac:dyDescent="0.2">
      <c r="A6" s="14"/>
    </row>
    <row r="7" spans="1:8" x14ac:dyDescent="0.2">
      <c r="A7" s="14"/>
      <c r="B7" s="16" t="s">
        <v>22</v>
      </c>
    </row>
    <row r="8" spans="1:8" x14ac:dyDescent="0.2">
      <c r="A8" s="14"/>
    </row>
    <row r="9" spans="1:8" x14ac:dyDescent="0.2">
      <c r="A9" s="12"/>
      <c r="B9" s="545"/>
      <c r="C9" s="546"/>
      <c r="D9" s="239" t="s">
        <v>23</v>
      </c>
      <c r="E9" s="239" t="s">
        <v>24</v>
      </c>
      <c r="F9" s="239" t="s">
        <v>25</v>
      </c>
      <c r="G9" s="239" t="s">
        <v>26</v>
      </c>
      <c r="H9" s="239" t="s">
        <v>27</v>
      </c>
    </row>
    <row r="10" spans="1:8" ht="33.75" x14ac:dyDescent="0.2">
      <c r="A10" s="12"/>
      <c r="B10" s="545"/>
      <c r="C10" s="471"/>
      <c r="D10" s="268" t="s">
        <v>545</v>
      </c>
      <c r="E10" s="268" t="s">
        <v>546</v>
      </c>
      <c r="F10" s="268" t="s">
        <v>547</v>
      </c>
      <c r="G10" s="268" t="s">
        <v>548</v>
      </c>
      <c r="H10" s="268" t="s">
        <v>549</v>
      </c>
    </row>
    <row r="11" spans="1:8" x14ac:dyDescent="0.2">
      <c r="A11" s="12"/>
      <c r="B11" s="132">
        <v>1</v>
      </c>
      <c r="C11" s="240" t="s">
        <v>118</v>
      </c>
      <c r="D11" s="52"/>
      <c r="E11" s="52"/>
      <c r="F11" s="52"/>
      <c r="G11" s="52"/>
      <c r="H11" s="52"/>
    </row>
    <row r="12" spans="1:8" x14ac:dyDescent="0.2">
      <c r="A12" s="12"/>
      <c r="B12" s="132">
        <v>2</v>
      </c>
      <c r="C12" s="240" t="s">
        <v>550</v>
      </c>
      <c r="D12" s="52"/>
      <c r="E12" s="52"/>
      <c r="F12" s="52"/>
      <c r="G12" s="52"/>
      <c r="H12" s="52"/>
    </row>
    <row r="13" spans="1:8" x14ac:dyDescent="0.2">
      <c r="A13" s="12"/>
      <c r="B13" s="132">
        <v>3</v>
      </c>
      <c r="C13" s="240" t="s">
        <v>544</v>
      </c>
      <c r="D13" s="52"/>
      <c r="E13" s="52"/>
      <c r="F13" s="52"/>
      <c r="G13" s="52"/>
      <c r="H13" s="52"/>
    </row>
    <row r="14" spans="1:8" x14ac:dyDescent="0.2">
      <c r="A14" s="12"/>
      <c r="B14" s="132">
        <v>5</v>
      </c>
      <c r="C14" s="266" t="s">
        <v>30</v>
      </c>
      <c r="D14" s="52"/>
      <c r="E14" s="52"/>
      <c r="F14" s="52"/>
      <c r="G14" s="52"/>
      <c r="H14" s="52"/>
    </row>
    <row r="15" spans="1:8" x14ac:dyDescent="0.2">
      <c r="A15" s="12"/>
    </row>
    <row r="16" spans="1:8"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8" x14ac:dyDescent="0.2">
      <c r="A33" s="12"/>
    </row>
    <row r="34" spans="1:8" x14ac:dyDescent="0.2">
      <c r="A34" s="12"/>
    </row>
    <row r="35" spans="1:8" x14ac:dyDescent="0.2">
      <c r="A35" s="12"/>
    </row>
    <row r="36" spans="1:8" x14ac:dyDescent="0.2">
      <c r="A36" s="12"/>
    </row>
    <row r="37" spans="1:8" x14ac:dyDescent="0.2">
      <c r="A37" s="12"/>
    </row>
    <row r="38" spans="1:8" x14ac:dyDescent="0.2">
      <c r="A38" s="12"/>
    </row>
    <row r="39" spans="1:8" x14ac:dyDescent="0.2">
      <c r="A39" s="12"/>
    </row>
    <row r="40" spans="1:8" x14ac:dyDescent="0.2">
      <c r="A40" s="12"/>
    </row>
    <row r="41" spans="1:8" x14ac:dyDescent="0.2">
      <c r="A41" s="12"/>
    </row>
    <row r="42" spans="1:8" x14ac:dyDescent="0.2">
      <c r="A42" s="12"/>
    </row>
    <row r="43" spans="1:8" x14ac:dyDescent="0.2">
      <c r="A43" s="12"/>
    </row>
    <row r="44" spans="1:8" x14ac:dyDescent="0.2">
      <c r="A44" s="12"/>
    </row>
    <row r="45" spans="1:8" x14ac:dyDescent="0.2">
      <c r="A45" s="12"/>
    </row>
    <row r="46" spans="1:8" ht="18" x14ac:dyDescent="0.25">
      <c r="A46" s="12"/>
      <c r="H46" s="136"/>
    </row>
    <row r="47" spans="1:8" x14ac:dyDescent="0.2">
      <c r="A47" s="12"/>
    </row>
    <row r="48" spans="1:8"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7" spans="1:1" x14ac:dyDescent="0.2">
      <c r="A67" s="20"/>
    </row>
    <row r="68" spans="1:1" x14ac:dyDescent="0.2">
      <c r="A68" s="20"/>
    </row>
    <row r="69" spans="1:1" x14ac:dyDescent="0.2">
      <c r="A69" s="21"/>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22"/>
    </row>
    <row r="79" spans="1:1" x14ac:dyDescent="0.2">
      <c r="A79" s="22"/>
    </row>
    <row r="80" spans="1:1" x14ac:dyDescent="0.2">
      <c r="A80" s="22"/>
    </row>
    <row r="81" spans="1:1" x14ac:dyDescent="0.2">
      <c r="A81" s="22"/>
    </row>
    <row r="82" spans="1:1" x14ac:dyDescent="0.2">
      <c r="A82" s="22"/>
    </row>
    <row r="83" spans="1:1" x14ac:dyDescent="0.2">
      <c r="A83" s="22"/>
    </row>
    <row r="84" spans="1:1" x14ac:dyDescent="0.2">
      <c r="A84" s="22"/>
    </row>
    <row r="85" spans="1:1" x14ac:dyDescent="0.2">
      <c r="A85" s="22"/>
    </row>
  </sheetData>
  <mergeCells count="3">
    <mergeCell ref="B3:H3"/>
    <mergeCell ref="B9:B10"/>
    <mergeCell ref="C9:C10"/>
  </mergeCells>
  <pageMargins left="0.23622047244094491" right="0.23622047244094491"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Q57"/>
  <sheetViews>
    <sheetView showGridLines="0" zoomScaleNormal="100" workbookViewId="0">
      <selection activeCell="S53" sqref="S53"/>
    </sheetView>
  </sheetViews>
  <sheetFormatPr baseColWidth="10" defaultColWidth="11.42578125" defaultRowHeight="15" x14ac:dyDescent="0.2"/>
  <cols>
    <col min="1" max="1" width="61.42578125" style="135" customWidth="1"/>
    <col min="2" max="9" width="12" style="134" customWidth="1"/>
    <col min="10" max="16384" width="11.42578125" style="135"/>
  </cols>
  <sheetData>
    <row r="1" spans="1:17" x14ac:dyDescent="0.2">
      <c r="A1" s="133"/>
    </row>
    <row r="2" spans="1:17" ht="6" customHeight="1" x14ac:dyDescent="0.2">
      <c r="B2" s="135"/>
      <c r="C2" s="135"/>
      <c r="D2" s="135"/>
      <c r="E2" s="135"/>
      <c r="F2" s="135"/>
      <c r="G2" s="135"/>
      <c r="H2" s="135"/>
      <c r="I2" s="135"/>
    </row>
    <row r="3" spans="1:17" ht="18" x14ac:dyDescent="0.25">
      <c r="A3" s="136" t="s">
        <v>509</v>
      </c>
    </row>
    <row r="4" spans="1:17" ht="15.75" x14ac:dyDescent="0.25">
      <c r="A4" s="137"/>
    </row>
    <row r="5" spans="1:17" x14ac:dyDescent="0.2">
      <c r="A5" s="416" t="s">
        <v>169</v>
      </c>
      <c r="B5" s="254">
        <v>43830</v>
      </c>
      <c r="C5" s="254">
        <v>43921</v>
      </c>
      <c r="D5" s="254">
        <v>44012</v>
      </c>
      <c r="E5" s="254">
        <v>44104</v>
      </c>
      <c r="F5" s="254">
        <v>44196</v>
      </c>
      <c r="G5" s="254">
        <v>44286</v>
      </c>
      <c r="H5" s="254">
        <v>44377</v>
      </c>
      <c r="I5" s="254">
        <v>44469</v>
      </c>
      <c r="J5" s="254">
        <v>44561</v>
      </c>
      <c r="K5" s="254">
        <v>44651</v>
      </c>
      <c r="L5" s="254">
        <v>44742</v>
      </c>
      <c r="M5" s="254">
        <v>44834</v>
      </c>
      <c r="N5" s="254">
        <v>44926</v>
      </c>
      <c r="O5" s="254">
        <v>45015</v>
      </c>
      <c r="P5" s="254">
        <v>45107</v>
      </c>
      <c r="Q5" s="254">
        <v>45199</v>
      </c>
    </row>
    <row r="6" spans="1:17" x14ac:dyDescent="0.2">
      <c r="A6" s="255" t="s">
        <v>22</v>
      </c>
      <c r="B6" s="255"/>
      <c r="C6" s="255"/>
      <c r="D6" s="255"/>
      <c r="E6" s="255"/>
      <c r="F6" s="255"/>
      <c r="G6" s="255"/>
      <c r="H6" s="255"/>
      <c r="I6" s="255"/>
      <c r="J6" s="255"/>
      <c r="K6" s="255"/>
      <c r="L6" s="255"/>
      <c r="M6" s="255"/>
      <c r="N6" s="255"/>
      <c r="O6" s="255"/>
      <c r="P6" s="255"/>
      <c r="Q6" s="255"/>
    </row>
    <row r="7" spans="1:17" s="140" customFormat="1" ht="15" customHeight="1" x14ac:dyDescent="0.2">
      <c r="A7" s="138" t="s">
        <v>574</v>
      </c>
      <c r="B7" s="139">
        <v>122.93353480999907</v>
      </c>
      <c r="C7" s="139">
        <v>133.21439408800072</v>
      </c>
      <c r="D7" s="139">
        <v>258.41224959599987</v>
      </c>
      <c r="E7" s="139">
        <v>293.36513796999952</v>
      </c>
      <c r="F7" s="139">
        <v>240.83769431599967</v>
      </c>
      <c r="G7" s="139">
        <v>228.34427184800057</v>
      </c>
      <c r="H7" s="139">
        <v>200</v>
      </c>
      <c r="I7" s="139">
        <v>177.10916110999975</v>
      </c>
      <c r="J7" s="139">
        <v>260.3619431940005</v>
      </c>
      <c r="K7" s="139">
        <v>303.3923254580011</v>
      </c>
      <c r="L7" s="139">
        <v>144.87804603000069</v>
      </c>
      <c r="M7" s="139">
        <v>205.68626843799953</v>
      </c>
      <c r="N7" s="139">
        <v>161.56375807600079</v>
      </c>
      <c r="O7" s="139">
        <v>149.17774169200004</v>
      </c>
      <c r="P7" s="139">
        <v>108.94516853599987</v>
      </c>
      <c r="Q7" s="139">
        <v>238.29439588200012</v>
      </c>
    </row>
    <row r="8" spans="1:17" s="140" customFormat="1" ht="15" customHeight="1" x14ac:dyDescent="0.2">
      <c r="A8" s="138" t="s">
        <v>575</v>
      </c>
      <c r="B8" s="139">
        <v>5835.7185736070669</v>
      </c>
      <c r="C8" s="139">
        <v>5896.2388511709487</v>
      </c>
      <c r="D8" s="139">
        <v>5498.7435902398074</v>
      </c>
      <c r="E8" s="139">
        <v>5450.4853382243109</v>
      </c>
      <c r="F8" s="139">
        <v>6721.3617913070493</v>
      </c>
      <c r="G8" s="139">
        <v>5040.6461602264371</v>
      </c>
      <c r="H8" s="139">
        <f>5309034.61466896/1000</f>
        <v>5309.0346146689599</v>
      </c>
      <c r="I8" s="139">
        <v>6413.8649869672809</v>
      </c>
      <c r="J8" s="139">
        <v>5229.4228076935115</v>
      </c>
      <c r="K8" s="139">
        <v>5106.4817834057385</v>
      </c>
      <c r="L8" s="139">
        <v>5136.7645837814698</v>
      </c>
      <c r="M8" s="139">
        <v>5872.0409820372415</v>
      </c>
      <c r="N8" s="139">
        <v>6728.2006887602547</v>
      </c>
      <c r="O8" s="139">
        <v>7518.87518545475</v>
      </c>
      <c r="P8" s="139">
        <v>7720.6891234991963</v>
      </c>
      <c r="Q8" s="139">
        <v>7784.1745961789547</v>
      </c>
    </row>
    <row r="9" spans="1:17" s="140" customFormat="1" ht="15" customHeight="1" x14ac:dyDescent="0.2">
      <c r="A9" s="138" t="s">
        <v>494</v>
      </c>
      <c r="B9" s="139">
        <v>9.0778524160000025</v>
      </c>
      <c r="C9" s="139">
        <v>10.494127399999998</v>
      </c>
      <c r="D9" s="139">
        <v>30.189060099999992</v>
      </c>
      <c r="E9" s="139">
        <v>178.50827768800005</v>
      </c>
      <c r="F9" s="139">
        <v>92.798061566999991</v>
      </c>
      <c r="G9" s="139">
        <v>90.128468472999998</v>
      </c>
      <c r="H9" s="139">
        <v>80.3</v>
      </c>
      <c r="I9" s="139">
        <v>60.259492074000008</v>
      </c>
      <c r="J9" s="139">
        <v>39.94528823600001</v>
      </c>
      <c r="K9" s="139">
        <v>39.493242814999995</v>
      </c>
      <c r="L9" s="139">
        <v>39.950944560000003</v>
      </c>
      <c r="M9" s="139">
        <v>49.623753855000004</v>
      </c>
      <c r="N9" s="139">
        <v>70.041560229000012</v>
      </c>
      <c r="O9" s="139">
        <v>8.0657112859999991</v>
      </c>
      <c r="P9" s="139">
        <v>8.1272626550000009</v>
      </c>
      <c r="Q9" s="139">
        <v>2.9906574109999999</v>
      </c>
    </row>
    <row r="10" spans="1:17" s="140" customFormat="1" ht="15" customHeight="1" x14ac:dyDescent="0.2">
      <c r="A10" s="138" t="s">
        <v>576</v>
      </c>
      <c r="B10" s="139">
        <v>884.55986672337633</v>
      </c>
      <c r="C10" s="139">
        <v>1082.8661975396581</v>
      </c>
      <c r="D10" s="139">
        <v>1164.8606085557865</v>
      </c>
      <c r="E10" s="139">
        <v>1162.2488533198286</v>
      </c>
      <c r="F10" s="139">
        <v>18.68129678</v>
      </c>
      <c r="G10" s="139">
        <v>1415.30953326394</v>
      </c>
      <c r="H10" s="139">
        <f>1374718.43776679/1000</f>
        <v>1374.71843776679</v>
      </c>
      <c r="I10" s="139">
        <f>1230820.01614656/1000</f>
        <v>1230.82001614656</v>
      </c>
      <c r="J10" s="139">
        <v>529.71988979443154</v>
      </c>
      <c r="K10" s="139">
        <v>430.66428904750114</v>
      </c>
      <c r="L10" s="139">
        <v>302.70917846676684</v>
      </c>
      <c r="M10" s="139">
        <v>286.05100560528518</v>
      </c>
      <c r="N10" s="139">
        <v>290.10465466044076</v>
      </c>
      <c r="O10" s="139">
        <v>284.00377101948914</v>
      </c>
      <c r="P10" s="139">
        <v>307.24364790542563</v>
      </c>
      <c r="Q10" s="139">
        <v>364.03927267379595</v>
      </c>
    </row>
    <row r="11" spans="1:17" s="140" customFormat="1" ht="15" customHeight="1" x14ac:dyDescent="0.2">
      <c r="A11" s="138" t="s">
        <v>577</v>
      </c>
      <c r="B11" s="139">
        <v>36.800030889266317</v>
      </c>
      <c r="C11" s="139">
        <v>99.100663457600177</v>
      </c>
      <c r="D11" s="139">
        <v>121.9623755166658</v>
      </c>
      <c r="E11" s="139">
        <v>131.7690306885728</v>
      </c>
      <c r="F11" s="139">
        <v>0</v>
      </c>
      <c r="G11" s="139">
        <v>0</v>
      </c>
      <c r="H11" s="139">
        <v>0</v>
      </c>
      <c r="I11" s="139">
        <v>0</v>
      </c>
      <c r="J11" s="139">
        <v>0</v>
      </c>
      <c r="K11" s="139">
        <v>0</v>
      </c>
      <c r="L11" s="139">
        <v>0</v>
      </c>
      <c r="M11" s="139">
        <v>0</v>
      </c>
      <c r="N11" s="139">
        <v>0</v>
      </c>
      <c r="O11" s="139">
        <v>0</v>
      </c>
      <c r="P11" s="139">
        <v>0</v>
      </c>
      <c r="Q11" s="139">
        <v>0</v>
      </c>
    </row>
    <row r="12" spans="1:17" s="140" customFormat="1" ht="15" customHeight="1" x14ac:dyDescent="0.2">
      <c r="A12" s="138" t="s">
        <v>115</v>
      </c>
      <c r="B12" s="139">
        <v>36.155033840000002</v>
      </c>
      <c r="C12" s="139">
        <v>33.366833320000005</v>
      </c>
      <c r="D12" s="139">
        <v>28.562787629999999</v>
      </c>
      <c r="E12" s="139">
        <v>26.359653270000003</v>
      </c>
      <c r="F12" s="139">
        <v>1653.6609161400004</v>
      </c>
      <c r="G12" s="139">
        <v>22.165789899999996</v>
      </c>
      <c r="H12" s="139">
        <v>31.3</v>
      </c>
      <c r="I12" s="139">
        <f>24886.9008/1000</f>
        <v>24.886900799999999</v>
      </c>
      <c r="J12" s="139">
        <v>295.90173419000007</v>
      </c>
      <c r="K12" s="139">
        <v>28.760434369999995</v>
      </c>
      <c r="L12" s="139">
        <v>80.283829919999988</v>
      </c>
      <c r="M12" s="139">
        <v>56.111826700000002</v>
      </c>
      <c r="N12" s="139">
        <v>32.750506520000002</v>
      </c>
      <c r="O12" s="139">
        <v>36.933944799999999</v>
      </c>
      <c r="P12" s="139">
        <v>28.537252560000002</v>
      </c>
      <c r="Q12" s="139">
        <v>37.993430200000006</v>
      </c>
    </row>
    <row r="13" spans="1:17" s="140" customFormat="1" ht="15" customHeight="1" x14ac:dyDescent="0.2">
      <c r="A13" s="141" t="s">
        <v>516</v>
      </c>
      <c r="B13" s="142">
        <v>6925.2448922857084</v>
      </c>
      <c r="C13" s="142">
        <v>7255.2810669762084</v>
      </c>
      <c r="D13" s="142">
        <v>7102.7306716382591</v>
      </c>
      <c r="E13" s="142">
        <v>7242.7362911607124</v>
      </c>
      <c r="F13" s="142">
        <v>8727.3397601100496</v>
      </c>
      <c r="G13" s="142">
        <v>6796.5942237113777</v>
      </c>
      <c r="H13" s="142">
        <f t="shared" ref="H13:N13" si="0">SUM(H7:H12)</f>
        <v>6995.3530524357502</v>
      </c>
      <c r="I13" s="142">
        <f t="shared" si="0"/>
        <v>7906.9405570978415</v>
      </c>
      <c r="J13" s="142">
        <f t="shared" si="0"/>
        <v>6355.3516631079438</v>
      </c>
      <c r="K13" s="142">
        <f t="shared" si="0"/>
        <v>5908.7920750962412</v>
      </c>
      <c r="L13" s="142">
        <f t="shared" si="0"/>
        <v>5704.5865827582375</v>
      </c>
      <c r="M13" s="142">
        <f t="shared" si="0"/>
        <v>6469.5138366355268</v>
      </c>
      <c r="N13" s="142">
        <f t="shared" si="0"/>
        <v>7282.6611682456978</v>
      </c>
      <c r="O13" s="142">
        <f t="shared" ref="O13:P13" si="1">SUM(O7:O12)</f>
        <v>7997.0563542522395</v>
      </c>
      <c r="P13" s="142">
        <f t="shared" si="1"/>
        <v>8173.5424551556216</v>
      </c>
      <c r="Q13" s="142">
        <f t="shared" ref="Q13" si="2">SUM(Q7:Q12)</f>
        <v>8427.492352345751</v>
      </c>
    </row>
    <row r="14" spans="1:17" s="140" customFormat="1" ht="15" customHeight="1" x14ac:dyDescent="0.2">
      <c r="A14" s="138" t="s">
        <v>2</v>
      </c>
      <c r="B14" s="139">
        <v>1822.6166284750002</v>
      </c>
      <c r="C14" s="139">
        <v>1822.6166284750002</v>
      </c>
      <c r="D14" s="139">
        <v>1822.6166284750002</v>
      </c>
      <c r="E14" s="139">
        <v>1822.6166284750002</v>
      </c>
      <c r="F14" s="139">
        <v>1653.6609161400004</v>
      </c>
      <c r="G14" s="139">
        <v>1653.6609161400004</v>
      </c>
      <c r="H14" s="139">
        <v>1653.7</v>
      </c>
      <c r="I14" s="139">
        <v>1653.7</v>
      </c>
      <c r="J14" s="139">
        <v>1576.1633099749997</v>
      </c>
      <c r="K14" s="139">
        <v>1576.1633099749997</v>
      </c>
      <c r="L14" s="139">
        <v>1576.1633099749997</v>
      </c>
      <c r="M14" s="139">
        <v>1576.1633099749997</v>
      </c>
      <c r="N14" s="139">
        <v>1388.8567539199998</v>
      </c>
      <c r="O14" s="139">
        <v>1388.8567539199998</v>
      </c>
      <c r="P14" s="139">
        <v>1388.8567539200001</v>
      </c>
      <c r="Q14" s="139">
        <v>1388.8567539200001</v>
      </c>
    </row>
    <row r="15" spans="1:17" s="140" customFormat="1" ht="15" customHeight="1" x14ac:dyDescent="0.2">
      <c r="A15" s="141" t="s">
        <v>173</v>
      </c>
      <c r="B15" s="142">
        <v>8747.861520760709</v>
      </c>
      <c r="C15" s="142">
        <v>9077.8976954512091</v>
      </c>
      <c r="D15" s="142">
        <v>8925.3473001132588</v>
      </c>
      <c r="E15" s="142">
        <v>9065.352919635714</v>
      </c>
      <c r="F15" s="142">
        <v>8727.3397601100496</v>
      </c>
      <c r="G15" s="142">
        <v>8450.2551398513788</v>
      </c>
      <c r="H15" s="142">
        <f t="shared" ref="H15:N15" si="3">H13+H14</f>
        <v>8649.0530524357509</v>
      </c>
      <c r="I15" s="142">
        <f t="shared" si="3"/>
        <v>9560.6405570978422</v>
      </c>
      <c r="J15" s="142">
        <f t="shared" si="3"/>
        <v>7931.5149730829435</v>
      </c>
      <c r="K15" s="142">
        <f t="shared" si="3"/>
        <v>7484.9553850712409</v>
      </c>
      <c r="L15" s="142">
        <f t="shared" si="3"/>
        <v>7280.7498927332372</v>
      </c>
      <c r="M15" s="142">
        <f t="shared" si="3"/>
        <v>8045.6771466105265</v>
      </c>
      <c r="N15" s="142">
        <f t="shared" si="3"/>
        <v>8671.5179221656981</v>
      </c>
      <c r="O15" s="142">
        <f t="shared" ref="O15:P15" si="4">O13+O14</f>
        <v>9385.9131081722389</v>
      </c>
      <c r="P15" s="142">
        <f t="shared" si="4"/>
        <v>9562.3992090756219</v>
      </c>
      <c r="Q15" s="142">
        <f t="shared" ref="Q15" si="5">Q13+Q14</f>
        <v>9816.3491062657504</v>
      </c>
    </row>
    <row r="16" spans="1:17" s="140" customFormat="1" ht="11.25" x14ac:dyDescent="0.2">
      <c r="A16" s="143"/>
      <c r="B16" s="143"/>
      <c r="C16" s="143"/>
      <c r="D16" s="143"/>
      <c r="E16" s="143"/>
      <c r="F16" s="143"/>
      <c r="G16" s="143"/>
      <c r="H16" s="143"/>
      <c r="I16" s="143"/>
    </row>
    <row r="17" spans="1:17" s="140" customFormat="1" ht="11.25" x14ac:dyDescent="0.2">
      <c r="A17" s="143"/>
      <c r="B17" s="143"/>
      <c r="C17" s="143"/>
      <c r="D17" s="143"/>
      <c r="E17" s="143"/>
      <c r="F17" s="143"/>
      <c r="G17" s="143"/>
      <c r="H17" s="143"/>
      <c r="I17" s="143"/>
    </row>
    <row r="18" spans="1:17" s="140" customFormat="1" ht="11.25" x14ac:dyDescent="0.2">
      <c r="A18" s="416" t="s">
        <v>174</v>
      </c>
      <c r="B18" s="254">
        <f t="shared" ref="B18:M18" si="6">B5</f>
        <v>43830</v>
      </c>
      <c r="C18" s="254">
        <f t="shared" si="6"/>
        <v>43921</v>
      </c>
      <c r="D18" s="254">
        <f t="shared" si="6"/>
        <v>44012</v>
      </c>
      <c r="E18" s="254">
        <f t="shared" si="6"/>
        <v>44104</v>
      </c>
      <c r="F18" s="254">
        <f t="shared" si="6"/>
        <v>44196</v>
      </c>
      <c r="G18" s="254">
        <f t="shared" si="6"/>
        <v>44286</v>
      </c>
      <c r="H18" s="254">
        <f t="shared" si="6"/>
        <v>44377</v>
      </c>
      <c r="I18" s="254">
        <f t="shared" si="6"/>
        <v>44469</v>
      </c>
      <c r="J18" s="254">
        <f t="shared" si="6"/>
        <v>44561</v>
      </c>
      <c r="K18" s="254">
        <f t="shared" si="6"/>
        <v>44651</v>
      </c>
      <c r="L18" s="254">
        <f t="shared" si="6"/>
        <v>44742</v>
      </c>
      <c r="M18" s="254">
        <f t="shared" si="6"/>
        <v>44834</v>
      </c>
      <c r="N18" s="254">
        <f t="shared" ref="N18:O18" si="7">N5</f>
        <v>44926</v>
      </c>
      <c r="O18" s="254">
        <f t="shared" si="7"/>
        <v>45015</v>
      </c>
      <c r="P18" s="254">
        <f t="shared" ref="P18:Q18" si="8">P5</f>
        <v>45107</v>
      </c>
      <c r="Q18" s="254">
        <f t="shared" si="8"/>
        <v>45199</v>
      </c>
    </row>
    <row r="19" spans="1:17" s="140" customFormat="1" ht="11.25" x14ac:dyDescent="0.2">
      <c r="A19" s="255" t="s">
        <v>170</v>
      </c>
      <c r="B19" s="255"/>
      <c r="C19" s="255"/>
      <c r="D19" s="255"/>
      <c r="E19" s="255"/>
      <c r="F19" s="255"/>
      <c r="G19" s="255"/>
      <c r="H19" s="255"/>
      <c r="I19" s="255"/>
      <c r="J19" s="255"/>
      <c r="K19" s="255"/>
      <c r="L19" s="255"/>
      <c r="M19" s="255"/>
      <c r="N19" s="255"/>
      <c r="O19" s="255"/>
      <c r="P19" s="255"/>
      <c r="Q19" s="255"/>
    </row>
    <row r="20" spans="1:17" s="140" customFormat="1" ht="15" customHeight="1" x14ac:dyDescent="0.2">
      <c r="A20" s="138" t="s">
        <v>517</v>
      </c>
      <c r="B20" s="144">
        <v>184.11972800000001</v>
      </c>
      <c r="C20" s="144">
        <v>184.11972800000001</v>
      </c>
      <c r="D20" s="144">
        <v>186.36849799999999</v>
      </c>
      <c r="E20" s="144">
        <v>186.53806899999998</v>
      </c>
      <c r="F20" s="144">
        <v>186.61373900000001</v>
      </c>
      <c r="G20" s="144">
        <v>186.855142</v>
      </c>
      <c r="H20" s="144">
        <v>186.9</v>
      </c>
      <c r="I20" s="144">
        <v>186.971486</v>
      </c>
      <c r="J20" s="144">
        <v>187.13719399999999</v>
      </c>
      <c r="K20" s="144">
        <v>187.40811099999999</v>
      </c>
      <c r="L20" s="144">
        <v>187.40811099999999</v>
      </c>
      <c r="M20" s="144">
        <v>187.59012899999999</v>
      </c>
      <c r="N20" s="144">
        <v>187.59448800000001</v>
      </c>
      <c r="O20" s="144">
        <v>205.77630600000001</v>
      </c>
      <c r="P20" s="144">
        <v>229.12875700000001</v>
      </c>
      <c r="Q20" s="144">
        <v>229.12875700000001</v>
      </c>
    </row>
    <row r="21" spans="1:17" s="140" customFormat="1" ht="15" customHeight="1" x14ac:dyDescent="0.2">
      <c r="A21" s="138" t="s">
        <v>578</v>
      </c>
      <c r="B21" s="144">
        <v>786.67196625000008</v>
      </c>
      <c r="C21" s="144">
        <v>786.67196625000008</v>
      </c>
      <c r="D21" s="144">
        <v>786.67196625000008</v>
      </c>
      <c r="E21" s="144">
        <v>786.67196625000008</v>
      </c>
      <c r="F21" s="144">
        <v>786.67196625000008</v>
      </c>
      <c r="G21" s="144">
        <v>786.67196625000008</v>
      </c>
      <c r="H21" s="144">
        <v>786.7</v>
      </c>
      <c r="I21" s="144">
        <v>786.67196625000008</v>
      </c>
      <c r="J21" s="144">
        <v>786.67196625000008</v>
      </c>
      <c r="K21" s="144">
        <v>786.67196625000008</v>
      </c>
      <c r="L21" s="144">
        <v>786.67196625000008</v>
      </c>
      <c r="M21" s="144">
        <v>786.67196625000008</v>
      </c>
      <c r="N21" s="144">
        <v>786.67196625000008</v>
      </c>
      <c r="O21" s="144">
        <v>864.25296824999998</v>
      </c>
      <c r="P21" s="144">
        <v>937.05334130999995</v>
      </c>
      <c r="Q21" s="144">
        <v>936.86085789999993</v>
      </c>
    </row>
    <row r="22" spans="1:17" s="140" customFormat="1" ht="15" customHeight="1" x14ac:dyDescent="0.2">
      <c r="A22" s="138" t="s">
        <v>175</v>
      </c>
      <c r="B22" s="144">
        <v>834.2067910924028</v>
      </c>
      <c r="C22" s="144">
        <v>879.99745832000019</v>
      </c>
      <c r="D22" s="144">
        <v>952.76783010000008</v>
      </c>
      <c r="E22" s="144">
        <v>1020.9693780900004</v>
      </c>
      <c r="F22" s="144">
        <v>1021.25393809</v>
      </c>
      <c r="G22" s="144">
        <v>1144.7990243500003</v>
      </c>
      <c r="H22" s="144">
        <v>1114.5999999999999</v>
      </c>
      <c r="I22" s="144">
        <v>756.58651119000001</v>
      </c>
      <c r="J22" s="144">
        <v>790.70449304999988</v>
      </c>
      <c r="K22" s="144">
        <v>822.70568490000028</v>
      </c>
      <c r="L22" s="144">
        <v>844.73628459999998</v>
      </c>
      <c r="M22" s="144">
        <v>835.25577565000015</v>
      </c>
      <c r="N22" s="144">
        <v>779.45896609999988</v>
      </c>
      <c r="O22" s="144">
        <v>815.05296356999975</v>
      </c>
      <c r="P22" s="144">
        <f>1971.33709932491-P20-P21-P23-P24-P27-P28</f>
        <v>851.87688515000161</v>
      </c>
      <c r="Q22" s="144">
        <v>882.94372835000001</v>
      </c>
    </row>
    <row r="23" spans="1:17" s="140" customFormat="1" ht="15" customHeight="1" x14ac:dyDescent="0.2">
      <c r="A23" s="417" t="s">
        <v>679</v>
      </c>
      <c r="B23" s="144"/>
      <c r="C23" s="144"/>
      <c r="D23" s="144"/>
      <c r="E23" s="144"/>
      <c r="F23" s="144">
        <v>-78.479159639999992</v>
      </c>
      <c r="G23" s="144">
        <v>-161.80725911796497</v>
      </c>
      <c r="H23" s="144">
        <v>-108.3</v>
      </c>
      <c r="I23" s="144">
        <v>-52.251846920000006</v>
      </c>
      <c r="J23" s="144">
        <v>0</v>
      </c>
      <c r="K23" s="144">
        <v>-3.5278251982405266</v>
      </c>
      <c r="L23" s="144">
        <v>-6.7967932945483964</v>
      </c>
      <c r="M23" s="144">
        <v>-8.5065256556059232</v>
      </c>
      <c r="N23" s="144">
        <v>-8.9531584178710363E-2</v>
      </c>
      <c r="O23" s="144">
        <v>-3.9737190672840135</v>
      </c>
      <c r="P23" s="144">
        <v>-8.0831374945194625</v>
      </c>
      <c r="Q23" s="144">
        <v>-11.644791221516062</v>
      </c>
    </row>
    <row r="24" spans="1:17" s="140" customFormat="1" ht="15" customHeight="1" x14ac:dyDescent="0.2">
      <c r="A24" s="138" t="s">
        <v>579</v>
      </c>
      <c r="B24" s="144">
        <v>194.29714705243907</v>
      </c>
      <c r="C24" s="144">
        <v>189.22599694264929</v>
      </c>
      <c r="D24" s="144">
        <v>174.6298422199726</v>
      </c>
      <c r="E24" s="144">
        <v>176.25840188795783</v>
      </c>
      <c r="F24" s="144">
        <v>159.4077594102026</v>
      </c>
      <c r="G24" s="144">
        <v>94.388123948871524</v>
      </c>
      <c r="H24" s="144">
        <v>99.6</v>
      </c>
      <c r="I24" s="144">
        <v>112.06613132752244</v>
      </c>
      <c r="J24" s="144">
        <v>104.45365488577715</v>
      </c>
      <c r="K24" s="144">
        <v>54.092066021821495</v>
      </c>
      <c r="L24" s="144">
        <v>129.70815445872631</v>
      </c>
      <c r="M24" s="144">
        <v>125.92110792493892</v>
      </c>
      <c r="N24" s="144">
        <v>150.30614390077906</v>
      </c>
      <c r="O24" s="144">
        <v>68.066606009155294</v>
      </c>
      <c r="P24" s="144">
        <v>78.116400141017991</v>
      </c>
      <c r="Q24" s="144">
        <v>78.198981885734852</v>
      </c>
    </row>
    <row r="25" spans="1:17" s="140" customFormat="1" ht="15" customHeight="1" x14ac:dyDescent="0.2">
      <c r="A25" s="141" t="s">
        <v>176</v>
      </c>
      <c r="B25" s="142">
        <v>1999.295632394842</v>
      </c>
      <c r="C25" s="142">
        <v>2040.0151495126495</v>
      </c>
      <c r="D25" s="142">
        <v>2100.4381365699728</v>
      </c>
      <c r="E25" s="142">
        <v>2170.4378152279583</v>
      </c>
      <c r="F25" s="142">
        <v>2075.4682431102028</v>
      </c>
      <c r="G25" s="142">
        <v>2050.9069974309068</v>
      </c>
      <c r="H25" s="142">
        <f t="shared" ref="H25:N25" si="9">SUM(H20:H24)</f>
        <v>2079.5</v>
      </c>
      <c r="I25" s="142">
        <f t="shared" si="9"/>
        <v>1790.0442478475227</v>
      </c>
      <c r="J25" s="142">
        <f t="shared" si="9"/>
        <v>1868.9673081857773</v>
      </c>
      <c r="K25" s="142">
        <f t="shared" si="9"/>
        <v>1847.350002973581</v>
      </c>
      <c r="L25" s="142">
        <f t="shared" si="9"/>
        <v>1941.7277230141779</v>
      </c>
      <c r="M25" s="142">
        <f t="shared" si="9"/>
        <v>1926.9324531693333</v>
      </c>
      <c r="N25" s="142">
        <f t="shared" si="9"/>
        <v>1903.9420326666004</v>
      </c>
      <c r="O25" s="142">
        <f t="shared" ref="O25:P25" si="10">SUM(O20:O24)</f>
        <v>1949.1751247618711</v>
      </c>
      <c r="P25" s="142">
        <f t="shared" si="10"/>
        <v>2088.0922461065002</v>
      </c>
      <c r="Q25" s="142">
        <f t="shared" ref="Q25" si="11">SUM(Q20:Q24)</f>
        <v>2115.4875339142186</v>
      </c>
    </row>
    <row r="26" spans="1:17" s="140" customFormat="1" ht="15" customHeight="1" x14ac:dyDescent="0.2">
      <c r="A26" s="145" t="s">
        <v>172</v>
      </c>
      <c r="B26" s="146"/>
      <c r="C26" s="146"/>
      <c r="D26" s="146"/>
      <c r="E26" s="146"/>
      <c r="F26" s="146"/>
      <c r="G26" s="146"/>
      <c r="H26" s="146"/>
      <c r="I26" s="146"/>
      <c r="J26" s="146"/>
      <c r="K26" s="146"/>
      <c r="L26" s="146"/>
      <c r="M26" s="146"/>
      <c r="N26" s="146"/>
      <c r="O26" s="146"/>
      <c r="P26" s="146"/>
      <c r="Q26" s="146"/>
    </row>
    <row r="27" spans="1:17" s="140" customFormat="1" ht="15" customHeight="1" x14ac:dyDescent="0.2">
      <c r="A27" s="147" t="s">
        <v>177</v>
      </c>
      <c r="B27" s="139">
        <v>-144.07205134</v>
      </c>
      <c r="C27" s="139">
        <v>-145.19074864873002</v>
      </c>
      <c r="D27" s="139">
        <v>-151.88384152999996</v>
      </c>
      <c r="E27" s="139">
        <v>-151.94825282999997</v>
      </c>
      <c r="F27" s="139">
        <v>-154.20006535000002</v>
      </c>
      <c r="G27" s="139">
        <v>-151.36952010578</v>
      </c>
      <c r="H27" s="139">
        <v>-148.04013725999999</v>
      </c>
      <c r="I27" s="139">
        <v>-224.47763316000001</v>
      </c>
      <c r="J27" s="139">
        <v>-226.95269474</v>
      </c>
      <c r="K27" s="139">
        <v>-206.95626014000004</v>
      </c>
      <c r="L27" s="139">
        <v>-184.28115120999999</v>
      </c>
      <c r="M27" s="139">
        <v>-185.66608209</v>
      </c>
      <c r="N27" s="139">
        <v>-123.19227220000001</v>
      </c>
      <c r="O27" s="139">
        <v>-120.53972715999998</v>
      </c>
      <c r="P27" s="139">
        <v>-115.94170968</v>
      </c>
      <c r="Q27" s="139">
        <v>-105.69114658999999</v>
      </c>
    </row>
    <row r="28" spans="1:17" s="140" customFormat="1" ht="15" customHeight="1" x14ac:dyDescent="0.2">
      <c r="A28" s="147" t="s">
        <v>178</v>
      </c>
      <c r="B28" s="139">
        <v>-1.32977906364</v>
      </c>
      <c r="C28" s="139">
        <v>-1.32977906364</v>
      </c>
      <c r="D28" s="139">
        <v>-1.49820277513</v>
      </c>
      <c r="E28" s="139">
        <v>-2.5852016350800002</v>
      </c>
      <c r="F28" s="139">
        <v>-1.84802476605</v>
      </c>
      <c r="G28" s="139">
        <v>-1.84802476605</v>
      </c>
      <c r="H28" s="139">
        <v>-2.0935198185199999</v>
      </c>
      <c r="I28" s="139">
        <v>-1.291258303</v>
      </c>
      <c r="J28" s="139">
        <v>-0.88299374776000028</v>
      </c>
      <c r="K28" s="139">
        <v>-0.86897594623000007</v>
      </c>
      <c r="L28" s="139">
        <v>-0.88255077147999983</v>
      </c>
      <c r="M28" s="139">
        <v>-0.87769482716000014</v>
      </c>
      <c r="N28" s="139">
        <v>-1.4535332506299998</v>
      </c>
      <c r="O28" s="139">
        <v>-1.6050807903800002</v>
      </c>
      <c r="P28" s="139">
        <v>-0.81343710159000004</v>
      </c>
      <c r="Q28" s="139">
        <v>-0.51085886321000007</v>
      </c>
    </row>
    <row r="29" spans="1:17" s="140" customFormat="1" ht="15" customHeight="1" x14ac:dyDescent="0.2">
      <c r="A29" s="141" t="s">
        <v>179</v>
      </c>
      <c r="B29" s="142">
        <v>1853.8938019912021</v>
      </c>
      <c r="C29" s="142">
        <v>1893.4946218002794</v>
      </c>
      <c r="D29" s="142">
        <v>1947.0560922648428</v>
      </c>
      <c r="E29" s="142">
        <v>2015.9043607628782</v>
      </c>
      <c r="F29" s="142">
        <v>1919.4201529941529</v>
      </c>
      <c r="G29" s="142">
        <v>1897.6894525590769</v>
      </c>
      <c r="H29" s="142">
        <f t="shared" ref="H29:N29" si="12">H25+H27+H28</f>
        <v>1929.3663429214801</v>
      </c>
      <c r="I29" s="142">
        <f t="shared" si="12"/>
        <v>1564.2753563845226</v>
      </c>
      <c r="J29" s="142">
        <f t="shared" si="12"/>
        <v>1641.1316196980172</v>
      </c>
      <c r="K29" s="142">
        <f t="shared" si="12"/>
        <v>1639.524766887351</v>
      </c>
      <c r="L29" s="142">
        <f t="shared" si="12"/>
        <v>1756.5640210326978</v>
      </c>
      <c r="M29" s="142">
        <f t="shared" si="12"/>
        <v>1740.3886762521734</v>
      </c>
      <c r="N29" s="142">
        <f t="shared" si="12"/>
        <v>1779.2962272159705</v>
      </c>
      <c r="O29" s="142">
        <f t="shared" ref="O29:P29" si="13">O25+O27+O28</f>
        <v>1827.030316811491</v>
      </c>
      <c r="P29" s="142">
        <f t="shared" si="13"/>
        <v>1971.3370993249102</v>
      </c>
      <c r="Q29" s="142">
        <f t="shared" ref="Q29" si="14">Q25+Q27+Q28</f>
        <v>2009.2855284610087</v>
      </c>
    </row>
    <row r="30" spans="1:17" s="140" customFormat="1" ht="15" customHeight="1" x14ac:dyDescent="0.2">
      <c r="A30" s="138" t="s">
        <v>180</v>
      </c>
      <c r="B30" s="139">
        <v>44.55</v>
      </c>
      <c r="C30" s="139">
        <v>44.55</v>
      </c>
      <c r="D30" s="139">
        <v>244.55</v>
      </c>
      <c r="E30" s="139">
        <v>244.55</v>
      </c>
      <c r="F30" s="139">
        <v>244.55</v>
      </c>
      <c r="G30" s="139">
        <v>199.55</v>
      </c>
      <c r="H30" s="139">
        <v>199.6</v>
      </c>
      <c r="I30" s="139">
        <v>199.55</v>
      </c>
      <c r="J30" s="139">
        <v>199.55</v>
      </c>
      <c r="K30" s="139">
        <v>199.55</v>
      </c>
      <c r="L30" s="139">
        <v>199.55</v>
      </c>
      <c r="M30" s="139">
        <v>199.55</v>
      </c>
      <c r="N30" s="139">
        <v>199.55</v>
      </c>
      <c r="O30" s="139">
        <v>199.55</v>
      </c>
      <c r="P30" s="139">
        <v>199.55</v>
      </c>
      <c r="Q30" s="139">
        <v>199.55</v>
      </c>
    </row>
    <row r="31" spans="1:17" s="140" customFormat="1" ht="15" customHeight="1" x14ac:dyDescent="0.2">
      <c r="A31" s="141" t="s">
        <v>181</v>
      </c>
      <c r="B31" s="142">
        <v>1898.443801991202</v>
      </c>
      <c r="C31" s="142">
        <v>1938.0446218002794</v>
      </c>
      <c r="D31" s="142">
        <v>2191.606092264843</v>
      </c>
      <c r="E31" s="142">
        <v>2260.4543607628784</v>
      </c>
      <c r="F31" s="142">
        <v>2163.9701529941531</v>
      </c>
      <c r="G31" s="142">
        <v>2097.2394525590771</v>
      </c>
      <c r="H31" s="142">
        <f>H29+H30</f>
        <v>2128.9663429214802</v>
      </c>
      <c r="I31" s="142">
        <v>2128.9663429214802</v>
      </c>
      <c r="J31" s="142">
        <v>2128.9663429214802</v>
      </c>
      <c r="K31" s="142">
        <v>2128.9663429214802</v>
      </c>
      <c r="L31" s="142">
        <f>SUM(L29:L30)</f>
        <v>1956.1140210326978</v>
      </c>
      <c r="M31" s="142">
        <f t="shared" ref="M31:N31" si="15">SUM(M29:M30)</f>
        <v>1939.9386762521733</v>
      </c>
      <c r="N31" s="142">
        <f t="shared" si="15"/>
        <v>1978.8462272159704</v>
      </c>
      <c r="O31" s="142">
        <f t="shared" ref="O31:P31" si="16">SUM(O29:O30)</f>
        <v>2026.580316811491</v>
      </c>
      <c r="P31" s="142">
        <f t="shared" si="16"/>
        <v>2170.8870993249102</v>
      </c>
      <c r="Q31" s="142">
        <f t="shared" ref="Q31" si="17">SUM(Q29:Q30)</f>
        <v>2208.8355284610088</v>
      </c>
    </row>
    <row r="32" spans="1:17" s="140" customFormat="1" ht="15" customHeight="1" x14ac:dyDescent="0.2">
      <c r="A32" s="138" t="s">
        <v>182</v>
      </c>
      <c r="B32" s="139">
        <v>64.859166509999994</v>
      </c>
      <c r="C32" s="139">
        <v>64.891666499999999</v>
      </c>
      <c r="D32" s="139">
        <v>64.924166490000005</v>
      </c>
      <c r="E32" s="139">
        <v>64.956666479999996</v>
      </c>
      <c r="F32" s="139">
        <v>64.989166470000001</v>
      </c>
      <c r="G32" s="139">
        <v>106.8</v>
      </c>
      <c r="H32" s="139">
        <v>65</v>
      </c>
      <c r="I32" s="139">
        <v>65</v>
      </c>
      <c r="J32" s="139">
        <v>65</v>
      </c>
      <c r="K32" s="139">
        <v>65</v>
      </c>
      <c r="L32" s="139">
        <v>65</v>
      </c>
      <c r="M32" s="139">
        <v>65</v>
      </c>
      <c r="N32" s="139">
        <v>65</v>
      </c>
      <c r="O32" s="139">
        <v>65</v>
      </c>
      <c r="P32" s="139">
        <v>165</v>
      </c>
      <c r="Q32" s="139">
        <v>165</v>
      </c>
    </row>
    <row r="33" spans="1:17" s="140" customFormat="1" ht="15" customHeight="1" x14ac:dyDescent="0.2">
      <c r="A33" s="141" t="s">
        <v>183</v>
      </c>
      <c r="B33" s="142">
        <v>64.859166509999994</v>
      </c>
      <c r="C33" s="142">
        <v>64.891666499999999</v>
      </c>
      <c r="D33" s="142">
        <v>64.924166490000005</v>
      </c>
      <c r="E33" s="142">
        <v>64.956666479999996</v>
      </c>
      <c r="F33" s="142">
        <v>64.989166470000001</v>
      </c>
      <c r="G33" s="142">
        <v>106.8</v>
      </c>
      <c r="H33" s="142">
        <f>H32</f>
        <v>65</v>
      </c>
      <c r="I33" s="142">
        <f>I32</f>
        <v>65</v>
      </c>
      <c r="J33" s="142">
        <f>J32</f>
        <v>65</v>
      </c>
      <c r="K33" s="142">
        <f>K32</f>
        <v>65</v>
      </c>
      <c r="L33" s="142">
        <f t="shared" ref="L33:N33" si="18">L32</f>
        <v>65</v>
      </c>
      <c r="M33" s="142">
        <f t="shared" si="18"/>
        <v>65</v>
      </c>
      <c r="N33" s="142">
        <f t="shared" si="18"/>
        <v>65</v>
      </c>
      <c r="O33" s="142">
        <f t="shared" ref="O33:P33" si="19">O32</f>
        <v>65</v>
      </c>
      <c r="P33" s="142">
        <f t="shared" si="19"/>
        <v>165</v>
      </c>
      <c r="Q33" s="142">
        <f t="shared" ref="Q33" si="20">Q32</f>
        <v>165</v>
      </c>
    </row>
    <row r="34" spans="1:17" s="140" customFormat="1" ht="11.25" x14ac:dyDescent="0.2">
      <c r="A34" s="141" t="s">
        <v>184</v>
      </c>
      <c r="B34" s="142">
        <v>1963.302968501202</v>
      </c>
      <c r="C34" s="142">
        <v>2002.9362883002793</v>
      </c>
      <c r="D34" s="142">
        <v>2256.5302587548431</v>
      </c>
      <c r="E34" s="142">
        <v>2325.4110272428784</v>
      </c>
      <c r="F34" s="142">
        <v>2228.9593194641529</v>
      </c>
      <c r="G34" s="142">
        <v>2204.0394525590773</v>
      </c>
      <c r="H34" s="142">
        <f t="shared" ref="H34:N34" si="21">H31+H33</f>
        <v>2193.9663429214802</v>
      </c>
      <c r="I34" s="142">
        <f t="shared" si="21"/>
        <v>2193.9663429214802</v>
      </c>
      <c r="J34" s="142">
        <f t="shared" si="21"/>
        <v>2193.9663429214802</v>
      </c>
      <c r="K34" s="142">
        <f t="shared" si="21"/>
        <v>2193.9663429214802</v>
      </c>
      <c r="L34" s="142">
        <f t="shared" si="21"/>
        <v>2021.1140210326978</v>
      </c>
      <c r="M34" s="142">
        <f t="shared" si="21"/>
        <v>2004.9386762521733</v>
      </c>
      <c r="N34" s="142">
        <f t="shared" si="21"/>
        <v>2043.8462272159704</v>
      </c>
      <c r="O34" s="142">
        <f t="shared" ref="O34:P34" si="22">O31+O33</f>
        <v>2091.5803168114908</v>
      </c>
      <c r="P34" s="142">
        <f t="shared" si="22"/>
        <v>2335.8870993249102</v>
      </c>
      <c r="Q34" s="142">
        <f t="shared" ref="Q34" si="23">Q31+Q33</f>
        <v>2373.8355284610088</v>
      </c>
    </row>
    <row r="35" spans="1:17" s="140" customFormat="1" ht="11.25" x14ac:dyDescent="0.2">
      <c r="A35" s="143"/>
      <c r="B35" s="143"/>
      <c r="C35" s="143"/>
      <c r="D35" s="143"/>
      <c r="E35" s="143"/>
      <c r="F35" s="143"/>
      <c r="G35" s="143"/>
      <c r="H35" s="143"/>
      <c r="I35" s="143"/>
    </row>
    <row r="36" spans="1:17" s="140" customFormat="1" ht="11.25" x14ac:dyDescent="0.2">
      <c r="A36" s="143"/>
      <c r="B36" s="143"/>
      <c r="C36" s="143"/>
      <c r="D36" s="143"/>
      <c r="E36" s="143"/>
      <c r="F36" s="143"/>
      <c r="G36" s="143"/>
      <c r="H36" s="143"/>
      <c r="I36" s="143"/>
    </row>
    <row r="37" spans="1:17" s="140" customFormat="1" ht="11.25" x14ac:dyDescent="0.2">
      <c r="A37" s="416" t="s">
        <v>185</v>
      </c>
      <c r="B37" s="254">
        <f t="shared" ref="B37:M37" si="24">B18</f>
        <v>43830</v>
      </c>
      <c r="C37" s="254">
        <f t="shared" si="24"/>
        <v>43921</v>
      </c>
      <c r="D37" s="254">
        <f t="shared" si="24"/>
        <v>44012</v>
      </c>
      <c r="E37" s="254">
        <f t="shared" si="24"/>
        <v>44104</v>
      </c>
      <c r="F37" s="254">
        <f t="shared" si="24"/>
        <v>44196</v>
      </c>
      <c r="G37" s="254">
        <f t="shared" si="24"/>
        <v>44286</v>
      </c>
      <c r="H37" s="254">
        <f t="shared" si="24"/>
        <v>44377</v>
      </c>
      <c r="I37" s="254">
        <f t="shared" si="24"/>
        <v>44469</v>
      </c>
      <c r="J37" s="254">
        <f t="shared" si="24"/>
        <v>44561</v>
      </c>
      <c r="K37" s="254">
        <f t="shared" si="24"/>
        <v>44651</v>
      </c>
      <c r="L37" s="254">
        <f t="shared" si="24"/>
        <v>44742</v>
      </c>
      <c r="M37" s="254">
        <f t="shared" si="24"/>
        <v>44834</v>
      </c>
      <c r="N37" s="254">
        <f t="shared" ref="N37:O37" si="25">N18</f>
        <v>44926</v>
      </c>
      <c r="O37" s="254">
        <f t="shared" si="25"/>
        <v>45015</v>
      </c>
      <c r="P37" s="254">
        <f t="shared" ref="P37:Q37" si="26">P18</f>
        <v>45107</v>
      </c>
      <c r="Q37" s="254">
        <f t="shared" si="26"/>
        <v>45199</v>
      </c>
    </row>
    <row r="38" spans="1:17" s="140" customFormat="1" ht="15" customHeight="1" x14ac:dyDescent="0.2">
      <c r="A38" s="255" t="s">
        <v>186</v>
      </c>
      <c r="B38" s="255"/>
      <c r="C38" s="255"/>
      <c r="D38" s="255"/>
      <c r="E38" s="255"/>
      <c r="F38" s="255"/>
      <c r="G38" s="255"/>
      <c r="H38" s="255"/>
      <c r="I38" s="255"/>
      <c r="J38" s="255"/>
      <c r="K38" s="255"/>
      <c r="L38" s="255"/>
      <c r="M38" s="255"/>
      <c r="N38" s="255"/>
      <c r="O38" s="255"/>
      <c r="P38" s="255"/>
      <c r="Q38" s="255"/>
    </row>
    <row r="39" spans="1:17" s="140" customFormat="1" ht="15" customHeight="1" x14ac:dyDescent="0.2">
      <c r="A39" s="143"/>
      <c r="B39" s="152"/>
      <c r="C39" s="152"/>
      <c r="D39" s="152"/>
      <c r="E39" s="152"/>
      <c r="F39" s="152"/>
      <c r="G39" s="152"/>
      <c r="H39" s="152"/>
      <c r="I39" s="152"/>
    </row>
    <row r="40" spans="1:17" s="140" customFormat="1" ht="15" customHeight="1" x14ac:dyDescent="0.2">
      <c r="A40" s="148" t="s">
        <v>187</v>
      </c>
      <c r="B40" s="149">
        <v>0.21192537142837492</v>
      </c>
      <c r="C40" s="149">
        <v>0.20858294346598327</v>
      </c>
      <c r="D40" s="149">
        <v>0.21814905647874738</v>
      </c>
      <c r="E40" s="149">
        <v>0.22237461449475335</v>
      </c>
      <c r="F40" s="149">
        <v>0.22731983756744864</v>
      </c>
      <c r="G40" s="149">
        <v>0.22457185270176977</v>
      </c>
      <c r="H40" s="149">
        <v>0.22307862440876894</v>
      </c>
      <c r="I40" s="149">
        <v>0.18779308490174484</v>
      </c>
      <c r="J40" s="149">
        <v>0.20691275566742287</v>
      </c>
      <c r="K40" s="149">
        <v>0.21904269064280418</v>
      </c>
      <c r="L40" s="149">
        <v>0.24252624822185906</v>
      </c>
      <c r="M40" s="149">
        <v>0.22047295250108537</v>
      </c>
      <c r="N40" s="149">
        <v>0.20485519567469138</v>
      </c>
      <c r="O40" s="149">
        <v>0.19465664083558484</v>
      </c>
      <c r="P40" s="149">
        <f>P29/P$15</f>
        <v>0.20615507219714532</v>
      </c>
      <c r="Q40" s="149">
        <f>Q29/Q$15</f>
        <v>0.20468766001593067</v>
      </c>
    </row>
    <row r="41" spans="1:17" s="140" customFormat="1" ht="15" customHeight="1" x14ac:dyDescent="0.2">
      <c r="A41" s="148" t="s">
        <v>180</v>
      </c>
      <c r="B41" s="149">
        <v>5.0926732086776279E-3</v>
      </c>
      <c r="C41" s="149">
        <v>4.9075239107754321E-3</v>
      </c>
      <c r="D41" s="149">
        <v>2.7399494022702822E-2</v>
      </c>
      <c r="E41" s="149">
        <v>2.6976335302986432E-2</v>
      </c>
      <c r="F41" s="149">
        <v>2.8021138940615337E-2</v>
      </c>
      <c r="G41" s="149">
        <v>2.3614671592449649E-2</v>
      </c>
      <c r="H41" s="149">
        <v>2.3072032351576038E-2</v>
      </c>
      <c r="I41" s="149">
        <v>2.3956210739493028E-2</v>
      </c>
      <c r="J41" s="149">
        <v>2.5159127944309467E-2</v>
      </c>
      <c r="K41" s="149">
        <v>2.6660145549832259E-2</v>
      </c>
      <c r="L41" s="149">
        <f>26.9867989595995%-L40</f>
        <v>2.7341741374135947E-2</v>
      </c>
      <c r="M41" s="149">
        <f>24.5220909193617%-M40</f>
        <v>2.4747956692531603E-2</v>
      </c>
      <c r="N41" s="149">
        <f>22.7829927859026%-N40</f>
        <v>2.2974732184334629E-2</v>
      </c>
      <c r="O41" s="149">
        <f>O30/O15</f>
        <v>2.1260584633609428E-2</v>
      </c>
      <c r="P41" s="149">
        <f>P30/P15</f>
        <v>2.0868193811717062E-2</v>
      </c>
      <c r="Q41" s="149">
        <f>Q30/Q15</f>
        <v>2.0328331627145143E-2</v>
      </c>
    </row>
    <row r="42" spans="1:17" s="140" customFormat="1" ht="15" customHeight="1" x14ac:dyDescent="0.2">
      <c r="A42" s="148" t="s">
        <v>188</v>
      </c>
      <c r="B42" s="149">
        <v>7.4142882070176936E-3</v>
      </c>
      <c r="C42" s="149">
        <v>7.1483143649565678E-3</v>
      </c>
      <c r="D42" s="149">
        <v>7.2741333537997051E-3</v>
      </c>
      <c r="E42" s="149">
        <v>7.1653764675066178E-3</v>
      </c>
      <c r="F42" s="149">
        <v>7.4466181283608379E-3</v>
      </c>
      <c r="G42" s="149">
        <v>1.2638671641561655E-2</v>
      </c>
      <c r="H42" s="149">
        <v>7.5153199842267204E-3</v>
      </c>
      <c r="I42" s="149">
        <v>7.8033259737762262E-3</v>
      </c>
      <c r="J42" s="149">
        <v>8.195155682185512E-3</v>
      </c>
      <c r="K42" s="149">
        <v>8.684086498316701E-3</v>
      </c>
      <c r="L42" s="149">
        <f>27.8774094278125%-L41-L40</f>
        <v>8.9061046821299616E-3</v>
      </c>
      <c r="M42" s="149">
        <f>25.3282132871966%-M41-M40</f>
        <v>8.0612236783490221E-3</v>
      </c>
      <c r="N42" s="149">
        <f>23.5313553977702%-N41-N40</f>
        <v>7.4836261186759789E-3</v>
      </c>
      <c r="O42" s="149">
        <f>O32/O15</f>
        <v>6.9252718676252201E-3</v>
      </c>
      <c r="P42" s="149">
        <f>P32/P15</f>
        <v>1.7255083833291482E-2</v>
      </c>
      <c r="Q42" s="149">
        <f>Q32/Q15</f>
        <v>1.6808693151986711E-2</v>
      </c>
    </row>
    <row r="43" spans="1:17" x14ac:dyDescent="0.2">
      <c r="A43" s="150" t="s">
        <v>509</v>
      </c>
      <c r="B43" s="151">
        <v>0.22443233284407024</v>
      </c>
      <c r="C43" s="151">
        <v>0.22063878174171525</v>
      </c>
      <c r="D43" s="151">
        <v>0.25282268385524992</v>
      </c>
      <c r="E43" s="151">
        <v>0.2565163262652464</v>
      </c>
      <c r="F43" s="151">
        <v>0.26278759463642481</v>
      </c>
      <c r="G43" s="151">
        <v>0.26082519593578107</v>
      </c>
      <c r="H43" s="151">
        <f t="shared" ref="H43:N43" si="27">H40+H41+H42</f>
        <v>0.2536659767445717</v>
      </c>
      <c r="I43" s="151">
        <f t="shared" si="27"/>
        <v>0.2195526216150141</v>
      </c>
      <c r="J43" s="151">
        <f t="shared" si="27"/>
        <v>0.24026703929391785</v>
      </c>
      <c r="K43" s="151">
        <f t="shared" si="27"/>
        <v>0.25438692269095314</v>
      </c>
      <c r="L43" s="151">
        <f t="shared" si="27"/>
        <v>0.27877409427812494</v>
      </c>
      <c r="M43" s="151">
        <f t="shared" si="27"/>
        <v>0.25328213287196599</v>
      </c>
      <c r="N43" s="151">
        <f t="shared" si="27"/>
        <v>0.23531355397770198</v>
      </c>
      <c r="O43" s="151">
        <f>SUM(O40:O42)</f>
        <v>0.22284249733681952</v>
      </c>
      <c r="P43" s="151">
        <f>SUM(P40:P42)</f>
        <v>0.24427834984215385</v>
      </c>
      <c r="Q43" s="151">
        <f>SUM(Q40:Q42)</f>
        <v>0.24182468479506253</v>
      </c>
    </row>
    <row r="45" spans="1:17" x14ac:dyDescent="0.2">
      <c r="A45" s="416" t="s">
        <v>551</v>
      </c>
      <c r="B45" s="254">
        <f t="shared" ref="B45:I45" si="28">B37</f>
        <v>43830</v>
      </c>
      <c r="C45" s="254">
        <f t="shared" si="28"/>
        <v>43921</v>
      </c>
      <c r="D45" s="254">
        <f t="shared" si="28"/>
        <v>44012</v>
      </c>
      <c r="E45" s="254">
        <f t="shared" si="28"/>
        <v>44104</v>
      </c>
      <c r="F45" s="254">
        <f t="shared" si="28"/>
        <v>44196</v>
      </c>
      <c r="G45" s="254">
        <f t="shared" si="28"/>
        <v>44286</v>
      </c>
      <c r="H45" s="254">
        <f t="shared" si="28"/>
        <v>44377</v>
      </c>
      <c r="I45" s="254">
        <f t="shared" si="28"/>
        <v>44469</v>
      </c>
      <c r="J45" s="254">
        <f>J37</f>
        <v>44561</v>
      </c>
      <c r="K45" s="254">
        <f t="shared" ref="K45:N45" si="29">K37</f>
        <v>44651</v>
      </c>
      <c r="L45" s="254">
        <f t="shared" si="29"/>
        <v>44742</v>
      </c>
      <c r="M45" s="254">
        <f t="shared" si="29"/>
        <v>44834</v>
      </c>
      <c r="N45" s="254">
        <f t="shared" si="29"/>
        <v>44926</v>
      </c>
      <c r="O45" s="254">
        <f t="shared" ref="O45:P45" si="30">O37</f>
        <v>45015</v>
      </c>
      <c r="P45" s="254">
        <f t="shared" si="30"/>
        <v>45107</v>
      </c>
      <c r="Q45" s="254">
        <f t="shared" ref="Q45" si="31">Q37</f>
        <v>45199</v>
      </c>
    </row>
    <row r="46" spans="1:17" x14ac:dyDescent="0.2">
      <c r="A46" s="255" t="s">
        <v>186</v>
      </c>
      <c r="B46" s="255"/>
      <c r="C46" s="255"/>
      <c r="D46" s="255"/>
      <c r="E46" s="255"/>
      <c r="F46" s="255"/>
      <c r="G46" s="255"/>
      <c r="H46" s="255"/>
      <c r="I46" s="255"/>
      <c r="J46" s="255"/>
      <c r="K46" s="255"/>
      <c r="L46" s="255"/>
      <c r="M46" s="255"/>
      <c r="N46" s="255"/>
      <c r="O46" s="255"/>
      <c r="P46" s="255"/>
      <c r="Q46" s="255"/>
    </row>
    <row r="47" spans="1:17" x14ac:dyDescent="0.2">
      <c r="A47" s="148" t="s">
        <v>554</v>
      </c>
      <c r="B47" s="149">
        <v>4.4999999999999998E-2</v>
      </c>
      <c r="C47" s="149">
        <v>4.4999999999999998E-2</v>
      </c>
      <c r="D47" s="151">
        <v>4.4999999999999998E-2</v>
      </c>
      <c r="E47" s="151">
        <v>4.4999999999999998E-2</v>
      </c>
      <c r="F47" s="151">
        <v>4.4999999999999998E-2</v>
      </c>
      <c r="G47" s="151">
        <v>4.4999999999999998E-2</v>
      </c>
      <c r="H47" s="151">
        <f t="shared" ref="H47:Q47" si="32">G47</f>
        <v>4.4999999999999998E-2</v>
      </c>
      <c r="I47" s="151">
        <f t="shared" si="32"/>
        <v>4.4999999999999998E-2</v>
      </c>
      <c r="J47" s="151">
        <f t="shared" si="32"/>
        <v>4.4999999999999998E-2</v>
      </c>
      <c r="K47" s="151">
        <f t="shared" si="32"/>
        <v>4.4999999999999998E-2</v>
      </c>
      <c r="L47" s="151">
        <f t="shared" si="32"/>
        <v>4.4999999999999998E-2</v>
      </c>
      <c r="M47" s="151">
        <f t="shared" si="32"/>
        <v>4.4999999999999998E-2</v>
      </c>
      <c r="N47" s="151">
        <f t="shared" si="32"/>
        <v>4.4999999999999998E-2</v>
      </c>
      <c r="O47" s="151">
        <f t="shared" si="32"/>
        <v>4.4999999999999998E-2</v>
      </c>
      <c r="P47" s="151">
        <f t="shared" si="32"/>
        <v>4.4999999999999998E-2</v>
      </c>
      <c r="Q47" s="151">
        <f t="shared" si="32"/>
        <v>4.4999999999999998E-2</v>
      </c>
    </row>
    <row r="48" spans="1:17" x14ac:dyDescent="0.2">
      <c r="A48" s="148" t="s">
        <v>552</v>
      </c>
      <c r="B48" s="149">
        <v>2.5000000000000001E-2</v>
      </c>
      <c r="C48" s="149">
        <v>2.5000000000000001E-2</v>
      </c>
      <c r="D48" s="149">
        <v>2.5000000000000001E-2</v>
      </c>
      <c r="E48" s="149">
        <v>2.5000000000000001E-2</v>
      </c>
      <c r="F48" s="149">
        <v>2.5000000000000001E-2</v>
      </c>
      <c r="G48" s="149">
        <v>2.5000000000000001E-2</v>
      </c>
      <c r="H48" s="149">
        <f>G48</f>
        <v>2.5000000000000001E-2</v>
      </c>
      <c r="I48" s="149">
        <f t="shared" ref="I48:Q57" si="33">H48</f>
        <v>2.5000000000000001E-2</v>
      </c>
      <c r="J48" s="149">
        <f t="shared" si="33"/>
        <v>2.5000000000000001E-2</v>
      </c>
      <c r="K48" s="149">
        <f t="shared" si="33"/>
        <v>2.5000000000000001E-2</v>
      </c>
      <c r="L48" s="149">
        <f t="shared" ref="L48:L49" si="34">K48</f>
        <v>2.5000000000000001E-2</v>
      </c>
      <c r="M48" s="149">
        <f t="shared" ref="M48:M49" si="35">L48</f>
        <v>2.5000000000000001E-2</v>
      </c>
      <c r="N48" s="149">
        <f t="shared" ref="N48:Q49" si="36">M48</f>
        <v>2.5000000000000001E-2</v>
      </c>
      <c r="O48" s="149">
        <f t="shared" si="36"/>
        <v>2.5000000000000001E-2</v>
      </c>
      <c r="P48" s="149">
        <f t="shared" si="36"/>
        <v>2.5000000000000001E-2</v>
      </c>
      <c r="Q48" s="149">
        <f t="shared" si="36"/>
        <v>2.5000000000000001E-2</v>
      </c>
    </row>
    <row r="49" spans="1:17" x14ac:dyDescent="0.2">
      <c r="A49" s="148" t="s">
        <v>553</v>
      </c>
      <c r="B49" s="149">
        <v>0.03</v>
      </c>
      <c r="C49" s="149">
        <v>0.03</v>
      </c>
      <c r="D49" s="149">
        <v>0.03</v>
      </c>
      <c r="E49" s="149">
        <v>0.03</v>
      </c>
      <c r="F49" s="149">
        <v>0.03</v>
      </c>
      <c r="G49" s="149">
        <v>0.03</v>
      </c>
      <c r="H49" s="149">
        <f>G49</f>
        <v>0.03</v>
      </c>
      <c r="I49" s="149">
        <f t="shared" si="33"/>
        <v>0.03</v>
      </c>
      <c r="J49" s="149">
        <f t="shared" si="33"/>
        <v>0.03</v>
      </c>
      <c r="K49" s="149">
        <f t="shared" si="33"/>
        <v>0.03</v>
      </c>
      <c r="L49" s="149">
        <f t="shared" si="34"/>
        <v>0.03</v>
      </c>
      <c r="M49" s="149">
        <f t="shared" si="35"/>
        <v>0.03</v>
      </c>
      <c r="N49" s="149">
        <f t="shared" si="36"/>
        <v>0.03</v>
      </c>
      <c r="O49" s="149">
        <f t="shared" si="36"/>
        <v>0.03</v>
      </c>
      <c r="P49" s="149">
        <f t="shared" si="36"/>
        <v>0.03</v>
      </c>
      <c r="Q49" s="149">
        <f t="shared" si="36"/>
        <v>0.03</v>
      </c>
    </row>
    <row r="50" spans="1:17" x14ac:dyDescent="0.2">
      <c r="A50" s="148" t="s">
        <v>565</v>
      </c>
      <c r="B50" s="149">
        <v>1.7999999999999999E-2</v>
      </c>
      <c r="C50" s="149">
        <v>5.2302379903421663E-3</v>
      </c>
      <c r="D50" s="149">
        <v>5.1673376256063819E-3</v>
      </c>
      <c r="E50" s="149">
        <v>4.9927406493235895E-3</v>
      </c>
      <c r="F50" s="149">
        <v>4.9092090211249988E-3</v>
      </c>
      <c r="G50" s="149">
        <v>4.8809768291311045E-3</v>
      </c>
      <c r="H50" s="149">
        <v>4.8850215231078581E-3</v>
      </c>
      <c r="I50" s="149">
        <v>4.9830902802812573E-3</v>
      </c>
      <c r="J50" s="149">
        <v>5.5778987570582915E-3</v>
      </c>
      <c r="K50" s="149">
        <v>5.598676764016988E-3</v>
      </c>
      <c r="L50" s="149">
        <v>7.2301552035649325E-3</v>
      </c>
      <c r="M50" s="149">
        <v>9.3152840237116577E-3</v>
      </c>
      <c r="N50" s="149">
        <v>1.1232260318672114E-2</v>
      </c>
      <c r="O50" s="149">
        <v>1.214964936721616E-2</v>
      </c>
      <c r="P50" s="149">
        <v>1.3715915937820424E-2</v>
      </c>
      <c r="Q50" s="149">
        <v>1.3106433218687312E-2</v>
      </c>
    </row>
    <row r="51" spans="1:17" x14ac:dyDescent="0.2">
      <c r="A51" s="150" t="s">
        <v>555</v>
      </c>
      <c r="B51" s="151">
        <v>0.11800000000000001</v>
      </c>
      <c r="C51" s="151">
        <v>0.10523023799034217</v>
      </c>
      <c r="D51" s="151">
        <v>0.10516733762560639</v>
      </c>
      <c r="E51" s="151">
        <v>0.1049927406493236</v>
      </c>
      <c r="F51" s="151">
        <v>0.10490920902112501</v>
      </c>
      <c r="G51" s="151">
        <v>0.10488097682913111</v>
      </c>
      <c r="H51" s="151">
        <f t="shared" ref="H51:N51" si="37">H47+H48+H49+H50</f>
        <v>0.10488502152310786</v>
      </c>
      <c r="I51" s="151">
        <f t="shared" si="37"/>
        <v>0.10498309028028126</v>
      </c>
      <c r="J51" s="151">
        <f t="shared" si="37"/>
        <v>0.10557789875705829</v>
      </c>
      <c r="K51" s="151">
        <f t="shared" si="37"/>
        <v>0.10559867676401699</v>
      </c>
      <c r="L51" s="151">
        <f t="shared" si="37"/>
        <v>0.10723015520356494</v>
      </c>
      <c r="M51" s="151">
        <f t="shared" si="37"/>
        <v>0.10931528402371166</v>
      </c>
      <c r="N51" s="151">
        <f t="shared" si="37"/>
        <v>0.11123226031867212</v>
      </c>
      <c r="O51" s="151">
        <f t="shared" ref="O51:P51" si="38">O47+O48+O49+O50</f>
        <v>0.11214964936721616</v>
      </c>
      <c r="P51" s="151">
        <f t="shared" si="38"/>
        <v>0.11371591593782043</v>
      </c>
      <c r="Q51" s="151">
        <f t="shared" ref="Q51" si="39">Q47+Q48+Q49+Q50</f>
        <v>0.11310643321868732</v>
      </c>
    </row>
    <row r="52" spans="1:17" x14ac:dyDescent="0.2">
      <c r="A52" s="148" t="s">
        <v>556</v>
      </c>
      <c r="B52" s="149">
        <v>1.4999999999999999E-2</v>
      </c>
      <c r="C52" s="149">
        <v>1.4999999999999999E-2</v>
      </c>
      <c r="D52" s="149">
        <v>1.4999999999999999E-2</v>
      </c>
      <c r="E52" s="149">
        <v>1.4999999999999999E-2</v>
      </c>
      <c r="F52" s="149">
        <v>1.4999999999999999E-2</v>
      </c>
      <c r="G52" s="149">
        <v>1.4999999999999999E-2</v>
      </c>
      <c r="H52" s="149">
        <v>1.4999999999999999E-2</v>
      </c>
      <c r="I52" s="149">
        <f t="shared" si="33"/>
        <v>1.4999999999999999E-2</v>
      </c>
      <c r="J52" s="149">
        <f t="shared" si="33"/>
        <v>1.4999999999999999E-2</v>
      </c>
      <c r="K52" s="149">
        <f t="shared" si="33"/>
        <v>1.4999999999999999E-2</v>
      </c>
      <c r="L52" s="149">
        <f t="shared" ref="L52" si="40">K52</f>
        <v>1.4999999999999999E-2</v>
      </c>
      <c r="M52" s="149">
        <f t="shared" ref="M52" si="41">L52</f>
        <v>1.4999999999999999E-2</v>
      </c>
      <c r="N52" s="149">
        <f t="shared" ref="N52:Q52" si="42">M52</f>
        <v>1.4999999999999999E-2</v>
      </c>
      <c r="O52" s="149">
        <f t="shared" si="42"/>
        <v>1.4999999999999999E-2</v>
      </c>
      <c r="P52" s="149">
        <f t="shared" si="42"/>
        <v>1.4999999999999999E-2</v>
      </c>
      <c r="Q52" s="149">
        <f t="shared" si="42"/>
        <v>1.4999999999999999E-2</v>
      </c>
    </row>
    <row r="53" spans="1:17" x14ac:dyDescent="0.2">
      <c r="A53" s="150" t="s">
        <v>557</v>
      </c>
      <c r="B53" s="151">
        <v>0.13300000000000001</v>
      </c>
      <c r="C53" s="151">
        <v>0.12023023799034217</v>
      </c>
      <c r="D53" s="151">
        <v>0.12016733762560639</v>
      </c>
      <c r="E53" s="151">
        <v>0.1199927406493236</v>
      </c>
      <c r="F53" s="151">
        <v>0.11990920902112501</v>
      </c>
      <c r="G53" s="151">
        <v>0.11988097682913111</v>
      </c>
      <c r="H53" s="151">
        <f t="shared" ref="H53:N53" si="43">H51+H52</f>
        <v>0.11988502152310786</v>
      </c>
      <c r="I53" s="151">
        <f t="shared" si="43"/>
        <v>0.11998309028028126</v>
      </c>
      <c r="J53" s="151">
        <f t="shared" si="43"/>
        <v>0.12057789875705829</v>
      </c>
      <c r="K53" s="151">
        <f t="shared" si="43"/>
        <v>0.12059867676401699</v>
      </c>
      <c r="L53" s="151">
        <f t="shared" si="43"/>
        <v>0.12223015520356494</v>
      </c>
      <c r="M53" s="151">
        <f t="shared" si="43"/>
        <v>0.12431528402371166</v>
      </c>
      <c r="N53" s="151">
        <f t="shared" si="43"/>
        <v>0.12623226031867213</v>
      </c>
      <c r="O53" s="151">
        <f t="shared" ref="O53:P53" si="44">O51+O52</f>
        <v>0.12714964936721618</v>
      </c>
      <c r="P53" s="151">
        <f t="shared" si="44"/>
        <v>0.12871591593782045</v>
      </c>
      <c r="Q53" s="151">
        <f t="shared" ref="Q53" si="45">Q51+Q52</f>
        <v>0.12810643321868731</v>
      </c>
    </row>
    <row r="54" spans="1:17" x14ac:dyDescent="0.2">
      <c r="A54" s="148" t="s">
        <v>558</v>
      </c>
      <c r="B54" s="149">
        <v>0.02</v>
      </c>
      <c r="C54" s="149">
        <v>0.02</v>
      </c>
      <c r="D54" s="149">
        <v>0.02</v>
      </c>
      <c r="E54" s="149">
        <v>0.02</v>
      </c>
      <c r="F54" s="149">
        <v>0.02</v>
      </c>
      <c r="G54" s="149">
        <v>0.02</v>
      </c>
      <c r="H54" s="149">
        <v>0.02</v>
      </c>
      <c r="I54" s="149">
        <f t="shared" si="33"/>
        <v>0.02</v>
      </c>
      <c r="J54" s="149">
        <f t="shared" si="33"/>
        <v>0.02</v>
      </c>
      <c r="K54" s="149">
        <f t="shared" si="33"/>
        <v>0.02</v>
      </c>
      <c r="L54" s="149">
        <f t="shared" ref="L54" si="46">K54</f>
        <v>0.02</v>
      </c>
      <c r="M54" s="149">
        <f t="shared" ref="M54" si="47">L54</f>
        <v>0.02</v>
      </c>
      <c r="N54" s="149">
        <f t="shared" ref="N54:Q54" si="48">M54</f>
        <v>0.02</v>
      </c>
      <c r="O54" s="149">
        <f t="shared" si="48"/>
        <v>0.02</v>
      </c>
      <c r="P54" s="149">
        <f t="shared" si="48"/>
        <v>0.02</v>
      </c>
      <c r="Q54" s="149">
        <f t="shared" si="48"/>
        <v>0.02</v>
      </c>
    </row>
    <row r="55" spans="1:17" x14ac:dyDescent="0.2">
      <c r="A55" s="150" t="s">
        <v>559</v>
      </c>
      <c r="B55" s="151">
        <v>0.153</v>
      </c>
      <c r="C55" s="151">
        <v>0.14023023799034218</v>
      </c>
      <c r="D55" s="151">
        <v>0.14016733762560638</v>
      </c>
      <c r="E55" s="151">
        <v>0.1399927406493236</v>
      </c>
      <c r="F55" s="151">
        <v>0.139909209021125</v>
      </c>
      <c r="G55" s="151">
        <v>0.13988097682913112</v>
      </c>
      <c r="H55" s="151">
        <f t="shared" ref="H55:N55" si="49">H53+H54</f>
        <v>0.13988502152310786</v>
      </c>
      <c r="I55" s="151">
        <f t="shared" si="49"/>
        <v>0.13998309028028125</v>
      </c>
      <c r="J55" s="151">
        <f t="shared" si="49"/>
        <v>0.14057789875705828</v>
      </c>
      <c r="K55" s="151">
        <f t="shared" si="49"/>
        <v>0.14059867676401699</v>
      </c>
      <c r="L55" s="151">
        <f t="shared" si="49"/>
        <v>0.14223015520356494</v>
      </c>
      <c r="M55" s="151">
        <f t="shared" si="49"/>
        <v>0.14431528402371166</v>
      </c>
      <c r="N55" s="151">
        <f t="shared" si="49"/>
        <v>0.14623226031867212</v>
      </c>
      <c r="O55" s="151">
        <f t="shared" ref="O55:P55" si="50">O53+O54</f>
        <v>0.14714964936721617</v>
      </c>
      <c r="P55" s="151">
        <f t="shared" si="50"/>
        <v>0.14871591593782044</v>
      </c>
      <c r="Q55" s="151">
        <f t="shared" ref="Q55" si="51">Q53+Q54</f>
        <v>0.1481064332186873</v>
      </c>
    </row>
    <row r="56" spans="1:17" x14ac:dyDescent="0.2">
      <c r="A56" s="150"/>
      <c r="B56" s="151"/>
      <c r="C56" s="151"/>
      <c r="D56" s="151"/>
      <c r="E56" s="151"/>
      <c r="F56" s="151"/>
      <c r="G56" s="151"/>
      <c r="H56" s="151"/>
      <c r="I56" s="151"/>
      <c r="J56" s="151"/>
      <c r="K56" s="151"/>
      <c r="L56" s="151"/>
      <c r="M56" s="151"/>
      <c r="N56" s="151"/>
      <c r="O56" s="151"/>
      <c r="P56" s="151"/>
      <c r="Q56" s="151"/>
    </row>
    <row r="57" spans="1:17" x14ac:dyDescent="0.2">
      <c r="A57" s="150" t="s">
        <v>560</v>
      </c>
      <c r="B57" s="151">
        <v>6.5000000000000002E-2</v>
      </c>
      <c r="C57" s="151">
        <v>6.5000000000000002E-2</v>
      </c>
      <c r="D57" s="151">
        <v>6.5000000000000002E-2</v>
      </c>
      <c r="E57" s="151">
        <v>6.5000000000000002E-2</v>
      </c>
      <c r="F57" s="151">
        <v>6.5000000000000002E-2</v>
      </c>
      <c r="G57" s="151">
        <v>6.5000000000000002E-2</v>
      </c>
      <c r="H57" s="151">
        <v>6.5000000000000002E-2</v>
      </c>
      <c r="I57" s="151">
        <f t="shared" si="33"/>
        <v>6.5000000000000002E-2</v>
      </c>
      <c r="J57" s="151">
        <f t="shared" si="33"/>
        <v>6.5000000000000002E-2</v>
      </c>
      <c r="K57" s="151">
        <f t="shared" si="33"/>
        <v>6.5000000000000002E-2</v>
      </c>
      <c r="L57" s="151">
        <f t="shared" si="33"/>
        <v>6.5000000000000002E-2</v>
      </c>
      <c r="M57" s="151">
        <f t="shared" si="33"/>
        <v>6.5000000000000002E-2</v>
      </c>
      <c r="N57" s="151">
        <f t="shared" si="33"/>
        <v>6.5000000000000002E-2</v>
      </c>
      <c r="O57" s="151">
        <f t="shared" si="33"/>
        <v>6.5000000000000002E-2</v>
      </c>
      <c r="P57" s="151">
        <f t="shared" si="33"/>
        <v>6.5000000000000002E-2</v>
      </c>
      <c r="Q57" s="151">
        <f t="shared" si="33"/>
        <v>6.5000000000000002E-2</v>
      </c>
    </row>
  </sheetData>
  <pageMargins left="0.39370078740157483" right="0.39370078740157483" top="0.59055118110236227" bottom="0.59055118110236227" header="0.51181102362204722" footer="0.51181102362204722"/>
  <pageSetup paperSize="9" scale="70" orientation="portrait" r:id="rId1"/>
  <headerFooter alignWithMargins="0"/>
  <ignoredErrors>
    <ignoredError sqref="I53:I54 J53:Q54"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2:T135"/>
  <sheetViews>
    <sheetView zoomScale="85" zoomScaleNormal="85" workbookViewId="0">
      <pane xSplit="2" ySplit="6" topLeftCell="J7" activePane="bottomRight" state="frozen"/>
      <selection pane="topRight" activeCell="C1" sqref="C1"/>
      <selection pane="bottomLeft" activeCell="A7" sqref="A7"/>
      <selection pane="bottomRight" activeCell="R7" sqref="R7"/>
    </sheetView>
  </sheetViews>
  <sheetFormatPr baseColWidth="10" defaultColWidth="9.140625" defaultRowHeight="14.25" x14ac:dyDescent="0.2"/>
  <cols>
    <col min="1" max="1" width="4.85546875" style="133" customWidth="1"/>
    <col min="2" max="2" width="58.140625" style="133" customWidth="1"/>
    <col min="3" max="7" width="24.5703125" style="133" customWidth="1"/>
    <col min="8" max="18" width="22" style="133" customWidth="1"/>
    <col min="19" max="19" width="16.42578125" style="133" customWidth="1"/>
    <col min="20" max="20" width="18.42578125" style="133" customWidth="1"/>
    <col min="21" max="16384" width="9.140625" style="133"/>
  </cols>
  <sheetData>
    <row r="2" spans="1:20" s="153" customFormat="1" ht="6" customHeight="1" x14ac:dyDescent="0.2"/>
    <row r="3" spans="1:20" ht="18" x14ac:dyDescent="0.25">
      <c r="A3" s="136" t="s">
        <v>525</v>
      </c>
      <c r="T3" s="153"/>
    </row>
    <row r="4" spans="1:20" ht="15.75" x14ac:dyDescent="0.25">
      <c r="A4" s="154" t="s">
        <v>510</v>
      </c>
      <c r="T4" s="153"/>
    </row>
    <row r="5" spans="1:20" ht="18" x14ac:dyDescent="0.25">
      <c r="A5" s="136"/>
      <c r="T5" s="153"/>
    </row>
    <row r="6" spans="1:20" ht="22.5" customHeight="1" x14ac:dyDescent="0.2">
      <c r="A6" s="437" t="s">
        <v>189</v>
      </c>
      <c r="B6" s="438"/>
      <c r="C6" s="241" t="s">
        <v>190</v>
      </c>
      <c r="D6" s="241" t="s">
        <v>588</v>
      </c>
      <c r="E6" s="241" t="s">
        <v>675</v>
      </c>
      <c r="F6" s="241" t="s">
        <v>676</v>
      </c>
      <c r="G6" s="241" t="s">
        <v>677</v>
      </c>
      <c r="H6" s="241" t="s">
        <v>678</v>
      </c>
      <c r="I6" s="241" t="s">
        <v>685</v>
      </c>
      <c r="J6" s="241" t="s">
        <v>686</v>
      </c>
      <c r="K6" s="241" t="s">
        <v>687</v>
      </c>
      <c r="L6" s="241" t="s">
        <v>688</v>
      </c>
      <c r="M6" s="241" t="s">
        <v>690</v>
      </c>
      <c r="N6" s="241" t="s">
        <v>691</v>
      </c>
      <c r="O6" s="241" t="s">
        <v>692</v>
      </c>
      <c r="P6" s="241" t="s">
        <v>701</v>
      </c>
      <c r="Q6" s="241" t="s">
        <v>702</v>
      </c>
      <c r="R6" s="241" t="s">
        <v>716</v>
      </c>
      <c r="S6" s="242" t="s">
        <v>191</v>
      </c>
      <c r="T6" s="153"/>
    </row>
    <row r="7" spans="1:20" ht="24.6" customHeight="1" x14ac:dyDescent="0.2">
      <c r="A7" s="155">
        <v>1</v>
      </c>
      <c r="B7" s="156" t="s">
        <v>192</v>
      </c>
      <c r="C7" s="157">
        <v>970.79169425000009</v>
      </c>
      <c r="D7" s="157">
        <v>970.79169425000009</v>
      </c>
      <c r="E7" s="157">
        <v>973.04046425000013</v>
      </c>
      <c r="F7" s="157">
        <v>973.21003525000003</v>
      </c>
      <c r="G7" s="157">
        <v>973.28570525000009</v>
      </c>
      <c r="H7" s="157">
        <v>973.52710825000008</v>
      </c>
      <c r="I7" s="157">
        <v>973.56657725000014</v>
      </c>
      <c r="J7" s="157">
        <v>973.64345225000011</v>
      </c>
      <c r="K7" s="157">
        <v>973.8091602500001</v>
      </c>
      <c r="L7" s="157">
        <v>974.08007725000004</v>
      </c>
      <c r="M7" s="157">
        <f>'1'!L20+'1'!L21</f>
        <v>974.08007725000004</v>
      </c>
      <c r="N7" s="157">
        <f>'1'!M20+'1'!M21</f>
        <v>974.26209525000013</v>
      </c>
      <c r="O7" s="157">
        <f>'1'!N20+'1'!N21</f>
        <v>974.26645425000015</v>
      </c>
      <c r="P7" s="157">
        <f>'1'!O20+'1'!O21</f>
        <v>1070.0292742500001</v>
      </c>
      <c r="Q7" s="157">
        <f>'1'!P20+'1'!P21</f>
        <v>1166.1820983099999</v>
      </c>
      <c r="R7" s="157">
        <f>'1'!Q20+'1'!Q21</f>
        <v>1165.9896148999999</v>
      </c>
      <c r="S7" s="158" t="s">
        <v>193</v>
      </c>
      <c r="T7" s="153"/>
    </row>
    <row r="8" spans="1:20" ht="15" x14ac:dyDescent="0.2">
      <c r="A8" s="155"/>
      <c r="B8" s="156" t="s">
        <v>194</v>
      </c>
      <c r="C8" s="159"/>
      <c r="D8" s="159"/>
      <c r="E8" s="159"/>
      <c r="F8" s="159"/>
      <c r="G8" s="159"/>
      <c r="H8" s="159"/>
      <c r="I8" s="159"/>
      <c r="J8" s="159"/>
      <c r="K8" s="159"/>
      <c r="L8" s="159"/>
      <c r="M8" s="159"/>
      <c r="N8" s="159"/>
      <c r="O8" s="159"/>
      <c r="P8" s="159"/>
      <c r="Q8" s="159"/>
      <c r="R8" s="159"/>
      <c r="S8" s="158" t="s">
        <v>195</v>
      </c>
      <c r="T8" s="153"/>
    </row>
    <row r="9" spans="1:20" ht="15" x14ac:dyDescent="0.2">
      <c r="A9" s="155"/>
      <c r="B9" s="156" t="s">
        <v>196</v>
      </c>
      <c r="C9" s="159"/>
      <c r="D9" s="159"/>
      <c r="E9" s="159"/>
      <c r="F9" s="159"/>
      <c r="G9" s="159"/>
      <c r="H9" s="159"/>
      <c r="I9" s="159"/>
      <c r="J9" s="159"/>
      <c r="K9" s="159"/>
      <c r="L9" s="159"/>
      <c r="M9" s="159"/>
      <c r="N9" s="159"/>
      <c r="O9" s="159"/>
      <c r="P9" s="159"/>
      <c r="Q9" s="159"/>
      <c r="R9" s="159"/>
      <c r="S9" s="158" t="s">
        <v>195</v>
      </c>
      <c r="T9" s="153"/>
    </row>
    <row r="10" spans="1:20" ht="15" x14ac:dyDescent="0.2">
      <c r="A10" s="155"/>
      <c r="B10" s="156" t="s">
        <v>197</v>
      </c>
      <c r="C10" s="159"/>
      <c r="D10" s="159"/>
      <c r="E10" s="159"/>
      <c r="F10" s="159"/>
      <c r="G10" s="159"/>
      <c r="H10" s="159"/>
      <c r="I10" s="159"/>
      <c r="J10" s="159"/>
      <c r="K10" s="159"/>
      <c r="L10" s="159"/>
      <c r="M10" s="159"/>
      <c r="N10" s="159"/>
      <c r="O10" s="159"/>
      <c r="P10" s="159"/>
      <c r="Q10" s="159"/>
      <c r="R10" s="159"/>
      <c r="S10" s="158" t="s">
        <v>195</v>
      </c>
      <c r="T10" s="153"/>
    </row>
    <row r="11" spans="1:20" ht="15" x14ac:dyDescent="0.2">
      <c r="A11" s="155">
        <v>2</v>
      </c>
      <c r="B11" s="156" t="s">
        <v>198</v>
      </c>
      <c r="C11" s="157">
        <v>834.2067910924028</v>
      </c>
      <c r="D11" s="157">
        <v>879.99745832000019</v>
      </c>
      <c r="E11" s="157">
        <v>952.76783010000008</v>
      </c>
      <c r="F11" s="157">
        <v>1020.9693780900005</v>
      </c>
      <c r="G11" s="157">
        <v>1085.7312417600001</v>
      </c>
      <c r="H11" s="157">
        <v>1144.7990243500001</v>
      </c>
      <c r="I11" s="157">
        <v>1114.62930022</v>
      </c>
      <c r="J11" s="157">
        <v>756.5865111899999</v>
      </c>
      <c r="K11" s="157">
        <v>790.70449304999988</v>
      </c>
      <c r="L11" s="157">
        <v>822.70568490000028</v>
      </c>
      <c r="M11" s="157">
        <f>'1'!L22</f>
        <v>844.73628459999998</v>
      </c>
      <c r="N11" s="157">
        <f>'1'!M22</f>
        <v>835.25577565000015</v>
      </c>
      <c r="O11" s="157">
        <f>'1'!N22</f>
        <v>779.45896609999988</v>
      </c>
      <c r="P11" s="157">
        <f>'1'!O22</f>
        <v>815.05296356999975</v>
      </c>
      <c r="Q11" s="157">
        <f>'1'!P22</f>
        <v>851.87688515000161</v>
      </c>
      <c r="R11" s="157">
        <f>'1'!Q22</f>
        <v>882.94372835000001</v>
      </c>
      <c r="S11" s="158" t="s">
        <v>199</v>
      </c>
      <c r="T11" s="153"/>
    </row>
    <row r="12" spans="1:20" ht="15" x14ac:dyDescent="0.2">
      <c r="A12" s="155">
        <v>3</v>
      </c>
      <c r="B12" s="156" t="s">
        <v>200</v>
      </c>
      <c r="C12" s="159"/>
      <c r="D12" s="159"/>
      <c r="E12" s="159"/>
      <c r="F12" s="159"/>
      <c r="G12" s="159"/>
      <c r="H12" s="159"/>
      <c r="I12" s="159"/>
      <c r="J12" s="159"/>
      <c r="K12" s="159"/>
      <c r="L12" s="159"/>
      <c r="M12" s="159"/>
      <c r="N12" s="159"/>
      <c r="O12" s="159"/>
      <c r="P12" s="159"/>
      <c r="Q12" s="159"/>
      <c r="R12" s="159"/>
      <c r="S12" s="158" t="s">
        <v>201</v>
      </c>
      <c r="T12" s="153"/>
    </row>
    <row r="13" spans="1:20" x14ac:dyDescent="0.2">
      <c r="A13" s="155" t="s">
        <v>202</v>
      </c>
      <c r="B13" s="156" t="s">
        <v>203</v>
      </c>
      <c r="C13" s="159"/>
      <c r="D13" s="159"/>
      <c r="E13" s="159"/>
      <c r="F13" s="159"/>
      <c r="G13" s="159"/>
      <c r="H13" s="159"/>
      <c r="I13" s="159"/>
      <c r="J13" s="159"/>
      <c r="K13" s="159"/>
      <c r="L13" s="159"/>
      <c r="M13" s="159"/>
      <c r="N13" s="159"/>
      <c r="O13" s="159"/>
      <c r="P13" s="159"/>
      <c r="Q13" s="159"/>
      <c r="R13" s="159"/>
      <c r="S13" s="158" t="s">
        <v>204</v>
      </c>
    </row>
    <row r="14" spans="1:20" ht="22.5" x14ac:dyDescent="0.2">
      <c r="A14" s="155">
        <v>4</v>
      </c>
      <c r="B14" s="156" t="s">
        <v>205</v>
      </c>
      <c r="C14" s="159"/>
      <c r="D14" s="159"/>
      <c r="E14" s="159"/>
      <c r="F14" s="159"/>
      <c r="G14" s="159"/>
      <c r="H14" s="159"/>
      <c r="I14" s="159"/>
      <c r="J14" s="159"/>
      <c r="K14" s="159"/>
      <c r="L14" s="159"/>
      <c r="M14" s="159"/>
      <c r="N14" s="159"/>
      <c r="O14" s="159"/>
      <c r="P14" s="159"/>
      <c r="Q14" s="159"/>
      <c r="R14" s="159"/>
      <c r="S14" s="158" t="s">
        <v>206</v>
      </c>
    </row>
    <row r="15" spans="1:20" x14ac:dyDescent="0.2">
      <c r="A15" s="155"/>
      <c r="B15" s="156" t="s">
        <v>207</v>
      </c>
      <c r="C15" s="159"/>
      <c r="D15" s="159"/>
      <c r="E15" s="159"/>
      <c r="F15" s="159"/>
      <c r="G15" s="159"/>
      <c r="H15" s="159"/>
      <c r="I15" s="159"/>
      <c r="J15" s="159"/>
      <c r="K15" s="159"/>
      <c r="L15" s="159"/>
      <c r="M15" s="159"/>
      <c r="N15" s="159"/>
      <c r="O15" s="159"/>
      <c r="P15" s="159"/>
      <c r="Q15" s="159"/>
      <c r="R15" s="159"/>
      <c r="S15" s="158" t="s">
        <v>208</v>
      </c>
    </row>
    <row r="16" spans="1:20" x14ac:dyDescent="0.2">
      <c r="A16" s="155">
        <v>5</v>
      </c>
      <c r="B16" s="156" t="s">
        <v>209</v>
      </c>
      <c r="C16" s="159"/>
      <c r="D16" s="159"/>
      <c r="E16" s="159"/>
      <c r="F16" s="159"/>
      <c r="G16" s="159"/>
      <c r="H16" s="159"/>
      <c r="I16" s="159"/>
      <c r="J16" s="159"/>
      <c r="K16" s="159"/>
      <c r="L16" s="159"/>
      <c r="M16" s="159"/>
      <c r="N16" s="159"/>
      <c r="O16" s="159"/>
      <c r="P16" s="159"/>
      <c r="Q16" s="159"/>
      <c r="R16" s="159"/>
      <c r="S16" s="158" t="s">
        <v>210</v>
      </c>
    </row>
    <row r="17" spans="1:19" x14ac:dyDescent="0.2">
      <c r="A17" s="155" t="s">
        <v>211</v>
      </c>
      <c r="B17" s="156" t="s">
        <v>212</v>
      </c>
      <c r="C17" s="159"/>
      <c r="D17" s="159"/>
      <c r="E17" s="159"/>
      <c r="F17" s="159"/>
      <c r="G17" s="159">
        <v>-78.479159639999992</v>
      </c>
      <c r="H17" s="159">
        <v>-161.80725911796497</v>
      </c>
      <c r="I17" s="159">
        <v>-108.28825573691002</v>
      </c>
      <c r="J17" s="159">
        <v>-52.251846920000006</v>
      </c>
      <c r="K17" s="159">
        <v>0</v>
      </c>
      <c r="L17" s="159">
        <v>-3.5278251982405266</v>
      </c>
      <c r="M17" s="159">
        <f>'1'!L23</f>
        <v>-6.7967932945483964</v>
      </c>
      <c r="N17" s="159">
        <f>'1'!M23</f>
        <v>-8.5065256556059232</v>
      </c>
      <c r="O17" s="159">
        <f>'1'!N23</f>
        <v>-8.9531584178710363E-2</v>
      </c>
      <c r="P17" s="159">
        <f>'1'!O23</f>
        <v>-3.9737190672840135</v>
      </c>
      <c r="Q17" s="159">
        <f>'1'!P23</f>
        <v>-8.0831374945194625</v>
      </c>
      <c r="R17" s="159">
        <f>'1'!Q23</f>
        <v>-11.644791221516062</v>
      </c>
      <c r="S17" s="158" t="s">
        <v>213</v>
      </c>
    </row>
    <row r="18" spans="1:19" x14ac:dyDescent="0.2">
      <c r="A18" s="160">
        <v>6</v>
      </c>
      <c r="B18" s="161" t="s">
        <v>214</v>
      </c>
      <c r="C18" s="162">
        <v>1804.998485342403</v>
      </c>
      <c r="D18" s="162">
        <v>1850.7891525700002</v>
      </c>
      <c r="E18" s="162">
        <v>1925.8082943500003</v>
      </c>
      <c r="F18" s="162">
        <v>1994.1794133400006</v>
      </c>
      <c r="G18" s="162">
        <v>1980.5377873699999</v>
      </c>
      <c r="H18" s="162">
        <v>1956.5188734820351</v>
      </c>
      <c r="I18" s="162">
        <v>1979.9076217330901</v>
      </c>
      <c r="J18" s="162">
        <v>1677.9781165200002</v>
      </c>
      <c r="K18" s="162">
        <v>1764.5136533</v>
      </c>
      <c r="L18" s="162">
        <f>(SUM(L7:L17))</f>
        <v>1793.2579369517596</v>
      </c>
      <c r="M18" s="162">
        <f t="shared" ref="M18:O18" si="0">(SUM(M7:M17))</f>
        <v>1812.0195685554515</v>
      </c>
      <c r="N18" s="162">
        <f t="shared" si="0"/>
        <v>1801.0113452443943</v>
      </c>
      <c r="O18" s="162">
        <f t="shared" si="0"/>
        <v>1753.6358887658214</v>
      </c>
      <c r="P18" s="162">
        <f t="shared" ref="P18:Q18" si="1">(SUM(P7:P17))</f>
        <v>1881.1085187527158</v>
      </c>
      <c r="Q18" s="162">
        <f t="shared" si="1"/>
        <v>2009.975845965482</v>
      </c>
      <c r="R18" s="162">
        <f t="shared" ref="R18" si="2">(SUM(R7:R17))</f>
        <v>2037.2885520284838</v>
      </c>
      <c r="S18" s="163">
        <v>0</v>
      </c>
    </row>
    <row r="19" spans="1:19" x14ac:dyDescent="0.2">
      <c r="A19" s="164" t="s">
        <v>215</v>
      </c>
      <c r="B19" s="165"/>
      <c r="C19" s="166"/>
      <c r="D19" s="278"/>
      <c r="E19" s="278"/>
      <c r="F19" s="278"/>
      <c r="G19" s="278"/>
      <c r="H19" s="278"/>
      <c r="I19" s="278"/>
      <c r="J19" s="278"/>
      <c r="K19" s="278"/>
      <c r="L19" s="278"/>
      <c r="M19" s="278"/>
      <c r="N19" s="278"/>
      <c r="O19" s="278"/>
      <c r="P19" s="278"/>
      <c r="Q19" s="278"/>
      <c r="R19" s="278"/>
      <c r="S19" s="167"/>
    </row>
    <row r="20" spans="1:19" x14ac:dyDescent="0.2">
      <c r="A20" s="168">
        <v>7</v>
      </c>
      <c r="B20" s="169" t="s">
        <v>216</v>
      </c>
      <c r="C20" s="170">
        <v>-1.32977906364</v>
      </c>
      <c r="D20" s="170">
        <v>-1.0055609623699999</v>
      </c>
      <c r="E20" s="170">
        <v>-1.49820277513</v>
      </c>
      <c r="F20" s="170">
        <v>-2.5852016350800002</v>
      </c>
      <c r="G20" s="170">
        <v>-1.84802476605</v>
      </c>
      <c r="H20" s="170">
        <v>-1.84802476605</v>
      </c>
      <c r="I20" s="170">
        <v>-2.0935198185199999</v>
      </c>
      <c r="J20" s="170">
        <v>-1.291258303</v>
      </c>
      <c r="K20" s="170">
        <v>-0.88299374776000028</v>
      </c>
      <c r="L20" s="170">
        <v>-0.86897594623000007</v>
      </c>
      <c r="M20" s="170">
        <f>'1'!L28</f>
        <v>-0.88255077147999983</v>
      </c>
      <c r="N20" s="170">
        <f>'1'!M28</f>
        <v>-0.87769482716000014</v>
      </c>
      <c r="O20" s="170">
        <f>'1'!N28</f>
        <v>-1.4535332506299998</v>
      </c>
      <c r="P20" s="170">
        <f>'1'!O28</f>
        <v>-1.6050807903800002</v>
      </c>
      <c r="Q20" s="170">
        <f>'1'!P28</f>
        <v>-0.81343710159000004</v>
      </c>
      <c r="R20" s="170">
        <f>'1'!Q28</f>
        <v>-0.51085886321000007</v>
      </c>
      <c r="S20" s="171" t="s">
        <v>217</v>
      </c>
    </row>
    <row r="21" spans="1:19" x14ac:dyDescent="0.2">
      <c r="A21" s="155">
        <v>8</v>
      </c>
      <c r="B21" s="156" t="s">
        <v>218</v>
      </c>
      <c r="C21" s="159">
        <v>-144.07205134</v>
      </c>
      <c r="D21" s="159">
        <v>-145.51496675000001</v>
      </c>
      <c r="E21" s="159">
        <v>-151.88384152999996</v>
      </c>
      <c r="F21" s="159">
        <v>-151.94825282999997</v>
      </c>
      <c r="G21" s="159">
        <v>-154.20006535000002</v>
      </c>
      <c r="H21" s="159">
        <v>-151.36952010578</v>
      </c>
      <c r="I21" s="159">
        <v>-148.04013725999999</v>
      </c>
      <c r="J21" s="159">
        <v>-224.47763316000001</v>
      </c>
      <c r="K21" s="159">
        <v>-226.95269474</v>
      </c>
      <c r="L21" s="159">
        <v>-206.95626014000004</v>
      </c>
      <c r="M21" s="159">
        <f>'1'!L27</f>
        <v>-184.28115120999999</v>
      </c>
      <c r="N21" s="159">
        <f>'1'!M27</f>
        <v>-185.66608209</v>
      </c>
      <c r="O21" s="159">
        <f>'1'!N27</f>
        <v>-123.19227220000001</v>
      </c>
      <c r="P21" s="159">
        <f>'1'!O27</f>
        <v>-120.53972715999998</v>
      </c>
      <c r="Q21" s="159">
        <f>'1'!P27</f>
        <v>-115.94170968</v>
      </c>
      <c r="R21" s="159">
        <f>'1'!Q27</f>
        <v>-105.69114658999999</v>
      </c>
      <c r="S21" s="158" t="s">
        <v>219</v>
      </c>
    </row>
    <row r="22" spans="1:19" x14ac:dyDescent="0.2">
      <c r="A22" s="155">
        <v>9</v>
      </c>
      <c r="B22" s="156" t="s">
        <v>220</v>
      </c>
      <c r="C22" s="159"/>
      <c r="D22" s="159"/>
      <c r="E22" s="159"/>
      <c r="F22" s="159"/>
      <c r="G22" s="159"/>
      <c r="H22" s="159"/>
      <c r="I22" s="159"/>
      <c r="J22" s="159"/>
      <c r="K22" s="159"/>
      <c r="L22" s="159"/>
      <c r="M22" s="159"/>
      <c r="N22" s="159"/>
      <c r="O22" s="159"/>
      <c r="P22" s="159"/>
      <c r="Q22" s="159"/>
      <c r="R22" s="159"/>
      <c r="S22" s="158">
        <v>0</v>
      </c>
    </row>
    <row r="23" spans="1:19" ht="33.75" x14ac:dyDescent="0.2">
      <c r="A23" s="155">
        <v>10</v>
      </c>
      <c r="B23" s="156" t="s">
        <v>221</v>
      </c>
      <c r="C23" s="172"/>
      <c r="D23" s="172"/>
      <c r="E23" s="172"/>
      <c r="F23" s="172"/>
      <c r="G23" s="172"/>
      <c r="H23" s="172"/>
      <c r="I23" s="172"/>
      <c r="J23" s="172"/>
      <c r="K23" s="172"/>
      <c r="L23" s="172"/>
      <c r="M23" s="172"/>
      <c r="N23" s="172"/>
      <c r="O23" s="172"/>
      <c r="P23" s="172"/>
      <c r="Q23" s="172"/>
      <c r="R23" s="172"/>
      <c r="S23" s="158" t="s">
        <v>222</v>
      </c>
    </row>
    <row r="24" spans="1:19" x14ac:dyDescent="0.2">
      <c r="A24" s="155">
        <v>11</v>
      </c>
      <c r="B24" s="156" t="s">
        <v>223</v>
      </c>
      <c r="C24" s="170"/>
      <c r="D24" s="170"/>
      <c r="E24" s="170"/>
      <c r="F24" s="170"/>
      <c r="G24" s="170"/>
      <c r="H24" s="170"/>
      <c r="I24" s="170"/>
      <c r="J24" s="170"/>
      <c r="K24" s="170"/>
      <c r="L24" s="170"/>
      <c r="M24" s="170"/>
      <c r="N24" s="170"/>
      <c r="O24" s="170"/>
      <c r="P24" s="170"/>
      <c r="Q24" s="170"/>
      <c r="R24" s="170"/>
      <c r="S24" s="158" t="s">
        <v>224</v>
      </c>
    </row>
    <row r="25" spans="1:19" ht="22.5" x14ac:dyDescent="0.2">
      <c r="A25" s="155">
        <v>12</v>
      </c>
      <c r="B25" s="156" t="s">
        <v>225</v>
      </c>
      <c r="C25" s="170"/>
      <c r="D25" s="170"/>
      <c r="E25" s="170"/>
      <c r="F25" s="170"/>
      <c r="G25" s="170"/>
      <c r="H25" s="170"/>
      <c r="I25" s="170"/>
      <c r="J25" s="170"/>
      <c r="K25" s="170"/>
      <c r="L25" s="170"/>
      <c r="M25" s="170"/>
      <c r="N25" s="170"/>
      <c r="O25" s="170"/>
      <c r="P25" s="170"/>
      <c r="Q25" s="170"/>
      <c r="R25" s="170"/>
      <c r="S25" s="158" t="s">
        <v>226</v>
      </c>
    </row>
    <row r="26" spans="1:19" x14ac:dyDescent="0.2">
      <c r="A26" s="155">
        <v>13</v>
      </c>
      <c r="B26" s="156" t="s">
        <v>227</v>
      </c>
      <c r="C26" s="170"/>
      <c r="D26" s="170"/>
      <c r="E26" s="170"/>
      <c r="F26" s="170"/>
      <c r="G26" s="170"/>
      <c r="H26" s="170"/>
      <c r="I26" s="170"/>
      <c r="J26" s="170"/>
      <c r="K26" s="170"/>
      <c r="L26" s="170"/>
      <c r="M26" s="170"/>
      <c r="N26" s="170"/>
      <c r="O26" s="170"/>
      <c r="P26" s="170"/>
      <c r="Q26" s="170"/>
      <c r="R26" s="170"/>
      <c r="S26" s="158" t="s">
        <v>228</v>
      </c>
    </row>
    <row r="27" spans="1:19" ht="22.5" x14ac:dyDescent="0.2">
      <c r="A27" s="155">
        <v>14</v>
      </c>
      <c r="B27" s="156" t="s">
        <v>229</v>
      </c>
      <c r="C27" s="170"/>
      <c r="D27" s="170"/>
      <c r="E27" s="170"/>
      <c r="F27" s="170"/>
      <c r="G27" s="170"/>
      <c r="H27" s="170"/>
      <c r="I27" s="170"/>
      <c r="J27" s="170"/>
      <c r="K27" s="170"/>
      <c r="L27" s="170"/>
      <c r="M27" s="170"/>
      <c r="N27" s="170"/>
      <c r="O27" s="170"/>
      <c r="P27" s="170"/>
      <c r="Q27" s="170"/>
      <c r="R27" s="170"/>
      <c r="S27" s="158" t="s">
        <v>230</v>
      </c>
    </row>
    <row r="28" spans="1:19" x14ac:dyDescent="0.2">
      <c r="A28" s="155">
        <v>15</v>
      </c>
      <c r="B28" s="156" t="s">
        <v>231</v>
      </c>
      <c r="C28" s="170"/>
      <c r="D28" s="170"/>
      <c r="E28" s="170"/>
      <c r="F28" s="170"/>
      <c r="G28" s="170"/>
      <c r="H28" s="170"/>
      <c r="I28" s="170"/>
      <c r="J28" s="170"/>
      <c r="K28" s="170"/>
      <c r="L28" s="170"/>
      <c r="M28" s="170"/>
      <c r="N28" s="170"/>
      <c r="O28" s="170"/>
      <c r="P28" s="170"/>
      <c r="Q28" s="170"/>
      <c r="R28" s="170"/>
      <c r="S28" s="158" t="s">
        <v>232</v>
      </c>
    </row>
    <row r="29" spans="1:19" ht="22.5" x14ac:dyDescent="0.2">
      <c r="A29" s="155">
        <v>16</v>
      </c>
      <c r="B29" s="156" t="s">
        <v>233</v>
      </c>
      <c r="C29" s="173"/>
      <c r="D29" s="173"/>
      <c r="E29" s="173"/>
      <c r="F29" s="173"/>
      <c r="G29" s="173"/>
      <c r="H29" s="173"/>
      <c r="I29" s="173"/>
      <c r="J29" s="173"/>
      <c r="K29" s="173"/>
      <c r="L29" s="173"/>
      <c r="M29" s="173"/>
      <c r="N29" s="173"/>
      <c r="O29" s="173"/>
      <c r="P29" s="173"/>
      <c r="Q29" s="173"/>
      <c r="R29" s="173"/>
      <c r="S29" s="158" t="s">
        <v>234</v>
      </c>
    </row>
    <row r="30" spans="1:19" ht="33.75" x14ac:dyDescent="0.2">
      <c r="A30" s="155">
        <v>17</v>
      </c>
      <c r="B30" s="156" t="s">
        <v>235</v>
      </c>
      <c r="C30" s="159"/>
      <c r="D30" s="159"/>
      <c r="E30" s="159"/>
      <c r="F30" s="159"/>
      <c r="G30" s="159"/>
      <c r="H30" s="159"/>
      <c r="I30" s="159"/>
      <c r="J30" s="159"/>
      <c r="K30" s="159"/>
      <c r="L30" s="159"/>
      <c r="M30" s="159"/>
      <c r="N30" s="159"/>
      <c r="O30" s="159"/>
      <c r="P30" s="159"/>
      <c r="Q30" s="159"/>
      <c r="R30" s="159"/>
      <c r="S30" s="158" t="s">
        <v>236</v>
      </c>
    </row>
    <row r="31" spans="1:19" ht="45" x14ac:dyDescent="0.2">
      <c r="A31" s="155">
        <v>18</v>
      </c>
      <c r="B31" s="156" t="s">
        <v>237</v>
      </c>
      <c r="C31" s="159"/>
      <c r="D31" s="159"/>
      <c r="E31" s="159"/>
      <c r="F31" s="159"/>
      <c r="G31" s="159"/>
      <c r="H31" s="159"/>
      <c r="I31" s="159"/>
      <c r="J31" s="159"/>
      <c r="K31" s="159"/>
      <c r="L31" s="159"/>
      <c r="M31" s="159"/>
      <c r="N31" s="159"/>
      <c r="O31" s="159"/>
      <c r="P31" s="159"/>
      <c r="Q31" s="159"/>
      <c r="R31" s="159"/>
      <c r="S31" s="158" t="s">
        <v>238</v>
      </c>
    </row>
    <row r="32" spans="1:19" ht="45" x14ac:dyDescent="0.2">
      <c r="A32" s="155">
        <v>19</v>
      </c>
      <c r="B32" s="156" t="s">
        <v>239</v>
      </c>
      <c r="C32" s="159"/>
      <c r="D32" s="159"/>
      <c r="E32" s="159"/>
      <c r="F32" s="159"/>
      <c r="G32" s="159"/>
      <c r="H32" s="159"/>
      <c r="I32" s="159"/>
      <c r="J32" s="159"/>
      <c r="K32" s="159"/>
      <c r="L32" s="159"/>
      <c r="M32" s="159"/>
      <c r="N32" s="159"/>
      <c r="O32" s="159"/>
      <c r="P32" s="159"/>
      <c r="Q32" s="159"/>
      <c r="R32" s="159"/>
      <c r="S32" s="158" t="s">
        <v>240</v>
      </c>
    </row>
    <row r="33" spans="1:19" x14ac:dyDescent="0.2">
      <c r="A33" s="155">
        <v>20</v>
      </c>
      <c r="B33" s="156" t="s">
        <v>220</v>
      </c>
      <c r="C33" s="159"/>
      <c r="D33" s="159"/>
      <c r="E33" s="159"/>
      <c r="F33" s="159"/>
      <c r="G33" s="159"/>
      <c r="H33" s="159"/>
      <c r="I33" s="159"/>
      <c r="J33" s="159"/>
      <c r="K33" s="159"/>
      <c r="L33" s="159"/>
      <c r="M33" s="159"/>
      <c r="N33" s="159"/>
      <c r="O33" s="159"/>
      <c r="P33" s="159"/>
      <c r="Q33" s="159"/>
      <c r="R33" s="159"/>
      <c r="S33" s="158">
        <v>0</v>
      </c>
    </row>
    <row r="34" spans="1:19" ht="22.5" x14ac:dyDescent="0.2">
      <c r="A34" s="155" t="s">
        <v>241</v>
      </c>
      <c r="B34" s="156" t="s">
        <v>242</v>
      </c>
      <c r="C34" s="159"/>
      <c r="D34" s="159"/>
      <c r="E34" s="159"/>
      <c r="F34" s="159"/>
      <c r="G34" s="159"/>
      <c r="H34" s="159"/>
      <c r="I34" s="159"/>
      <c r="J34" s="159"/>
      <c r="K34" s="159"/>
      <c r="L34" s="159"/>
      <c r="M34" s="159"/>
      <c r="N34" s="159"/>
      <c r="O34" s="159"/>
      <c r="P34" s="159"/>
      <c r="Q34" s="159"/>
      <c r="R34" s="159"/>
      <c r="S34" s="158" t="s">
        <v>243</v>
      </c>
    </row>
    <row r="35" spans="1:19" x14ac:dyDescent="0.2">
      <c r="A35" s="155" t="s">
        <v>244</v>
      </c>
      <c r="B35" s="156" t="s">
        <v>245</v>
      </c>
      <c r="C35" s="159"/>
      <c r="D35" s="159"/>
      <c r="E35" s="159"/>
      <c r="F35" s="159"/>
      <c r="G35" s="159"/>
      <c r="H35" s="159"/>
      <c r="I35" s="159"/>
      <c r="J35" s="159"/>
      <c r="K35" s="159"/>
      <c r="L35" s="159"/>
      <c r="M35" s="159"/>
      <c r="N35" s="159"/>
      <c r="O35" s="159"/>
      <c r="P35" s="159"/>
      <c r="Q35" s="159"/>
      <c r="R35" s="159"/>
      <c r="S35" s="158" t="s">
        <v>246</v>
      </c>
    </row>
    <row r="36" spans="1:19" ht="45" x14ac:dyDescent="0.2">
      <c r="A36" s="155" t="s">
        <v>247</v>
      </c>
      <c r="B36" s="156" t="s">
        <v>248</v>
      </c>
      <c r="C36" s="159"/>
      <c r="D36" s="159"/>
      <c r="E36" s="159"/>
      <c r="F36" s="159"/>
      <c r="G36" s="159"/>
      <c r="H36" s="159"/>
      <c r="I36" s="159"/>
      <c r="J36" s="159"/>
      <c r="K36" s="159"/>
      <c r="L36" s="159"/>
      <c r="M36" s="159"/>
      <c r="N36" s="159"/>
      <c r="O36" s="159"/>
      <c r="P36" s="159"/>
      <c r="Q36" s="159"/>
      <c r="R36" s="159"/>
      <c r="S36" s="158" t="s">
        <v>249</v>
      </c>
    </row>
    <row r="37" spans="1:19" x14ac:dyDescent="0.2">
      <c r="A37" s="155" t="s">
        <v>250</v>
      </c>
      <c r="B37" s="156" t="s">
        <v>251</v>
      </c>
      <c r="C37" s="159"/>
      <c r="D37" s="159"/>
      <c r="E37" s="159"/>
      <c r="F37" s="159"/>
      <c r="G37" s="159"/>
      <c r="H37" s="159"/>
      <c r="I37" s="159"/>
      <c r="J37" s="159"/>
      <c r="K37" s="159"/>
      <c r="L37" s="159"/>
      <c r="M37" s="159"/>
      <c r="N37" s="159"/>
      <c r="O37" s="159"/>
      <c r="P37" s="159"/>
      <c r="Q37" s="159"/>
      <c r="R37" s="159"/>
      <c r="S37" s="158" t="s">
        <v>252</v>
      </c>
    </row>
    <row r="38" spans="1:19" ht="33.75" x14ac:dyDescent="0.2">
      <c r="A38" s="155">
        <v>21</v>
      </c>
      <c r="B38" s="156" t="s">
        <v>253</v>
      </c>
      <c r="C38" s="159"/>
      <c r="D38" s="159"/>
      <c r="E38" s="159"/>
      <c r="F38" s="159"/>
      <c r="G38" s="159"/>
      <c r="H38" s="159"/>
      <c r="I38" s="159"/>
      <c r="J38" s="159"/>
      <c r="K38" s="159"/>
      <c r="L38" s="159"/>
      <c r="M38" s="159"/>
      <c r="N38" s="159"/>
      <c r="O38" s="159"/>
      <c r="P38" s="159"/>
      <c r="Q38" s="159"/>
      <c r="R38" s="159"/>
      <c r="S38" s="158" t="s">
        <v>254</v>
      </c>
    </row>
    <row r="39" spans="1:19" x14ac:dyDescent="0.2">
      <c r="A39" s="155">
        <v>22</v>
      </c>
      <c r="B39" s="156" t="s">
        <v>255</v>
      </c>
      <c r="C39" s="159"/>
      <c r="D39" s="159"/>
      <c r="E39" s="159"/>
      <c r="F39" s="159"/>
      <c r="G39" s="159"/>
      <c r="H39" s="159"/>
      <c r="I39" s="159"/>
      <c r="J39" s="159"/>
      <c r="K39" s="159"/>
      <c r="L39" s="159"/>
      <c r="M39" s="159"/>
      <c r="N39" s="159"/>
      <c r="O39" s="159"/>
      <c r="P39" s="159"/>
      <c r="Q39" s="159"/>
      <c r="R39" s="159"/>
      <c r="S39" s="158" t="s">
        <v>256</v>
      </c>
    </row>
    <row r="40" spans="1:19" ht="33.75" x14ac:dyDescent="0.2">
      <c r="A40" s="155">
        <v>23</v>
      </c>
      <c r="B40" s="156" t="s">
        <v>257</v>
      </c>
      <c r="C40" s="159"/>
      <c r="D40" s="159"/>
      <c r="E40" s="159"/>
      <c r="F40" s="159"/>
      <c r="G40" s="159"/>
      <c r="H40" s="159"/>
      <c r="I40" s="159"/>
      <c r="J40" s="159"/>
      <c r="K40" s="159"/>
      <c r="L40" s="159"/>
      <c r="M40" s="159"/>
      <c r="N40" s="159"/>
      <c r="O40" s="159"/>
      <c r="P40" s="159"/>
      <c r="Q40" s="159"/>
      <c r="R40" s="159"/>
      <c r="S40" s="158" t="s">
        <v>258</v>
      </c>
    </row>
    <row r="41" spans="1:19" x14ac:dyDescent="0.2">
      <c r="A41" s="155">
        <v>24</v>
      </c>
      <c r="B41" s="156" t="s">
        <v>220</v>
      </c>
      <c r="C41" s="159"/>
      <c r="D41" s="159"/>
      <c r="E41" s="159"/>
      <c r="F41" s="159"/>
      <c r="G41" s="159"/>
      <c r="H41" s="159"/>
      <c r="I41" s="159"/>
      <c r="J41" s="159"/>
      <c r="K41" s="159"/>
      <c r="L41" s="159"/>
      <c r="M41" s="159"/>
      <c r="N41" s="159"/>
      <c r="O41" s="159"/>
      <c r="P41" s="159"/>
      <c r="Q41" s="159"/>
      <c r="R41" s="159"/>
      <c r="S41" s="158">
        <v>0</v>
      </c>
    </row>
    <row r="42" spans="1:19" ht="22.5" x14ac:dyDescent="0.2">
      <c r="A42" s="155">
        <v>25</v>
      </c>
      <c r="B42" s="156" t="s">
        <v>259</v>
      </c>
      <c r="C42" s="159"/>
      <c r="D42" s="159"/>
      <c r="E42" s="159"/>
      <c r="F42" s="159"/>
      <c r="G42" s="159"/>
      <c r="H42" s="159"/>
      <c r="I42" s="159"/>
      <c r="J42" s="159"/>
      <c r="K42" s="159"/>
      <c r="L42" s="159"/>
      <c r="M42" s="159"/>
      <c r="N42" s="159"/>
      <c r="O42" s="159"/>
      <c r="P42" s="159"/>
      <c r="Q42" s="159"/>
      <c r="R42" s="159"/>
      <c r="S42" s="158" t="s">
        <v>254</v>
      </c>
    </row>
    <row r="43" spans="1:19" x14ac:dyDescent="0.2">
      <c r="A43" s="155" t="s">
        <v>260</v>
      </c>
      <c r="B43" s="156" t="s">
        <v>261</v>
      </c>
      <c r="C43" s="159"/>
      <c r="D43" s="159"/>
      <c r="E43" s="159"/>
      <c r="F43" s="159"/>
      <c r="G43" s="159"/>
      <c r="H43" s="159"/>
      <c r="I43" s="159"/>
      <c r="J43" s="159"/>
      <c r="K43" s="159"/>
      <c r="L43" s="159"/>
      <c r="M43" s="159"/>
      <c r="N43" s="159"/>
      <c r="O43" s="159"/>
      <c r="P43" s="159"/>
      <c r="Q43" s="159"/>
      <c r="R43" s="159"/>
      <c r="S43" s="158" t="s">
        <v>262</v>
      </c>
    </row>
    <row r="44" spans="1:19" x14ac:dyDescent="0.2">
      <c r="A44" s="155" t="s">
        <v>263</v>
      </c>
      <c r="B44" s="156" t="s">
        <v>264</v>
      </c>
      <c r="C44" s="159"/>
      <c r="D44" s="159"/>
      <c r="E44" s="159"/>
      <c r="F44" s="159"/>
      <c r="G44" s="159"/>
      <c r="H44" s="159"/>
      <c r="I44" s="159"/>
      <c r="J44" s="159"/>
      <c r="K44" s="159"/>
      <c r="L44" s="159"/>
      <c r="M44" s="159"/>
      <c r="N44" s="159"/>
      <c r="O44" s="159"/>
      <c r="P44" s="159"/>
      <c r="Q44" s="159"/>
      <c r="R44" s="159"/>
      <c r="S44" s="158" t="s">
        <v>265</v>
      </c>
    </row>
    <row r="45" spans="1:19" ht="22.5" x14ac:dyDescent="0.2">
      <c r="A45" s="155">
        <v>26</v>
      </c>
      <c r="B45" s="156" t="s">
        <v>266</v>
      </c>
      <c r="C45" s="159"/>
      <c r="D45" s="159"/>
      <c r="E45" s="159"/>
      <c r="F45" s="159"/>
      <c r="G45" s="159"/>
      <c r="H45" s="159"/>
      <c r="I45" s="159"/>
      <c r="J45" s="159"/>
      <c r="K45" s="159"/>
      <c r="L45" s="159"/>
      <c r="M45" s="159"/>
      <c r="N45" s="159"/>
      <c r="O45" s="159"/>
      <c r="P45" s="159"/>
      <c r="Q45" s="159"/>
      <c r="R45" s="159"/>
      <c r="S45" s="158">
        <v>0</v>
      </c>
    </row>
    <row r="46" spans="1:19" ht="22.5" x14ac:dyDescent="0.2">
      <c r="A46" s="155" t="s">
        <v>267</v>
      </c>
      <c r="B46" s="156" t="s">
        <v>268</v>
      </c>
      <c r="C46" s="159"/>
      <c r="D46" s="159"/>
      <c r="E46" s="159"/>
      <c r="F46" s="159"/>
      <c r="G46" s="159"/>
      <c r="H46" s="159"/>
      <c r="I46" s="159"/>
      <c r="J46" s="159"/>
      <c r="K46" s="159"/>
      <c r="L46" s="159"/>
      <c r="M46" s="159"/>
      <c r="N46" s="159"/>
      <c r="O46" s="159"/>
      <c r="P46" s="159"/>
      <c r="Q46" s="159"/>
      <c r="R46" s="159"/>
      <c r="S46" s="158">
        <v>0</v>
      </c>
    </row>
    <row r="47" spans="1:19" x14ac:dyDescent="0.2">
      <c r="A47" s="155"/>
      <c r="B47" s="156" t="s">
        <v>269</v>
      </c>
      <c r="C47" s="159"/>
      <c r="D47" s="159"/>
      <c r="E47" s="159"/>
      <c r="F47" s="159"/>
      <c r="G47" s="159"/>
      <c r="H47" s="159"/>
      <c r="I47" s="159"/>
      <c r="J47" s="159"/>
      <c r="K47" s="159"/>
      <c r="L47" s="159"/>
      <c r="M47" s="159"/>
      <c r="N47" s="159"/>
      <c r="O47" s="159"/>
      <c r="P47" s="159"/>
      <c r="Q47" s="159"/>
      <c r="R47" s="159"/>
      <c r="S47" s="158">
        <v>0</v>
      </c>
    </row>
    <row r="48" spans="1:19" x14ac:dyDescent="0.2">
      <c r="A48" s="155"/>
      <c r="B48" s="156" t="s">
        <v>270</v>
      </c>
      <c r="C48" s="159"/>
      <c r="D48" s="159"/>
      <c r="E48" s="159"/>
      <c r="F48" s="159"/>
      <c r="G48" s="159"/>
      <c r="H48" s="159"/>
      <c r="I48" s="159"/>
      <c r="J48" s="159"/>
      <c r="K48" s="159"/>
      <c r="L48" s="159"/>
      <c r="M48" s="159"/>
      <c r="N48" s="159"/>
      <c r="O48" s="159"/>
      <c r="P48" s="159"/>
      <c r="Q48" s="159"/>
      <c r="R48" s="159"/>
      <c r="S48" s="158">
        <v>0</v>
      </c>
    </row>
    <row r="49" spans="1:19" x14ac:dyDescent="0.2">
      <c r="A49" s="155"/>
      <c r="B49" s="156" t="s">
        <v>271</v>
      </c>
      <c r="C49" s="159"/>
      <c r="D49" s="159"/>
      <c r="E49" s="159"/>
      <c r="F49" s="159"/>
      <c r="G49" s="159"/>
      <c r="H49" s="159"/>
      <c r="I49" s="159"/>
      <c r="J49" s="159"/>
      <c r="K49" s="159"/>
      <c r="L49" s="159"/>
      <c r="M49" s="159"/>
      <c r="N49" s="159"/>
      <c r="O49" s="159"/>
      <c r="P49" s="159"/>
      <c r="Q49" s="159"/>
      <c r="R49" s="159"/>
      <c r="S49" s="158">
        <v>0</v>
      </c>
    </row>
    <row r="50" spans="1:19" x14ac:dyDescent="0.2">
      <c r="A50" s="155"/>
      <c r="B50" s="156" t="s">
        <v>272</v>
      </c>
      <c r="C50" s="159"/>
      <c r="D50" s="159"/>
      <c r="E50" s="159"/>
      <c r="F50" s="159"/>
      <c r="G50" s="159"/>
      <c r="H50" s="159"/>
      <c r="I50" s="159"/>
      <c r="J50" s="159"/>
      <c r="K50" s="159"/>
      <c r="L50" s="159"/>
      <c r="M50" s="159"/>
      <c r="N50" s="159"/>
      <c r="O50" s="159"/>
      <c r="P50" s="159"/>
      <c r="Q50" s="159"/>
      <c r="R50" s="159"/>
      <c r="S50" s="158">
        <v>0</v>
      </c>
    </row>
    <row r="51" spans="1:19" ht="22.5" x14ac:dyDescent="0.2">
      <c r="A51" s="155" t="s">
        <v>273</v>
      </c>
      <c r="B51" s="156" t="s">
        <v>274</v>
      </c>
      <c r="C51" s="159">
        <v>194.29714705243907</v>
      </c>
      <c r="D51" s="159">
        <v>189.22599694264929</v>
      </c>
      <c r="E51" s="159">
        <v>174.6298422199726</v>
      </c>
      <c r="F51" s="159">
        <v>176.25840188795783</v>
      </c>
      <c r="G51" s="159">
        <v>159.4077594102026</v>
      </c>
      <c r="H51" s="159">
        <v>94.388123948871524</v>
      </c>
      <c r="I51" s="159">
        <v>99.632982355410917</v>
      </c>
      <c r="J51" s="159">
        <v>112.06613132752244</v>
      </c>
      <c r="K51" s="159">
        <v>104.45365488577715</v>
      </c>
      <c r="L51" s="159">
        <v>54.092066021821495</v>
      </c>
      <c r="M51" s="159">
        <f>'1'!L24</f>
        <v>129.70815445872631</v>
      </c>
      <c r="N51" s="159">
        <f>'1'!M24</f>
        <v>125.92110792493892</v>
      </c>
      <c r="O51" s="159">
        <f>'1'!N24</f>
        <v>150.30614390077906</v>
      </c>
      <c r="P51" s="159">
        <f>'1'!O24</f>
        <v>68.066606009155294</v>
      </c>
      <c r="Q51" s="159">
        <f>'1'!P24</f>
        <v>78.116400141017991</v>
      </c>
      <c r="R51" s="159">
        <f>'1'!Q24</f>
        <v>78.198981885734852</v>
      </c>
      <c r="S51" s="158">
        <v>481</v>
      </c>
    </row>
    <row r="52" spans="1:19" ht="22.5" x14ac:dyDescent="0.2">
      <c r="A52" s="155">
        <v>27</v>
      </c>
      <c r="B52" s="156" t="s">
        <v>275</v>
      </c>
      <c r="C52" s="159"/>
      <c r="D52" s="159"/>
      <c r="E52" s="159"/>
      <c r="F52" s="159"/>
      <c r="G52" s="159"/>
      <c r="H52" s="159"/>
      <c r="I52" s="159"/>
      <c r="J52" s="159"/>
      <c r="K52" s="159"/>
      <c r="L52" s="159"/>
      <c r="M52" s="159"/>
      <c r="N52" s="159"/>
      <c r="O52" s="159"/>
      <c r="P52" s="159"/>
      <c r="Q52" s="159"/>
      <c r="R52" s="159"/>
      <c r="S52" s="158" t="s">
        <v>276</v>
      </c>
    </row>
    <row r="53" spans="1:19" x14ac:dyDescent="0.2">
      <c r="A53" s="155">
        <v>28</v>
      </c>
      <c r="B53" s="174" t="s">
        <v>277</v>
      </c>
      <c r="C53" s="159">
        <v>48.895316648799081</v>
      </c>
      <c r="D53" s="159">
        <v>42.705469230279277</v>
      </c>
      <c r="E53" s="159">
        <v>21.247797914842636</v>
      </c>
      <c r="F53" s="159">
        <v>21.724947422877847</v>
      </c>
      <c r="G53" s="159">
        <v>3.3596692941525816</v>
      </c>
      <c r="H53" s="159">
        <v>-58.829420922958477</v>
      </c>
      <c r="I53" s="159">
        <v>-50.500674723109086</v>
      </c>
      <c r="J53" s="159">
        <v>-113.70276013547758</v>
      </c>
      <c r="K53" s="159">
        <v>-123.38203360198284</v>
      </c>
      <c r="L53" s="159">
        <f>SUM(L20:L52)</f>
        <v>-153.73317006440854</v>
      </c>
      <c r="M53" s="159">
        <f t="shared" ref="M53:O53" si="3">SUM(M20:M52)</f>
        <v>-55.455547522753676</v>
      </c>
      <c r="N53" s="159">
        <f t="shared" si="3"/>
        <v>-60.622668992221094</v>
      </c>
      <c r="O53" s="159">
        <f t="shared" si="3"/>
        <v>25.660338450149055</v>
      </c>
      <c r="P53" s="159">
        <f t="shared" ref="P53:Q53" si="4">SUM(P20:P52)</f>
        <v>-54.078201941224691</v>
      </c>
      <c r="Q53" s="159">
        <f t="shared" si="4"/>
        <v>-38.638746640572009</v>
      </c>
      <c r="R53" s="159">
        <f t="shared" ref="R53" si="5">SUM(R20:R52)</f>
        <v>-28.00302356747514</v>
      </c>
      <c r="S53" s="158">
        <v>0</v>
      </c>
    </row>
    <row r="54" spans="1:19" x14ac:dyDescent="0.2">
      <c r="A54" s="155">
        <v>29</v>
      </c>
      <c r="B54" s="174" t="s">
        <v>278</v>
      </c>
      <c r="C54" s="159">
        <v>1853.8938019912021</v>
      </c>
      <c r="D54" s="159">
        <v>1893.4946218002794</v>
      </c>
      <c r="E54" s="159">
        <v>1947.0560922648428</v>
      </c>
      <c r="F54" s="159">
        <v>2015.9043607628785</v>
      </c>
      <c r="G54" s="159">
        <v>1983.8974566641525</v>
      </c>
      <c r="H54" s="159">
        <v>1897.6894525590767</v>
      </c>
      <c r="I54" s="159">
        <v>1929.406947009981</v>
      </c>
      <c r="J54" s="159">
        <v>1564.2753563845226</v>
      </c>
      <c r="K54" s="159">
        <v>1641.1316196980172</v>
      </c>
      <c r="L54" s="159">
        <f>L18+L53</f>
        <v>1639.524766887351</v>
      </c>
      <c r="M54" s="159">
        <f t="shared" ref="M54:O54" si="6">M18+M53</f>
        <v>1756.5640210326978</v>
      </c>
      <c r="N54" s="159">
        <f t="shared" si="6"/>
        <v>1740.3886762521731</v>
      </c>
      <c r="O54" s="159">
        <f t="shared" si="6"/>
        <v>1779.2962272159705</v>
      </c>
      <c r="P54" s="159">
        <f t="shared" ref="P54:Q54" si="7">P18+P53</f>
        <v>1827.030316811491</v>
      </c>
      <c r="Q54" s="159">
        <f t="shared" si="7"/>
        <v>1971.33709932491</v>
      </c>
      <c r="R54" s="159">
        <f t="shared" ref="R54" si="8">R18+R53</f>
        <v>2009.2855284610087</v>
      </c>
      <c r="S54" s="158">
        <v>0</v>
      </c>
    </row>
    <row r="55" spans="1:19" x14ac:dyDescent="0.2">
      <c r="A55" s="175" t="s">
        <v>279</v>
      </c>
      <c r="B55" s="176"/>
      <c r="C55" s="177"/>
      <c r="D55" s="177"/>
      <c r="E55" s="177"/>
      <c r="F55" s="177"/>
      <c r="G55" s="177"/>
      <c r="H55" s="177"/>
      <c r="I55" s="177"/>
      <c r="J55" s="177"/>
      <c r="K55" s="177"/>
      <c r="L55" s="177"/>
      <c r="M55" s="177"/>
      <c r="N55" s="177"/>
      <c r="O55" s="177"/>
      <c r="P55" s="177"/>
      <c r="Q55" s="177"/>
      <c r="R55" s="177"/>
      <c r="S55" s="178"/>
    </row>
    <row r="56" spans="1:19" x14ac:dyDescent="0.2">
      <c r="A56" s="155">
        <v>30</v>
      </c>
      <c r="B56" s="156" t="s">
        <v>192</v>
      </c>
      <c r="C56" s="159">
        <v>44.55</v>
      </c>
      <c r="D56" s="159">
        <v>44.55</v>
      </c>
      <c r="E56" s="159">
        <v>244.55</v>
      </c>
      <c r="F56" s="159">
        <v>244.55</v>
      </c>
      <c r="G56" s="159">
        <v>244.55</v>
      </c>
      <c r="H56" s="159">
        <v>199.55</v>
      </c>
      <c r="I56" s="159">
        <v>199.55</v>
      </c>
      <c r="J56" s="159">
        <v>199.55</v>
      </c>
      <c r="K56" s="159">
        <v>199.55</v>
      </c>
      <c r="L56" s="159">
        <v>199.55</v>
      </c>
      <c r="M56" s="159">
        <f>'1'!L30</f>
        <v>199.55</v>
      </c>
      <c r="N56" s="159">
        <f>'1'!M30</f>
        <v>199.55</v>
      </c>
      <c r="O56" s="159">
        <f>'1'!N30</f>
        <v>199.55</v>
      </c>
      <c r="P56" s="159">
        <f>'1'!O30</f>
        <v>199.55</v>
      </c>
      <c r="Q56" s="159">
        <f>'1'!P30</f>
        <v>199.55</v>
      </c>
      <c r="R56" s="159">
        <f>'1'!Q30</f>
        <v>199.55</v>
      </c>
      <c r="S56" s="158" t="s">
        <v>280</v>
      </c>
    </row>
    <row r="57" spans="1:19" x14ac:dyDescent="0.2">
      <c r="A57" s="155">
        <v>31</v>
      </c>
      <c r="B57" s="156" t="s">
        <v>281</v>
      </c>
      <c r="C57" s="159">
        <v>44.55</v>
      </c>
      <c r="D57" s="159">
        <v>44.55</v>
      </c>
      <c r="E57" s="159">
        <v>244.55</v>
      </c>
      <c r="F57" s="159">
        <v>244.55</v>
      </c>
      <c r="G57" s="159">
        <v>244.55</v>
      </c>
      <c r="H57" s="159">
        <v>199.55</v>
      </c>
      <c r="I57" s="159">
        <v>199.55</v>
      </c>
      <c r="J57" s="159">
        <v>199.55</v>
      </c>
      <c r="K57" s="159">
        <v>199.55</v>
      </c>
      <c r="L57" s="159">
        <v>199.55</v>
      </c>
      <c r="M57" s="159">
        <f>'1'!L30</f>
        <v>199.55</v>
      </c>
      <c r="N57" s="159">
        <f>'1'!M30</f>
        <v>199.55</v>
      </c>
      <c r="O57" s="159">
        <f>'1'!N30</f>
        <v>199.55</v>
      </c>
      <c r="P57" s="159">
        <f>'1'!O30</f>
        <v>199.55</v>
      </c>
      <c r="Q57" s="159">
        <f>'1'!P30</f>
        <v>199.55</v>
      </c>
      <c r="R57" s="159">
        <f>'1'!Q30</f>
        <v>199.55</v>
      </c>
      <c r="S57" s="158">
        <v>0</v>
      </c>
    </row>
    <row r="58" spans="1:19" x14ac:dyDescent="0.2">
      <c r="A58" s="155">
        <v>32</v>
      </c>
      <c r="B58" s="156" t="s">
        <v>282</v>
      </c>
      <c r="C58" s="159">
        <v>0</v>
      </c>
      <c r="D58" s="159">
        <v>0</v>
      </c>
      <c r="E58" s="159">
        <v>0</v>
      </c>
      <c r="F58" s="159">
        <v>0</v>
      </c>
      <c r="G58" s="159">
        <v>0</v>
      </c>
      <c r="H58" s="159">
        <v>0</v>
      </c>
      <c r="I58" s="159">
        <v>0</v>
      </c>
      <c r="J58" s="159">
        <v>0</v>
      </c>
      <c r="K58" s="159">
        <v>0</v>
      </c>
      <c r="L58" s="159">
        <v>0</v>
      </c>
      <c r="M58" s="159">
        <v>0</v>
      </c>
      <c r="N58" s="159">
        <v>0</v>
      </c>
      <c r="O58" s="159">
        <v>0</v>
      </c>
      <c r="P58" s="159">
        <v>0</v>
      </c>
      <c r="Q58" s="159">
        <v>0</v>
      </c>
      <c r="R58" s="159">
        <v>0</v>
      </c>
      <c r="S58" s="158">
        <v>0</v>
      </c>
    </row>
    <row r="59" spans="1:19" ht="22.5" x14ac:dyDescent="0.2">
      <c r="A59" s="155">
        <v>33</v>
      </c>
      <c r="B59" s="156" t="s">
        <v>283</v>
      </c>
      <c r="C59" s="159"/>
      <c r="D59" s="159"/>
      <c r="E59" s="159"/>
      <c r="F59" s="159"/>
      <c r="G59" s="159"/>
      <c r="H59" s="159"/>
      <c r="I59" s="159"/>
      <c r="J59" s="159"/>
      <c r="K59" s="159"/>
      <c r="L59" s="159"/>
      <c r="M59" s="159"/>
      <c r="N59" s="159"/>
      <c r="O59" s="159"/>
      <c r="P59" s="159"/>
      <c r="Q59" s="159"/>
      <c r="R59" s="159"/>
      <c r="S59" s="158" t="s">
        <v>284</v>
      </c>
    </row>
    <row r="60" spans="1:19" x14ac:dyDescent="0.2">
      <c r="A60" s="155"/>
      <c r="B60" s="156" t="s">
        <v>207</v>
      </c>
      <c r="C60" s="159"/>
      <c r="D60" s="159"/>
      <c r="E60" s="159"/>
      <c r="F60" s="159"/>
      <c r="G60" s="159"/>
      <c r="H60" s="159"/>
      <c r="I60" s="159"/>
      <c r="J60" s="159"/>
      <c r="K60" s="159"/>
      <c r="L60" s="159"/>
      <c r="M60" s="159"/>
      <c r="N60" s="159"/>
      <c r="O60" s="159"/>
      <c r="P60" s="159"/>
      <c r="Q60" s="159"/>
      <c r="R60" s="159"/>
      <c r="S60" s="158" t="s">
        <v>285</v>
      </c>
    </row>
    <row r="61" spans="1:19" ht="22.5" x14ac:dyDescent="0.2">
      <c r="A61" s="155">
        <v>34</v>
      </c>
      <c r="B61" s="156" t="s">
        <v>286</v>
      </c>
      <c r="C61" s="159"/>
      <c r="D61" s="159"/>
      <c r="E61" s="159"/>
      <c r="F61" s="159"/>
      <c r="G61" s="159"/>
      <c r="H61" s="159"/>
      <c r="I61" s="159"/>
      <c r="J61" s="159"/>
      <c r="K61" s="159"/>
      <c r="L61" s="159"/>
      <c r="M61" s="159"/>
      <c r="N61" s="159"/>
      <c r="O61" s="159"/>
      <c r="P61" s="159"/>
      <c r="Q61" s="159"/>
      <c r="R61" s="159"/>
      <c r="S61" s="158" t="s">
        <v>287</v>
      </c>
    </row>
    <row r="62" spans="1:19" x14ac:dyDescent="0.2">
      <c r="A62" s="155">
        <v>35</v>
      </c>
      <c r="B62" s="156" t="s">
        <v>288</v>
      </c>
      <c r="C62" s="159"/>
      <c r="D62" s="159"/>
      <c r="E62" s="159"/>
      <c r="F62" s="159"/>
      <c r="G62" s="159"/>
      <c r="H62" s="159"/>
      <c r="I62" s="159"/>
      <c r="J62" s="159"/>
      <c r="K62" s="159"/>
      <c r="L62" s="159"/>
      <c r="M62" s="159"/>
      <c r="N62" s="159"/>
      <c r="O62" s="159"/>
      <c r="P62" s="159"/>
      <c r="Q62" s="159"/>
      <c r="R62" s="159"/>
      <c r="S62" s="158" t="s">
        <v>284</v>
      </c>
    </row>
    <row r="63" spans="1:19" x14ac:dyDescent="0.2">
      <c r="A63" s="155">
        <v>36</v>
      </c>
      <c r="B63" s="174" t="s">
        <v>289</v>
      </c>
      <c r="C63" s="159">
        <v>44.55</v>
      </c>
      <c r="D63" s="159">
        <v>44.55</v>
      </c>
      <c r="E63" s="159">
        <v>244.55</v>
      </c>
      <c r="F63" s="159">
        <v>244.55</v>
      </c>
      <c r="G63" s="159">
        <v>244.55</v>
      </c>
      <c r="H63" s="159">
        <v>199.55</v>
      </c>
      <c r="I63" s="159">
        <v>199.55</v>
      </c>
      <c r="J63" s="159">
        <v>199.55</v>
      </c>
      <c r="K63" s="159">
        <v>199.55</v>
      </c>
      <c r="L63" s="159">
        <v>199.55</v>
      </c>
      <c r="M63" s="159">
        <f>SUM(M56:M62)-M57-M58</f>
        <v>199.55</v>
      </c>
      <c r="N63" s="159">
        <f t="shared" ref="N63:O63" si="9">SUM(N56:N62)-N57-N58</f>
        <v>199.55</v>
      </c>
      <c r="O63" s="159">
        <f t="shared" si="9"/>
        <v>199.55</v>
      </c>
      <c r="P63" s="159">
        <f t="shared" ref="P63:Q63" si="10">SUM(P56:P62)-P57-P58</f>
        <v>199.55</v>
      </c>
      <c r="Q63" s="159">
        <f t="shared" si="10"/>
        <v>199.55</v>
      </c>
      <c r="R63" s="159">
        <f t="shared" ref="R63" si="11">SUM(R56:R62)-R57-R58</f>
        <v>199.55</v>
      </c>
      <c r="S63" s="158">
        <v>0</v>
      </c>
    </row>
    <row r="64" spans="1:19" x14ac:dyDescent="0.2">
      <c r="A64" s="175" t="s">
        <v>290</v>
      </c>
      <c r="B64" s="176"/>
      <c r="C64" s="177"/>
      <c r="D64" s="177"/>
      <c r="E64" s="177"/>
      <c r="F64" s="177"/>
      <c r="G64" s="177"/>
      <c r="H64" s="177"/>
      <c r="I64" s="177"/>
      <c r="J64" s="177"/>
      <c r="K64" s="177"/>
      <c r="L64" s="177"/>
      <c r="M64" s="177"/>
      <c r="N64" s="177"/>
      <c r="O64" s="177"/>
      <c r="P64" s="177"/>
      <c r="Q64" s="177"/>
      <c r="R64" s="177"/>
      <c r="S64" s="178"/>
    </row>
    <row r="65" spans="1:19" ht="22.5" x14ac:dyDescent="0.2">
      <c r="A65" s="155">
        <v>37</v>
      </c>
      <c r="B65" s="156" t="s">
        <v>291</v>
      </c>
      <c r="C65" s="159"/>
      <c r="D65" s="159"/>
      <c r="E65" s="159"/>
      <c r="F65" s="159"/>
      <c r="G65" s="159"/>
      <c r="H65" s="159"/>
      <c r="I65" s="159"/>
      <c r="J65" s="159"/>
      <c r="K65" s="159"/>
      <c r="L65" s="159"/>
      <c r="M65" s="159"/>
      <c r="N65" s="159"/>
      <c r="O65" s="159"/>
      <c r="P65" s="159"/>
      <c r="Q65" s="159"/>
      <c r="R65" s="159"/>
      <c r="S65" s="158" t="s">
        <v>292</v>
      </c>
    </row>
    <row r="66" spans="1:19" ht="33.75" x14ac:dyDescent="0.2">
      <c r="A66" s="155">
        <v>38</v>
      </c>
      <c r="B66" s="156" t="s">
        <v>293</v>
      </c>
      <c r="C66" s="159"/>
      <c r="D66" s="159"/>
      <c r="E66" s="159"/>
      <c r="F66" s="159"/>
      <c r="G66" s="159"/>
      <c r="H66" s="159"/>
      <c r="I66" s="159"/>
      <c r="J66" s="159"/>
      <c r="K66" s="159"/>
      <c r="L66" s="159"/>
      <c r="M66" s="159"/>
      <c r="N66" s="159"/>
      <c r="O66" s="159"/>
      <c r="P66" s="159"/>
      <c r="Q66" s="159"/>
      <c r="R66" s="159"/>
      <c r="S66" s="158" t="s">
        <v>294</v>
      </c>
    </row>
    <row r="67" spans="1:19" ht="45" x14ac:dyDescent="0.2">
      <c r="A67" s="155">
        <v>39</v>
      </c>
      <c r="B67" s="156" t="s">
        <v>295</v>
      </c>
      <c r="C67" s="159"/>
      <c r="D67" s="159"/>
      <c r="E67" s="159"/>
      <c r="F67" s="159"/>
      <c r="G67" s="159"/>
      <c r="H67" s="159"/>
      <c r="I67" s="159"/>
      <c r="J67" s="159"/>
      <c r="K67" s="159"/>
      <c r="L67" s="159"/>
      <c r="M67" s="159"/>
      <c r="N67" s="159"/>
      <c r="O67" s="159"/>
      <c r="P67" s="159"/>
      <c r="Q67" s="159"/>
      <c r="R67" s="159"/>
      <c r="S67" s="158" t="s">
        <v>296</v>
      </c>
    </row>
    <row r="68" spans="1:19" ht="45" x14ac:dyDescent="0.2">
      <c r="A68" s="155">
        <v>40</v>
      </c>
      <c r="B68" s="156" t="s">
        <v>297</v>
      </c>
      <c r="C68" s="159"/>
      <c r="D68" s="159"/>
      <c r="E68" s="159"/>
      <c r="F68" s="159"/>
      <c r="G68" s="159"/>
      <c r="H68" s="159"/>
      <c r="I68" s="159"/>
      <c r="J68" s="159"/>
      <c r="K68" s="159"/>
      <c r="L68" s="159"/>
      <c r="M68" s="159"/>
      <c r="N68" s="159"/>
      <c r="O68" s="159"/>
      <c r="P68" s="159"/>
      <c r="Q68" s="159"/>
      <c r="R68" s="159"/>
      <c r="S68" s="158" t="s">
        <v>298</v>
      </c>
    </row>
    <row r="69" spans="1:19" ht="33.75" x14ac:dyDescent="0.2">
      <c r="A69" s="155">
        <v>41</v>
      </c>
      <c r="B69" s="156" t="s">
        <v>299</v>
      </c>
      <c r="C69" s="159"/>
      <c r="D69" s="159"/>
      <c r="E69" s="159"/>
      <c r="F69" s="159"/>
      <c r="G69" s="159"/>
      <c r="H69" s="159"/>
      <c r="I69" s="159"/>
      <c r="J69" s="159"/>
      <c r="K69" s="159"/>
      <c r="L69" s="159"/>
      <c r="M69" s="159"/>
      <c r="N69" s="159"/>
      <c r="O69" s="159"/>
      <c r="P69" s="159"/>
      <c r="Q69" s="159"/>
      <c r="R69" s="159"/>
      <c r="S69" s="158">
        <v>0</v>
      </c>
    </row>
    <row r="70" spans="1:19" ht="45" x14ac:dyDescent="0.2">
      <c r="A70" s="155" t="s">
        <v>300</v>
      </c>
      <c r="B70" s="156" t="s">
        <v>301</v>
      </c>
      <c r="C70" s="159"/>
      <c r="D70" s="159"/>
      <c r="E70" s="159"/>
      <c r="F70" s="159"/>
      <c r="G70" s="159"/>
      <c r="H70" s="159"/>
      <c r="I70" s="159"/>
      <c r="J70" s="159"/>
      <c r="K70" s="159"/>
      <c r="L70" s="159"/>
      <c r="M70" s="159"/>
      <c r="N70" s="159"/>
      <c r="O70" s="159"/>
      <c r="P70" s="159"/>
      <c r="Q70" s="159"/>
      <c r="R70" s="159"/>
      <c r="S70" s="158" t="s">
        <v>302</v>
      </c>
    </row>
    <row r="71" spans="1:19" ht="33.75" x14ac:dyDescent="0.2">
      <c r="A71" s="155" t="s">
        <v>303</v>
      </c>
      <c r="B71" s="156" t="s">
        <v>304</v>
      </c>
      <c r="C71" s="159"/>
      <c r="D71" s="159"/>
      <c r="E71" s="159"/>
      <c r="F71" s="159"/>
      <c r="G71" s="159"/>
      <c r="H71" s="159"/>
      <c r="I71" s="159"/>
      <c r="J71" s="159"/>
      <c r="K71" s="159"/>
      <c r="L71" s="159"/>
      <c r="M71" s="159"/>
      <c r="N71" s="159"/>
      <c r="O71" s="159"/>
      <c r="P71" s="159"/>
      <c r="Q71" s="159"/>
      <c r="R71" s="159"/>
      <c r="S71" s="158" t="s">
        <v>305</v>
      </c>
    </row>
    <row r="72" spans="1:19" ht="22.5" x14ac:dyDescent="0.2">
      <c r="A72" s="155" t="s">
        <v>306</v>
      </c>
      <c r="B72" s="156" t="s">
        <v>307</v>
      </c>
      <c r="C72" s="159"/>
      <c r="D72" s="159"/>
      <c r="E72" s="159"/>
      <c r="F72" s="159"/>
      <c r="G72" s="159"/>
      <c r="H72" s="159"/>
      <c r="I72" s="159"/>
      <c r="J72" s="159"/>
      <c r="K72" s="159"/>
      <c r="L72" s="159"/>
      <c r="M72" s="159"/>
      <c r="N72" s="159"/>
      <c r="O72" s="159"/>
      <c r="P72" s="159"/>
      <c r="Q72" s="159"/>
      <c r="R72" s="159"/>
      <c r="S72" s="158" t="s">
        <v>308</v>
      </c>
    </row>
    <row r="73" spans="1:19" x14ac:dyDescent="0.2">
      <c r="A73" s="155"/>
      <c r="B73" s="156" t="s">
        <v>309</v>
      </c>
      <c r="C73" s="159"/>
      <c r="D73" s="159"/>
      <c r="E73" s="159"/>
      <c r="F73" s="159"/>
      <c r="G73" s="159"/>
      <c r="H73" s="159"/>
      <c r="I73" s="159"/>
      <c r="J73" s="159"/>
      <c r="K73" s="159"/>
      <c r="L73" s="159"/>
      <c r="M73" s="159"/>
      <c r="N73" s="159"/>
      <c r="O73" s="159"/>
      <c r="P73" s="159"/>
      <c r="Q73" s="159"/>
      <c r="R73" s="159"/>
      <c r="S73" s="158">
        <v>0</v>
      </c>
    </row>
    <row r="74" spans="1:19" x14ac:dyDescent="0.2">
      <c r="A74" s="155"/>
      <c r="B74" s="156" t="s">
        <v>310</v>
      </c>
      <c r="C74" s="159"/>
      <c r="D74" s="159"/>
      <c r="E74" s="159"/>
      <c r="F74" s="159"/>
      <c r="G74" s="159"/>
      <c r="H74" s="159"/>
      <c r="I74" s="159"/>
      <c r="J74" s="159"/>
      <c r="K74" s="159"/>
      <c r="L74" s="159"/>
      <c r="M74" s="159"/>
      <c r="N74" s="159"/>
      <c r="O74" s="159"/>
      <c r="P74" s="159"/>
      <c r="Q74" s="159"/>
      <c r="R74" s="159"/>
      <c r="S74" s="158">
        <v>0</v>
      </c>
    </row>
    <row r="75" spans="1:19" ht="22.5" x14ac:dyDescent="0.2">
      <c r="A75" s="155">
        <v>42</v>
      </c>
      <c r="B75" s="156" t="s">
        <v>311</v>
      </c>
      <c r="C75" s="159"/>
      <c r="D75" s="159"/>
      <c r="E75" s="159"/>
      <c r="F75" s="159"/>
      <c r="G75" s="159"/>
      <c r="H75" s="159"/>
      <c r="I75" s="159"/>
      <c r="J75" s="159"/>
      <c r="K75" s="159"/>
      <c r="L75" s="159"/>
      <c r="M75" s="159"/>
      <c r="N75" s="159"/>
      <c r="O75" s="159"/>
      <c r="P75" s="159"/>
      <c r="Q75" s="159"/>
      <c r="R75" s="159"/>
      <c r="S75" s="179" t="s">
        <v>312</v>
      </c>
    </row>
    <row r="76" spans="1:19" x14ac:dyDescent="0.2">
      <c r="A76" s="155">
        <v>43</v>
      </c>
      <c r="B76" s="174" t="s">
        <v>313</v>
      </c>
      <c r="C76" s="159"/>
      <c r="D76" s="159"/>
      <c r="E76" s="159"/>
      <c r="F76" s="159"/>
      <c r="G76" s="159"/>
      <c r="H76" s="159"/>
      <c r="I76" s="159"/>
      <c r="J76" s="159"/>
      <c r="K76" s="159"/>
      <c r="L76" s="159"/>
      <c r="M76" s="159"/>
      <c r="N76" s="159"/>
      <c r="O76" s="159"/>
      <c r="P76" s="159"/>
      <c r="Q76" s="159"/>
      <c r="R76" s="159"/>
      <c r="S76" s="158">
        <v>0</v>
      </c>
    </row>
    <row r="77" spans="1:19" x14ac:dyDescent="0.2">
      <c r="A77" s="155">
        <v>44</v>
      </c>
      <c r="B77" s="174" t="s">
        <v>314</v>
      </c>
      <c r="C77" s="159">
        <v>44.55</v>
      </c>
      <c r="D77" s="159">
        <v>44.55</v>
      </c>
      <c r="E77" s="159">
        <v>244.55</v>
      </c>
      <c r="F77" s="159">
        <v>244.55</v>
      </c>
      <c r="G77" s="159">
        <v>244.55</v>
      </c>
      <c r="H77" s="159">
        <v>199.55</v>
      </c>
      <c r="I77" s="159">
        <v>199.55</v>
      </c>
      <c r="J77" s="159">
        <v>199.55</v>
      </c>
      <c r="K77" s="159">
        <v>199.55</v>
      </c>
      <c r="L77" s="159">
        <v>199.55</v>
      </c>
      <c r="M77" s="159">
        <f>M63</f>
        <v>199.55</v>
      </c>
      <c r="N77" s="159">
        <f t="shared" ref="N77:O77" si="12">N63</f>
        <v>199.55</v>
      </c>
      <c r="O77" s="159">
        <f t="shared" si="12"/>
        <v>199.55</v>
      </c>
      <c r="P77" s="159">
        <f t="shared" ref="P77:Q77" si="13">P63</f>
        <v>199.55</v>
      </c>
      <c r="Q77" s="159">
        <f t="shared" si="13"/>
        <v>199.55</v>
      </c>
      <c r="R77" s="159">
        <f t="shared" ref="R77" si="14">R63</f>
        <v>199.55</v>
      </c>
      <c r="S77" s="158">
        <v>0</v>
      </c>
    </row>
    <row r="78" spans="1:19" x14ac:dyDescent="0.2">
      <c r="A78" s="155">
        <v>45</v>
      </c>
      <c r="B78" s="174" t="s">
        <v>315</v>
      </c>
      <c r="C78" s="159">
        <v>1898.443801991202</v>
      </c>
      <c r="D78" s="159">
        <v>1938.0446218002794</v>
      </c>
      <c r="E78" s="159">
        <v>2191.606092264843</v>
      </c>
      <c r="F78" s="159">
        <v>2260.4543607628784</v>
      </c>
      <c r="G78" s="159">
        <v>2228.4474566641525</v>
      </c>
      <c r="H78" s="159">
        <v>2097.2394525590767</v>
      </c>
      <c r="I78" s="159">
        <v>2128.9569470099809</v>
      </c>
      <c r="J78" s="159">
        <v>1763.8253563845226</v>
      </c>
      <c r="K78" s="159">
        <v>1840.6816196980171</v>
      </c>
      <c r="L78" s="159">
        <f>L54+L77</f>
        <v>1839.074766887351</v>
      </c>
      <c r="M78" s="159">
        <f t="shared" ref="M78:O78" si="15">M54+M77</f>
        <v>1956.1140210326978</v>
      </c>
      <c r="N78" s="159">
        <f t="shared" si="15"/>
        <v>1939.9386762521731</v>
      </c>
      <c r="O78" s="159">
        <f t="shared" si="15"/>
        <v>1978.8462272159704</v>
      </c>
      <c r="P78" s="159">
        <f t="shared" ref="P78:Q78" si="16">P54+P77</f>
        <v>2026.580316811491</v>
      </c>
      <c r="Q78" s="159">
        <f t="shared" si="16"/>
        <v>2170.8870993249102</v>
      </c>
      <c r="R78" s="159">
        <f t="shared" ref="R78" si="17">R54+R77</f>
        <v>2208.8355284610088</v>
      </c>
      <c r="S78" s="158">
        <v>0</v>
      </c>
    </row>
    <row r="79" spans="1:19" x14ac:dyDescent="0.2">
      <c r="A79" s="180" t="s">
        <v>316</v>
      </c>
      <c r="B79" s="176"/>
      <c r="C79" s="177"/>
      <c r="D79" s="177"/>
      <c r="E79" s="177"/>
      <c r="F79" s="177"/>
      <c r="G79" s="177"/>
      <c r="H79" s="177"/>
      <c r="I79" s="177"/>
      <c r="J79" s="177"/>
      <c r="K79" s="177"/>
      <c r="L79" s="177"/>
      <c r="M79" s="177"/>
      <c r="N79" s="177"/>
      <c r="O79" s="177"/>
      <c r="P79" s="177"/>
      <c r="Q79" s="177"/>
      <c r="R79" s="177"/>
      <c r="S79" s="178"/>
    </row>
    <row r="80" spans="1:19" x14ac:dyDescent="0.2">
      <c r="A80" s="155">
        <v>46</v>
      </c>
      <c r="B80" s="156" t="s">
        <v>192</v>
      </c>
      <c r="C80" s="159">
        <v>64.859166509999994</v>
      </c>
      <c r="D80" s="159">
        <v>64.891666499999999</v>
      </c>
      <c r="E80" s="159">
        <v>64.924166490000005</v>
      </c>
      <c r="F80" s="159">
        <v>64.956666479999996</v>
      </c>
      <c r="G80" s="159">
        <v>64.989166470000001</v>
      </c>
      <c r="H80" s="159">
        <v>106.8</v>
      </c>
      <c r="I80" s="159">
        <v>65</v>
      </c>
      <c r="J80" s="159">
        <v>65</v>
      </c>
      <c r="K80" s="159">
        <v>65</v>
      </c>
      <c r="L80" s="159">
        <v>65</v>
      </c>
      <c r="M80" s="159">
        <f>'1'!L32</f>
        <v>65</v>
      </c>
      <c r="N80" s="159">
        <f>'1'!M32</f>
        <v>65</v>
      </c>
      <c r="O80" s="159">
        <f>'1'!N32</f>
        <v>65</v>
      </c>
      <c r="P80" s="159">
        <f>'1'!O32</f>
        <v>65</v>
      </c>
      <c r="Q80" s="159">
        <f>'1'!P32</f>
        <v>165</v>
      </c>
      <c r="R80" s="159">
        <f>'1'!Q32</f>
        <v>165</v>
      </c>
      <c r="S80" s="158" t="s">
        <v>317</v>
      </c>
    </row>
    <row r="81" spans="1:19" ht="22.5" x14ac:dyDescent="0.2">
      <c r="A81" s="155">
        <v>47</v>
      </c>
      <c r="B81" s="156" t="s">
        <v>318</v>
      </c>
      <c r="C81" s="159"/>
      <c r="D81" s="159"/>
      <c r="E81" s="159"/>
      <c r="F81" s="159"/>
      <c r="G81" s="159"/>
      <c r="H81" s="159"/>
      <c r="I81" s="159"/>
      <c r="J81" s="159"/>
      <c r="K81" s="159"/>
      <c r="L81" s="159"/>
      <c r="M81" s="159"/>
      <c r="N81" s="159"/>
      <c r="O81" s="159"/>
      <c r="P81" s="159"/>
      <c r="Q81" s="159"/>
      <c r="R81" s="159"/>
      <c r="S81" s="158" t="s">
        <v>319</v>
      </c>
    </row>
    <row r="82" spans="1:19" x14ac:dyDescent="0.2">
      <c r="A82" s="155"/>
      <c r="B82" s="156" t="s">
        <v>207</v>
      </c>
      <c r="C82" s="159"/>
      <c r="D82" s="159"/>
      <c r="E82" s="159"/>
      <c r="F82" s="159"/>
      <c r="G82" s="159"/>
      <c r="H82" s="159"/>
      <c r="I82" s="159"/>
      <c r="J82" s="159"/>
      <c r="K82" s="159"/>
      <c r="L82" s="159"/>
      <c r="M82" s="159"/>
      <c r="N82" s="159"/>
      <c r="O82" s="159"/>
      <c r="P82" s="159"/>
      <c r="Q82" s="159"/>
      <c r="R82" s="159"/>
      <c r="S82" s="158" t="s">
        <v>320</v>
      </c>
    </row>
    <row r="83" spans="1:19" ht="33.75" x14ac:dyDescent="0.2">
      <c r="A83" s="155">
        <v>48</v>
      </c>
      <c r="B83" s="156" t="s">
        <v>321</v>
      </c>
      <c r="C83" s="159"/>
      <c r="D83" s="159"/>
      <c r="E83" s="159"/>
      <c r="F83" s="159"/>
      <c r="G83" s="159"/>
      <c r="H83" s="159"/>
      <c r="I83" s="159"/>
      <c r="J83" s="159"/>
      <c r="K83" s="159"/>
      <c r="L83" s="159"/>
      <c r="M83" s="159"/>
      <c r="N83" s="159"/>
      <c r="O83" s="159"/>
      <c r="P83" s="159"/>
      <c r="Q83" s="159"/>
      <c r="R83" s="159"/>
      <c r="S83" s="158" t="s">
        <v>322</v>
      </c>
    </row>
    <row r="84" spans="1:19" x14ac:dyDescent="0.2">
      <c r="A84" s="155">
        <v>49</v>
      </c>
      <c r="B84" s="156" t="s">
        <v>288</v>
      </c>
      <c r="C84" s="159"/>
      <c r="D84" s="159"/>
      <c r="E84" s="159"/>
      <c r="F84" s="159"/>
      <c r="G84" s="159"/>
      <c r="H84" s="159"/>
      <c r="I84" s="159"/>
      <c r="J84" s="159"/>
      <c r="K84" s="159"/>
      <c r="L84" s="159"/>
      <c r="M84" s="159"/>
      <c r="N84" s="159"/>
      <c r="O84" s="159"/>
      <c r="P84" s="159"/>
      <c r="Q84" s="159"/>
      <c r="R84" s="159"/>
      <c r="S84" s="158" t="s">
        <v>319</v>
      </c>
    </row>
    <row r="85" spans="1:19" x14ac:dyDescent="0.2">
      <c r="A85" s="155">
        <v>50</v>
      </c>
      <c r="B85" s="156" t="s">
        <v>323</v>
      </c>
      <c r="C85" s="159"/>
      <c r="D85" s="159"/>
      <c r="E85" s="159"/>
      <c r="F85" s="159"/>
      <c r="G85" s="159"/>
      <c r="H85" s="159"/>
      <c r="I85" s="159"/>
      <c r="J85" s="159"/>
      <c r="K85" s="159"/>
      <c r="L85" s="159"/>
      <c r="M85" s="159"/>
      <c r="N85" s="159"/>
      <c r="O85" s="159"/>
      <c r="P85" s="159"/>
      <c r="Q85" s="159"/>
      <c r="R85" s="159"/>
      <c r="S85" s="158" t="s">
        <v>324</v>
      </c>
    </row>
    <row r="86" spans="1:19" x14ac:dyDescent="0.2">
      <c r="A86" s="155">
        <v>51</v>
      </c>
      <c r="B86" s="174" t="s">
        <v>325</v>
      </c>
      <c r="C86" s="159">
        <v>64.859166509999994</v>
      </c>
      <c r="D86" s="159">
        <v>64.891666499999999</v>
      </c>
      <c r="E86" s="159">
        <v>64.924166490000005</v>
      </c>
      <c r="F86" s="159">
        <v>64.956666479999996</v>
      </c>
      <c r="G86" s="159">
        <v>64.989166470000001</v>
      </c>
      <c r="H86" s="159">
        <v>106.8</v>
      </c>
      <c r="I86" s="159">
        <v>65</v>
      </c>
      <c r="J86" s="159">
        <v>65</v>
      </c>
      <c r="K86" s="159">
        <v>65</v>
      </c>
      <c r="L86" s="159">
        <v>65</v>
      </c>
      <c r="M86" s="159">
        <f>SUM(M80:M85)</f>
        <v>65</v>
      </c>
      <c r="N86" s="159">
        <f t="shared" ref="N86:O86" si="18">SUM(N80:N85)</f>
        <v>65</v>
      </c>
      <c r="O86" s="159">
        <f t="shared" si="18"/>
        <v>65</v>
      </c>
      <c r="P86" s="159">
        <f t="shared" ref="P86:Q86" si="19">SUM(P80:P85)</f>
        <v>65</v>
      </c>
      <c r="Q86" s="159">
        <f t="shared" si="19"/>
        <v>165</v>
      </c>
      <c r="R86" s="159">
        <f t="shared" ref="R86" si="20">SUM(R80:R85)</f>
        <v>165</v>
      </c>
      <c r="S86" s="158">
        <v>0</v>
      </c>
    </row>
    <row r="87" spans="1:19" x14ac:dyDescent="0.2">
      <c r="A87" s="175" t="s">
        <v>326</v>
      </c>
      <c r="B87" s="176"/>
      <c r="C87" s="177"/>
      <c r="D87" s="177"/>
      <c r="E87" s="177"/>
      <c r="F87" s="177"/>
      <c r="G87" s="177"/>
      <c r="H87" s="177"/>
      <c r="I87" s="177"/>
      <c r="J87" s="177"/>
      <c r="K87" s="177"/>
      <c r="L87" s="177"/>
      <c r="M87" s="177"/>
      <c r="N87" s="177"/>
      <c r="O87" s="177"/>
      <c r="P87" s="177"/>
      <c r="Q87" s="177"/>
      <c r="R87" s="177"/>
      <c r="S87" s="178"/>
    </row>
    <row r="88" spans="1:19" ht="22.5" x14ac:dyDescent="0.2">
      <c r="A88" s="155">
        <v>52</v>
      </c>
      <c r="B88" s="156" t="s">
        <v>327</v>
      </c>
      <c r="C88" s="159"/>
      <c r="D88" s="159"/>
      <c r="E88" s="159"/>
      <c r="F88" s="159"/>
      <c r="G88" s="159"/>
      <c r="H88" s="159"/>
      <c r="I88" s="159"/>
      <c r="J88" s="159"/>
      <c r="K88" s="159"/>
      <c r="L88" s="159"/>
      <c r="M88" s="159"/>
      <c r="N88" s="159"/>
      <c r="O88" s="159"/>
      <c r="P88" s="159"/>
      <c r="Q88" s="159"/>
      <c r="R88" s="159"/>
      <c r="S88" s="158" t="s">
        <v>328</v>
      </c>
    </row>
    <row r="89" spans="1:19" ht="33.75" x14ac:dyDescent="0.2">
      <c r="A89" s="155">
        <v>53</v>
      </c>
      <c r="B89" s="156" t="s">
        <v>329</v>
      </c>
      <c r="C89" s="159"/>
      <c r="D89" s="159"/>
      <c r="E89" s="159"/>
      <c r="F89" s="159"/>
      <c r="G89" s="159"/>
      <c r="H89" s="159"/>
      <c r="I89" s="159"/>
      <c r="J89" s="159"/>
      <c r="K89" s="159"/>
      <c r="L89" s="159"/>
      <c r="M89" s="159"/>
      <c r="N89" s="159"/>
      <c r="O89" s="159"/>
      <c r="P89" s="159"/>
      <c r="Q89" s="159"/>
      <c r="R89" s="159"/>
      <c r="S89" s="158" t="s">
        <v>330</v>
      </c>
    </row>
    <row r="90" spans="1:19" ht="45" x14ac:dyDescent="0.2">
      <c r="A90" s="155">
        <v>54</v>
      </c>
      <c r="B90" s="156" t="s">
        <v>331</v>
      </c>
      <c r="C90" s="159"/>
      <c r="D90" s="159"/>
      <c r="E90" s="159"/>
      <c r="F90" s="159"/>
      <c r="G90" s="159"/>
      <c r="H90" s="159"/>
      <c r="I90" s="159"/>
      <c r="J90" s="159"/>
      <c r="K90" s="159"/>
      <c r="L90" s="159"/>
      <c r="M90" s="159"/>
      <c r="N90" s="159"/>
      <c r="O90" s="159"/>
      <c r="P90" s="159"/>
      <c r="Q90" s="159"/>
      <c r="R90" s="159"/>
      <c r="S90" s="158" t="s">
        <v>332</v>
      </c>
    </row>
    <row r="91" spans="1:19" x14ac:dyDescent="0.2">
      <c r="A91" s="155" t="s">
        <v>333</v>
      </c>
      <c r="B91" s="156" t="s">
        <v>334</v>
      </c>
      <c r="C91" s="159"/>
      <c r="D91" s="159"/>
      <c r="E91" s="159"/>
      <c r="F91" s="159"/>
      <c r="G91" s="159"/>
      <c r="H91" s="159"/>
      <c r="I91" s="159"/>
      <c r="J91" s="159"/>
      <c r="K91" s="159"/>
      <c r="L91" s="159"/>
      <c r="M91" s="159"/>
      <c r="N91" s="159"/>
      <c r="O91" s="159"/>
      <c r="P91" s="159"/>
      <c r="Q91" s="159"/>
      <c r="R91" s="159"/>
      <c r="S91" s="158">
        <v>0</v>
      </c>
    </row>
    <row r="92" spans="1:19" ht="22.5" x14ac:dyDescent="0.2">
      <c r="A92" s="155" t="s">
        <v>335</v>
      </c>
      <c r="B92" s="156" t="s">
        <v>336</v>
      </c>
      <c r="C92" s="159"/>
      <c r="D92" s="159"/>
      <c r="E92" s="159"/>
      <c r="F92" s="159"/>
      <c r="G92" s="159"/>
      <c r="H92" s="159"/>
      <c r="I92" s="159"/>
      <c r="J92" s="159"/>
      <c r="K92" s="159"/>
      <c r="L92" s="159"/>
      <c r="M92" s="159"/>
      <c r="N92" s="159"/>
      <c r="O92" s="159"/>
      <c r="P92" s="159"/>
      <c r="Q92" s="159"/>
      <c r="R92" s="159"/>
      <c r="S92" s="158">
        <v>0</v>
      </c>
    </row>
    <row r="93" spans="1:19" ht="33.75" x14ac:dyDescent="0.2">
      <c r="A93" s="155">
        <v>55</v>
      </c>
      <c r="B93" s="156" t="s">
        <v>337</v>
      </c>
      <c r="C93" s="159"/>
      <c r="D93" s="159"/>
      <c r="E93" s="159"/>
      <c r="F93" s="159"/>
      <c r="G93" s="159"/>
      <c r="H93" s="159"/>
      <c r="I93" s="159"/>
      <c r="J93" s="159"/>
      <c r="K93" s="159"/>
      <c r="L93" s="159"/>
      <c r="M93" s="159"/>
      <c r="N93" s="159"/>
      <c r="O93" s="159"/>
      <c r="P93" s="159"/>
      <c r="Q93" s="159"/>
      <c r="R93" s="159"/>
      <c r="S93" s="158" t="s">
        <v>338</v>
      </c>
    </row>
    <row r="94" spans="1:19" ht="33.75" x14ac:dyDescent="0.2">
      <c r="A94" s="155">
        <v>56</v>
      </c>
      <c r="B94" s="156" t="s">
        <v>339</v>
      </c>
      <c r="C94" s="159"/>
      <c r="D94" s="159"/>
      <c r="E94" s="159"/>
      <c r="F94" s="159"/>
      <c r="G94" s="159"/>
      <c r="H94" s="159"/>
      <c r="I94" s="159"/>
      <c r="J94" s="159"/>
      <c r="K94" s="159"/>
      <c r="L94" s="159"/>
      <c r="M94" s="159"/>
      <c r="N94" s="159"/>
      <c r="O94" s="159"/>
      <c r="P94" s="159"/>
      <c r="Q94" s="159"/>
      <c r="R94" s="159"/>
      <c r="S94" s="158">
        <v>0</v>
      </c>
    </row>
    <row r="95" spans="1:19" ht="45" x14ac:dyDescent="0.2">
      <c r="A95" s="155" t="s">
        <v>340</v>
      </c>
      <c r="B95" s="156" t="s">
        <v>341</v>
      </c>
      <c r="C95" s="159"/>
      <c r="D95" s="159"/>
      <c r="E95" s="159"/>
      <c r="F95" s="159"/>
      <c r="G95" s="159"/>
      <c r="H95" s="159"/>
      <c r="I95" s="159"/>
      <c r="J95" s="159"/>
      <c r="K95" s="159"/>
      <c r="L95" s="159"/>
      <c r="M95" s="159"/>
      <c r="N95" s="159"/>
      <c r="O95" s="159"/>
      <c r="P95" s="159"/>
      <c r="Q95" s="159"/>
      <c r="R95" s="159"/>
      <c r="S95" s="158" t="s">
        <v>342</v>
      </c>
    </row>
    <row r="96" spans="1:19" ht="33.75" x14ac:dyDescent="0.2">
      <c r="A96" s="155" t="s">
        <v>343</v>
      </c>
      <c r="B96" s="156" t="s">
        <v>344</v>
      </c>
      <c r="C96" s="159"/>
      <c r="D96" s="159"/>
      <c r="E96" s="159"/>
      <c r="F96" s="159"/>
      <c r="G96" s="159"/>
      <c r="H96" s="159"/>
      <c r="I96" s="159"/>
      <c r="J96" s="159"/>
      <c r="K96" s="159"/>
      <c r="L96" s="159"/>
      <c r="M96" s="159"/>
      <c r="N96" s="159"/>
      <c r="O96" s="159"/>
      <c r="P96" s="159"/>
      <c r="Q96" s="159"/>
      <c r="R96" s="159"/>
      <c r="S96" s="158" t="s">
        <v>345</v>
      </c>
    </row>
    <row r="97" spans="1:19" ht="22.5" x14ac:dyDescent="0.2">
      <c r="A97" s="155" t="s">
        <v>346</v>
      </c>
      <c r="B97" s="156" t="s">
        <v>347</v>
      </c>
      <c r="C97" s="159"/>
      <c r="D97" s="159"/>
      <c r="E97" s="159"/>
      <c r="F97" s="159"/>
      <c r="G97" s="159"/>
      <c r="H97" s="159"/>
      <c r="I97" s="159"/>
      <c r="J97" s="159"/>
      <c r="K97" s="159"/>
      <c r="L97" s="159"/>
      <c r="M97" s="159"/>
      <c r="N97" s="159"/>
      <c r="O97" s="159"/>
      <c r="P97" s="159"/>
      <c r="Q97" s="159"/>
      <c r="R97" s="159"/>
      <c r="S97" s="158" t="s">
        <v>308</v>
      </c>
    </row>
    <row r="98" spans="1:19" x14ac:dyDescent="0.2">
      <c r="A98" s="155"/>
      <c r="B98" s="156" t="s">
        <v>309</v>
      </c>
      <c r="C98" s="159"/>
      <c r="D98" s="159"/>
      <c r="E98" s="159"/>
      <c r="F98" s="159"/>
      <c r="G98" s="159"/>
      <c r="H98" s="159"/>
      <c r="I98" s="159"/>
      <c r="J98" s="159"/>
      <c r="K98" s="159"/>
      <c r="L98" s="159"/>
      <c r="M98" s="159"/>
      <c r="N98" s="159"/>
      <c r="O98" s="159"/>
      <c r="P98" s="159"/>
      <c r="Q98" s="159"/>
      <c r="R98" s="159"/>
      <c r="S98" s="158">
        <v>0</v>
      </c>
    </row>
    <row r="99" spans="1:19" x14ac:dyDescent="0.2">
      <c r="A99" s="155"/>
      <c r="B99" s="156" t="s">
        <v>310</v>
      </c>
      <c r="C99" s="159"/>
      <c r="D99" s="159"/>
      <c r="E99" s="159"/>
      <c r="F99" s="159"/>
      <c r="G99" s="159"/>
      <c r="H99" s="159"/>
      <c r="I99" s="159"/>
      <c r="J99" s="159"/>
      <c r="K99" s="159"/>
      <c r="L99" s="159"/>
      <c r="M99" s="159"/>
      <c r="N99" s="159"/>
      <c r="O99" s="159"/>
      <c r="P99" s="159"/>
      <c r="Q99" s="159"/>
      <c r="R99" s="159"/>
      <c r="S99" s="158">
        <v>0</v>
      </c>
    </row>
    <row r="100" spans="1:19" x14ac:dyDescent="0.2">
      <c r="A100" s="155">
        <v>57</v>
      </c>
      <c r="B100" s="174" t="s">
        <v>348</v>
      </c>
      <c r="C100" s="159"/>
      <c r="D100" s="159"/>
      <c r="E100" s="159"/>
      <c r="F100" s="159"/>
      <c r="G100" s="159"/>
      <c r="H100" s="159"/>
      <c r="I100" s="159"/>
      <c r="J100" s="159"/>
      <c r="K100" s="159"/>
      <c r="L100" s="159"/>
      <c r="M100" s="159"/>
      <c r="N100" s="159"/>
      <c r="O100" s="159"/>
      <c r="P100" s="159"/>
      <c r="Q100" s="159"/>
      <c r="R100" s="159"/>
      <c r="S100" s="158">
        <v>0</v>
      </c>
    </row>
    <row r="101" spans="1:19" x14ac:dyDescent="0.2">
      <c r="A101" s="155">
        <v>58</v>
      </c>
      <c r="B101" s="174" t="s">
        <v>349</v>
      </c>
      <c r="C101" s="159">
        <v>64.859166509999994</v>
      </c>
      <c r="D101" s="159">
        <v>64.891666499999999</v>
      </c>
      <c r="E101" s="159">
        <v>64.924166490000005</v>
      </c>
      <c r="F101" s="159">
        <v>64.956666479999996</v>
      </c>
      <c r="G101" s="159">
        <v>64.989166470000001</v>
      </c>
      <c r="H101" s="159">
        <v>106.8</v>
      </c>
      <c r="I101" s="159">
        <v>65</v>
      </c>
      <c r="J101" s="159">
        <v>65</v>
      </c>
      <c r="K101" s="159">
        <v>65</v>
      </c>
      <c r="L101" s="159">
        <v>65</v>
      </c>
      <c r="M101" s="159">
        <f>M86</f>
        <v>65</v>
      </c>
      <c r="N101" s="159">
        <f t="shared" ref="N101:O101" si="21">N86</f>
        <v>65</v>
      </c>
      <c r="O101" s="159">
        <f t="shared" si="21"/>
        <v>65</v>
      </c>
      <c r="P101" s="159">
        <f t="shared" ref="P101:Q101" si="22">P86</f>
        <v>65</v>
      </c>
      <c r="Q101" s="159">
        <f t="shared" si="22"/>
        <v>165</v>
      </c>
      <c r="R101" s="159">
        <f t="shared" ref="R101" si="23">R86</f>
        <v>165</v>
      </c>
      <c r="S101" s="158">
        <v>0</v>
      </c>
    </row>
    <row r="102" spans="1:19" x14ac:dyDescent="0.2">
      <c r="A102" s="155">
        <v>59</v>
      </c>
      <c r="B102" s="174" t="s">
        <v>350</v>
      </c>
      <c r="C102" s="159">
        <v>1963.302968501202</v>
      </c>
      <c r="D102" s="159">
        <v>2002.9362883002793</v>
      </c>
      <c r="E102" s="159">
        <v>2256.5302587548431</v>
      </c>
      <c r="F102" s="159">
        <v>2325.4110272428784</v>
      </c>
      <c r="G102" s="159">
        <v>2293.4366231341523</v>
      </c>
      <c r="H102" s="159">
        <v>2204.0394525590768</v>
      </c>
      <c r="I102" s="159">
        <v>2193.9569470099809</v>
      </c>
      <c r="J102" s="159">
        <v>1828.8253563845226</v>
      </c>
      <c r="K102" s="159">
        <v>1905.6816196980171</v>
      </c>
      <c r="L102" s="159">
        <f>L78+L101</f>
        <v>1904.074766887351</v>
      </c>
      <c r="M102" s="159">
        <f>M78+M101</f>
        <v>2021.1140210326978</v>
      </c>
      <c r="N102" s="159">
        <f t="shared" ref="N102:O102" si="24">N78+N101</f>
        <v>2004.9386762521731</v>
      </c>
      <c r="O102" s="159">
        <f t="shared" si="24"/>
        <v>2043.8462272159704</v>
      </c>
      <c r="P102" s="159">
        <f t="shared" ref="P102:Q102" si="25">P78+P101</f>
        <v>2091.5803168114908</v>
      </c>
      <c r="Q102" s="159">
        <f t="shared" si="25"/>
        <v>2335.8870993249102</v>
      </c>
      <c r="R102" s="159">
        <f t="shared" ref="R102" si="26">R78+R101</f>
        <v>2373.8355284610088</v>
      </c>
      <c r="S102" s="158">
        <v>0</v>
      </c>
    </row>
    <row r="103" spans="1:19" ht="33.75" x14ac:dyDescent="0.2">
      <c r="A103" s="155" t="s">
        <v>351</v>
      </c>
      <c r="B103" s="156" t="s">
        <v>352</v>
      </c>
      <c r="C103" s="159"/>
      <c r="D103" s="159"/>
      <c r="E103" s="159"/>
      <c r="F103" s="159"/>
      <c r="G103" s="159"/>
      <c r="H103" s="159"/>
      <c r="I103" s="159"/>
      <c r="J103" s="159"/>
      <c r="K103" s="159"/>
      <c r="L103" s="159"/>
      <c r="M103" s="159"/>
      <c r="N103" s="159"/>
      <c r="O103" s="159"/>
      <c r="P103" s="159"/>
      <c r="Q103" s="159"/>
      <c r="R103" s="159"/>
      <c r="S103" s="158">
        <v>0</v>
      </c>
    </row>
    <row r="104" spans="1:19" ht="45" x14ac:dyDescent="0.2">
      <c r="A104" s="155"/>
      <c r="B104" s="156" t="s">
        <v>353</v>
      </c>
      <c r="C104" s="159"/>
      <c r="D104" s="159"/>
      <c r="E104" s="159"/>
      <c r="F104" s="159"/>
      <c r="G104" s="159"/>
      <c r="H104" s="159"/>
      <c r="I104" s="159"/>
      <c r="J104" s="159"/>
      <c r="K104" s="159"/>
      <c r="L104" s="159"/>
      <c r="M104" s="159"/>
      <c r="N104" s="159"/>
      <c r="O104" s="159"/>
      <c r="P104" s="159"/>
      <c r="Q104" s="159"/>
      <c r="R104" s="159"/>
      <c r="S104" s="158" t="s">
        <v>354</v>
      </c>
    </row>
    <row r="105" spans="1:19" ht="45" x14ac:dyDescent="0.2">
      <c r="A105" s="155"/>
      <c r="B105" s="156" t="s">
        <v>355</v>
      </c>
      <c r="C105" s="159"/>
      <c r="D105" s="159"/>
      <c r="E105" s="159"/>
      <c r="F105" s="159"/>
      <c r="G105" s="159"/>
      <c r="H105" s="159"/>
      <c r="I105" s="159"/>
      <c r="J105" s="159"/>
      <c r="K105" s="159"/>
      <c r="L105" s="159"/>
      <c r="M105" s="159"/>
      <c r="N105" s="159"/>
      <c r="O105" s="159"/>
      <c r="P105" s="159"/>
      <c r="Q105" s="159"/>
      <c r="R105" s="159"/>
      <c r="S105" s="158" t="s">
        <v>356</v>
      </c>
    </row>
    <row r="106" spans="1:19" ht="56.25" x14ac:dyDescent="0.2">
      <c r="A106" s="155"/>
      <c r="B106" s="156" t="s">
        <v>357</v>
      </c>
      <c r="C106" s="159"/>
      <c r="D106" s="159"/>
      <c r="E106" s="159"/>
      <c r="F106" s="159"/>
      <c r="G106" s="159"/>
      <c r="H106" s="159"/>
      <c r="I106" s="159"/>
      <c r="J106" s="159"/>
      <c r="K106" s="159"/>
      <c r="L106" s="159"/>
      <c r="M106" s="159"/>
      <c r="N106" s="159"/>
      <c r="O106" s="159"/>
      <c r="P106" s="159"/>
      <c r="Q106" s="159"/>
      <c r="R106" s="159"/>
      <c r="S106" s="158" t="s">
        <v>358</v>
      </c>
    </row>
    <row r="107" spans="1:19" x14ac:dyDescent="0.2">
      <c r="A107" s="155">
        <v>60</v>
      </c>
      <c r="B107" s="174" t="s">
        <v>359</v>
      </c>
      <c r="C107" s="159">
        <v>8747.8615207607072</v>
      </c>
      <c r="D107" s="159">
        <v>9077.8976954512073</v>
      </c>
      <c r="E107" s="159">
        <v>8925.3473001132606</v>
      </c>
      <c r="F107" s="159">
        <v>9065.352919635714</v>
      </c>
      <c r="G107" s="159">
        <v>8727.3397601100496</v>
      </c>
      <c r="H107" s="159">
        <v>8450.2551398513788</v>
      </c>
      <c r="I107" s="159">
        <v>8648.9996615477539</v>
      </c>
      <c r="J107" s="159">
        <v>8329.7814570912797</v>
      </c>
      <c r="K107" s="159">
        <v>7931.5149730829426</v>
      </c>
      <c r="L107" s="159">
        <v>7484.9553850712409</v>
      </c>
      <c r="M107" s="159">
        <f>'1'!L15</f>
        <v>7280.7498927332372</v>
      </c>
      <c r="N107" s="159">
        <f>'1'!M15</f>
        <v>8045.6771466105265</v>
      </c>
      <c r="O107" s="159">
        <f>'1'!N15</f>
        <v>8671.5179221656981</v>
      </c>
      <c r="P107" s="159">
        <f>'1'!O15</f>
        <v>9385.9131081722389</v>
      </c>
      <c r="Q107" s="159">
        <f>'1'!P15</f>
        <v>9562.3992090756219</v>
      </c>
      <c r="R107" s="159">
        <f>'1'!Q15</f>
        <v>9816.3491062657504</v>
      </c>
      <c r="S107" s="158">
        <v>0</v>
      </c>
    </row>
    <row r="108" spans="1:19" x14ac:dyDescent="0.2">
      <c r="A108" s="175" t="s">
        <v>360</v>
      </c>
      <c r="B108" s="176"/>
      <c r="C108" s="177"/>
      <c r="D108" s="177"/>
      <c r="E108" s="177"/>
      <c r="F108" s="177"/>
      <c r="G108" s="177"/>
      <c r="H108" s="177"/>
      <c r="I108" s="177"/>
      <c r="J108" s="177"/>
      <c r="K108" s="177"/>
      <c r="L108" s="177"/>
      <c r="M108" s="177"/>
      <c r="N108" s="177"/>
      <c r="O108" s="177"/>
      <c r="P108" s="177"/>
      <c r="Q108" s="177"/>
      <c r="R108" s="177"/>
      <c r="S108" s="178"/>
    </row>
    <row r="109" spans="1:19" x14ac:dyDescent="0.2">
      <c r="A109" s="155">
        <v>61</v>
      </c>
      <c r="B109" s="156" t="s">
        <v>361</v>
      </c>
      <c r="C109" s="181">
        <v>0.21192537142837498</v>
      </c>
      <c r="D109" s="181">
        <v>0.20858294346598333</v>
      </c>
      <c r="E109" s="181">
        <v>0.21814905647874736</v>
      </c>
      <c r="F109" s="181">
        <v>0.22237461449475332</v>
      </c>
      <c r="G109" s="181">
        <v>0.22731983756744861</v>
      </c>
      <c r="H109" s="181">
        <v>0.22457185270176977</v>
      </c>
      <c r="I109" s="181">
        <v>0.22307862440876894</v>
      </c>
      <c r="J109" s="181">
        <v>0.18779308490174484</v>
      </c>
      <c r="K109" s="181">
        <v>0.2069127556674229</v>
      </c>
      <c r="L109" s="181">
        <f>L54/L107</f>
        <v>0.21904269064280418</v>
      </c>
      <c r="M109" s="181">
        <f t="shared" ref="M109:O109" si="27">M54/M107</f>
        <v>0.24126141495203499</v>
      </c>
      <c r="N109" s="181">
        <f t="shared" si="27"/>
        <v>0.21631351153399961</v>
      </c>
      <c r="O109" s="181">
        <f t="shared" si="27"/>
        <v>0.20518855443610662</v>
      </c>
      <c r="P109" s="181">
        <f t="shared" ref="P109:Q109" si="28">P54/P107</f>
        <v>0.19465664083558482</v>
      </c>
      <c r="Q109" s="181">
        <f t="shared" si="28"/>
        <v>0.20615507219714529</v>
      </c>
      <c r="R109" s="181">
        <f t="shared" ref="R109" si="29">R54/R107</f>
        <v>0.20468766001593067</v>
      </c>
      <c r="S109" s="158" t="s">
        <v>362</v>
      </c>
    </row>
    <row r="110" spans="1:19" x14ac:dyDescent="0.2">
      <c r="A110" s="155">
        <v>62</v>
      </c>
      <c r="B110" s="156" t="s">
        <v>363</v>
      </c>
      <c r="C110" s="181">
        <v>0.2170180446370526</v>
      </c>
      <c r="D110" s="181">
        <v>0.21349046737675875</v>
      </c>
      <c r="E110" s="181">
        <v>0.24554855050145019</v>
      </c>
      <c r="F110" s="181">
        <v>0.24935094979773975</v>
      </c>
      <c r="G110" s="181">
        <v>0.25534097650806392</v>
      </c>
      <c r="H110" s="181">
        <v>0.24818652429421942</v>
      </c>
      <c r="I110" s="181">
        <v>0.24615065676034495</v>
      </c>
      <c r="J110" s="181">
        <v>0.21174929564123787</v>
      </c>
      <c r="K110" s="181">
        <v>0.23207188361173237</v>
      </c>
      <c r="L110" s="181">
        <f>L78/L107</f>
        <v>0.24570283619263641</v>
      </c>
      <c r="M110" s="181">
        <f t="shared" ref="M110:O110" si="30">M78/M107</f>
        <v>0.26866930602643746</v>
      </c>
      <c r="N110" s="181">
        <f t="shared" si="30"/>
        <v>0.24111565016866582</v>
      </c>
      <c r="O110" s="181">
        <f t="shared" si="30"/>
        <v>0.22820067316677548</v>
      </c>
      <c r="P110" s="181">
        <f t="shared" ref="P110:Q110" si="31">P78/P107</f>
        <v>0.21591722546919423</v>
      </c>
      <c r="Q110" s="181">
        <f t="shared" si="31"/>
        <v>0.22702326600886238</v>
      </c>
      <c r="R110" s="181">
        <f t="shared" ref="R110" si="32">R78/R107</f>
        <v>0.22501599164307581</v>
      </c>
      <c r="S110" s="158" t="s">
        <v>364</v>
      </c>
    </row>
    <row r="111" spans="1:19" x14ac:dyDescent="0.2">
      <c r="A111" s="155">
        <v>63</v>
      </c>
      <c r="B111" s="156" t="s">
        <v>365</v>
      </c>
      <c r="C111" s="181">
        <v>0.2244323328440703</v>
      </c>
      <c r="D111" s="181">
        <v>0.22063878174171531</v>
      </c>
      <c r="E111" s="181">
        <v>0.25282268385524992</v>
      </c>
      <c r="F111" s="181">
        <v>0.25651632626524634</v>
      </c>
      <c r="G111" s="181">
        <v>0.26278759463642476</v>
      </c>
      <c r="H111" s="181">
        <v>0.26082519593578107</v>
      </c>
      <c r="I111" s="181">
        <v>0.2536659767445717</v>
      </c>
      <c r="J111" s="181">
        <v>0.2195526216150141</v>
      </c>
      <c r="K111" s="181">
        <v>0.24026703929391785</v>
      </c>
      <c r="L111" s="181">
        <f>L102/L107</f>
        <v>0.25438692269095309</v>
      </c>
      <c r="M111" s="181">
        <f t="shared" ref="M111:O111" si="33">M102/M107</f>
        <v>0.27759695784220373</v>
      </c>
      <c r="N111" s="181">
        <f t="shared" si="33"/>
        <v>0.24919452268810108</v>
      </c>
      <c r="O111" s="181">
        <f t="shared" si="33"/>
        <v>0.23569647731357316</v>
      </c>
      <c r="P111" s="181">
        <f t="shared" ref="P111:Q111" si="34">P102/P107</f>
        <v>0.22284249733681943</v>
      </c>
      <c r="Q111" s="181">
        <f t="shared" si="34"/>
        <v>0.24427834984215385</v>
      </c>
      <c r="R111" s="181">
        <f t="shared" ref="R111" si="35">R102/R107</f>
        <v>0.24182468479506253</v>
      </c>
      <c r="S111" s="158" t="s">
        <v>366</v>
      </c>
    </row>
    <row r="112" spans="1:19" ht="45" x14ac:dyDescent="0.2">
      <c r="A112" s="155">
        <v>64</v>
      </c>
      <c r="B112" s="156" t="s">
        <v>367</v>
      </c>
      <c r="C112" s="182">
        <v>0.15260000000000001</v>
      </c>
      <c r="D112" s="182">
        <v>0.14023023799034218</v>
      </c>
      <c r="E112" s="182">
        <v>0.1401673376256064</v>
      </c>
      <c r="F112" s="182">
        <v>0.1399927406493236</v>
      </c>
      <c r="G112" s="182">
        <v>0.13988097682913112</v>
      </c>
      <c r="H112" s="182">
        <v>0.13988097682913112</v>
      </c>
      <c r="I112" s="182">
        <v>0.13988502152310786</v>
      </c>
      <c r="J112" s="182">
        <v>0.13998309028028127</v>
      </c>
      <c r="K112" s="182">
        <v>0.14057789875705828</v>
      </c>
      <c r="L112" s="182">
        <v>0.14059867676401697</v>
      </c>
      <c r="M112" s="182">
        <f>'1'!L55</f>
        <v>0.14223015520356494</v>
      </c>
      <c r="N112" s="182">
        <f>'1'!M55</f>
        <v>0.14431528402371166</v>
      </c>
      <c r="O112" s="182">
        <f>'1'!N55</f>
        <v>0.14623226031867212</v>
      </c>
      <c r="P112" s="182">
        <f>'1'!O55</f>
        <v>0.14714964936721617</v>
      </c>
      <c r="Q112" s="182">
        <f>'1'!P55</f>
        <v>0.14871591593782044</v>
      </c>
      <c r="R112" s="182">
        <f>'1'!Q55</f>
        <v>0.1481064332186873</v>
      </c>
      <c r="S112" s="158" t="s">
        <v>368</v>
      </c>
    </row>
    <row r="113" spans="1:19" x14ac:dyDescent="0.2">
      <c r="A113" s="155">
        <v>65</v>
      </c>
      <c r="B113" s="156" t="s">
        <v>369</v>
      </c>
      <c r="C113" s="182">
        <v>2.5000000000000001E-2</v>
      </c>
      <c r="D113" s="182">
        <v>2.5000000000000001E-2</v>
      </c>
      <c r="E113" s="182">
        <v>2.5000000000000001E-2</v>
      </c>
      <c r="F113" s="182">
        <v>2.5000000000000001E-2</v>
      </c>
      <c r="G113" s="182">
        <v>2.5000000000000001E-2</v>
      </c>
      <c r="H113" s="182">
        <v>2.5000000000000001E-2</v>
      </c>
      <c r="I113" s="182">
        <v>2.5000000000000001E-2</v>
      </c>
      <c r="J113" s="182">
        <v>2.5000000000000001E-2</v>
      </c>
      <c r="K113" s="182">
        <v>2.5000000000000001E-2</v>
      </c>
      <c r="L113" s="182">
        <v>2.5000000000000001E-2</v>
      </c>
      <c r="M113" s="182">
        <f>'1'!L48</f>
        <v>2.5000000000000001E-2</v>
      </c>
      <c r="N113" s="182">
        <f>'1'!M48</f>
        <v>2.5000000000000001E-2</v>
      </c>
      <c r="O113" s="182">
        <f>'1'!N48</f>
        <v>2.5000000000000001E-2</v>
      </c>
      <c r="P113" s="182">
        <f>'1'!O48</f>
        <v>2.5000000000000001E-2</v>
      </c>
      <c r="Q113" s="182">
        <f>'1'!P48</f>
        <v>2.5000000000000001E-2</v>
      </c>
      <c r="R113" s="182">
        <f>'1'!Q48</f>
        <v>2.5000000000000001E-2</v>
      </c>
      <c r="S113" s="158">
        <v>0</v>
      </c>
    </row>
    <row r="114" spans="1:19" x14ac:dyDescent="0.2">
      <c r="A114" s="155">
        <v>66</v>
      </c>
      <c r="B114" s="156" t="s">
        <v>370</v>
      </c>
      <c r="C114" s="182">
        <v>1.7600000000000001E-2</v>
      </c>
      <c r="D114" s="182">
        <v>5.2302379903421663E-3</v>
      </c>
      <c r="E114" s="182">
        <v>5.1673376256063819E-3</v>
      </c>
      <c r="F114" s="182">
        <v>4.9927406493235895E-3</v>
      </c>
      <c r="G114" s="182">
        <v>4.8809768291311045E-3</v>
      </c>
      <c r="H114" s="182">
        <v>4.8809768291311045E-3</v>
      </c>
      <c r="I114" s="182">
        <v>4.8850215231078581E-3</v>
      </c>
      <c r="J114" s="182">
        <v>4.9830902802812573E-3</v>
      </c>
      <c r="K114" s="182">
        <v>5.5778987570582915E-3</v>
      </c>
      <c r="L114" s="182">
        <v>5.598676764016988E-3</v>
      </c>
      <c r="M114" s="182">
        <f>'1'!L50</f>
        <v>7.2301552035649325E-3</v>
      </c>
      <c r="N114" s="182">
        <f>'1'!M50</f>
        <v>9.3152840237116577E-3</v>
      </c>
      <c r="O114" s="182">
        <f>'1'!N50</f>
        <v>1.1232260318672114E-2</v>
      </c>
      <c r="P114" s="182">
        <f>'1'!O50</f>
        <v>1.214964936721616E-2</v>
      </c>
      <c r="Q114" s="182">
        <f>'1'!P50</f>
        <v>1.3715915937820424E-2</v>
      </c>
      <c r="R114" s="182">
        <f>'1'!Q50</f>
        <v>1.3106433218687312E-2</v>
      </c>
      <c r="S114" s="158">
        <v>0</v>
      </c>
    </row>
    <row r="115" spans="1:19" x14ac:dyDescent="0.2">
      <c r="A115" s="155">
        <v>67</v>
      </c>
      <c r="B115" s="156" t="s">
        <v>371</v>
      </c>
      <c r="C115" s="182">
        <v>0.03</v>
      </c>
      <c r="D115" s="182">
        <v>0.03</v>
      </c>
      <c r="E115" s="182">
        <v>0.03</v>
      </c>
      <c r="F115" s="182">
        <v>0.03</v>
      </c>
      <c r="G115" s="182">
        <v>0.03</v>
      </c>
      <c r="H115" s="182">
        <v>0.03</v>
      </c>
      <c r="I115" s="182">
        <v>0.03</v>
      </c>
      <c r="J115" s="182">
        <v>0.03</v>
      </c>
      <c r="K115" s="182">
        <v>0.03</v>
      </c>
      <c r="L115" s="182">
        <v>0.03</v>
      </c>
      <c r="M115" s="182">
        <f>'1'!L49</f>
        <v>0.03</v>
      </c>
      <c r="N115" s="182">
        <f>'1'!M49</f>
        <v>0.03</v>
      </c>
      <c r="O115" s="182">
        <f>'1'!N49</f>
        <v>0.03</v>
      </c>
      <c r="P115" s="182">
        <f>'1'!O49</f>
        <v>0.03</v>
      </c>
      <c r="Q115" s="182">
        <f>'1'!P49</f>
        <v>0.03</v>
      </c>
      <c r="R115" s="182">
        <f>'1'!Q49</f>
        <v>0.03</v>
      </c>
      <c r="S115" s="158">
        <v>0</v>
      </c>
    </row>
    <row r="116" spans="1:19" ht="22.5" x14ac:dyDescent="0.2">
      <c r="A116" s="155" t="s">
        <v>372</v>
      </c>
      <c r="B116" s="156" t="s">
        <v>373</v>
      </c>
      <c r="C116" s="159"/>
      <c r="D116" s="159"/>
      <c r="E116" s="159"/>
      <c r="F116" s="159"/>
      <c r="G116" s="159"/>
      <c r="H116" s="159"/>
      <c r="I116" s="159"/>
      <c r="J116" s="159"/>
      <c r="K116" s="159"/>
      <c r="L116" s="159"/>
      <c r="M116" s="159"/>
      <c r="N116" s="159"/>
      <c r="O116" s="159"/>
      <c r="P116" s="159"/>
      <c r="Q116" s="159"/>
      <c r="R116" s="159"/>
      <c r="S116" s="158" t="s">
        <v>374</v>
      </c>
    </row>
    <row r="117" spans="1:19" ht="22.5" x14ac:dyDescent="0.2">
      <c r="A117" s="155">
        <v>68</v>
      </c>
      <c r="B117" s="156" t="s">
        <v>375</v>
      </c>
      <c r="C117" s="182">
        <v>0.21192537142837498</v>
      </c>
      <c r="D117" s="182">
        <v>0.20858294346598333</v>
      </c>
      <c r="E117" s="182">
        <v>0.21814905647874736</v>
      </c>
      <c r="F117" s="182">
        <v>0.22237461449475332</v>
      </c>
      <c r="G117" s="182">
        <v>0.22731983756744861</v>
      </c>
      <c r="H117" s="182">
        <v>0.22457185270176977</v>
      </c>
      <c r="I117" s="182">
        <v>0.22307862440876894</v>
      </c>
      <c r="J117" s="182">
        <v>0.18779308490174484</v>
      </c>
      <c r="K117" s="182">
        <v>0.2069127556674229</v>
      </c>
      <c r="L117" s="182">
        <v>0.21904269064280418</v>
      </c>
      <c r="M117" s="182">
        <f>M109</f>
        <v>0.24126141495203499</v>
      </c>
      <c r="N117" s="182">
        <f t="shared" ref="N117:O117" si="36">N109</f>
        <v>0.21631351153399961</v>
      </c>
      <c r="O117" s="182">
        <f t="shared" si="36"/>
        <v>0.20518855443610662</v>
      </c>
      <c r="P117" s="182">
        <f t="shared" ref="P117:Q117" si="37">P109</f>
        <v>0.19465664083558482</v>
      </c>
      <c r="Q117" s="182">
        <f t="shared" si="37"/>
        <v>0.20615507219714529</v>
      </c>
      <c r="R117" s="182">
        <f t="shared" ref="R117" si="38">R109</f>
        <v>0.20468766001593067</v>
      </c>
      <c r="S117" s="158" t="s">
        <v>376</v>
      </c>
    </row>
    <row r="118" spans="1:19" x14ac:dyDescent="0.2">
      <c r="A118" s="155">
        <v>69</v>
      </c>
      <c r="B118" s="156" t="s">
        <v>377</v>
      </c>
      <c r="C118" s="159"/>
      <c r="D118" s="159"/>
      <c r="E118" s="159"/>
      <c r="F118" s="159"/>
      <c r="G118" s="159"/>
      <c r="H118" s="159"/>
      <c r="I118" s="159"/>
      <c r="J118" s="159"/>
      <c r="K118" s="159"/>
      <c r="L118" s="159"/>
      <c r="M118" s="159"/>
      <c r="N118" s="159"/>
      <c r="O118" s="159"/>
      <c r="P118" s="159"/>
      <c r="Q118" s="159"/>
      <c r="R118" s="159"/>
      <c r="S118" s="158">
        <v>0</v>
      </c>
    </row>
    <row r="119" spans="1:19" x14ac:dyDescent="0.2">
      <c r="A119" s="155">
        <v>70</v>
      </c>
      <c r="B119" s="156" t="s">
        <v>377</v>
      </c>
      <c r="C119" s="159"/>
      <c r="D119" s="159"/>
      <c r="E119" s="159"/>
      <c r="F119" s="159"/>
      <c r="G119" s="159"/>
      <c r="H119" s="159"/>
      <c r="I119" s="159"/>
      <c r="J119" s="159"/>
      <c r="K119" s="159"/>
      <c r="L119" s="159"/>
      <c r="M119" s="159"/>
      <c r="N119" s="159"/>
      <c r="O119" s="159"/>
      <c r="P119" s="159"/>
      <c r="Q119" s="159"/>
      <c r="R119" s="159"/>
      <c r="S119" s="158">
        <v>0</v>
      </c>
    </row>
    <row r="120" spans="1:19" x14ac:dyDescent="0.2">
      <c r="A120" s="155">
        <v>71</v>
      </c>
      <c r="B120" s="156" t="s">
        <v>377</v>
      </c>
      <c r="C120" s="159"/>
      <c r="D120" s="159"/>
      <c r="E120" s="159"/>
      <c r="F120" s="159"/>
      <c r="G120" s="159"/>
      <c r="H120" s="159"/>
      <c r="I120" s="159"/>
      <c r="J120" s="159"/>
      <c r="K120" s="159"/>
      <c r="L120" s="159"/>
      <c r="M120" s="159"/>
      <c r="N120" s="159"/>
      <c r="O120" s="159"/>
      <c r="P120" s="159"/>
      <c r="Q120" s="159"/>
      <c r="R120" s="159"/>
      <c r="S120" s="158">
        <v>0</v>
      </c>
    </row>
    <row r="121" spans="1:19" x14ac:dyDescent="0.2">
      <c r="A121" s="175" t="s">
        <v>378</v>
      </c>
      <c r="B121" s="176"/>
      <c r="C121" s="177"/>
      <c r="D121" s="177"/>
      <c r="E121" s="177"/>
      <c r="F121" s="177"/>
      <c r="G121" s="177"/>
      <c r="H121" s="177"/>
      <c r="I121" s="177"/>
      <c r="J121" s="177"/>
      <c r="K121" s="177"/>
      <c r="L121" s="177"/>
      <c r="M121" s="177"/>
      <c r="N121" s="177"/>
      <c r="O121" s="177"/>
      <c r="P121" s="177"/>
      <c r="Q121" s="177"/>
      <c r="R121" s="177"/>
      <c r="S121" s="178"/>
    </row>
    <row r="122" spans="1:19" ht="56.25" x14ac:dyDescent="0.2">
      <c r="A122" s="155">
        <v>72</v>
      </c>
      <c r="B122" s="156" t="s">
        <v>379</v>
      </c>
      <c r="C122" s="159"/>
      <c r="D122" s="159"/>
      <c r="E122" s="159"/>
      <c r="F122" s="159"/>
      <c r="G122" s="159"/>
      <c r="H122" s="159"/>
      <c r="I122" s="159"/>
      <c r="J122" s="159"/>
      <c r="K122" s="159"/>
      <c r="L122" s="159"/>
      <c r="M122" s="159"/>
      <c r="N122" s="159"/>
      <c r="O122" s="159"/>
      <c r="P122" s="159"/>
      <c r="Q122" s="159"/>
      <c r="R122" s="159"/>
      <c r="S122" s="158" t="s">
        <v>380</v>
      </c>
    </row>
    <row r="123" spans="1:19" ht="33.75" x14ac:dyDescent="0.2">
      <c r="A123" s="155">
        <v>73</v>
      </c>
      <c r="B123" s="156" t="s">
        <v>381</v>
      </c>
      <c r="C123" s="159"/>
      <c r="D123" s="159"/>
      <c r="E123" s="159"/>
      <c r="F123" s="159"/>
      <c r="G123" s="159"/>
      <c r="H123" s="159"/>
      <c r="I123" s="159"/>
      <c r="J123" s="159"/>
      <c r="K123" s="159"/>
      <c r="L123" s="159"/>
      <c r="M123" s="159"/>
      <c r="N123" s="159"/>
      <c r="O123" s="159"/>
      <c r="P123" s="159"/>
      <c r="Q123" s="159"/>
      <c r="R123" s="159"/>
      <c r="S123" s="158" t="s">
        <v>382</v>
      </c>
    </row>
    <row r="124" spans="1:19" x14ac:dyDescent="0.2">
      <c r="A124" s="155">
        <v>74</v>
      </c>
      <c r="B124" s="156" t="s">
        <v>220</v>
      </c>
      <c r="C124" s="159"/>
      <c r="D124" s="159"/>
      <c r="E124" s="159"/>
      <c r="F124" s="159"/>
      <c r="G124" s="159"/>
      <c r="H124" s="159"/>
      <c r="I124" s="159"/>
      <c r="J124" s="159"/>
      <c r="K124" s="159"/>
      <c r="L124" s="159"/>
      <c r="M124" s="159"/>
      <c r="N124" s="159"/>
      <c r="O124" s="159"/>
      <c r="P124" s="159"/>
      <c r="Q124" s="159"/>
      <c r="R124" s="159"/>
      <c r="S124" s="158">
        <v>0</v>
      </c>
    </row>
    <row r="125" spans="1:19" ht="33.75" x14ac:dyDescent="0.2">
      <c r="A125" s="155">
        <v>75</v>
      </c>
      <c r="B125" s="156" t="s">
        <v>383</v>
      </c>
      <c r="C125" s="159"/>
      <c r="D125" s="159"/>
      <c r="E125" s="159"/>
      <c r="F125" s="159"/>
      <c r="G125" s="159"/>
      <c r="H125" s="159"/>
      <c r="I125" s="159"/>
      <c r="J125" s="159"/>
      <c r="K125" s="159"/>
      <c r="L125" s="159"/>
      <c r="M125" s="159"/>
      <c r="N125" s="159"/>
      <c r="O125" s="159"/>
      <c r="P125" s="159"/>
      <c r="Q125" s="159"/>
      <c r="R125" s="159"/>
      <c r="S125" s="158" t="s">
        <v>384</v>
      </c>
    </row>
    <row r="126" spans="1:19" x14ac:dyDescent="0.2">
      <c r="A126" s="175" t="s">
        <v>385</v>
      </c>
      <c r="B126" s="176"/>
      <c r="C126" s="177"/>
      <c r="D126" s="177"/>
      <c r="E126" s="177"/>
      <c r="F126" s="177"/>
      <c r="G126" s="177"/>
      <c r="H126" s="177"/>
      <c r="I126" s="177"/>
      <c r="J126" s="177"/>
      <c r="K126" s="177"/>
      <c r="L126" s="177"/>
      <c r="M126" s="177"/>
      <c r="N126" s="177"/>
      <c r="O126" s="177"/>
      <c r="P126" s="177"/>
      <c r="Q126" s="177"/>
      <c r="R126" s="177"/>
      <c r="S126" s="178"/>
    </row>
    <row r="127" spans="1:19" ht="22.5" x14ac:dyDescent="0.2">
      <c r="A127" s="155">
        <v>76</v>
      </c>
      <c r="B127" s="156" t="s">
        <v>386</v>
      </c>
      <c r="C127" s="159"/>
      <c r="D127" s="159"/>
      <c r="E127" s="159"/>
      <c r="F127" s="159"/>
      <c r="G127" s="159"/>
      <c r="H127" s="159"/>
      <c r="I127" s="159"/>
      <c r="J127" s="159"/>
      <c r="K127" s="159"/>
      <c r="L127" s="159"/>
      <c r="M127" s="159"/>
      <c r="N127" s="159"/>
      <c r="O127" s="159"/>
      <c r="P127" s="159"/>
      <c r="Q127" s="159"/>
      <c r="R127" s="159"/>
      <c r="S127" s="158">
        <v>62</v>
      </c>
    </row>
    <row r="128" spans="1:19" ht="22.5" x14ac:dyDescent="0.2">
      <c r="A128" s="155">
        <v>78</v>
      </c>
      <c r="B128" s="156" t="s">
        <v>387</v>
      </c>
      <c r="C128" s="183"/>
      <c r="D128" s="183"/>
      <c r="E128" s="183"/>
      <c r="F128" s="183"/>
      <c r="G128" s="183"/>
      <c r="H128" s="183"/>
      <c r="I128" s="183"/>
      <c r="J128" s="183"/>
      <c r="K128" s="183"/>
      <c r="L128" s="183"/>
      <c r="M128" s="183"/>
      <c r="N128" s="183"/>
      <c r="O128" s="183"/>
      <c r="P128" s="183"/>
      <c r="Q128" s="183"/>
      <c r="R128" s="183"/>
      <c r="S128" s="158">
        <v>62</v>
      </c>
    </row>
    <row r="129" spans="1:19" ht="15" customHeight="1" x14ac:dyDescent="0.2">
      <c r="A129" s="184" t="s">
        <v>388</v>
      </c>
      <c r="B129" s="185"/>
      <c r="C129" s="185"/>
      <c r="D129" s="185"/>
      <c r="E129" s="185"/>
      <c r="F129" s="185"/>
      <c r="G129" s="185"/>
      <c r="H129" s="185"/>
      <c r="I129" s="185"/>
      <c r="J129" s="185"/>
      <c r="K129" s="185"/>
      <c r="L129" s="185"/>
      <c r="M129" s="185"/>
      <c r="N129" s="185"/>
      <c r="O129" s="185"/>
      <c r="P129" s="185"/>
      <c r="Q129" s="185"/>
      <c r="R129" s="185"/>
      <c r="S129" s="185"/>
    </row>
    <row r="130" spans="1:19" x14ac:dyDescent="0.2">
      <c r="A130" s="155">
        <v>80</v>
      </c>
      <c r="B130" s="156" t="s">
        <v>389</v>
      </c>
      <c r="C130" s="159"/>
      <c r="D130" s="159"/>
      <c r="E130" s="159"/>
      <c r="F130" s="159"/>
      <c r="G130" s="159"/>
      <c r="H130" s="159"/>
      <c r="I130" s="159"/>
      <c r="J130" s="159"/>
      <c r="K130" s="159"/>
      <c r="L130" s="159"/>
      <c r="M130" s="159"/>
      <c r="N130" s="159"/>
      <c r="O130" s="159"/>
      <c r="P130" s="159"/>
      <c r="Q130" s="159"/>
      <c r="R130" s="159"/>
      <c r="S130" s="158" t="s">
        <v>390</v>
      </c>
    </row>
    <row r="131" spans="1:19" ht="22.5" x14ac:dyDescent="0.2">
      <c r="A131" s="155">
        <v>81</v>
      </c>
      <c r="B131" s="156" t="s">
        <v>391</v>
      </c>
      <c r="C131" s="159"/>
      <c r="D131" s="159"/>
      <c r="E131" s="159"/>
      <c r="F131" s="159"/>
      <c r="G131" s="159"/>
      <c r="H131" s="159"/>
      <c r="I131" s="159"/>
      <c r="J131" s="159"/>
      <c r="K131" s="159"/>
      <c r="L131" s="159"/>
      <c r="M131" s="159"/>
      <c r="N131" s="159"/>
      <c r="O131" s="159"/>
      <c r="P131" s="159"/>
      <c r="Q131" s="159"/>
      <c r="R131" s="159"/>
      <c r="S131" s="158" t="s">
        <v>390</v>
      </c>
    </row>
    <row r="132" spans="1:19" ht="26.25" customHeight="1" x14ac:dyDescent="0.2">
      <c r="A132" s="155">
        <v>82</v>
      </c>
      <c r="B132" s="156" t="s">
        <v>392</v>
      </c>
      <c r="C132" s="159"/>
      <c r="D132" s="159"/>
      <c r="E132" s="159"/>
      <c r="F132" s="159"/>
      <c r="G132" s="159"/>
      <c r="H132" s="159"/>
      <c r="I132" s="159"/>
      <c r="J132" s="159"/>
      <c r="K132" s="159"/>
      <c r="L132" s="159"/>
      <c r="M132" s="159"/>
      <c r="N132" s="159"/>
      <c r="O132" s="159"/>
      <c r="P132" s="159"/>
      <c r="Q132" s="159"/>
      <c r="R132" s="159"/>
      <c r="S132" s="158" t="s">
        <v>393</v>
      </c>
    </row>
    <row r="133" spans="1:19" ht="22.5" x14ac:dyDescent="0.2">
      <c r="A133" s="155">
        <v>83</v>
      </c>
      <c r="B133" s="156" t="s">
        <v>394</v>
      </c>
      <c r="C133" s="159"/>
      <c r="D133" s="159"/>
      <c r="E133" s="159"/>
      <c r="F133" s="159"/>
      <c r="G133" s="159"/>
      <c r="H133" s="159"/>
      <c r="I133" s="159"/>
      <c r="J133" s="159"/>
      <c r="K133" s="159"/>
      <c r="L133" s="159"/>
      <c r="M133" s="159"/>
      <c r="N133" s="159"/>
      <c r="O133" s="159"/>
      <c r="P133" s="159"/>
      <c r="Q133" s="159"/>
      <c r="R133" s="159"/>
      <c r="S133" s="158" t="s">
        <v>393</v>
      </c>
    </row>
    <row r="134" spans="1:19" x14ac:dyDescent="0.2">
      <c r="A134" s="155">
        <v>84</v>
      </c>
      <c r="B134" s="156" t="s">
        <v>395</v>
      </c>
      <c r="C134" s="159"/>
      <c r="D134" s="159"/>
      <c r="E134" s="159"/>
      <c r="F134" s="159"/>
      <c r="G134" s="159"/>
      <c r="H134" s="159"/>
      <c r="I134" s="159"/>
      <c r="J134" s="159"/>
      <c r="K134" s="159"/>
      <c r="L134" s="159"/>
      <c r="M134" s="159"/>
      <c r="N134" s="159"/>
      <c r="O134" s="159"/>
      <c r="P134" s="159"/>
      <c r="Q134" s="159"/>
      <c r="R134" s="159"/>
      <c r="S134" s="158" t="s">
        <v>396</v>
      </c>
    </row>
    <row r="135" spans="1:19" ht="22.5" x14ac:dyDescent="0.2">
      <c r="A135" s="155">
        <v>85</v>
      </c>
      <c r="B135" s="156" t="s">
        <v>397</v>
      </c>
      <c r="C135" s="159"/>
      <c r="D135" s="159"/>
      <c r="E135" s="159"/>
      <c r="F135" s="159"/>
      <c r="G135" s="159"/>
      <c r="H135" s="159"/>
      <c r="I135" s="159"/>
      <c r="J135" s="159"/>
      <c r="K135" s="159"/>
      <c r="L135" s="159"/>
      <c r="M135" s="159"/>
      <c r="N135" s="159"/>
      <c r="O135" s="159"/>
      <c r="P135" s="159"/>
      <c r="Q135" s="159"/>
      <c r="R135" s="159"/>
      <c r="S135" s="158" t="s">
        <v>396</v>
      </c>
    </row>
  </sheetData>
  <mergeCells count="1">
    <mergeCell ref="A6:B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E54"/>
  <sheetViews>
    <sheetView workbookViewId="0">
      <pane xSplit="2" ySplit="6" topLeftCell="C7" activePane="bottomRight" state="frozen"/>
      <selection pane="topRight" activeCell="C1" sqref="C1"/>
      <selection pane="bottomLeft" activeCell="A7" sqref="A7"/>
      <selection pane="bottomRight" activeCell="C24" sqref="C24"/>
    </sheetView>
  </sheetViews>
  <sheetFormatPr baseColWidth="10" defaultColWidth="9.140625" defaultRowHeight="15" x14ac:dyDescent="0.25"/>
  <cols>
    <col min="1" max="1" width="9.140625" style="154"/>
    <col min="2" max="2" width="74.85546875" style="154" bestFit="1" customWidth="1"/>
    <col min="3" max="5" width="36" style="154" customWidth="1"/>
    <col min="6" max="249" width="9.140625" style="154"/>
    <col min="250" max="250" width="74.85546875" style="154" bestFit="1" customWidth="1"/>
    <col min="251" max="256" width="29.42578125" style="154" customWidth="1"/>
    <col min="257" max="505" width="9.140625" style="154"/>
    <col min="506" max="506" width="74.85546875" style="154" bestFit="1" customWidth="1"/>
    <col min="507" max="512" width="29.42578125" style="154" customWidth="1"/>
    <col min="513" max="761" width="9.140625" style="154"/>
    <col min="762" max="762" width="74.85546875" style="154" bestFit="1" customWidth="1"/>
    <col min="763" max="768" width="29.42578125" style="154" customWidth="1"/>
    <col min="769" max="1017" width="9.140625" style="154"/>
    <col min="1018" max="1018" width="74.85546875" style="154" bestFit="1" customWidth="1"/>
    <col min="1019" max="1024" width="29.42578125" style="154" customWidth="1"/>
    <col min="1025" max="1273" width="9.140625" style="154"/>
    <col min="1274" max="1274" width="74.85546875" style="154" bestFit="1" customWidth="1"/>
    <col min="1275" max="1280" width="29.42578125" style="154" customWidth="1"/>
    <col min="1281" max="1529" width="9.140625" style="154"/>
    <col min="1530" max="1530" width="74.85546875" style="154" bestFit="1" customWidth="1"/>
    <col min="1531" max="1536" width="29.42578125" style="154" customWidth="1"/>
    <col min="1537" max="1785" width="9.140625" style="154"/>
    <col min="1786" max="1786" width="74.85546875" style="154" bestFit="1" customWidth="1"/>
    <col min="1787" max="1792" width="29.42578125" style="154" customWidth="1"/>
    <col min="1793" max="2041" width="9.140625" style="154"/>
    <col min="2042" max="2042" width="74.85546875" style="154" bestFit="1" customWidth="1"/>
    <col min="2043" max="2048" width="29.42578125" style="154" customWidth="1"/>
    <col min="2049" max="2297" width="9.140625" style="154"/>
    <col min="2298" max="2298" width="74.85546875" style="154" bestFit="1" customWidth="1"/>
    <col min="2299" max="2304" width="29.42578125" style="154" customWidth="1"/>
    <col min="2305" max="2553" width="9.140625" style="154"/>
    <col min="2554" max="2554" width="74.85546875" style="154" bestFit="1" customWidth="1"/>
    <col min="2555" max="2560" width="29.42578125" style="154" customWidth="1"/>
    <col min="2561" max="2809" width="9.140625" style="154"/>
    <col min="2810" max="2810" width="74.85546875" style="154" bestFit="1" customWidth="1"/>
    <col min="2811" max="2816" width="29.42578125" style="154" customWidth="1"/>
    <col min="2817" max="3065" width="9.140625" style="154"/>
    <col min="3066" max="3066" width="74.85546875" style="154" bestFit="1" customWidth="1"/>
    <col min="3067" max="3072" width="29.42578125" style="154" customWidth="1"/>
    <col min="3073" max="3321" width="9.140625" style="154"/>
    <col min="3322" max="3322" width="74.85546875" style="154" bestFit="1" customWidth="1"/>
    <col min="3323" max="3328" width="29.42578125" style="154" customWidth="1"/>
    <col min="3329" max="3577" width="9.140625" style="154"/>
    <col min="3578" max="3578" width="74.85546875" style="154" bestFit="1" customWidth="1"/>
    <col min="3579" max="3584" width="29.42578125" style="154" customWidth="1"/>
    <col min="3585" max="3833" width="9.140625" style="154"/>
    <col min="3834" max="3834" width="74.85546875" style="154" bestFit="1" customWidth="1"/>
    <col min="3835" max="3840" width="29.42578125" style="154" customWidth="1"/>
    <col min="3841" max="4089" width="9.140625" style="154"/>
    <col min="4090" max="4090" width="74.85546875" style="154" bestFit="1" customWidth="1"/>
    <col min="4091" max="4096" width="29.42578125" style="154" customWidth="1"/>
    <col min="4097" max="4345" width="9.140625" style="154"/>
    <col min="4346" max="4346" width="74.85546875" style="154" bestFit="1" customWidth="1"/>
    <col min="4347" max="4352" width="29.42578125" style="154" customWidth="1"/>
    <col min="4353" max="4601" width="9.140625" style="154"/>
    <col min="4602" max="4602" width="74.85546875" style="154" bestFit="1" customWidth="1"/>
    <col min="4603" max="4608" width="29.42578125" style="154" customWidth="1"/>
    <col min="4609" max="4857" width="9.140625" style="154"/>
    <col min="4858" max="4858" width="74.85546875" style="154" bestFit="1" customWidth="1"/>
    <col min="4859" max="4864" width="29.42578125" style="154" customWidth="1"/>
    <col min="4865" max="5113" width="9.140625" style="154"/>
    <col min="5114" max="5114" width="74.85546875" style="154" bestFit="1" customWidth="1"/>
    <col min="5115" max="5120" width="29.42578125" style="154" customWidth="1"/>
    <col min="5121" max="5369" width="9.140625" style="154"/>
    <col min="5370" max="5370" width="74.85546875" style="154" bestFit="1" customWidth="1"/>
    <col min="5371" max="5376" width="29.42578125" style="154" customWidth="1"/>
    <col min="5377" max="5625" width="9.140625" style="154"/>
    <col min="5626" max="5626" width="74.85546875" style="154" bestFit="1" customWidth="1"/>
    <col min="5627" max="5632" width="29.42578125" style="154" customWidth="1"/>
    <col min="5633" max="5881" width="9.140625" style="154"/>
    <col min="5882" max="5882" width="74.85546875" style="154" bestFit="1" customWidth="1"/>
    <col min="5883" max="5888" width="29.42578125" style="154" customWidth="1"/>
    <col min="5889" max="6137" width="9.140625" style="154"/>
    <col min="6138" max="6138" width="74.85546875" style="154" bestFit="1" customWidth="1"/>
    <col min="6139" max="6144" width="29.42578125" style="154" customWidth="1"/>
    <col min="6145" max="6393" width="9.140625" style="154"/>
    <col min="6394" max="6394" width="74.85546875" style="154" bestFit="1" customWidth="1"/>
    <col min="6395" max="6400" width="29.42578125" style="154" customWidth="1"/>
    <col min="6401" max="6649" width="9.140625" style="154"/>
    <col min="6650" max="6650" width="74.85546875" style="154" bestFit="1" customWidth="1"/>
    <col min="6651" max="6656" width="29.42578125" style="154" customWidth="1"/>
    <col min="6657" max="6905" width="9.140625" style="154"/>
    <col min="6906" max="6906" width="74.85546875" style="154" bestFit="1" customWidth="1"/>
    <col min="6907" max="6912" width="29.42578125" style="154" customWidth="1"/>
    <col min="6913" max="7161" width="9.140625" style="154"/>
    <col min="7162" max="7162" width="74.85546875" style="154" bestFit="1" customWidth="1"/>
    <col min="7163" max="7168" width="29.42578125" style="154" customWidth="1"/>
    <col min="7169" max="7417" width="9.140625" style="154"/>
    <col min="7418" max="7418" width="74.85546875" style="154" bestFit="1" customWidth="1"/>
    <col min="7419" max="7424" width="29.42578125" style="154" customWidth="1"/>
    <col min="7425" max="7673" width="9.140625" style="154"/>
    <col min="7674" max="7674" width="74.85546875" style="154" bestFit="1" customWidth="1"/>
    <col min="7675" max="7680" width="29.42578125" style="154" customWidth="1"/>
    <col min="7681" max="7929" width="9.140625" style="154"/>
    <col min="7930" max="7930" width="74.85546875" style="154" bestFit="1" customWidth="1"/>
    <col min="7931" max="7936" width="29.42578125" style="154" customWidth="1"/>
    <col min="7937" max="8185" width="9.140625" style="154"/>
    <col min="8186" max="8186" width="74.85546875" style="154" bestFit="1" customWidth="1"/>
    <col min="8187" max="8192" width="29.42578125" style="154" customWidth="1"/>
    <col min="8193" max="8441" width="9.140625" style="154"/>
    <col min="8442" max="8442" width="74.85546875" style="154" bestFit="1" customWidth="1"/>
    <col min="8443" max="8448" width="29.42578125" style="154" customWidth="1"/>
    <col min="8449" max="8697" width="9.140625" style="154"/>
    <col min="8698" max="8698" width="74.85546875" style="154" bestFit="1" customWidth="1"/>
    <col min="8699" max="8704" width="29.42578125" style="154" customWidth="1"/>
    <col min="8705" max="8953" width="9.140625" style="154"/>
    <col min="8954" max="8954" width="74.85546875" style="154" bestFit="1" customWidth="1"/>
    <col min="8955" max="8960" width="29.42578125" style="154" customWidth="1"/>
    <col min="8961" max="9209" width="9.140625" style="154"/>
    <col min="9210" max="9210" width="74.85546875" style="154" bestFit="1" customWidth="1"/>
    <col min="9211" max="9216" width="29.42578125" style="154" customWidth="1"/>
    <col min="9217" max="9465" width="9.140625" style="154"/>
    <col min="9466" max="9466" width="74.85546875" style="154" bestFit="1" customWidth="1"/>
    <col min="9467" max="9472" width="29.42578125" style="154" customWidth="1"/>
    <col min="9473" max="9721" width="9.140625" style="154"/>
    <col min="9722" max="9722" width="74.85546875" style="154" bestFit="1" customWidth="1"/>
    <col min="9723" max="9728" width="29.42578125" style="154" customWidth="1"/>
    <col min="9729" max="9977" width="9.140625" style="154"/>
    <col min="9978" max="9978" width="74.85546875" style="154" bestFit="1" customWidth="1"/>
    <col min="9979" max="9984" width="29.42578125" style="154" customWidth="1"/>
    <col min="9985" max="10233" width="9.140625" style="154"/>
    <col min="10234" max="10234" width="74.85546875" style="154" bestFit="1" customWidth="1"/>
    <col min="10235" max="10240" width="29.42578125" style="154" customWidth="1"/>
    <col min="10241" max="10489" width="9.140625" style="154"/>
    <col min="10490" max="10490" width="74.85546875" style="154" bestFit="1" customWidth="1"/>
    <col min="10491" max="10496" width="29.42578125" style="154" customWidth="1"/>
    <col min="10497" max="10745" width="9.140625" style="154"/>
    <col min="10746" max="10746" width="74.85546875" style="154" bestFit="1" customWidth="1"/>
    <col min="10747" max="10752" width="29.42578125" style="154" customWidth="1"/>
    <col min="10753" max="11001" width="9.140625" style="154"/>
    <col min="11002" max="11002" width="74.85546875" style="154" bestFit="1" customWidth="1"/>
    <col min="11003" max="11008" width="29.42578125" style="154" customWidth="1"/>
    <col min="11009" max="11257" width="9.140625" style="154"/>
    <col min="11258" max="11258" width="74.85546875" style="154" bestFit="1" customWidth="1"/>
    <col min="11259" max="11264" width="29.42578125" style="154" customWidth="1"/>
    <col min="11265" max="11513" width="9.140625" style="154"/>
    <col min="11514" max="11514" width="74.85546875" style="154" bestFit="1" customWidth="1"/>
    <col min="11515" max="11520" width="29.42578125" style="154" customWidth="1"/>
    <col min="11521" max="11769" width="9.140625" style="154"/>
    <col min="11770" max="11770" width="74.85546875" style="154" bestFit="1" customWidth="1"/>
    <col min="11771" max="11776" width="29.42578125" style="154" customWidth="1"/>
    <col min="11777" max="12025" width="9.140625" style="154"/>
    <col min="12026" max="12026" width="74.85546875" style="154" bestFit="1" customWidth="1"/>
    <col min="12027" max="12032" width="29.42578125" style="154" customWidth="1"/>
    <col min="12033" max="12281" width="9.140625" style="154"/>
    <col min="12282" max="12282" width="74.85546875" style="154" bestFit="1" customWidth="1"/>
    <col min="12283" max="12288" width="29.42578125" style="154" customWidth="1"/>
    <col min="12289" max="12537" width="9.140625" style="154"/>
    <col min="12538" max="12538" width="74.85546875" style="154" bestFit="1" customWidth="1"/>
    <col min="12539" max="12544" width="29.42578125" style="154" customWidth="1"/>
    <col min="12545" max="12793" width="9.140625" style="154"/>
    <col min="12794" max="12794" width="74.85546875" style="154" bestFit="1" customWidth="1"/>
    <col min="12795" max="12800" width="29.42578125" style="154" customWidth="1"/>
    <col min="12801" max="13049" width="9.140625" style="154"/>
    <col min="13050" max="13050" width="74.85546875" style="154" bestFit="1" customWidth="1"/>
    <col min="13051" max="13056" width="29.42578125" style="154" customWidth="1"/>
    <col min="13057" max="13305" width="9.140625" style="154"/>
    <col min="13306" max="13306" width="74.85546875" style="154" bestFit="1" customWidth="1"/>
    <col min="13307" max="13312" width="29.42578125" style="154" customWidth="1"/>
    <col min="13313" max="13561" width="9.140625" style="154"/>
    <col min="13562" max="13562" width="74.85546875" style="154" bestFit="1" customWidth="1"/>
    <col min="13563" max="13568" width="29.42578125" style="154" customWidth="1"/>
    <col min="13569" max="13817" width="9.140625" style="154"/>
    <col min="13818" max="13818" width="74.85546875" style="154" bestFit="1" customWidth="1"/>
    <col min="13819" max="13824" width="29.42578125" style="154" customWidth="1"/>
    <col min="13825" max="14073" width="9.140625" style="154"/>
    <col min="14074" max="14074" width="74.85546875" style="154" bestFit="1" customWidth="1"/>
    <col min="14075" max="14080" width="29.42578125" style="154" customWidth="1"/>
    <col min="14081" max="14329" width="9.140625" style="154"/>
    <col min="14330" max="14330" width="74.85546875" style="154" bestFit="1" customWidth="1"/>
    <col min="14331" max="14336" width="29.42578125" style="154" customWidth="1"/>
    <col min="14337" max="14585" width="9.140625" style="154"/>
    <col min="14586" max="14586" width="74.85546875" style="154" bestFit="1" customWidth="1"/>
    <col min="14587" max="14592" width="29.42578125" style="154" customWidth="1"/>
    <col min="14593" max="14841" width="9.140625" style="154"/>
    <col min="14842" max="14842" width="74.85546875" style="154" bestFit="1" customWidth="1"/>
    <col min="14843" max="14848" width="29.42578125" style="154" customWidth="1"/>
    <col min="14849" max="15097" width="9.140625" style="154"/>
    <col min="15098" max="15098" width="74.85546875" style="154" bestFit="1" customWidth="1"/>
    <col min="15099" max="15104" width="29.42578125" style="154" customWidth="1"/>
    <col min="15105" max="15353" width="9.140625" style="154"/>
    <col min="15354" max="15354" width="74.85546875" style="154" bestFit="1" customWidth="1"/>
    <col min="15355" max="15360" width="29.42578125" style="154" customWidth="1"/>
    <col min="15361" max="15609" width="9.140625" style="154"/>
    <col min="15610" max="15610" width="74.85546875" style="154" bestFit="1" customWidth="1"/>
    <col min="15611" max="15616" width="29.42578125" style="154" customWidth="1"/>
    <col min="15617" max="15865" width="9.140625" style="154"/>
    <col min="15866" max="15866" width="74.85546875" style="154" bestFit="1" customWidth="1"/>
    <col min="15867" max="15872" width="29.42578125" style="154" customWidth="1"/>
    <col min="15873" max="16121" width="9.140625" style="154"/>
    <col min="16122" max="16122" width="74.85546875" style="154" bestFit="1" customWidth="1"/>
    <col min="16123" max="16128" width="29.42578125" style="154" customWidth="1"/>
    <col min="16129" max="16384" width="9.140625" style="154"/>
  </cols>
  <sheetData>
    <row r="1" spans="1:5" x14ac:dyDescent="0.25">
      <c r="A1" s="133"/>
      <c r="B1" s="133"/>
    </row>
    <row r="2" spans="1:5" s="153" customFormat="1" ht="6" customHeight="1" x14ac:dyDescent="0.2"/>
    <row r="3" spans="1:5" ht="18" x14ac:dyDescent="0.25">
      <c r="A3" s="136" t="s">
        <v>398</v>
      </c>
    </row>
    <row r="4" spans="1:5" x14ac:dyDescent="0.25">
      <c r="A4" s="154" t="s">
        <v>515</v>
      </c>
    </row>
    <row r="6" spans="1:5" ht="15" customHeight="1" x14ac:dyDescent="0.25">
      <c r="A6" s="250" t="s">
        <v>399</v>
      </c>
      <c r="B6" s="251"/>
      <c r="C6" s="251"/>
      <c r="D6" s="251"/>
      <c r="E6" s="251"/>
    </row>
    <row r="7" spans="1:5" x14ac:dyDescent="0.25">
      <c r="A7" s="188">
        <v>1</v>
      </c>
      <c r="B7" s="188" t="s">
        <v>400</v>
      </c>
      <c r="C7" s="436" t="s">
        <v>704</v>
      </c>
      <c r="D7" s="436" t="s">
        <v>704</v>
      </c>
      <c r="E7" s="436" t="s">
        <v>703</v>
      </c>
    </row>
    <row r="8" spans="1:5" x14ac:dyDescent="0.25">
      <c r="A8" s="188">
        <v>2</v>
      </c>
      <c r="B8" s="188" t="s">
        <v>401</v>
      </c>
      <c r="C8" s="189" t="s">
        <v>680</v>
      </c>
      <c r="D8" s="189" t="s">
        <v>583</v>
      </c>
      <c r="E8" s="189" t="s">
        <v>708</v>
      </c>
    </row>
    <row r="9" spans="1:5" x14ac:dyDescent="0.25">
      <c r="A9" s="188">
        <v>3</v>
      </c>
      <c r="B9" s="188" t="s">
        <v>402</v>
      </c>
      <c r="C9" s="189" t="s">
        <v>403</v>
      </c>
      <c r="D9" s="189" t="s">
        <v>403</v>
      </c>
      <c r="E9" s="189" t="s">
        <v>403</v>
      </c>
    </row>
    <row r="10" spans="1:5" x14ac:dyDescent="0.25">
      <c r="A10" s="188"/>
      <c r="B10" s="190" t="s">
        <v>404</v>
      </c>
      <c r="C10" s="191"/>
      <c r="D10" s="191"/>
      <c r="E10" s="191"/>
    </row>
    <row r="11" spans="1:5" x14ac:dyDescent="0.25">
      <c r="A11" s="188">
        <v>4</v>
      </c>
      <c r="B11" s="188" t="s">
        <v>405</v>
      </c>
      <c r="C11" s="189" t="s">
        <v>188</v>
      </c>
      <c r="D11" s="189" t="s">
        <v>406</v>
      </c>
      <c r="E11" s="189" t="s">
        <v>188</v>
      </c>
    </row>
    <row r="12" spans="1:5" x14ac:dyDescent="0.25">
      <c r="A12" s="188">
        <v>5</v>
      </c>
      <c r="B12" s="188" t="s">
        <v>407</v>
      </c>
      <c r="C12" s="189" t="s">
        <v>188</v>
      </c>
      <c r="D12" s="189" t="s">
        <v>406</v>
      </c>
      <c r="E12" s="189" t="s">
        <v>188</v>
      </c>
    </row>
    <row r="13" spans="1:5" x14ac:dyDescent="0.25">
      <c r="A13" s="188">
        <v>6</v>
      </c>
      <c r="B13" s="188" t="s">
        <v>408</v>
      </c>
      <c r="C13" s="189" t="s">
        <v>409</v>
      </c>
      <c r="D13" s="189" t="s">
        <v>409</v>
      </c>
      <c r="E13" s="189" t="s">
        <v>409</v>
      </c>
    </row>
    <row r="14" spans="1:5" x14ac:dyDescent="0.25">
      <c r="A14" s="188">
        <v>7</v>
      </c>
      <c r="B14" s="188" t="s">
        <v>410</v>
      </c>
      <c r="C14" s="192" t="s">
        <v>707</v>
      </c>
      <c r="D14" s="192" t="s">
        <v>706</v>
      </c>
      <c r="E14" s="192" t="s">
        <v>707</v>
      </c>
    </row>
    <row r="15" spans="1:5" x14ac:dyDescent="0.25">
      <c r="A15" s="188">
        <v>8</v>
      </c>
      <c r="B15" s="188" t="s">
        <v>411</v>
      </c>
      <c r="C15" s="189" t="s">
        <v>580</v>
      </c>
      <c r="D15" s="189" t="s">
        <v>582</v>
      </c>
      <c r="E15" s="189" t="s">
        <v>705</v>
      </c>
    </row>
    <row r="16" spans="1:5" x14ac:dyDescent="0.25">
      <c r="A16" s="188">
        <v>9</v>
      </c>
      <c r="B16" s="188" t="s">
        <v>412</v>
      </c>
      <c r="C16" s="189" t="s">
        <v>581</v>
      </c>
      <c r="D16" s="189" t="s">
        <v>582</v>
      </c>
      <c r="E16" s="189" t="s">
        <v>705</v>
      </c>
    </row>
    <row r="17" spans="1:5" x14ac:dyDescent="0.25">
      <c r="A17" s="193" t="s">
        <v>413</v>
      </c>
      <c r="B17" s="188" t="s">
        <v>414</v>
      </c>
      <c r="C17" s="189">
        <v>100</v>
      </c>
      <c r="D17" s="189">
        <v>100</v>
      </c>
      <c r="E17" s="189">
        <v>100</v>
      </c>
    </row>
    <row r="18" spans="1:5" x14ac:dyDescent="0.25">
      <c r="A18" s="193" t="s">
        <v>415</v>
      </c>
      <c r="B18" s="188" t="s">
        <v>416</v>
      </c>
      <c r="C18" s="189">
        <v>100</v>
      </c>
      <c r="D18" s="189">
        <v>100</v>
      </c>
      <c r="E18" s="189">
        <v>100</v>
      </c>
    </row>
    <row r="19" spans="1:5" x14ac:dyDescent="0.25">
      <c r="A19" s="188">
        <v>10</v>
      </c>
      <c r="B19" s="188" t="s">
        <v>417</v>
      </c>
      <c r="C19" s="189" t="s">
        <v>418</v>
      </c>
      <c r="D19" s="189" t="s">
        <v>419</v>
      </c>
      <c r="E19" s="189" t="s">
        <v>419</v>
      </c>
    </row>
    <row r="20" spans="1:5" x14ac:dyDescent="0.25">
      <c r="A20" s="188">
        <v>11</v>
      </c>
      <c r="B20" s="188" t="s">
        <v>420</v>
      </c>
      <c r="C20" s="195" t="s">
        <v>681</v>
      </c>
      <c r="D20" s="195" t="s">
        <v>584</v>
      </c>
      <c r="E20" s="196" t="s">
        <v>711</v>
      </c>
    </row>
    <row r="21" spans="1:5" x14ac:dyDescent="0.25">
      <c r="A21" s="188">
        <v>12</v>
      </c>
      <c r="B21" s="188" t="s">
        <v>421</v>
      </c>
      <c r="C21" s="189" t="s">
        <v>422</v>
      </c>
      <c r="D21" s="189" t="s">
        <v>423</v>
      </c>
      <c r="E21" s="189" t="s">
        <v>422</v>
      </c>
    </row>
    <row r="22" spans="1:5" x14ac:dyDescent="0.25">
      <c r="A22" s="188">
        <v>13</v>
      </c>
      <c r="B22" s="188" t="s">
        <v>424</v>
      </c>
      <c r="C22" s="196">
        <v>47910</v>
      </c>
      <c r="D22" s="196" t="s">
        <v>425</v>
      </c>
      <c r="E22" s="196" t="s">
        <v>709</v>
      </c>
    </row>
    <row r="23" spans="1:5" x14ac:dyDescent="0.25">
      <c r="A23" s="188">
        <v>14</v>
      </c>
      <c r="B23" s="188" t="s">
        <v>426</v>
      </c>
      <c r="C23" s="189" t="s">
        <v>427</v>
      </c>
      <c r="D23" s="189" t="s">
        <v>427</v>
      </c>
      <c r="E23" s="189" t="s">
        <v>427</v>
      </c>
    </row>
    <row r="24" spans="1:5" ht="48" customHeight="1" x14ac:dyDescent="0.25">
      <c r="A24" s="188">
        <v>15</v>
      </c>
      <c r="B24" s="188" t="s">
        <v>428</v>
      </c>
      <c r="C24" s="197" t="s">
        <v>682</v>
      </c>
      <c r="D24" s="197" t="s">
        <v>585</v>
      </c>
      <c r="E24" s="197" t="s">
        <v>710</v>
      </c>
    </row>
    <row r="25" spans="1:5" x14ac:dyDescent="0.25">
      <c r="A25" s="198">
        <v>16</v>
      </c>
      <c r="B25" s="198" t="s">
        <v>429</v>
      </c>
      <c r="C25" s="192" t="s">
        <v>683</v>
      </c>
      <c r="D25" s="192" t="s">
        <v>586</v>
      </c>
      <c r="E25" s="192" t="s">
        <v>712</v>
      </c>
    </row>
    <row r="26" spans="1:5" x14ac:dyDescent="0.25">
      <c r="A26" s="198"/>
      <c r="B26" s="199" t="s">
        <v>430</v>
      </c>
      <c r="C26" s="200"/>
      <c r="D26" s="200"/>
      <c r="E26" s="200"/>
    </row>
    <row r="27" spans="1:5" x14ac:dyDescent="0.25">
      <c r="A27" s="198">
        <v>17</v>
      </c>
      <c r="B27" s="198" t="s">
        <v>431</v>
      </c>
      <c r="C27" s="194" t="s">
        <v>432</v>
      </c>
      <c r="D27" s="194" t="s">
        <v>432</v>
      </c>
      <c r="E27" s="194" t="s">
        <v>432</v>
      </c>
    </row>
    <row r="28" spans="1:5" x14ac:dyDescent="0.25">
      <c r="A28" s="198">
        <v>18</v>
      </c>
      <c r="B28" s="198" t="s">
        <v>433</v>
      </c>
      <c r="C28" s="192" t="s">
        <v>684</v>
      </c>
      <c r="D28" s="192" t="s">
        <v>587</v>
      </c>
      <c r="E28" s="192" t="s">
        <v>713</v>
      </c>
    </row>
    <row r="29" spans="1:5" x14ac:dyDescent="0.25">
      <c r="A29" s="198">
        <v>19</v>
      </c>
      <c r="B29" s="198" t="s">
        <v>434</v>
      </c>
      <c r="C29" s="194" t="s">
        <v>435</v>
      </c>
      <c r="D29" s="194" t="s">
        <v>435</v>
      </c>
      <c r="E29" s="194" t="s">
        <v>435</v>
      </c>
    </row>
    <row r="30" spans="1:5" x14ac:dyDescent="0.25">
      <c r="A30" s="201" t="s">
        <v>241</v>
      </c>
      <c r="B30" s="198" t="s">
        <v>436</v>
      </c>
      <c r="C30" s="194" t="s">
        <v>437</v>
      </c>
      <c r="D30" s="194" t="s">
        <v>438</v>
      </c>
      <c r="E30" s="194" t="s">
        <v>437</v>
      </c>
    </row>
    <row r="31" spans="1:5" x14ac:dyDescent="0.25">
      <c r="A31" s="201" t="s">
        <v>244</v>
      </c>
      <c r="B31" s="198" t="s">
        <v>439</v>
      </c>
      <c r="C31" s="194" t="s">
        <v>437</v>
      </c>
      <c r="D31" s="194" t="s">
        <v>438</v>
      </c>
      <c r="E31" s="194" t="s">
        <v>437</v>
      </c>
    </row>
    <row r="32" spans="1:5" x14ac:dyDescent="0.25">
      <c r="A32" s="198">
        <v>21</v>
      </c>
      <c r="B32" s="198" t="s">
        <v>440</v>
      </c>
      <c r="C32" s="194" t="s">
        <v>435</v>
      </c>
      <c r="D32" s="194" t="s">
        <v>435</v>
      </c>
      <c r="E32" s="194" t="s">
        <v>435</v>
      </c>
    </row>
    <row r="33" spans="1:5" x14ac:dyDescent="0.25">
      <c r="A33" s="198">
        <v>22</v>
      </c>
      <c r="B33" s="198" t="s">
        <v>441</v>
      </c>
      <c r="C33" s="194" t="s">
        <v>442</v>
      </c>
      <c r="D33" s="194" t="s">
        <v>442</v>
      </c>
      <c r="E33" s="194" t="s">
        <v>442</v>
      </c>
    </row>
    <row r="34" spans="1:5" x14ac:dyDescent="0.25">
      <c r="A34" s="198">
        <v>23</v>
      </c>
      <c r="B34" s="198" t="s">
        <v>443</v>
      </c>
      <c r="C34" s="194" t="s">
        <v>444</v>
      </c>
      <c r="D34" s="194" t="s">
        <v>444</v>
      </c>
      <c r="E34" s="194" t="s">
        <v>444</v>
      </c>
    </row>
    <row r="35" spans="1:5" x14ac:dyDescent="0.25">
      <c r="A35" s="198">
        <v>24</v>
      </c>
      <c r="B35" s="198" t="s">
        <v>445</v>
      </c>
      <c r="C35" s="194" t="s">
        <v>446</v>
      </c>
      <c r="D35" s="194" t="s">
        <v>446</v>
      </c>
      <c r="E35" s="194" t="s">
        <v>446</v>
      </c>
    </row>
    <row r="36" spans="1:5" x14ac:dyDescent="0.25">
      <c r="A36" s="198">
        <v>25</v>
      </c>
      <c r="B36" s="198" t="s">
        <v>447</v>
      </c>
      <c r="C36" s="194" t="s">
        <v>446</v>
      </c>
      <c r="D36" s="194" t="s">
        <v>446</v>
      </c>
      <c r="E36" s="194" t="s">
        <v>446</v>
      </c>
    </row>
    <row r="37" spans="1:5" x14ac:dyDescent="0.25">
      <c r="A37" s="198">
        <v>26</v>
      </c>
      <c r="B37" s="198" t="s">
        <v>448</v>
      </c>
      <c r="C37" s="194" t="s">
        <v>446</v>
      </c>
      <c r="D37" s="194" t="s">
        <v>446</v>
      </c>
      <c r="E37" s="194" t="s">
        <v>446</v>
      </c>
    </row>
    <row r="38" spans="1:5" x14ac:dyDescent="0.25">
      <c r="A38" s="198">
        <v>27</v>
      </c>
      <c r="B38" s="198" t="s">
        <v>449</v>
      </c>
      <c r="C38" s="194" t="s">
        <v>446</v>
      </c>
      <c r="D38" s="194" t="s">
        <v>446</v>
      </c>
      <c r="E38" s="194" t="s">
        <v>446</v>
      </c>
    </row>
    <row r="39" spans="1:5" x14ac:dyDescent="0.25">
      <c r="A39" s="198">
        <v>28</v>
      </c>
      <c r="B39" s="198" t="s">
        <v>450</v>
      </c>
      <c r="C39" s="194" t="s">
        <v>446</v>
      </c>
      <c r="D39" s="194" t="s">
        <v>446</v>
      </c>
      <c r="E39" s="194" t="s">
        <v>446</v>
      </c>
    </row>
    <row r="40" spans="1:5" x14ac:dyDescent="0.25">
      <c r="A40" s="198">
        <v>29</v>
      </c>
      <c r="B40" s="198" t="s">
        <v>451</v>
      </c>
      <c r="C40" s="194" t="s">
        <v>446</v>
      </c>
      <c r="D40" s="194" t="s">
        <v>446</v>
      </c>
      <c r="E40" s="194" t="s">
        <v>446</v>
      </c>
    </row>
    <row r="41" spans="1:5" x14ac:dyDescent="0.25">
      <c r="A41" s="198">
        <v>30</v>
      </c>
      <c r="B41" s="198" t="s">
        <v>452</v>
      </c>
      <c r="C41" s="194" t="s">
        <v>435</v>
      </c>
      <c r="D41" s="194" t="s">
        <v>427</v>
      </c>
      <c r="E41" s="194" t="s">
        <v>435</v>
      </c>
    </row>
    <row r="42" spans="1:5" x14ac:dyDescent="0.25">
      <c r="A42" s="198">
        <v>31</v>
      </c>
      <c r="B42" s="198" t="s">
        <v>453</v>
      </c>
      <c r="C42" s="192" t="s">
        <v>446</v>
      </c>
      <c r="D42" s="192" t="s">
        <v>454</v>
      </c>
      <c r="E42" s="192" t="s">
        <v>446</v>
      </c>
    </row>
    <row r="43" spans="1:5" x14ac:dyDescent="0.25">
      <c r="A43" s="198">
        <v>32</v>
      </c>
      <c r="B43" s="198" t="s">
        <v>455</v>
      </c>
      <c r="C43" s="194" t="s">
        <v>446</v>
      </c>
      <c r="D43" s="194" t="s">
        <v>456</v>
      </c>
      <c r="E43" s="194" t="s">
        <v>446</v>
      </c>
    </row>
    <row r="44" spans="1:5" x14ac:dyDescent="0.25">
      <c r="A44" s="198">
        <v>33</v>
      </c>
      <c r="B44" s="198" t="s">
        <v>457</v>
      </c>
      <c r="C44" s="194" t="s">
        <v>446</v>
      </c>
      <c r="D44" s="194" t="s">
        <v>458</v>
      </c>
      <c r="E44" s="194" t="s">
        <v>446</v>
      </c>
    </row>
    <row r="45" spans="1:5" ht="38.450000000000003" customHeight="1" x14ac:dyDescent="0.25">
      <c r="A45" s="198">
        <v>34</v>
      </c>
      <c r="B45" s="198" t="s">
        <v>459</v>
      </c>
      <c r="C45" s="192" t="s">
        <v>446</v>
      </c>
      <c r="D45" s="192" t="s">
        <v>460</v>
      </c>
      <c r="E45" s="192" t="s">
        <v>446</v>
      </c>
    </row>
    <row r="46" spans="1:5" x14ac:dyDescent="0.25">
      <c r="A46" s="198">
        <v>35</v>
      </c>
      <c r="B46" s="198" t="s">
        <v>461</v>
      </c>
      <c r="C46" s="194" t="s">
        <v>462</v>
      </c>
      <c r="D46" s="194" t="s">
        <v>188</v>
      </c>
      <c r="E46" s="194" t="s">
        <v>462</v>
      </c>
    </row>
    <row r="47" spans="1:5" ht="39.75" customHeight="1" x14ac:dyDescent="0.25">
      <c r="A47" s="198">
        <v>36</v>
      </c>
      <c r="B47" s="198" t="s">
        <v>463</v>
      </c>
      <c r="C47" s="194" t="s">
        <v>435</v>
      </c>
      <c r="D47" s="194" t="s">
        <v>435</v>
      </c>
      <c r="E47" s="194" t="s">
        <v>435</v>
      </c>
    </row>
    <row r="48" spans="1:5" x14ac:dyDescent="0.25">
      <c r="A48" s="198">
        <v>37</v>
      </c>
      <c r="B48" s="198" t="s">
        <v>464</v>
      </c>
      <c r="C48" s="194" t="s">
        <v>446</v>
      </c>
      <c r="D48" s="194" t="s">
        <v>446</v>
      </c>
      <c r="E48" s="194" t="s">
        <v>446</v>
      </c>
    </row>
    <row r="49" spans="1:2" ht="15" customHeight="1" x14ac:dyDescent="0.25">
      <c r="A49" s="439" t="s">
        <v>465</v>
      </c>
      <c r="B49" s="440"/>
    </row>
    <row r="50" spans="1:2" x14ac:dyDescent="0.25">
      <c r="A50" s="282"/>
      <c r="B50" s="282"/>
    </row>
    <row r="51" spans="1:2" x14ac:dyDescent="0.25">
      <c r="A51" s="282"/>
      <c r="B51" s="282"/>
    </row>
    <row r="52" spans="1:2" x14ac:dyDescent="0.25">
      <c r="A52" s="282"/>
      <c r="B52" s="282"/>
    </row>
    <row r="53" spans="1:2" x14ac:dyDescent="0.25">
      <c r="A53" s="282"/>
      <c r="B53" s="282"/>
    </row>
    <row r="54" spans="1:2" x14ac:dyDescent="0.25">
      <c r="A54" s="282"/>
      <c r="B54" s="282"/>
    </row>
  </sheetData>
  <mergeCells count="1">
    <mergeCell ref="A49:B49"/>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CB21"/>
  <sheetViews>
    <sheetView zoomScale="85" zoomScaleNormal="85" workbookViewId="0">
      <pane xSplit="1" topLeftCell="AX1" activePane="topRight" state="frozen"/>
      <selection pane="topRight" activeCell="CB27" sqref="CB27"/>
    </sheetView>
  </sheetViews>
  <sheetFormatPr baseColWidth="10" defaultColWidth="11.42578125" defaultRowHeight="15" x14ac:dyDescent="0.25"/>
  <cols>
    <col min="1" max="1" width="53.85546875" style="154" customWidth="1"/>
    <col min="2" max="2" width="10" style="154" customWidth="1"/>
    <col min="3" max="3" width="10" style="133" customWidth="1"/>
    <col min="4" max="5" width="10" style="154" customWidth="1"/>
    <col min="6" max="6" width="1.42578125" style="246" customWidth="1"/>
    <col min="7" max="7" width="10" style="281" customWidth="1"/>
    <col min="8" max="10" width="10" style="154" customWidth="1"/>
    <col min="11" max="11" width="1.42578125" style="154" customWidth="1"/>
    <col min="12" max="15" width="10" style="154" customWidth="1"/>
    <col min="16" max="16" width="1.42578125" style="154" customWidth="1"/>
    <col min="17" max="20" width="10" style="154" customWidth="1"/>
    <col min="21" max="21" width="1.42578125" style="154" customWidth="1"/>
    <col min="22" max="25" width="10" style="154" customWidth="1"/>
    <col min="26" max="26" width="1.42578125" style="154" customWidth="1"/>
    <col min="27" max="30" width="10" style="154" customWidth="1"/>
    <col min="31" max="31" width="1.42578125" style="154" customWidth="1"/>
    <col min="32" max="35" width="10" style="154" customWidth="1"/>
    <col min="36" max="36" width="1.42578125" style="154" customWidth="1"/>
    <col min="37" max="40" width="10" style="154" customWidth="1"/>
    <col min="41" max="41" width="1.42578125" style="154" customWidth="1"/>
    <col min="42" max="45" width="10" style="154" customWidth="1"/>
    <col min="46" max="46" width="1.42578125" style="154" customWidth="1"/>
    <col min="47" max="50" width="10" style="154" customWidth="1"/>
    <col min="51" max="51" width="1.42578125" style="154" customWidth="1"/>
    <col min="52" max="55" width="10" style="154" customWidth="1"/>
    <col min="56" max="56" width="1.42578125" style="154" customWidth="1"/>
    <col min="57" max="60" width="10" style="154" customWidth="1"/>
    <col min="61" max="61" width="1.42578125" style="154" customWidth="1"/>
    <col min="62" max="65" width="10" style="154" customWidth="1"/>
    <col min="66" max="66" width="1.42578125" style="154" customWidth="1"/>
    <col min="67" max="70" width="10" style="154" customWidth="1"/>
    <col min="71" max="71" width="1.42578125" style="154" customWidth="1"/>
    <col min="72" max="75" width="10" style="154" customWidth="1"/>
    <col min="76" max="76" width="1.42578125" style="154" customWidth="1"/>
    <col min="77" max="80" width="10" style="154" customWidth="1"/>
    <col min="81" max="81" width="2.85546875" style="154" customWidth="1"/>
    <col min="82" max="253" width="9.140625" style="154" customWidth="1"/>
    <col min="254" max="16384" width="11.42578125" style="154"/>
  </cols>
  <sheetData>
    <row r="1" spans="1:80" x14ac:dyDescent="0.25">
      <c r="A1" s="133"/>
    </row>
    <row r="2" spans="1:80" s="153" customFormat="1" ht="6" customHeight="1" x14ac:dyDescent="0.2">
      <c r="F2" s="279"/>
    </row>
    <row r="3" spans="1:80" s="153" customFormat="1" ht="6" customHeight="1" x14ac:dyDescent="0.2">
      <c r="F3" s="279"/>
    </row>
    <row r="4" spans="1:80" ht="18" x14ac:dyDescent="0.25">
      <c r="A4" s="136" t="s">
        <v>526</v>
      </c>
      <c r="G4" s="133"/>
      <c r="H4" s="133"/>
      <c r="I4" s="133"/>
      <c r="J4" s="133"/>
    </row>
    <row r="5" spans="1:80" ht="18" x14ac:dyDescent="0.25">
      <c r="A5" s="136"/>
      <c r="G5" s="133"/>
      <c r="H5" s="133"/>
      <c r="I5" s="133"/>
      <c r="J5" s="133"/>
    </row>
    <row r="6" spans="1:80" x14ac:dyDescent="0.25">
      <c r="A6" s="416"/>
      <c r="B6" s="441">
        <v>43830</v>
      </c>
      <c r="C6" s="442"/>
      <c r="D6" s="442"/>
      <c r="E6" s="443"/>
      <c r="F6" s="418"/>
      <c r="G6" s="441">
        <v>43921</v>
      </c>
      <c r="H6" s="442"/>
      <c r="I6" s="442"/>
      <c r="J6" s="443"/>
      <c r="L6" s="441">
        <v>44012</v>
      </c>
      <c r="M6" s="442"/>
      <c r="N6" s="442"/>
      <c r="O6" s="443"/>
      <c r="Q6" s="441">
        <v>44104</v>
      </c>
      <c r="R6" s="442"/>
      <c r="S6" s="442"/>
      <c r="T6" s="443"/>
      <c r="V6" s="441">
        <v>44196</v>
      </c>
      <c r="W6" s="442"/>
      <c r="X6" s="442"/>
      <c r="Y6" s="443"/>
      <c r="AA6" s="441">
        <v>44286</v>
      </c>
      <c r="AB6" s="442"/>
      <c r="AC6" s="442"/>
      <c r="AD6" s="443"/>
      <c r="AF6" s="441">
        <v>44377</v>
      </c>
      <c r="AG6" s="442"/>
      <c r="AH6" s="442"/>
      <c r="AI6" s="443"/>
      <c r="AK6" s="441">
        <v>44469</v>
      </c>
      <c r="AL6" s="442"/>
      <c r="AM6" s="442"/>
      <c r="AN6" s="443"/>
      <c r="AP6" s="441">
        <v>44561</v>
      </c>
      <c r="AQ6" s="442"/>
      <c r="AR6" s="442"/>
      <c r="AS6" s="443"/>
      <c r="AU6" s="441">
        <v>44651</v>
      </c>
      <c r="AV6" s="442"/>
      <c r="AW6" s="442"/>
      <c r="AX6" s="443"/>
      <c r="AZ6" s="441">
        <v>44742</v>
      </c>
      <c r="BA6" s="442"/>
      <c r="BB6" s="442"/>
      <c r="BC6" s="443"/>
      <c r="BE6" s="441">
        <v>44834</v>
      </c>
      <c r="BF6" s="442"/>
      <c r="BG6" s="442"/>
      <c r="BH6" s="443"/>
      <c r="BJ6" s="441">
        <v>44926</v>
      </c>
      <c r="BK6" s="442"/>
      <c r="BL6" s="442"/>
      <c r="BM6" s="443"/>
      <c r="BO6" s="441">
        <v>45015</v>
      </c>
      <c r="BP6" s="442"/>
      <c r="BQ6" s="442"/>
      <c r="BR6" s="443"/>
      <c r="BT6" s="441">
        <v>45107</v>
      </c>
      <c r="BU6" s="442"/>
      <c r="BV6" s="442"/>
      <c r="BW6" s="443"/>
      <c r="BY6" s="441">
        <v>45199</v>
      </c>
      <c r="BZ6" s="442"/>
      <c r="CA6" s="442"/>
      <c r="CB6" s="443"/>
    </row>
    <row r="7" spans="1:80" ht="33.75" x14ac:dyDescent="0.25">
      <c r="A7" s="259" t="s">
        <v>22</v>
      </c>
      <c r="B7" s="260" t="s">
        <v>466</v>
      </c>
      <c r="C7" s="261" t="s">
        <v>467</v>
      </c>
      <c r="D7" s="261" t="s">
        <v>468</v>
      </c>
      <c r="E7" s="262" t="s">
        <v>123</v>
      </c>
      <c r="F7" s="419"/>
      <c r="G7" s="260" t="s">
        <v>466</v>
      </c>
      <c r="H7" s="261" t="s">
        <v>467</v>
      </c>
      <c r="I7" s="261" t="s">
        <v>468</v>
      </c>
      <c r="J7" s="262" t="s">
        <v>123</v>
      </c>
      <c r="L7" s="260" t="s">
        <v>466</v>
      </c>
      <c r="M7" s="261" t="s">
        <v>467</v>
      </c>
      <c r="N7" s="261" t="s">
        <v>468</v>
      </c>
      <c r="O7" s="262" t="s">
        <v>123</v>
      </c>
      <c r="Q7" s="260" t="s">
        <v>466</v>
      </c>
      <c r="R7" s="261" t="s">
        <v>467</v>
      </c>
      <c r="S7" s="261" t="s">
        <v>468</v>
      </c>
      <c r="T7" s="262" t="s">
        <v>123</v>
      </c>
      <c r="V7" s="260" t="s">
        <v>466</v>
      </c>
      <c r="W7" s="261" t="s">
        <v>467</v>
      </c>
      <c r="X7" s="261" t="s">
        <v>468</v>
      </c>
      <c r="Y7" s="262" t="s">
        <v>123</v>
      </c>
      <c r="AA7" s="260" t="s">
        <v>466</v>
      </c>
      <c r="AB7" s="261" t="s">
        <v>467</v>
      </c>
      <c r="AC7" s="261" t="s">
        <v>468</v>
      </c>
      <c r="AD7" s="262" t="s">
        <v>123</v>
      </c>
      <c r="AF7" s="260" t="s">
        <v>466</v>
      </c>
      <c r="AG7" s="261" t="s">
        <v>467</v>
      </c>
      <c r="AH7" s="261" t="s">
        <v>468</v>
      </c>
      <c r="AI7" s="262" t="s">
        <v>123</v>
      </c>
      <c r="AK7" s="260" t="s">
        <v>466</v>
      </c>
      <c r="AL7" s="261" t="s">
        <v>467</v>
      </c>
      <c r="AM7" s="261" t="s">
        <v>468</v>
      </c>
      <c r="AN7" s="262" t="s">
        <v>123</v>
      </c>
      <c r="AP7" s="260" t="s">
        <v>466</v>
      </c>
      <c r="AQ7" s="261" t="s">
        <v>467</v>
      </c>
      <c r="AR7" s="261" t="s">
        <v>468</v>
      </c>
      <c r="AS7" s="262" t="s">
        <v>123</v>
      </c>
      <c r="AU7" s="260" t="s">
        <v>466</v>
      </c>
      <c r="AV7" s="261" t="s">
        <v>467</v>
      </c>
      <c r="AW7" s="261" t="s">
        <v>468</v>
      </c>
      <c r="AX7" s="262" t="s">
        <v>123</v>
      </c>
      <c r="AZ7" s="260" t="s">
        <v>466</v>
      </c>
      <c r="BA7" s="261" t="s">
        <v>467</v>
      </c>
      <c r="BB7" s="261" t="s">
        <v>468</v>
      </c>
      <c r="BC7" s="262" t="s">
        <v>123</v>
      </c>
      <c r="BE7" s="260" t="s">
        <v>466</v>
      </c>
      <c r="BF7" s="261" t="s">
        <v>467</v>
      </c>
      <c r="BG7" s="261" t="s">
        <v>468</v>
      </c>
      <c r="BH7" s="262" t="s">
        <v>123</v>
      </c>
      <c r="BJ7" s="260" t="s">
        <v>466</v>
      </c>
      <c r="BK7" s="261" t="s">
        <v>467</v>
      </c>
      <c r="BL7" s="261" t="s">
        <v>468</v>
      </c>
      <c r="BM7" s="262" t="s">
        <v>123</v>
      </c>
      <c r="BO7" s="260" t="s">
        <v>466</v>
      </c>
      <c r="BP7" s="261" t="s">
        <v>467</v>
      </c>
      <c r="BQ7" s="261" t="s">
        <v>468</v>
      </c>
      <c r="BR7" s="262" t="s">
        <v>123</v>
      </c>
      <c r="BT7" s="260" t="s">
        <v>466</v>
      </c>
      <c r="BU7" s="261" t="s">
        <v>467</v>
      </c>
      <c r="BV7" s="261" t="s">
        <v>468</v>
      </c>
      <c r="BW7" s="262" t="s">
        <v>123</v>
      </c>
      <c r="BY7" s="260" t="s">
        <v>466</v>
      </c>
      <c r="BZ7" s="261" t="s">
        <v>467</v>
      </c>
      <c r="CA7" s="261" t="s">
        <v>468</v>
      </c>
      <c r="CB7" s="262" t="s">
        <v>123</v>
      </c>
    </row>
    <row r="8" spans="1:80" x14ac:dyDescent="0.25">
      <c r="A8" s="141" t="s">
        <v>527</v>
      </c>
      <c r="B8" s="187"/>
      <c r="C8" s="203"/>
      <c r="D8" s="187"/>
      <c r="E8" s="187"/>
      <c r="F8" s="420"/>
      <c r="G8" s="186"/>
      <c r="H8" s="203"/>
      <c r="I8" s="187"/>
      <c r="J8" s="187"/>
      <c r="L8" s="186"/>
      <c r="M8" s="203"/>
      <c r="N8" s="187"/>
      <c r="O8" s="187"/>
      <c r="Q8" s="186"/>
      <c r="R8" s="203"/>
      <c r="S8" s="187"/>
      <c r="T8" s="187"/>
      <c r="V8" s="186"/>
      <c r="W8" s="203"/>
      <c r="X8" s="187"/>
      <c r="Y8" s="187"/>
      <c r="AA8" s="186"/>
      <c r="AB8" s="203"/>
      <c r="AC8" s="187"/>
      <c r="AD8" s="187"/>
      <c r="AF8" s="186"/>
      <c r="AG8" s="203"/>
      <c r="AH8" s="187"/>
      <c r="AI8" s="187"/>
      <c r="AK8" s="186"/>
      <c r="AL8" s="203"/>
      <c r="AM8" s="187"/>
      <c r="AN8" s="187"/>
      <c r="AP8" s="186"/>
      <c r="AQ8" s="203"/>
      <c r="AR8" s="187"/>
      <c r="AS8" s="187"/>
      <c r="AU8" s="186"/>
      <c r="AV8" s="203"/>
      <c r="AW8" s="187"/>
      <c r="AX8" s="187"/>
      <c r="AZ8" s="186"/>
      <c r="BA8" s="203"/>
      <c r="BB8" s="187"/>
      <c r="BC8" s="187"/>
      <c r="BE8" s="186"/>
      <c r="BF8" s="203"/>
      <c r="BG8" s="187"/>
      <c r="BH8" s="187"/>
      <c r="BJ8" s="186"/>
      <c r="BK8" s="203"/>
      <c r="BL8" s="187"/>
      <c r="BM8" s="187"/>
      <c r="BO8" s="186"/>
      <c r="BP8" s="203"/>
      <c r="BQ8" s="187"/>
      <c r="BR8" s="187"/>
      <c r="BT8" s="186"/>
      <c r="BU8" s="203"/>
      <c r="BV8" s="187"/>
      <c r="BW8" s="187"/>
      <c r="BY8" s="186"/>
      <c r="BZ8" s="203"/>
      <c r="CA8" s="187"/>
      <c r="CB8" s="187"/>
    </row>
    <row r="9" spans="1:80" x14ac:dyDescent="0.25">
      <c r="A9" s="280" t="s">
        <v>589</v>
      </c>
      <c r="B9" s="186">
        <v>614.66767404999541</v>
      </c>
      <c r="C9" s="202">
        <v>0.2</v>
      </c>
      <c r="D9" s="186">
        <v>122.93353480999909</v>
      </c>
      <c r="E9" s="186">
        <v>9.8346827847999272</v>
      </c>
      <c r="F9" s="421"/>
      <c r="G9" s="186">
        <v>666.07197044000361</v>
      </c>
      <c r="H9" s="202">
        <v>0.2</v>
      </c>
      <c r="I9" s="186">
        <v>133.21439408800072</v>
      </c>
      <c r="J9" s="186">
        <v>10.657151527040057</v>
      </c>
      <c r="L9" s="186">
        <v>1292.0612479799993</v>
      </c>
      <c r="M9" s="202">
        <v>0.2</v>
      </c>
      <c r="N9" s="186">
        <v>258.41224959599987</v>
      </c>
      <c r="O9" s="186">
        <v>20.672979967679989</v>
      </c>
      <c r="Q9" s="186">
        <v>1466.8256898499976</v>
      </c>
      <c r="R9" s="202">
        <v>0.2</v>
      </c>
      <c r="S9" s="186">
        <v>293.36513796999952</v>
      </c>
      <c r="T9" s="186">
        <v>23.469211037599962</v>
      </c>
      <c r="V9" s="186">
        <f>X9/W9</f>
        <v>1204.1884715799983</v>
      </c>
      <c r="W9" s="202">
        <v>0.2</v>
      </c>
      <c r="X9" s="186">
        <v>240.83769431599967</v>
      </c>
      <c r="Y9" s="186">
        <f>X9*0.08</f>
        <v>19.267015545279975</v>
      </c>
      <c r="AA9" s="186">
        <f>AC9/AB9</f>
        <v>1141.7213592400049</v>
      </c>
      <c r="AB9" s="202">
        <v>0.2</v>
      </c>
      <c r="AC9" s="186">
        <f>228344.271848001/1000</f>
        <v>228.344271848001</v>
      </c>
      <c r="AD9" s="186">
        <f>AC9*0.08</f>
        <v>18.267541747840081</v>
      </c>
      <c r="AF9" s="186">
        <f>AH9/AG9</f>
        <v>1000</v>
      </c>
      <c r="AG9" s="202">
        <v>0.2</v>
      </c>
      <c r="AH9" s="186">
        <v>200</v>
      </c>
      <c r="AI9" s="186">
        <f>AH9*0.08</f>
        <v>16</v>
      </c>
      <c r="AK9" s="186">
        <f>AM9/AL9</f>
        <v>885.5458055499987</v>
      </c>
      <c r="AL9" s="202">
        <v>0.2</v>
      </c>
      <c r="AM9" s="186">
        <f>'1'!I7</f>
        <v>177.10916110999975</v>
      </c>
      <c r="AN9" s="186">
        <f>AM9*0.08</f>
        <v>14.16873288879998</v>
      </c>
      <c r="AP9" s="186">
        <f>AR9/AQ9</f>
        <v>1301.8097159700023</v>
      </c>
      <c r="AQ9" s="202">
        <v>0.2</v>
      </c>
      <c r="AR9" s="186">
        <f>'1'!J7</f>
        <v>260.3619431940005</v>
      </c>
      <c r="AS9" s="186">
        <f>AR9*0.08</f>
        <v>20.828955455520042</v>
      </c>
      <c r="AU9" s="186">
        <f>AW9/AV9</f>
        <v>1516.9616272900055</v>
      </c>
      <c r="AV9" s="202">
        <v>0.2</v>
      </c>
      <c r="AW9" s="186">
        <f>'1'!K7</f>
        <v>303.3923254580011</v>
      </c>
      <c r="AX9" s="186">
        <f>AW9*0.08</f>
        <v>24.271386036640088</v>
      </c>
      <c r="AZ9" s="186">
        <f>BB9/BA9</f>
        <v>724.39023015000339</v>
      </c>
      <c r="BA9" s="202">
        <v>0.2</v>
      </c>
      <c r="BB9" s="186">
        <f>'1'!L7</f>
        <v>144.87804603000069</v>
      </c>
      <c r="BC9" s="186">
        <f>BB9*0.08</f>
        <v>11.590243682400056</v>
      </c>
      <c r="BE9" s="186">
        <f>BG9/BF9</f>
        <v>1028.4313421899976</v>
      </c>
      <c r="BF9" s="202">
        <v>0.2</v>
      </c>
      <c r="BG9" s="186">
        <f>'1'!M7</f>
        <v>205.68626843799953</v>
      </c>
      <c r="BH9" s="186">
        <f>BG9*0.08</f>
        <v>16.454901475039964</v>
      </c>
      <c r="BJ9" s="186">
        <f>BL9/BK9</f>
        <v>807.81879038000397</v>
      </c>
      <c r="BK9" s="202">
        <v>0.2</v>
      </c>
      <c r="BL9" s="186">
        <f>'1'!N7</f>
        <v>161.56375807600079</v>
      </c>
      <c r="BM9" s="186">
        <f>BL9*0.08</f>
        <v>12.925100646080065</v>
      </c>
      <c r="BO9" s="186">
        <f>BQ9/BP9</f>
        <v>745.8887084600002</v>
      </c>
      <c r="BP9" s="202">
        <v>0.2</v>
      </c>
      <c r="BQ9" s="186">
        <f>'1'!O7</f>
        <v>149.17774169200004</v>
      </c>
      <c r="BR9" s="186">
        <f>BQ9*0.08</f>
        <v>11.934219335360003</v>
      </c>
      <c r="BT9" s="186">
        <f>BV9/BU9</f>
        <v>544.72584267999935</v>
      </c>
      <c r="BU9" s="202">
        <v>0.2</v>
      </c>
      <c r="BV9" s="186">
        <f>'1'!P7</f>
        <v>108.94516853599987</v>
      </c>
      <c r="BW9" s="186">
        <f>BV9*0.08</f>
        <v>8.7156134828799896</v>
      </c>
      <c r="BY9" s="186">
        <f>CA9/BZ9</f>
        <v>1191.4719794100006</v>
      </c>
      <c r="BZ9" s="202">
        <v>0.2</v>
      </c>
      <c r="CA9" s="186">
        <f>'1'!Q7</f>
        <v>238.29439588200012</v>
      </c>
      <c r="CB9" s="186">
        <f>CA9*0.08</f>
        <v>19.06355167056001</v>
      </c>
    </row>
    <row r="10" spans="1:80" x14ac:dyDescent="0.25">
      <c r="A10" s="280" t="s">
        <v>594</v>
      </c>
      <c r="B10" s="186">
        <v>7780.9580981427553</v>
      </c>
      <c r="C10" s="202">
        <v>0.75</v>
      </c>
      <c r="D10" s="186">
        <v>5835.718573607066</v>
      </c>
      <c r="E10" s="186">
        <v>466.85748588856529</v>
      </c>
      <c r="F10" s="421"/>
      <c r="G10" s="186">
        <v>7861.6518015612655</v>
      </c>
      <c r="H10" s="202">
        <v>0.75</v>
      </c>
      <c r="I10" s="186">
        <v>5896.2388511709487</v>
      </c>
      <c r="J10" s="186">
        <v>471.69910809367593</v>
      </c>
      <c r="L10" s="186">
        <v>7331.6581203197429</v>
      </c>
      <c r="M10" s="202">
        <v>0.75</v>
      </c>
      <c r="N10" s="186">
        <v>5498.7435902398074</v>
      </c>
      <c r="O10" s="186">
        <v>439.89948721918461</v>
      </c>
      <c r="Q10" s="186">
        <v>7267.3137842990809</v>
      </c>
      <c r="R10" s="202">
        <v>0.75</v>
      </c>
      <c r="S10" s="186">
        <v>5450.4853382243109</v>
      </c>
      <c r="T10" s="186">
        <v>436.0388270579449</v>
      </c>
      <c r="V10" s="186">
        <f t="shared" ref="V10:V14" si="0">X10/W10</f>
        <v>7196.8397988926126</v>
      </c>
      <c r="W10" s="202">
        <v>0.75</v>
      </c>
      <c r="X10" s="186">
        <f>5397629.84916946/1000</f>
        <v>5397.6298491694597</v>
      </c>
      <c r="Y10" s="186">
        <f t="shared" ref="Y10:Y14" si="1">X10*0.08</f>
        <v>431.8103879335568</v>
      </c>
      <c r="AA10" s="186">
        <f t="shared" ref="AA10:AA14" si="2">AC10/AB10</f>
        <v>6720.8615469685865</v>
      </c>
      <c r="AB10" s="202">
        <v>0.75</v>
      </c>
      <c r="AC10" s="186">
        <f>5040646.16022644/1000</f>
        <v>5040.6461602264399</v>
      </c>
      <c r="AD10" s="186">
        <f t="shared" ref="AD10:AD14" si="3">AC10*0.08</f>
        <v>403.2516928181152</v>
      </c>
      <c r="AF10" s="186">
        <f t="shared" ref="AF10:AF14" si="4">AH10/AG10</f>
        <v>7078.7128195586129</v>
      </c>
      <c r="AG10" s="202">
        <v>0.75</v>
      </c>
      <c r="AH10" s="186">
        <v>5309.0346146689599</v>
      </c>
      <c r="AI10" s="186">
        <f t="shared" ref="AI10:AI14" si="5">AH10*0.08</f>
        <v>424.72276917351678</v>
      </c>
      <c r="AK10" s="186">
        <v>8551.8199826230411</v>
      </c>
      <c r="AL10" s="202">
        <v>0.75</v>
      </c>
      <c r="AM10" s="186">
        <v>6413.8649869672809</v>
      </c>
      <c r="AN10" s="186">
        <f t="shared" ref="AN10:AN14" si="6">AM10*0.08</f>
        <v>513.10919895738243</v>
      </c>
      <c r="AP10" s="186">
        <f t="shared" ref="AP10:AP14" si="7">AR10/AQ10</f>
        <v>6972.5637435913486</v>
      </c>
      <c r="AQ10" s="202">
        <v>0.75</v>
      </c>
      <c r="AR10" s="186">
        <f>'1'!J8</f>
        <v>5229.4228076935115</v>
      </c>
      <c r="AS10" s="186">
        <f t="shared" ref="AS10:AS14" si="8">AR10*0.08</f>
        <v>418.3538246154809</v>
      </c>
      <c r="AU10" s="186">
        <f t="shared" ref="AU10" si="9">AW10/AV10</f>
        <v>6808.6423778743183</v>
      </c>
      <c r="AV10" s="202">
        <v>0.75</v>
      </c>
      <c r="AW10" s="186">
        <f>'1'!K8</f>
        <v>5106.4817834057385</v>
      </c>
      <c r="AX10" s="186">
        <f t="shared" ref="AX10:AX14" si="10">AW10*0.08</f>
        <v>408.51854267245909</v>
      </c>
      <c r="AZ10" s="186">
        <f>BB10/BA10</f>
        <v>6849.0194450419594</v>
      </c>
      <c r="BA10" s="202">
        <v>0.75</v>
      </c>
      <c r="BB10" s="186">
        <f>'1'!L8</f>
        <v>5136.7645837814698</v>
      </c>
      <c r="BC10" s="186">
        <f t="shared" ref="BC10:BC14" si="11">BB10*0.08</f>
        <v>410.94116670251759</v>
      </c>
      <c r="BE10" s="186">
        <f>BG10/BF10</f>
        <v>7829.3879760496557</v>
      </c>
      <c r="BF10" s="202">
        <v>0.75</v>
      </c>
      <c r="BG10" s="186">
        <f>'1'!M8</f>
        <v>5872.0409820372415</v>
      </c>
      <c r="BH10" s="186">
        <f t="shared" ref="BH10:BH14" si="12">BG10*0.08</f>
        <v>469.76327856297934</v>
      </c>
      <c r="BJ10" s="186">
        <f>BL10/BK10</f>
        <v>8970.934251680339</v>
      </c>
      <c r="BK10" s="202">
        <v>0.75</v>
      </c>
      <c r="BL10" s="186">
        <f>'1'!N8</f>
        <v>6728.2006887602547</v>
      </c>
      <c r="BM10" s="186">
        <f t="shared" ref="BM10:BM14" si="13">BL10*0.08</f>
        <v>538.25605510082039</v>
      </c>
      <c r="BO10" s="186">
        <f>BQ10/BP10</f>
        <v>10025.166913939667</v>
      </c>
      <c r="BP10" s="202">
        <v>0.75</v>
      </c>
      <c r="BQ10" s="186">
        <f>'1'!O8</f>
        <v>7518.87518545475</v>
      </c>
      <c r="BR10" s="186">
        <f t="shared" ref="BR10:BR14" si="14">BQ10*0.08</f>
        <v>601.51001483638004</v>
      </c>
      <c r="BT10" s="186">
        <f>BV10/BU10</f>
        <v>10294.252164665595</v>
      </c>
      <c r="BU10" s="202">
        <v>0.75</v>
      </c>
      <c r="BV10" s="186">
        <f>'1'!P8</f>
        <v>7720.6891234991963</v>
      </c>
      <c r="BW10" s="186">
        <f t="shared" ref="BW10:BW14" si="15">BV10*0.08</f>
        <v>617.65512987993577</v>
      </c>
      <c r="BY10" s="186">
        <f>CA10/BZ10</f>
        <v>10378.89946157194</v>
      </c>
      <c r="BZ10" s="202">
        <v>0.75</v>
      </c>
      <c r="CA10" s="186">
        <f>'1'!Q8</f>
        <v>7784.1745961789547</v>
      </c>
      <c r="CB10" s="186">
        <f t="shared" ref="CB10:CB14" si="16">CA10*0.08</f>
        <v>622.73396769431645</v>
      </c>
    </row>
    <row r="11" spans="1:80" x14ac:dyDescent="0.25">
      <c r="A11" s="280" t="s">
        <v>590</v>
      </c>
      <c r="B11" s="186">
        <v>90.778524160000032</v>
      </c>
      <c r="C11" s="202">
        <v>0.1</v>
      </c>
      <c r="D11" s="186">
        <v>9.0778524160000043</v>
      </c>
      <c r="E11" s="186">
        <v>0.72622819328000032</v>
      </c>
      <c r="F11" s="421"/>
      <c r="G11" s="186">
        <v>104.94127399999998</v>
      </c>
      <c r="H11" s="202">
        <v>0.1</v>
      </c>
      <c r="I11" s="186">
        <v>10.494127399999998</v>
      </c>
      <c r="J11" s="186">
        <v>0.8395301919999999</v>
      </c>
      <c r="L11" s="186">
        <v>301.89060099999989</v>
      </c>
      <c r="M11" s="202">
        <v>0.1</v>
      </c>
      <c r="N11" s="186">
        <v>30.189060099999992</v>
      </c>
      <c r="O11" s="186">
        <v>2.4151248079999994</v>
      </c>
      <c r="Q11" s="186">
        <f>2585201.63508/1000</f>
        <v>2585.20163508</v>
      </c>
      <c r="R11" s="202">
        <f>S11/Q11</f>
        <v>6.905004053290259E-2</v>
      </c>
      <c r="S11" s="186">
        <v>178.50827768800005</v>
      </c>
      <c r="T11" s="186">
        <v>14.280662215040005</v>
      </c>
      <c r="V11" s="186">
        <f>1848024.76605/1000</f>
        <v>1848.0247660499999</v>
      </c>
      <c r="W11" s="202">
        <f>X11/V11</f>
        <v>5.021472832604304E-2</v>
      </c>
      <c r="X11" s="186">
        <v>92.798061566999991</v>
      </c>
      <c r="Y11" s="186">
        <f t="shared" si="1"/>
        <v>7.4238449253599992</v>
      </c>
      <c r="AA11" s="186">
        <f>2287427.73183/1000</f>
        <v>2287.4277318300001</v>
      </c>
      <c r="AB11" s="202">
        <f>AC11/AA11</f>
        <v>3.9401668178996388E-2</v>
      </c>
      <c r="AC11" s="186">
        <f>90128.468473/1000</f>
        <v>90.128468472999998</v>
      </c>
      <c r="AD11" s="186">
        <f t="shared" si="3"/>
        <v>7.2102774778400001</v>
      </c>
      <c r="AF11" s="186">
        <f>2093519.81852/1000</f>
        <v>2093.5198185200002</v>
      </c>
      <c r="AG11" s="202">
        <f>AH11/AF11</f>
        <v>4.3051165637741952E-2</v>
      </c>
      <c r="AH11" s="186">
        <f>90128.468473/1000</f>
        <v>90.128468472999998</v>
      </c>
      <c r="AI11" s="186">
        <f t="shared" si="5"/>
        <v>7.2102774778400001</v>
      </c>
      <c r="AK11" s="186">
        <v>1291.2583030000001</v>
      </c>
      <c r="AL11" s="422">
        <v>4.6667263965697807E-2</v>
      </c>
      <c r="AM11" s="186">
        <v>60.259492074000008</v>
      </c>
      <c r="AN11" s="186">
        <f t="shared" si="6"/>
        <v>4.8207593659200008</v>
      </c>
      <c r="AP11" s="186">
        <f>882993.74776/1000</f>
        <v>882.99374776000002</v>
      </c>
      <c r="AQ11" s="422">
        <f>AR11/AP11</f>
        <v>4.5238472341773868E-2</v>
      </c>
      <c r="AR11" s="186">
        <v>39.94528823600001</v>
      </c>
      <c r="AS11" s="186">
        <f t="shared" si="8"/>
        <v>3.1956230588800008</v>
      </c>
      <c r="AU11" s="186">
        <f>882993.74776/1000</f>
        <v>882.99374776000002</v>
      </c>
      <c r="AV11" s="422">
        <f>AW11/AU11</f>
        <v>4.5238472341773868E-2</v>
      </c>
      <c r="AW11" s="186">
        <v>39.94528823600001</v>
      </c>
      <c r="AX11" s="186">
        <f t="shared" si="10"/>
        <v>3.1956230588800008</v>
      </c>
      <c r="AZ11" s="186">
        <v>882.55077147999998</v>
      </c>
      <c r="BA11" s="422">
        <f>BB11/AZ11</f>
        <v>4.5267587827274768E-2</v>
      </c>
      <c r="BB11" s="186">
        <v>39.950944560000003</v>
      </c>
      <c r="BC11" s="186">
        <f t="shared" si="11"/>
        <v>3.1960755648000005</v>
      </c>
      <c r="BE11" s="186">
        <v>877.69482716000005</v>
      </c>
      <c r="BF11" s="422">
        <f>BG11/BE11</f>
        <v>5.6538733417821313E-2</v>
      </c>
      <c r="BG11" s="186">
        <v>49.623753854999997</v>
      </c>
      <c r="BH11" s="186">
        <f t="shared" si="12"/>
        <v>3.9699003083999997</v>
      </c>
      <c r="BJ11" s="186">
        <v>1453.5332506300001</v>
      </c>
      <c r="BK11" s="422">
        <f>BL11/BJ11</f>
        <v>4.8187105591593532E-2</v>
      </c>
      <c r="BL11" s="186">
        <v>70.041560228999998</v>
      </c>
      <c r="BM11" s="186">
        <f t="shared" si="13"/>
        <v>5.60332481832</v>
      </c>
      <c r="BO11" s="186">
        <v>1605.0807903800001</v>
      </c>
      <c r="BP11" s="422">
        <f>BQ11/BO11</f>
        <v>5.0251123397286801E-3</v>
      </c>
      <c r="BQ11" s="186">
        <v>8.0657112860000009</v>
      </c>
      <c r="BR11" s="186">
        <f t="shared" si="14"/>
        <v>0.64525690288000004</v>
      </c>
      <c r="BT11" s="186">
        <v>813.43710159</v>
      </c>
      <c r="BU11" s="422">
        <f>BV11/BT11</f>
        <v>9.9912613269223811E-3</v>
      </c>
      <c r="BV11" s="186">
        <v>8.1272626549999991</v>
      </c>
      <c r="BW11" s="186">
        <f t="shared" si="15"/>
        <v>0.65018101239999992</v>
      </c>
      <c r="BY11" s="186">
        <v>510.85886320999998</v>
      </c>
      <c r="BZ11" s="422">
        <f>CA11/BY11</f>
        <v>5.8541754413500768E-3</v>
      </c>
      <c r="CA11" s="186">
        <f>'1'!Q9</f>
        <v>2.9906574109999999</v>
      </c>
      <c r="CB11" s="186">
        <f t="shared" si="16"/>
        <v>0.23925259288</v>
      </c>
    </row>
    <row r="12" spans="1:80" x14ac:dyDescent="0.25">
      <c r="A12" s="280" t="s">
        <v>591</v>
      </c>
      <c r="B12" s="186">
        <v>884.55986672337633</v>
      </c>
      <c r="C12" s="202">
        <v>1</v>
      </c>
      <c r="D12" s="186">
        <v>884.55986672337633</v>
      </c>
      <c r="E12" s="186">
        <v>70.764789337870113</v>
      </c>
      <c r="F12" s="421"/>
      <c r="G12" s="186">
        <v>1082.8661975396581</v>
      </c>
      <c r="H12" s="202">
        <v>1</v>
      </c>
      <c r="I12" s="186">
        <v>1082.8661975396581</v>
      </c>
      <c r="J12" s="186">
        <v>86.629295803172653</v>
      </c>
      <c r="L12" s="186">
        <v>1164.8606085557865</v>
      </c>
      <c r="M12" s="202">
        <v>1</v>
      </c>
      <c r="N12" s="186">
        <v>1164.8606085557865</v>
      </c>
      <c r="O12" s="186">
        <v>93.188848684462926</v>
      </c>
      <c r="Q12" s="186">
        <v>1162.2488533198286</v>
      </c>
      <c r="R12" s="202">
        <v>1</v>
      </c>
      <c r="S12" s="186">
        <v>1162.2488533198286</v>
      </c>
      <c r="T12" s="186">
        <v>92.979908265586289</v>
      </c>
      <c r="V12" s="186">
        <f t="shared" si="0"/>
        <v>1323.7319421375898</v>
      </c>
      <c r="W12" s="202">
        <v>1</v>
      </c>
      <c r="X12" s="186">
        <f>1323731.94213759/1000</f>
        <v>1323.7319421375898</v>
      </c>
      <c r="Y12" s="186">
        <f t="shared" si="1"/>
        <v>105.89855537100719</v>
      </c>
      <c r="AA12" s="186">
        <f t="shared" si="2"/>
        <v>1415.30953326394</v>
      </c>
      <c r="AB12" s="202">
        <v>1</v>
      </c>
      <c r="AC12" s="186">
        <f>1415309.53326394/1000</f>
        <v>1415.30953326394</v>
      </c>
      <c r="AD12" s="186">
        <f t="shared" si="3"/>
        <v>113.22476266111521</v>
      </c>
      <c r="AF12" s="186">
        <f t="shared" si="4"/>
        <v>1374.71843776679</v>
      </c>
      <c r="AG12" s="202">
        <v>1</v>
      </c>
      <c r="AH12" s="186">
        <v>1374.71843776679</v>
      </c>
      <c r="AI12" s="186">
        <f t="shared" si="5"/>
        <v>109.9774750213432</v>
      </c>
      <c r="AK12" s="186">
        <f t="shared" ref="AK12:AK14" si="17">AM12/AL12</f>
        <v>1230.82001614656</v>
      </c>
      <c r="AL12" s="202">
        <v>1</v>
      </c>
      <c r="AM12" s="186">
        <f>'1'!I10</f>
        <v>1230.82001614656</v>
      </c>
      <c r="AN12" s="186">
        <f t="shared" si="6"/>
        <v>98.465601291724795</v>
      </c>
      <c r="AP12" s="186">
        <f t="shared" si="7"/>
        <v>529.71988979443154</v>
      </c>
      <c r="AQ12" s="202">
        <v>1</v>
      </c>
      <c r="AR12" s="186">
        <f>'1'!J10</f>
        <v>529.71988979443154</v>
      </c>
      <c r="AS12" s="186">
        <f t="shared" si="8"/>
        <v>42.377591183554522</v>
      </c>
      <c r="AU12" s="186">
        <f t="shared" ref="AU12:AU14" si="18">AW12/AV12</f>
        <v>430.66428904750114</v>
      </c>
      <c r="AV12" s="202">
        <v>1</v>
      </c>
      <c r="AW12" s="186">
        <f>'1'!K10</f>
        <v>430.66428904750114</v>
      </c>
      <c r="AX12" s="186">
        <f t="shared" si="10"/>
        <v>34.453143123800089</v>
      </c>
      <c r="AZ12" s="186">
        <f>BB12/BA12</f>
        <v>302.70917846676684</v>
      </c>
      <c r="BA12" s="202">
        <v>1</v>
      </c>
      <c r="BB12" s="186">
        <f>'1'!L10</f>
        <v>302.70917846676684</v>
      </c>
      <c r="BC12" s="186">
        <f t="shared" si="11"/>
        <v>24.216734277341349</v>
      </c>
      <c r="BE12" s="186">
        <f>BG12/BF12</f>
        <v>286.05100560528518</v>
      </c>
      <c r="BF12" s="202">
        <v>1</v>
      </c>
      <c r="BG12" s="186">
        <f>'1'!M10</f>
        <v>286.05100560528518</v>
      </c>
      <c r="BH12" s="186">
        <f t="shared" si="12"/>
        <v>22.884080448422814</v>
      </c>
      <c r="BJ12" s="186">
        <f>BL12/BK12</f>
        <v>290.10465466044076</v>
      </c>
      <c r="BK12" s="202">
        <v>1</v>
      </c>
      <c r="BL12" s="186">
        <f>'1'!N10</f>
        <v>290.10465466044076</v>
      </c>
      <c r="BM12" s="186">
        <f t="shared" si="13"/>
        <v>23.20837237283526</v>
      </c>
      <c r="BO12" s="186">
        <f>BQ12/BP12</f>
        <v>284.00377101948914</v>
      </c>
      <c r="BP12" s="202">
        <v>1</v>
      </c>
      <c r="BQ12" s="186">
        <f>'1'!O10</f>
        <v>284.00377101948914</v>
      </c>
      <c r="BR12" s="186">
        <f t="shared" si="14"/>
        <v>22.720301681559132</v>
      </c>
      <c r="BT12" s="186">
        <f>BV12/BU12</f>
        <v>307.24364790542563</v>
      </c>
      <c r="BU12" s="202">
        <v>1</v>
      </c>
      <c r="BV12" s="186">
        <f>'1'!P10</f>
        <v>307.24364790542563</v>
      </c>
      <c r="BW12" s="186">
        <f t="shared" si="15"/>
        <v>24.579491832434051</v>
      </c>
      <c r="BY12" s="186">
        <f>CA12/BZ12</f>
        <v>364.03927267379595</v>
      </c>
      <c r="BZ12" s="202">
        <v>1</v>
      </c>
      <c r="CA12" s="186">
        <f>'1'!Q10</f>
        <v>364.03927267379595</v>
      </c>
      <c r="CB12" s="186">
        <f t="shared" si="16"/>
        <v>29.123141813903676</v>
      </c>
    </row>
    <row r="13" spans="1:80" x14ac:dyDescent="0.25">
      <c r="A13" s="280" t="s">
        <v>592</v>
      </c>
      <c r="B13" s="186">
        <v>24.533353926177544</v>
      </c>
      <c r="C13" s="202">
        <v>1.5</v>
      </c>
      <c r="D13" s="186">
        <v>36.800030889266317</v>
      </c>
      <c r="E13" s="186">
        <v>2.9440024711413053</v>
      </c>
      <c r="F13" s="421"/>
      <c r="G13" s="186">
        <v>66.067108971733447</v>
      </c>
      <c r="H13" s="202">
        <v>1.5</v>
      </c>
      <c r="I13" s="186">
        <v>99.100663457600177</v>
      </c>
      <c r="J13" s="186">
        <v>7.9280530766080144</v>
      </c>
      <c r="L13" s="186">
        <v>81.308250344443863</v>
      </c>
      <c r="M13" s="202">
        <v>1.5</v>
      </c>
      <c r="N13" s="186">
        <v>121.9623755166658</v>
      </c>
      <c r="O13" s="186">
        <v>9.756990041333264</v>
      </c>
      <c r="Q13" s="186">
        <v>87.846020459048532</v>
      </c>
      <c r="R13" s="202">
        <v>1.5</v>
      </c>
      <c r="S13" s="186">
        <v>131.7690306885728</v>
      </c>
      <c r="T13" s="186">
        <v>10.541522455085824</v>
      </c>
      <c r="V13" s="186">
        <f t="shared" si="0"/>
        <v>0</v>
      </c>
      <c r="W13" s="202">
        <v>1.5</v>
      </c>
      <c r="X13" s="154">
        <v>0</v>
      </c>
      <c r="Y13" s="186">
        <f t="shared" si="1"/>
        <v>0</v>
      </c>
      <c r="AA13" s="186">
        <f t="shared" si="2"/>
        <v>0</v>
      </c>
      <c r="AB13" s="202">
        <v>1.5</v>
      </c>
      <c r="AC13" s="154">
        <v>0</v>
      </c>
      <c r="AD13" s="186">
        <f t="shared" si="3"/>
        <v>0</v>
      </c>
      <c r="AF13" s="186">
        <f t="shared" si="4"/>
        <v>0</v>
      </c>
      <c r="AG13" s="202">
        <v>1.5</v>
      </c>
      <c r="AH13" s="154">
        <v>0</v>
      </c>
      <c r="AI13" s="186">
        <f t="shared" si="5"/>
        <v>0</v>
      </c>
      <c r="AK13" s="186">
        <f t="shared" si="17"/>
        <v>0</v>
      </c>
      <c r="AL13" s="202">
        <v>1.5</v>
      </c>
      <c r="AM13" s="154">
        <v>0</v>
      </c>
      <c r="AN13" s="186">
        <f t="shared" si="6"/>
        <v>0</v>
      </c>
      <c r="AP13" s="186">
        <f t="shared" si="7"/>
        <v>0</v>
      </c>
      <c r="AQ13" s="202">
        <v>1.5</v>
      </c>
      <c r="AR13" s="154">
        <v>0</v>
      </c>
      <c r="AS13" s="186">
        <f t="shared" si="8"/>
        <v>0</v>
      </c>
      <c r="AU13" s="186">
        <f t="shared" si="18"/>
        <v>0</v>
      </c>
      <c r="AV13" s="202">
        <v>1.5</v>
      </c>
      <c r="AW13" s="186">
        <v>0</v>
      </c>
      <c r="AX13" s="186">
        <f t="shared" si="10"/>
        <v>0</v>
      </c>
      <c r="AZ13" s="186">
        <f>BB13/BA13</f>
        <v>0</v>
      </c>
      <c r="BA13" s="202">
        <v>1.5</v>
      </c>
      <c r="BB13" s="186">
        <f>'1'!L11</f>
        <v>0</v>
      </c>
      <c r="BC13" s="186">
        <f t="shared" si="11"/>
        <v>0</v>
      </c>
      <c r="BE13" s="186">
        <f>BG13/BF13</f>
        <v>0</v>
      </c>
      <c r="BF13" s="202">
        <v>1.5</v>
      </c>
      <c r="BG13" s="186">
        <f>'1'!M11</f>
        <v>0</v>
      </c>
      <c r="BH13" s="186">
        <f t="shared" si="12"/>
        <v>0</v>
      </c>
      <c r="BJ13" s="186">
        <f>BL13/BK13</f>
        <v>0</v>
      </c>
      <c r="BK13" s="202">
        <v>1.5</v>
      </c>
      <c r="BL13" s="186">
        <f>'1'!N11</f>
        <v>0</v>
      </c>
      <c r="BM13" s="186">
        <f t="shared" si="13"/>
        <v>0</v>
      </c>
      <c r="BO13" s="186">
        <f>BQ13/BP13</f>
        <v>0</v>
      </c>
      <c r="BP13" s="202">
        <v>1.5</v>
      </c>
      <c r="BQ13" s="186">
        <f>'1'!O11</f>
        <v>0</v>
      </c>
      <c r="BR13" s="186">
        <f t="shared" si="14"/>
        <v>0</v>
      </c>
      <c r="BT13" s="186">
        <f>BV13/BU13</f>
        <v>0</v>
      </c>
      <c r="BU13" s="202">
        <v>1.5</v>
      </c>
      <c r="BV13" s="186">
        <f>'1'!P11</f>
        <v>0</v>
      </c>
      <c r="BW13" s="186">
        <f t="shared" si="15"/>
        <v>0</v>
      </c>
      <c r="BY13" s="186">
        <f>CA13/BZ13</f>
        <v>0</v>
      </c>
      <c r="BZ13" s="202">
        <v>1.5</v>
      </c>
      <c r="CA13" s="186">
        <f>'1'!Q11</f>
        <v>0</v>
      </c>
      <c r="CB13" s="186">
        <f t="shared" si="16"/>
        <v>0</v>
      </c>
    </row>
    <row r="14" spans="1:80" x14ac:dyDescent="0.25">
      <c r="A14" s="280" t="s">
        <v>593</v>
      </c>
      <c r="B14" s="186">
        <v>36.155033840000002</v>
      </c>
      <c r="C14" s="202">
        <v>1</v>
      </c>
      <c r="D14" s="186">
        <v>36.155033840000002</v>
      </c>
      <c r="E14" s="186">
        <v>2.8924027072</v>
      </c>
      <c r="F14" s="421"/>
      <c r="G14" s="186">
        <v>33.366833320000005</v>
      </c>
      <c r="H14" s="202">
        <v>1</v>
      </c>
      <c r="I14" s="186">
        <v>33.366833320000005</v>
      </c>
      <c r="J14" s="186">
        <v>2.6693466656000004</v>
      </c>
      <c r="L14" s="186">
        <v>28.562787629999999</v>
      </c>
      <c r="M14" s="202">
        <v>1</v>
      </c>
      <c r="N14" s="186">
        <v>28.562787629999999</v>
      </c>
      <c r="O14" s="186">
        <v>2.2850230103999998</v>
      </c>
      <c r="Q14" s="186">
        <v>26.359653270000003</v>
      </c>
      <c r="R14" s="202">
        <v>1</v>
      </c>
      <c r="S14" s="186">
        <v>26.359653270000003</v>
      </c>
      <c r="T14" s="186">
        <v>2.1087722616000004</v>
      </c>
      <c r="V14" s="186">
        <f t="shared" si="0"/>
        <v>18.68129678</v>
      </c>
      <c r="W14" s="202">
        <v>1</v>
      </c>
      <c r="X14" s="186">
        <v>18.68129678</v>
      </c>
      <c r="Y14" s="186">
        <f t="shared" si="1"/>
        <v>1.4945037424000001</v>
      </c>
      <c r="AA14" s="186">
        <f t="shared" si="2"/>
        <v>22.1657899</v>
      </c>
      <c r="AB14" s="202">
        <v>1</v>
      </c>
      <c r="AC14" s="186">
        <f>22165.7899/1000</f>
        <v>22.1657899</v>
      </c>
      <c r="AD14" s="186">
        <f t="shared" si="3"/>
        <v>1.7732631919999999</v>
      </c>
      <c r="AF14" s="186">
        <f t="shared" si="4"/>
        <v>31.3</v>
      </c>
      <c r="AG14" s="202">
        <v>1</v>
      </c>
      <c r="AH14" s="186">
        <v>31.3</v>
      </c>
      <c r="AI14" s="186">
        <f t="shared" si="5"/>
        <v>2.504</v>
      </c>
      <c r="AK14" s="186">
        <f t="shared" si="17"/>
        <v>31.3</v>
      </c>
      <c r="AL14" s="202">
        <v>1</v>
      </c>
      <c r="AM14" s="186">
        <f>'1'!H12</f>
        <v>31.3</v>
      </c>
      <c r="AN14" s="186">
        <f t="shared" si="6"/>
        <v>2.504</v>
      </c>
      <c r="AP14" s="186">
        <f t="shared" si="7"/>
        <v>295.90173419000007</v>
      </c>
      <c r="AQ14" s="202">
        <v>1</v>
      </c>
      <c r="AR14" s="186">
        <f>'1'!J12</f>
        <v>295.90173419000007</v>
      </c>
      <c r="AS14" s="186">
        <f t="shared" si="8"/>
        <v>23.672138735200004</v>
      </c>
      <c r="AU14" s="186">
        <f t="shared" si="18"/>
        <v>28.760434369999995</v>
      </c>
      <c r="AV14" s="202">
        <v>1</v>
      </c>
      <c r="AW14" s="186">
        <f>'1'!K12</f>
        <v>28.760434369999995</v>
      </c>
      <c r="AX14" s="186">
        <f t="shared" si="10"/>
        <v>2.3008347495999995</v>
      </c>
      <c r="AZ14" s="186">
        <f>BB14/BA14</f>
        <v>80.283829919999988</v>
      </c>
      <c r="BA14" s="202">
        <v>1</v>
      </c>
      <c r="BB14" s="186">
        <f>'1'!L12</f>
        <v>80.283829919999988</v>
      </c>
      <c r="BC14" s="186">
        <f t="shared" si="11"/>
        <v>6.4227063935999995</v>
      </c>
      <c r="BE14" s="186">
        <f>BG14/BF14</f>
        <v>56.111826700000002</v>
      </c>
      <c r="BF14" s="202">
        <v>1</v>
      </c>
      <c r="BG14" s="186">
        <f>'1'!M12</f>
        <v>56.111826700000002</v>
      </c>
      <c r="BH14" s="186">
        <f t="shared" si="12"/>
        <v>4.488946136</v>
      </c>
      <c r="BJ14" s="186">
        <f>BL14/BK14</f>
        <v>32.750506520000002</v>
      </c>
      <c r="BK14" s="202">
        <v>1</v>
      </c>
      <c r="BL14" s="186">
        <f>'1'!N12</f>
        <v>32.750506520000002</v>
      </c>
      <c r="BM14" s="186">
        <f t="shared" si="13"/>
        <v>2.6200405216</v>
      </c>
      <c r="BO14" s="186">
        <f>BQ14/BP14</f>
        <v>36.933944799999999</v>
      </c>
      <c r="BP14" s="202">
        <v>1</v>
      </c>
      <c r="BQ14" s="186">
        <f>'1'!O12</f>
        <v>36.933944799999999</v>
      </c>
      <c r="BR14" s="186">
        <f t="shared" si="14"/>
        <v>2.9547155840000001</v>
      </c>
      <c r="BT14" s="186">
        <f>BV14/BU14</f>
        <v>28.537252560000002</v>
      </c>
      <c r="BU14" s="202">
        <v>1</v>
      </c>
      <c r="BV14" s="186">
        <f>'1'!P12</f>
        <v>28.537252560000002</v>
      </c>
      <c r="BW14" s="186">
        <f t="shared" si="15"/>
        <v>2.2829802048000003</v>
      </c>
      <c r="BY14" s="186">
        <f>CA14/BZ14</f>
        <v>37.993430200000006</v>
      </c>
      <c r="BZ14" s="202">
        <v>1</v>
      </c>
      <c r="CA14" s="186">
        <f>'1'!Q12</f>
        <v>37.993430200000006</v>
      </c>
      <c r="CB14" s="186">
        <f t="shared" si="16"/>
        <v>3.0394744160000005</v>
      </c>
    </row>
    <row r="15" spans="1:80" x14ac:dyDescent="0.25">
      <c r="A15" s="141" t="s">
        <v>528</v>
      </c>
      <c r="B15" s="187"/>
      <c r="C15" s="203"/>
      <c r="D15" s="187"/>
      <c r="E15" s="187"/>
      <c r="F15" s="420"/>
      <c r="G15" s="186"/>
      <c r="H15" s="203"/>
      <c r="I15" s="187"/>
      <c r="J15" s="187"/>
      <c r="L15" s="186"/>
      <c r="M15" s="203"/>
      <c r="N15" s="187"/>
      <c r="O15" s="187"/>
      <c r="Q15" s="186"/>
      <c r="R15" s="203"/>
      <c r="S15" s="187"/>
      <c r="T15" s="187"/>
      <c r="V15" s="186"/>
      <c r="W15" s="203"/>
      <c r="X15" s="187"/>
      <c r="Y15" s="187"/>
      <c r="AA15" s="186"/>
      <c r="AB15" s="203"/>
      <c r="AC15" s="187"/>
      <c r="AD15" s="187"/>
      <c r="AF15" s="186"/>
      <c r="AG15" s="203"/>
      <c r="AH15" s="187"/>
      <c r="AI15" s="187"/>
      <c r="AK15" s="186"/>
      <c r="AL15" s="203"/>
      <c r="AM15" s="187"/>
      <c r="AN15" s="187"/>
      <c r="AP15" s="186"/>
      <c r="AQ15" s="203"/>
      <c r="AR15" s="187"/>
      <c r="AS15" s="187"/>
      <c r="AU15" s="186"/>
      <c r="AV15" s="203"/>
      <c r="AW15" s="187"/>
      <c r="AX15" s="187"/>
      <c r="AZ15" s="186"/>
      <c r="BA15" s="203"/>
      <c r="BB15" s="187"/>
      <c r="BC15" s="187"/>
      <c r="BE15" s="186"/>
      <c r="BF15" s="203"/>
      <c r="BG15" s="187"/>
      <c r="BH15" s="187"/>
      <c r="BJ15" s="186"/>
      <c r="BK15" s="203"/>
      <c r="BL15" s="187"/>
      <c r="BM15" s="187"/>
      <c r="BO15" s="186"/>
      <c r="BP15" s="203"/>
      <c r="BQ15" s="187"/>
      <c r="BR15" s="187"/>
      <c r="BT15" s="186"/>
      <c r="BU15" s="203"/>
      <c r="BV15" s="187"/>
      <c r="BW15" s="187"/>
      <c r="BY15" s="186"/>
      <c r="BZ15" s="203"/>
      <c r="CA15" s="187"/>
      <c r="CB15" s="187"/>
    </row>
    <row r="16" spans="1:80" x14ac:dyDescent="0.25">
      <c r="A16" s="141" t="s">
        <v>171</v>
      </c>
      <c r="B16" s="187"/>
      <c r="C16" s="203"/>
      <c r="D16" s="187"/>
      <c r="E16" s="187"/>
      <c r="F16" s="420"/>
      <c r="G16" s="186"/>
      <c r="H16" s="203"/>
      <c r="I16" s="187"/>
      <c r="J16" s="187"/>
      <c r="L16" s="186"/>
      <c r="M16" s="203"/>
      <c r="N16" s="187"/>
      <c r="O16" s="187"/>
      <c r="Q16" s="186"/>
      <c r="R16" s="203"/>
      <c r="S16" s="187"/>
      <c r="T16" s="187"/>
      <c r="V16" s="186"/>
      <c r="W16" s="203"/>
      <c r="X16" s="187"/>
      <c r="Y16" s="187"/>
      <c r="AA16" s="186"/>
      <c r="AB16" s="203"/>
      <c r="AC16" s="187"/>
      <c r="AD16" s="187"/>
      <c r="AF16" s="186"/>
      <c r="AG16" s="203"/>
      <c r="AH16" s="187"/>
      <c r="AI16" s="187"/>
      <c r="AK16" s="186"/>
      <c r="AL16" s="203"/>
      <c r="AM16" s="187"/>
      <c r="AN16" s="187"/>
      <c r="AP16" s="186"/>
      <c r="AQ16" s="203"/>
      <c r="AR16" s="187"/>
      <c r="AS16" s="187"/>
      <c r="AU16" s="186"/>
      <c r="AV16" s="203"/>
      <c r="AW16" s="187"/>
      <c r="AX16" s="187"/>
      <c r="AZ16" s="186"/>
      <c r="BA16" s="203"/>
      <c r="BB16" s="187"/>
      <c r="BC16" s="187"/>
      <c r="BE16" s="186"/>
      <c r="BF16" s="203"/>
      <c r="BG16" s="187"/>
      <c r="BH16" s="187"/>
      <c r="BJ16" s="186"/>
      <c r="BK16" s="203"/>
      <c r="BL16" s="187"/>
      <c r="BM16" s="187"/>
      <c r="BO16" s="186"/>
      <c r="BP16" s="203"/>
      <c r="BQ16" s="187"/>
      <c r="BR16" s="187"/>
      <c r="BT16" s="186"/>
      <c r="BU16" s="203"/>
      <c r="BV16" s="187"/>
      <c r="BW16" s="187"/>
      <c r="BY16" s="186"/>
      <c r="BZ16" s="203"/>
      <c r="CA16" s="187"/>
      <c r="CB16" s="187"/>
    </row>
    <row r="17" spans="1:80" x14ac:dyDescent="0.25">
      <c r="A17" s="141" t="s">
        <v>529</v>
      </c>
      <c r="B17" s="187"/>
      <c r="C17" s="203"/>
      <c r="D17" s="186">
        <v>1822.6166284750002</v>
      </c>
      <c r="E17" s="186">
        <v>145.80933027800003</v>
      </c>
      <c r="F17" s="420"/>
      <c r="G17" s="186"/>
      <c r="H17" s="203"/>
      <c r="I17" s="186">
        <v>1822.6166284750002</v>
      </c>
      <c r="J17" s="186">
        <v>145.80933027800003</v>
      </c>
      <c r="L17" s="186"/>
      <c r="M17" s="203"/>
      <c r="N17" s="186">
        <v>1822.6166284750002</v>
      </c>
      <c r="O17" s="186">
        <v>145.80933027800003</v>
      </c>
      <c r="Q17" s="186"/>
      <c r="R17" s="203"/>
      <c r="S17" s="186">
        <v>1822.6166284750002</v>
      </c>
      <c r="T17" s="186">
        <v>145.80933027800003</v>
      </c>
      <c r="V17" s="186"/>
      <c r="W17" s="203"/>
      <c r="X17" s="186">
        <f>1653660.91614/1000</f>
        <v>1653.6609161400002</v>
      </c>
      <c r="Y17" s="186">
        <f t="shared" ref="Y17" si="19">X17*0.08</f>
        <v>132.29287329120001</v>
      </c>
      <c r="AA17" s="186"/>
      <c r="AB17" s="203"/>
      <c r="AC17" s="186">
        <f>1653660.91614/1000</f>
        <v>1653.6609161400002</v>
      </c>
      <c r="AD17" s="186">
        <f t="shared" ref="AD17" si="20">AC17*0.08</f>
        <v>132.29287329120001</v>
      </c>
      <c r="AF17" s="186"/>
      <c r="AG17" s="203"/>
      <c r="AH17" s="186">
        <f>1653660.91614/1000</f>
        <v>1653.6609161400002</v>
      </c>
      <c r="AI17" s="186">
        <f t="shared" ref="AI17" si="21">AH17*0.08</f>
        <v>132.29287329120001</v>
      </c>
      <c r="AK17" s="186"/>
      <c r="AL17" s="203"/>
      <c r="AM17" s="186">
        <f>1653660.91614/1000</f>
        <v>1653.6609161400002</v>
      </c>
      <c r="AN17" s="186">
        <f t="shared" ref="AN17" si="22">AM17*0.08</f>
        <v>132.29287329120001</v>
      </c>
      <c r="AP17" s="186"/>
      <c r="AQ17" s="203"/>
      <c r="AR17" s="186">
        <f>'1'!J14</f>
        <v>1576.1633099749997</v>
      </c>
      <c r="AS17" s="186">
        <f t="shared" ref="AS17" si="23">AR17*0.08</f>
        <v>126.09306479799999</v>
      </c>
      <c r="AU17" s="186"/>
      <c r="AV17" s="203"/>
      <c r="AW17" s="186">
        <f>AR17</f>
        <v>1576.1633099749997</v>
      </c>
      <c r="AX17" s="186">
        <f t="shared" ref="AX17" si="24">AW17*0.08</f>
        <v>126.09306479799999</v>
      </c>
      <c r="AZ17" s="186"/>
      <c r="BA17" s="203"/>
      <c r="BB17" s="186">
        <f>AW17</f>
        <v>1576.1633099749997</v>
      </c>
      <c r="BC17" s="186">
        <f t="shared" ref="BC17" si="25">BB17*0.08</f>
        <v>126.09306479799999</v>
      </c>
      <c r="BE17" s="186"/>
      <c r="BF17" s="203"/>
      <c r="BG17" s="186">
        <f>BB17</f>
        <v>1576.1633099749997</v>
      </c>
      <c r="BH17" s="186">
        <f t="shared" ref="BH17" si="26">BG17*0.08</f>
        <v>126.09306479799999</v>
      </c>
      <c r="BJ17" s="186"/>
      <c r="BK17" s="203"/>
      <c r="BL17" s="186">
        <f>'1'!N14</f>
        <v>1388.8567539199998</v>
      </c>
      <c r="BM17" s="186">
        <f t="shared" ref="BM17" si="27">BL17*0.08</f>
        <v>111.10854031359999</v>
      </c>
      <c r="BO17" s="186"/>
      <c r="BP17" s="203"/>
      <c r="BQ17" s="186">
        <f>BL17</f>
        <v>1388.8567539199998</v>
      </c>
      <c r="BR17" s="186">
        <f t="shared" ref="BR17" si="28">BQ17*0.08</f>
        <v>111.10854031359999</v>
      </c>
      <c r="BT17" s="186"/>
      <c r="BU17" s="203"/>
      <c r="BV17" s="186">
        <f>BQ17</f>
        <v>1388.8567539199998</v>
      </c>
      <c r="BW17" s="186">
        <f t="shared" ref="BW17" si="29">BV17*0.08</f>
        <v>111.10854031359999</v>
      </c>
      <c r="BY17" s="186"/>
      <c r="BZ17" s="203"/>
      <c r="CA17" s="186">
        <f>BV17</f>
        <v>1388.8567539199998</v>
      </c>
      <c r="CB17" s="186">
        <f t="shared" ref="CB17" si="30">CA17*0.08</f>
        <v>111.10854031359999</v>
      </c>
    </row>
    <row r="18" spans="1:80" x14ac:dyDescent="0.25">
      <c r="A18" s="141" t="s">
        <v>470</v>
      </c>
      <c r="B18" s="187"/>
      <c r="C18" s="203"/>
      <c r="D18" s="187"/>
      <c r="E18" s="187"/>
      <c r="F18" s="420"/>
      <c r="G18" s="186"/>
      <c r="H18" s="203"/>
      <c r="I18" s="187"/>
      <c r="J18" s="187"/>
      <c r="L18" s="186"/>
      <c r="M18" s="203"/>
      <c r="N18" s="187"/>
      <c r="O18" s="187"/>
      <c r="Q18" s="186"/>
      <c r="R18" s="203"/>
      <c r="S18" s="187"/>
      <c r="T18" s="187"/>
      <c r="V18" s="186"/>
      <c r="W18" s="203"/>
      <c r="X18" s="187"/>
      <c r="Y18" s="187"/>
      <c r="AA18" s="186"/>
      <c r="AB18" s="203"/>
      <c r="AC18" s="187"/>
      <c r="AD18" s="187"/>
      <c r="AF18" s="186"/>
      <c r="AG18" s="203"/>
      <c r="AH18" s="187"/>
      <c r="AI18" s="187"/>
      <c r="AK18" s="186"/>
      <c r="AL18" s="203"/>
      <c r="AM18" s="187"/>
      <c r="AN18" s="187"/>
      <c r="AP18" s="186"/>
      <c r="AQ18" s="203"/>
      <c r="AR18" s="187"/>
      <c r="AS18" s="187"/>
      <c r="AU18" s="186"/>
      <c r="AV18" s="203"/>
      <c r="AW18" s="187"/>
      <c r="AX18" s="187"/>
      <c r="AZ18" s="186"/>
      <c r="BA18" s="203"/>
      <c r="BB18" s="187"/>
      <c r="BC18" s="187"/>
      <c r="BE18" s="186"/>
      <c r="BF18" s="203"/>
      <c r="BG18" s="187"/>
      <c r="BH18" s="187"/>
      <c r="BJ18" s="186"/>
      <c r="BK18" s="203"/>
      <c r="BL18" s="187"/>
      <c r="BM18" s="187"/>
      <c r="BO18" s="186"/>
      <c r="BP18" s="203"/>
      <c r="BQ18" s="187"/>
      <c r="BR18" s="187"/>
      <c r="BT18" s="186"/>
      <c r="BU18" s="203"/>
      <c r="BV18" s="187"/>
      <c r="BW18" s="187"/>
      <c r="BY18" s="186"/>
      <c r="BZ18" s="203"/>
      <c r="CA18" s="187"/>
      <c r="CB18" s="187"/>
    </row>
    <row r="19" spans="1:80" x14ac:dyDescent="0.25">
      <c r="A19" s="141" t="s">
        <v>714</v>
      </c>
      <c r="B19" s="187">
        <f>SUM(B9:B18)</f>
        <v>9431.6525508423038</v>
      </c>
      <c r="C19" s="203">
        <f>D19/B19</f>
        <v>0.92750040076269247</v>
      </c>
      <c r="D19" s="187">
        <v>8747.8615207607072</v>
      </c>
      <c r="E19" s="187">
        <v>699.82892166085662</v>
      </c>
      <c r="F19" s="420"/>
      <c r="G19" s="187">
        <f>SUM(G9:G18)</f>
        <v>9814.9651858326633</v>
      </c>
      <c r="H19" s="203">
        <f>I19/G19</f>
        <v>0.92490370812059841</v>
      </c>
      <c r="I19" s="187">
        <v>9077.8976954512091</v>
      </c>
      <c r="J19" s="187">
        <v>726.2318156360966</v>
      </c>
      <c r="L19" s="187">
        <f>SUM(L9:L18)</f>
        <v>10200.341615829971</v>
      </c>
      <c r="M19" s="203">
        <f>N19/L19</f>
        <v>0.87500474359230862</v>
      </c>
      <c r="N19" s="187">
        <v>8925.3473001132588</v>
      </c>
      <c r="O19" s="187">
        <v>714.02778400906072</v>
      </c>
      <c r="Q19" s="187">
        <f>SUM(Q9:Q18)</f>
        <v>12595.795636277955</v>
      </c>
      <c r="R19" s="203">
        <f>S19/Q19</f>
        <v>0.57501221044746431</v>
      </c>
      <c r="S19" s="187">
        <f>W23+SUM(S9:S14)</f>
        <v>7242.7362911607115</v>
      </c>
      <c r="T19" s="187">
        <f>T17+SUM(T9:T14)</f>
        <v>725.22823357085701</v>
      </c>
      <c r="V19" s="187">
        <f>SUM(V9:V18)</f>
        <v>11591.466275440202</v>
      </c>
      <c r="W19" s="203">
        <f>X19/V19</f>
        <v>0.75291076665610335</v>
      </c>
      <c r="X19" s="187">
        <f>X17+SUM(X9:X14)</f>
        <v>8727.3397601100496</v>
      </c>
      <c r="Y19" s="186">
        <f t="shared" ref="Y19" si="31">X19*0.08</f>
        <v>698.18718080880399</v>
      </c>
      <c r="AA19" s="187">
        <f>SUM(AA9:AA18)</f>
        <v>11587.485961202532</v>
      </c>
      <c r="AB19" s="203">
        <f>AC19/AA19</f>
        <v>0.72925699052794601</v>
      </c>
      <c r="AC19" s="187">
        <f>AC17+SUM(AC9:AC14)</f>
        <v>8450.2551398513824</v>
      </c>
      <c r="AD19" s="186">
        <f t="shared" ref="AD19" si="32">AC19*0.08</f>
        <v>676.02041118811064</v>
      </c>
      <c r="AF19" s="187">
        <f>SUM(AF9:AF18)</f>
        <v>11578.251075845401</v>
      </c>
      <c r="AG19" s="203">
        <f>AH19/AF19</f>
        <v>0.74785409128956148</v>
      </c>
      <c r="AH19" s="187">
        <f>AH17+SUM(AH9:AH14)</f>
        <v>8658.8424370487501</v>
      </c>
      <c r="AI19" s="186">
        <f t="shared" ref="AI19" si="33">AH19*0.08</f>
        <v>692.70739496390001</v>
      </c>
      <c r="AK19" s="187">
        <f>SUM(AK9:AK18)</f>
        <v>11990.744107319599</v>
      </c>
      <c r="AL19" s="203">
        <f>AM19/AK19</f>
        <v>0.79786662836026812</v>
      </c>
      <c r="AM19" s="187">
        <f>AM17+SUM(AM9:AM14)</f>
        <v>9567.0145724378417</v>
      </c>
      <c r="AN19" s="186">
        <f t="shared" ref="AN19" si="34">AM19*0.08</f>
        <v>765.36116579502732</v>
      </c>
      <c r="AP19" s="187">
        <f>SUM(AP9:AP18)</f>
        <v>9982.9888313057818</v>
      </c>
      <c r="AQ19" s="203">
        <f>AR19/AP19</f>
        <v>0.79450303983215975</v>
      </c>
      <c r="AR19" s="187">
        <f>AR17+SUM(AR9:AR14)</f>
        <v>7931.5149730829435</v>
      </c>
      <c r="AS19" s="186">
        <f t="shared" ref="AS19" si="35">AR19*0.08</f>
        <v>634.52119784663546</v>
      </c>
      <c r="AU19" s="187">
        <f>SUM(AU9:AU18)</f>
        <v>9668.0224763418246</v>
      </c>
      <c r="AV19" s="203">
        <f>AW19/AU19</f>
        <v>0.77424390032288815</v>
      </c>
      <c r="AW19" s="187">
        <f>AW17+SUM(AW9:AW14)</f>
        <v>7485.4074304922415</v>
      </c>
      <c r="AX19" s="186">
        <f t="shared" ref="AX19" si="36">AW19*0.08</f>
        <v>598.83259443937936</v>
      </c>
      <c r="AZ19" s="187">
        <f>SUM(AZ9:AZ18)</f>
        <v>8838.9534550587287</v>
      </c>
      <c r="BA19" s="203">
        <f>BB19/AZ19</f>
        <v>0.82371175838314914</v>
      </c>
      <c r="BB19" s="187">
        <f>BB17+SUM(BB9:BB14)</f>
        <v>7280.7498927332372</v>
      </c>
      <c r="BC19" s="186">
        <f t="shared" ref="BC19" si="37">BB19*0.08</f>
        <v>582.459991418659</v>
      </c>
      <c r="BE19" s="187">
        <f>SUM(BE9:BE18)</f>
        <v>10077.676977704938</v>
      </c>
      <c r="BF19" s="203">
        <f>BG19/BE19</f>
        <v>0.79836624694462344</v>
      </c>
      <c r="BG19" s="187">
        <f>BG17+SUM(BG9:BG14)</f>
        <v>8045.6771466105265</v>
      </c>
      <c r="BH19" s="186">
        <f t="shared" ref="BH19" si="38">BG19*0.08</f>
        <v>643.65417172884213</v>
      </c>
      <c r="BJ19" s="187">
        <f>SUM(BJ9:BJ18)</f>
        <v>11555.141453870785</v>
      </c>
      <c r="BK19" s="203">
        <f>BL19/BJ19</f>
        <v>0.75044671298773935</v>
      </c>
      <c r="BL19" s="187">
        <f>BL17+SUM(BL9:BL14)</f>
        <v>8671.5179221656981</v>
      </c>
      <c r="BM19" s="186">
        <f t="shared" ref="BM19" si="39">BL19*0.08</f>
        <v>693.72143377325585</v>
      </c>
      <c r="BO19" s="187">
        <f>SUM(BO9:BO18)</f>
        <v>12697.074128599155</v>
      </c>
      <c r="BP19" s="203">
        <f>BQ19/BO19</f>
        <v>0.73921858005311725</v>
      </c>
      <c r="BQ19" s="187">
        <f>BQ17+SUM(BQ9:BQ14)</f>
        <v>9385.9131081722389</v>
      </c>
      <c r="BR19" s="186">
        <f t="shared" ref="BR19" si="40">BQ19*0.08</f>
        <v>750.87304865377916</v>
      </c>
      <c r="BT19" s="187">
        <f>SUM(BT9:BT18)</f>
        <v>11988.196009401019</v>
      </c>
      <c r="BU19" s="203">
        <f>BV19/BT19</f>
        <v>0.79765122305114855</v>
      </c>
      <c r="BV19" s="187">
        <f>BV17+SUM(BV9:BV14)</f>
        <v>9562.3992090756219</v>
      </c>
      <c r="BW19" s="186">
        <f t="shared" ref="BW19" si="41">BV19*0.08</f>
        <v>764.99193672604974</v>
      </c>
      <c r="BY19" s="187">
        <f>SUM(BY9:BY18)</f>
        <v>12483.263007065736</v>
      </c>
      <c r="BZ19" s="203">
        <f>CA19/BY19</f>
        <v>0.78636083375873223</v>
      </c>
      <c r="CA19" s="187">
        <f>CA17+SUM(CA9:CA14)</f>
        <v>9816.3491062657504</v>
      </c>
      <c r="CB19" s="186">
        <f t="shared" ref="CB19" si="42">CA19*0.08</f>
        <v>785.30792850125999</v>
      </c>
    </row>
    <row r="20" spans="1:80" ht="18" x14ac:dyDescent="0.25">
      <c r="A20" s="136"/>
      <c r="G20" s="133"/>
      <c r="H20" s="133"/>
      <c r="I20" s="133"/>
      <c r="J20" s="133"/>
    </row>
    <row r="21" spans="1:80" ht="18" x14ac:dyDescent="0.25">
      <c r="A21" s="136"/>
      <c r="G21" s="133"/>
      <c r="H21" s="133"/>
      <c r="I21" s="133"/>
      <c r="J21" s="133"/>
    </row>
  </sheetData>
  <mergeCells count="16">
    <mergeCell ref="BY6:CB6"/>
    <mergeCell ref="BT6:BW6"/>
    <mergeCell ref="BO6:BR6"/>
    <mergeCell ref="AZ6:BC6"/>
    <mergeCell ref="BE6:BH6"/>
    <mergeCell ref="BJ6:BM6"/>
    <mergeCell ref="AU6:AX6"/>
    <mergeCell ref="AP6:AS6"/>
    <mergeCell ref="AK6:AN6"/>
    <mergeCell ref="AF6:AI6"/>
    <mergeCell ref="AA6:AD6"/>
    <mergeCell ref="B6:E6"/>
    <mergeCell ref="G6:J6"/>
    <mergeCell ref="L6:O6"/>
    <mergeCell ref="Q6:T6"/>
    <mergeCell ref="V6:Y6"/>
  </mergeCells>
  <pageMargins left="0.7" right="0.7" top="0.75" bottom="0.75" header="0.3" footer="0.3"/>
  <pageSetup paperSize="9" orientation="portrait" r:id="rId1"/>
  <ignoredErrors>
    <ignoredError sqref="V11:Y11 AF11 AP11 AA11"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76"/>
  <sheetViews>
    <sheetView workbookViewId="0">
      <selection activeCell="B3" sqref="B3"/>
    </sheetView>
  </sheetViews>
  <sheetFormatPr baseColWidth="10" defaultColWidth="11.42578125" defaultRowHeight="15" x14ac:dyDescent="0.25"/>
  <cols>
    <col min="1" max="1" width="25.85546875" style="154" customWidth="1"/>
    <col min="2" max="2" width="26.140625" style="154" customWidth="1"/>
    <col min="3" max="3" width="12.42578125" style="133" customWidth="1"/>
    <col min="4" max="4" width="12.140625" style="154" customWidth="1"/>
    <col min="5" max="5" width="11.85546875" style="154" customWidth="1"/>
    <col min="6" max="6" width="12" style="154" customWidth="1"/>
    <col min="7" max="251" width="9.140625" style="154" customWidth="1"/>
    <col min="252" max="16384" width="11.42578125" style="154"/>
  </cols>
  <sheetData>
    <row r="1" spans="1:12" x14ac:dyDescent="0.25">
      <c r="A1" s="133"/>
    </row>
    <row r="2" spans="1:12" s="210" customFormat="1" ht="6" customHeight="1" x14ac:dyDescent="0.2"/>
    <row r="3" spans="1:12" ht="18" x14ac:dyDescent="0.25">
      <c r="A3" s="136" t="s">
        <v>470</v>
      </c>
      <c r="B3" s="429">
        <v>44926</v>
      </c>
    </row>
    <row r="4" spans="1:12" s="212" customFormat="1" ht="14.25" x14ac:dyDescent="0.2">
      <c r="A4" s="211"/>
      <c r="C4" s="133"/>
    </row>
    <row r="5" spans="1:12" s="214" customFormat="1" ht="12.75" x14ac:dyDescent="0.2">
      <c r="A5" s="213" t="s">
        <v>471</v>
      </c>
      <c r="C5" s="215"/>
    </row>
    <row r="6" spans="1:12" s="214" customFormat="1" ht="12.75" x14ac:dyDescent="0.2">
      <c r="A6" s="258" t="s">
        <v>522</v>
      </c>
      <c r="C6" s="215"/>
    </row>
    <row r="7" spans="1:12" s="214" customFormat="1" ht="12.75" x14ac:dyDescent="0.2">
      <c r="A7" s="258" t="s">
        <v>523</v>
      </c>
      <c r="C7" s="215"/>
    </row>
    <row r="8" spans="1:12" s="214" customFormat="1" ht="12.75" x14ac:dyDescent="0.2">
      <c r="A8" s="258" t="s">
        <v>524</v>
      </c>
      <c r="C8" s="215"/>
    </row>
    <row r="9" spans="1:12" s="214" customFormat="1" ht="11.25" x14ac:dyDescent="0.2">
      <c r="A9" s="216"/>
      <c r="B9" s="217"/>
      <c r="C9" s="217"/>
      <c r="D9" s="217"/>
      <c r="E9" s="217"/>
      <c r="F9" s="217"/>
      <c r="G9" s="217"/>
      <c r="H9" s="217"/>
      <c r="I9" s="217"/>
      <c r="J9" s="217"/>
      <c r="K9" s="217"/>
    </row>
    <row r="10" spans="1:12" ht="15" customHeight="1" x14ac:dyDescent="0.25">
      <c r="A10" s="283" t="s">
        <v>472</v>
      </c>
      <c r="B10" s="283"/>
      <c r="C10" s="290"/>
      <c r="D10" s="286"/>
      <c r="E10" s="286"/>
      <c r="F10" s="205"/>
      <c r="G10" s="205"/>
      <c r="H10" s="205"/>
      <c r="I10" s="205"/>
      <c r="J10" s="205"/>
      <c r="K10" s="205"/>
      <c r="L10" s="205"/>
    </row>
    <row r="11" spans="1:12" x14ac:dyDescent="0.25">
      <c r="A11" s="284" t="s">
        <v>22</v>
      </c>
      <c r="B11" s="285"/>
      <c r="C11" s="291">
        <f>B3</f>
        <v>44926</v>
      </c>
      <c r="D11" s="287"/>
      <c r="E11" s="287"/>
      <c r="F11" s="205"/>
      <c r="G11" s="205"/>
      <c r="H11" s="205"/>
      <c r="I11" s="205"/>
      <c r="J11" s="205"/>
      <c r="K11" s="205"/>
      <c r="L11" s="205"/>
    </row>
    <row r="12" spans="1:12" x14ac:dyDescent="0.25">
      <c r="A12" s="445" t="s">
        <v>473</v>
      </c>
      <c r="B12" s="446"/>
      <c r="C12" s="218">
        <f>9110.7+807.8</f>
        <v>9918.5</v>
      </c>
      <c r="D12" s="288"/>
      <c r="E12" s="288"/>
      <c r="F12" s="205"/>
      <c r="G12" s="205"/>
      <c r="H12" s="205"/>
      <c r="I12" s="205"/>
      <c r="J12" s="205"/>
      <c r="K12" s="205"/>
      <c r="L12" s="205"/>
    </row>
    <row r="13" spans="1:12" x14ac:dyDescent="0.25">
      <c r="A13" s="445" t="s">
        <v>474</v>
      </c>
      <c r="B13" s="446"/>
      <c r="C13" s="218">
        <f>1453.5</f>
        <v>1453.5</v>
      </c>
      <c r="D13" s="288"/>
      <c r="E13" s="288"/>
      <c r="F13" s="205"/>
      <c r="G13" s="205"/>
      <c r="H13" s="205"/>
      <c r="I13" s="205"/>
      <c r="J13" s="205"/>
      <c r="K13" s="205"/>
      <c r="L13" s="205"/>
    </row>
    <row r="14" spans="1:12" x14ac:dyDescent="0.25">
      <c r="A14" s="425" t="s">
        <v>698</v>
      </c>
      <c r="B14" s="426"/>
      <c r="C14" s="218">
        <v>20.7</v>
      </c>
      <c r="D14" s="288"/>
      <c r="E14" s="288"/>
      <c r="F14" s="205"/>
      <c r="G14" s="205"/>
      <c r="H14" s="205"/>
      <c r="I14" s="205"/>
      <c r="J14" s="205"/>
      <c r="K14" s="205"/>
      <c r="L14" s="205"/>
    </row>
    <row r="15" spans="1:12" s="209" customFormat="1" x14ac:dyDescent="0.25">
      <c r="A15" s="449" t="s">
        <v>475</v>
      </c>
      <c r="B15" s="450"/>
      <c r="C15" s="219">
        <f>C12+C13+C14</f>
        <v>11392.7</v>
      </c>
      <c r="D15" s="289"/>
      <c r="E15" s="289"/>
      <c r="F15" s="220"/>
      <c r="G15" s="220"/>
      <c r="H15" s="220"/>
      <c r="I15" s="220"/>
      <c r="J15" s="220"/>
      <c r="K15" s="220"/>
      <c r="L15" s="220"/>
    </row>
    <row r="16" spans="1:12" x14ac:dyDescent="0.25">
      <c r="A16" s="445" t="s">
        <v>476</v>
      </c>
      <c r="B16" s="446"/>
      <c r="C16" s="218">
        <f>9347.6+78.3</f>
        <v>9425.9</v>
      </c>
      <c r="D16" s="288"/>
      <c r="E16" s="288"/>
      <c r="F16" s="205"/>
      <c r="G16" s="205"/>
      <c r="H16" s="205"/>
      <c r="I16" s="205"/>
      <c r="J16" s="205"/>
      <c r="K16" s="205"/>
      <c r="L16" s="205"/>
    </row>
    <row r="17" spans="1:12" x14ac:dyDescent="0.25">
      <c r="A17" s="445" t="s">
        <v>474</v>
      </c>
      <c r="B17" s="446"/>
      <c r="C17" s="218">
        <v>65</v>
      </c>
      <c r="D17" s="288"/>
      <c r="E17" s="288"/>
      <c r="F17" s="205"/>
      <c r="G17" s="205"/>
      <c r="H17" s="205"/>
      <c r="I17" s="205"/>
      <c r="J17" s="205"/>
      <c r="K17" s="205"/>
      <c r="L17" s="205"/>
    </row>
    <row r="18" spans="1:12" s="209" customFormat="1" x14ac:dyDescent="0.25">
      <c r="A18" s="449" t="s">
        <v>477</v>
      </c>
      <c r="B18" s="450"/>
      <c r="C18" s="219">
        <f>C16+C17</f>
        <v>9490.9</v>
      </c>
      <c r="D18" s="289"/>
      <c r="E18" s="289"/>
      <c r="F18" s="220"/>
      <c r="G18" s="220"/>
      <c r="H18" s="220"/>
      <c r="I18" s="220"/>
      <c r="J18" s="220"/>
      <c r="K18" s="220"/>
      <c r="L18" s="220"/>
    </row>
    <row r="19" spans="1:12" s="209" customFormat="1" x14ac:dyDescent="0.25">
      <c r="A19" s="449" t="s">
        <v>694</v>
      </c>
      <c r="B19" s="450"/>
      <c r="C19" s="219">
        <f>C15-C18</f>
        <v>1901.8000000000011</v>
      </c>
      <c r="D19" s="289"/>
      <c r="E19" s="289"/>
      <c r="F19" s="220"/>
      <c r="G19" s="220"/>
      <c r="H19" s="220"/>
      <c r="I19" s="220"/>
      <c r="J19" s="220"/>
      <c r="K19" s="220"/>
      <c r="L19" s="220"/>
    </row>
    <row r="20" spans="1:12" s="209" customFormat="1" x14ac:dyDescent="0.25">
      <c r="A20" s="256"/>
      <c r="B20" s="256"/>
      <c r="C20" s="257"/>
      <c r="D20" s="257"/>
      <c r="E20" s="257"/>
      <c r="F20" s="220"/>
      <c r="G20" s="220"/>
      <c r="H20" s="220"/>
      <c r="I20" s="220"/>
      <c r="J20" s="220"/>
      <c r="K20" s="220"/>
      <c r="L20" s="220"/>
    </row>
    <row r="21" spans="1:12" x14ac:dyDescent="0.25">
      <c r="A21" s="221"/>
      <c r="B21" s="205"/>
      <c r="C21" s="206"/>
      <c r="D21" s="205"/>
      <c r="E21" s="205"/>
      <c r="F21" s="205"/>
      <c r="G21" s="205"/>
      <c r="H21" s="205"/>
      <c r="I21" s="205"/>
      <c r="J21" s="205"/>
      <c r="K21" s="205"/>
    </row>
    <row r="22" spans="1:12" ht="15" customHeight="1" x14ac:dyDescent="0.25">
      <c r="A22" s="444" t="s">
        <v>478</v>
      </c>
      <c r="B22" s="444"/>
      <c r="C22" s="444"/>
      <c r="D22" s="444"/>
      <c r="E22" s="444"/>
      <c r="F22" s="444"/>
      <c r="G22" s="444"/>
      <c r="H22" s="444"/>
      <c r="I22" s="205"/>
      <c r="J22" s="205"/>
      <c r="K22" s="205"/>
    </row>
    <row r="23" spans="1:12" ht="22.5" x14ac:dyDescent="0.25">
      <c r="A23" s="259" t="s">
        <v>22</v>
      </c>
      <c r="B23" s="271"/>
      <c r="C23" s="272" t="s">
        <v>479</v>
      </c>
      <c r="D23" s="272" t="s">
        <v>480</v>
      </c>
      <c r="E23" s="272" t="s">
        <v>595</v>
      </c>
      <c r="F23" s="272" t="s">
        <v>596</v>
      </c>
      <c r="G23" s="272" t="s">
        <v>481</v>
      </c>
      <c r="H23" s="271" t="s">
        <v>30</v>
      </c>
      <c r="I23" s="205"/>
      <c r="J23" s="205"/>
      <c r="K23" s="205"/>
    </row>
    <row r="24" spans="1:12" x14ac:dyDescent="0.25">
      <c r="A24" s="445" t="s">
        <v>695</v>
      </c>
      <c r="B24" s="446"/>
      <c r="C24" s="218">
        <f>14.4</f>
        <v>14.4</v>
      </c>
      <c r="D24" s="204"/>
      <c r="E24" s="204"/>
      <c r="F24" s="204"/>
      <c r="G24" s="204"/>
      <c r="H24" s="218">
        <f>C24</f>
        <v>14.4</v>
      </c>
      <c r="I24" s="205"/>
      <c r="J24" s="205"/>
      <c r="K24" s="205"/>
    </row>
    <row r="25" spans="1:12" x14ac:dyDescent="0.25">
      <c r="A25" s="221"/>
      <c r="B25" s="205"/>
      <c r="C25" s="206"/>
      <c r="D25" s="205"/>
      <c r="E25" s="205"/>
      <c r="F25" s="205"/>
      <c r="G25" s="205"/>
      <c r="H25" s="205"/>
      <c r="I25" s="205"/>
      <c r="J25" s="205"/>
      <c r="K25" s="205"/>
    </row>
    <row r="26" spans="1:12" x14ac:dyDescent="0.25">
      <c r="A26" s="221"/>
      <c r="B26" s="205"/>
      <c r="C26" s="206"/>
      <c r="D26" s="205"/>
      <c r="E26" s="205"/>
      <c r="F26" s="205"/>
      <c r="G26" s="292"/>
      <c r="H26" s="292"/>
      <c r="I26" s="292"/>
      <c r="J26" s="292"/>
      <c r="K26" s="292"/>
    </row>
    <row r="27" spans="1:12" x14ac:dyDescent="0.25">
      <c r="A27" s="213" t="s">
        <v>482</v>
      </c>
      <c r="B27" s="217"/>
      <c r="C27" s="217"/>
      <c r="D27" s="217"/>
      <c r="E27" s="217"/>
      <c r="F27" s="217"/>
      <c r="G27" s="293"/>
      <c r="H27" s="292"/>
      <c r="I27" s="292"/>
      <c r="J27" s="292"/>
      <c r="K27" s="292"/>
    </row>
    <row r="28" spans="1:12" x14ac:dyDescent="0.25">
      <c r="A28" s="216"/>
      <c r="B28" s="217"/>
      <c r="C28" s="217"/>
      <c r="D28" s="217"/>
      <c r="E28" s="217"/>
      <c r="F28" s="217"/>
      <c r="G28" s="293"/>
      <c r="H28" s="292"/>
      <c r="I28" s="292"/>
      <c r="J28" s="292"/>
      <c r="K28" s="292"/>
    </row>
    <row r="29" spans="1:12" x14ac:dyDescent="0.25">
      <c r="A29" s="273" t="s">
        <v>483</v>
      </c>
      <c r="B29" s="273"/>
      <c r="C29" s="273"/>
      <c r="D29" s="273"/>
      <c r="E29" s="273"/>
      <c r="F29" s="273"/>
      <c r="G29" s="294"/>
      <c r="H29" s="294"/>
      <c r="I29" s="294"/>
      <c r="J29" s="294">
        <v>1000</v>
      </c>
      <c r="K29" s="292"/>
    </row>
    <row r="30" spans="1:12" x14ac:dyDescent="0.25">
      <c r="A30" s="259" t="s">
        <v>484</v>
      </c>
      <c r="B30" s="271"/>
      <c r="C30" s="271" t="s">
        <v>485</v>
      </c>
      <c r="D30" s="271" t="s">
        <v>486</v>
      </c>
      <c r="E30" s="271" t="s">
        <v>487</v>
      </c>
      <c r="F30" s="271" t="s">
        <v>696</v>
      </c>
      <c r="G30" s="292"/>
      <c r="H30" s="3"/>
      <c r="I30" s="3"/>
      <c r="J30" s="3"/>
      <c r="K30" s="3"/>
    </row>
    <row r="31" spans="1:12" x14ac:dyDescent="0.25">
      <c r="A31" s="445" t="s">
        <v>483</v>
      </c>
      <c r="B31" s="446"/>
      <c r="C31" s="218">
        <v>0.74380776999999998</v>
      </c>
      <c r="D31" s="218">
        <v>-11.17107463</v>
      </c>
      <c r="E31" s="218"/>
      <c r="F31" s="218">
        <f>D31+C31</f>
        <v>-10.42726686</v>
      </c>
      <c r="G31" s="292"/>
      <c r="H31" s="3"/>
      <c r="I31" s="3"/>
      <c r="J31" s="3"/>
      <c r="K31" s="3"/>
    </row>
    <row r="32" spans="1:12" s="222" customFormat="1" x14ac:dyDescent="0.25">
      <c r="A32" s="447" t="s">
        <v>488</v>
      </c>
      <c r="B32" s="448"/>
      <c r="C32" s="430">
        <f>C31*10.5138*1.05-C31*10.5138</f>
        <v>0.39101230661129982</v>
      </c>
      <c r="D32" s="430">
        <f>D31*94.53/100*1.05-D31*94.53/100</f>
        <v>-0.52800084238695</v>
      </c>
      <c r="E32" s="430"/>
      <c r="F32" s="218">
        <f>D32+C32</f>
        <v>-0.13698853577565018</v>
      </c>
      <c r="G32" s="295"/>
      <c r="H32" s="296"/>
      <c r="I32" s="296"/>
      <c r="J32" s="296"/>
      <c r="K32" s="296"/>
    </row>
    <row r="33" spans="1:11" x14ac:dyDescent="0.25">
      <c r="A33" s="226"/>
      <c r="B33" s="226"/>
      <c r="C33" s="227"/>
      <c r="D33" s="228"/>
      <c r="E33" s="228"/>
      <c r="F33" s="205"/>
      <c r="G33" s="205"/>
      <c r="H33" s="205"/>
      <c r="I33" s="205"/>
      <c r="J33" s="205"/>
      <c r="K33" s="205"/>
    </row>
    <row r="34" spans="1:11" x14ac:dyDescent="0.25">
      <c r="A34" s="213" t="s">
        <v>521</v>
      </c>
      <c r="B34" s="226"/>
      <c r="C34" s="227"/>
      <c r="D34" s="228"/>
      <c r="E34" s="228"/>
      <c r="F34" s="205"/>
      <c r="G34" s="205"/>
      <c r="H34" s="205"/>
      <c r="I34" s="205"/>
      <c r="J34" s="205"/>
      <c r="K34" s="205"/>
    </row>
    <row r="35" spans="1:11" x14ac:dyDescent="0.25">
      <c r="A35" s="221"/>
      <c r="B35" s="205"/>
      <c r="C35" s="206"/>
      <c r="D35" s="205"/>
      <c r="E35" s="205"/>
      <c r="F35" s="205"/>
      <c r="G35" s="205"/>
      <c r="H35" s="205"/>
      <c r="I35" s="205"/>
      <c r="J35" s="205"/>
      <c r="K35" s="205"/>
    </row>
    <row r="36" spans="1:11" ht="15" customHeight="1" x14ac:dyDescent="0.25">
      <c r="A36" s="444" t="s">
        <v>693</v>
      </c>
      <c r="B36" s="444"/>
      <c r="C36" s="444"/>
      <c r="D36" s="444"/>
      <c r="E36" s="444"/>
      <c r="F36" s="444"/>
      <c r="G36" s="205"/>
      <c r="H36" s="205"/>
      <c r="I36" s="205"/>
      <c r="J36" s="205"/>
      <c r="K36" s="205"/>
    </row>
    <row r="37" spans="1:11" x14ac:dyDescent="0.25">
      <c r="A37" s="259" t="s">
        <v>22</v>
      </c>
      <c r="B37" s="269"/>
      <c r="C37" s="269" t="s">
        <v>490</v>
      </c>
      <c r="D37" s="269" t="s">
        <v>489</v>
      </c>
      <c r="E37" s="269" t="s">
        <v>491</v>
      </c>
      <c r="F37" s="269" t="s">
        <v>492</v>
      </c>
      <c r="G37" s="205"/>
      <c r="H37" s="205"/>
      <c r="I37" s="205"/>
      <c r="J37" s="205"/>
      <c r="K37" s="205"/>
    </row>
    <row r="38" spans="1:11" ht="15" customHeight="1" x14ac:dyDescent="0.25">
      <c r="A38" s="208" t="s">
        <v>469</v>
      </c>
      <c r="B38" s="223"/>
      <c r="C38" s="218">
        <f>('[3]Ny modell desember 22'!$Q$12+'[3]Ny modell desember 22'!$Q$16)/1000000</f>
        <v>0.38590996176273401</v>
      </c>
      <c r="D38" s="218">
        <f>('[3]Ny modell desember 22'!$I$16+'[3]Ny modell desember 22'!$I$12)/1000000</f>
        <v>47.094328700000005</v>
      </c>
      <c r="E38" s="218">
        <f>('[3]Ny modell desember 22'!$J$12+'[3]Ny modell desember 22'!$J$16)/1000000</f>
        <v>43.258370200000002</v>
      </c>
      <c r="F38" s="431">
        <f>E38/$E$41</f>
        <v>2.9760557297916677E-2</v>
      </c>
      <c r="G38" s="205"/>
      <c r="H38" s="205"/>
      <c r="I38" s="205"/>
      <c r="J38" s="205"/>
      <c r="K38" s="205"/>
    </row>
    <row r="39" spans="1:11" ht="15" customHeight="1" x14ac:dyDescent="0.25">
      <c r="A39" s="425" t="s">
        <v>697</v>
      </c>
      <c r="B39" s="223"/>
      <c r="C39" s="218">
        <f>'[3]Ny modell desember 22'!$Q$9/1000000</f>
        <v>3.055718548008</v>
      </c>
      <c r="D39" s="218">
        <f>'[3]Ny modell desember 22'!$I$9/1000000</f>
        <v>300</v>
      </c>
      <c r="E39" s="218">
        <f>'[3]Ny modell desember 22'!$J$9/1000000</f>
        <v>303.14668135000005</v>
      </c>
      <c r="F39" s="431">
        <f t="shared" ref="F39:F40" si="0">E39/$E$41</f>
        <v>0.20855649758136205</v>
      </c>
      <c r="G39" s="205"/>
      <c r="H39" s="205"/>
      <c r="I39" s="205"/>
      <c r="J39" s="205"/>
      <c r="K39" s="205"/>
    </row>
    <row r="40" spans="1:11" x14ac:dyDescent="0.25">
      <c r="A40" s="229" t="s">
        <v>493</v>
      </c>
      <c r="B40" s="223"/>
      <c r="C40" s="218">
        <v>0</v>
      </c>
      <c r="D40" s="218">
        <f>('[3]Ny modell desember 22'!$I$17+'[3]Ny modell desember 22'!$I$15+'[3]Ny modell desember 22'!$I$14+'[3]Ny modell desember 22'!$I$13+'[3]Ny modell desember 22'!$I$11+'[3]Ny modell desember 22'!$I$8+'[3]Ny modell desember 22'!$I$6)/1000000</f>
        <v>1114.419840727342</v>
      </c>
      <c r="E40" s="218">
        <f>('[3]Ny modell desember 22'!$J$17+'[3]Ny modell desember 22'!$J$15+'[3]Ny modell desember 22'!$J$14+'[3]Ny modell desember 22'!$J$13+'[3]Ny modell desember 22'!$J$11+'[3]Ny modell desember 22'!$J$8+'[3]Ny modell desember 22'!$J$6)/1000000</f>
        <v>1107.1419962073419</v>
      </c>
      <c r="F40" s="431">
        <f t="shared" si="0"/>
        <v>0.76168294512072121</v>
      </c>
      <c r="G40" s="205"/>
      <c r="H40" s="205"/>
      <c r="I40" s="205"/>
      <c r="J40" s="205"/>
      <c r="K40" s="205"/>
    </row>
    <row r="41" spans="1:11" x14ac:dyDescent="0.25">
      <c r="A41" s="224" t="s">
        <v>494</v>
      </c>
      <c r="B41" s="225"/>
      <c r="C41" s="219">
        <f>SUM(C38:C40)</f>
        <v>3.4416285097707342</v>
      </c>
      <c r="D41" s="219">
        <f>SUM(D38:D40)</f>
        <v>1461.514169427342</v>
      </c>
      <c r="E41" s="219">
        <f>SUM(E38:E40)</f>
        <v>1453.5470477573419</v>
      </c>
      <c r="F41" s="432">
        <v>1</v>
      </c>
      <c r="G41" s="205"/>
      <c r="H41" s="205"/>
      <c r="I41" s="205"/>
      <c r="J41" s="205"/>
      <c r="K41" s="205"/>
    </row>
    <row r="42" spans="1:11" x14ac:dyDescent="0.25">
      <c r="A42" s="205"/>
      <c r="B42" s="205"/>
      <c r="C42" s="206"/>
      <c r="D42" s="205"/>
      <c r="E42" s="205"/>
      <c r="F42" s="205"/>
      <c r="G42" s="205"/>
      <c r="H42" s="205"/>
      <c r="I42" s="205"/>
      <c r="J42" s="205"/>
      <c r="K42" s="205"/>
    </row>
    <row r="43" spans="1:11" x14ac:dyDescent="0.25">
      <c r="A43" s="205"/>
      <c r="B43" s="205"/>
      <c r="C43" s="206"/>
      <c r="D43" s="205"/>
      <c r="E43" s="205"/>
      <c r="F43" s="205"/>
      <c r="G43" s="205"/>
      <c r="H43" s="205"/>
      <c r="I43" s="205"/>
      <c r="J43" s="205"/>
      <c r="K43" s="205"/>
    </row>
    <row r="44" spans="1:11" x14ac:dyDescent="0.25">
      <c r="A44" s="205"/>
      <c r="B44" s="205"/>
      <c r="C44" s="206"/>
      <c r="D44" s="205"/>
      <c r="E44" s="205"/>
      <c r="F44" s="205"/>
      <c r="G44" s="205"/>
      <c r="H44" s="205"/>
      <c r="I44" s="205"/>
      <c r="J44" s="205"/>
      <c r="K44" s="205"/>
    </row>
    <row r="45" spans="1:11" x14ac:dyDescent="0.25">
      <c r="A45" s="205"/>
      <c r="B45" s="205"/>
      <c r="C45" s="206"/>
      <c r="D45" s="205"/>
      <c r="E45" s="205"/>
      <c r="F45" s="205"/>
      <c r="G45" s="205"/>
      <c r="H45" s="205"/>
      <c r="I45" s="205"/>
      <c r="J45" s="205"/>
      <c r="K45" s="205"/>
    </row>
    <row r="46" spans="1:11" x14ac:dyDescent="0.25">
      <c r="A46" s="205"/>
      <c r="B46" s="205"/>
      <c r="C46" s="206"/>
      <c r="D46" s="205"/>
      <c r="E46" s="205"/>
      <c r="F46" s="205"/>
      <c r="G46" s="205"/>
      <c r="H46" s="205"/>
      <c r="I46" s="205"/>
      <c r="J46" s="205"/>
      <c r="K46" s="205"/>
    </row>
    <row r="47" spans="1:11" x14ac:dyDescent="0.25">
      <c r="A47" s="205"/>
      <c r="B47" s="205"/>
      <c r="C47" s="206"/>
      <c r="D47" s="205"/>
      <c r="E47" s="205"/>
      <c r="F47" s="205"/>
      <c r="G47" s="205"/>
      <c r="H47" s="205"/>
      <c r="I47" s="205"/>
      <c r="J47" s="205"/>
      <c r="K47" s="205"/>
    </row>
    <row r="48" spans="1:11" x14ac:dyDescent="0.25">
      <c r="A48" s="205"/>
      <c r="B48" s="205"/>
      <c r="C48" s="206"/>
      <c r="D48" s="205"/>
      <c r="E48" s="205"/>
      <c r="F48" s="205"/>
      <c r="G48" s="205"/>
      <c r="H48" s="205"/>
      <c r="I48" s="205"/>
      <c r="J48" s="205"/>
      <c r="K48" s="205"/>
    </row>
    <row r="49" spans="1:11" x14ac:dyDescent="0.25">
      <c r="A49" s="205"/>
      <c r="B49" s="205"/>
      <c r="C49" s="206"/>
      <c r="D49" s="205"/>
      <c r="E49" s="205"/>
      <c r="F49" s="205"/>
      <c r="G49" s="205"/>
      <c r="H49" s="205"/>
      <c r="I49" s="205"/>
      <c r="J49" s="205"/>
      <c r="K49" s="205"/>
    </row>
    <row r="50" spans="1:11" x14ac:dyDescent="0.25">
      <c r="A50" s="205"/>
      <c r="B50" s="205"/>
      <c r="C50" s="206"/>
      <c r="D50" s="205"/>
      <c r="E50" s="205"/>
      <c r="F50" s="205"/>
      <c r="G50" s="205"/>
      <c r="H50" s="205"/>
      <c r="I50" s="205"/>
      <c r="J50" s="205"/>
      <c r="K50" s="205"/>
    </row>
    <row r="51" spans="1:11" x14ac:dyDescent="0.25">
      <c r="A51" s="205"/>
      <c r="B51" s="205"/>
      <c r="C51" s="206"/>
      <c r="D51" s="205"/>
      <c r="E51" s="205"/>
      <c r="F51" s="205"/>
      <c r="G51" s="205"/>
      <c r="H51" s="205"/>
      <c r="I51" s="205"/>
      <c r="J51" s="205"/>
      <c r="K51" s="205"/>
    </row>
    <row r="52" spans="1:11" x14ac:dyDescent="0.25">
      <c r="A52" s="205"/>
      <c r="B52" s="205"/>
      <c r="C52" s="206"/>
      <c r="D52" s="205"/>
      <c r="E52" s="205"/>
      <c r="F52" s="205"/>
      <c r="G52" s="205"/>
      <c r="H52" s="205"/>
      <c r="I52" s="205"/>
      <c r="J52" s="205"/>
      <c r="K52" s="205"/>
    </row>
    <row r="53" spans="1:11" x14ac:dyDescent="0.25">
      <c r="A53" s="205"/>
      <c r="B53" s="205"/>
      <c r="C53" s="206"/>
      <c r="D53" s="205"/>
      <c r="E53" s="205"/>
      <c r="F53" s="205"/>
      <c r="G53" s="205"/>
      <c r="H53" s="205"/>
      <c r="I53" s="205"/>
      <c r="J53" s="205"/>
      <c r="K53" s="205"/>
    </row>
    <row r="54" spans="1:11" x14ac:dyDescent="0.25">
      <c r="A54" s="205"/>
      <c r="B54" s="205"/>
      <c r="C54" s="206"/>
      <c r="D54" s="205"/>
      <c r="E54" s="205"/>
      <c r="F54" s="205"/>
      <c r="G54" s="205"/>
      <c r="H54" s="205"/>
      <c r="I54" s="205"/>
      <c r="J54" s="205"/>
      <c r="K54" s="205"/>
    </row>
    <row r="55" spans="1:11" x14ac:dyDescent="0.25">
      <c r="A55" s="205"/>
      <c r="B55" s="205"/>
      <c r="C55" s="206"/>
      <c r="D55" s="205"/>
      <c r="E55" s="205"/>
      <c r="F55" s="205"/>
      <c r="G55" s="205"/>
      <c r="H55" s="205"/>
      <c r="I55" s="205"/>
      <c r="J55" s="205"/>
      <c r="K55" s="205"/>
    </row>
    <row r="56" spans="1:11" x14ac:dyDescent="0.25">
      <c r="A56" s="205"/>
      <c r="B56" s="205"/>
      <c r="C56" s="206"/>
      <c r="D56" s="205"/>
      <c r="E56" s="205"/>
      <c r="F56" s="205"/>
      <c r="G56" s="205"/>
      <c r="H56" s="205"/>
      <c r="I56" s="205"/>
      <c r="J56" s="205"/>
      <c r="K56" s="205"/>
    </row>
    <row r="57" spans="1:11" x14ac:dyDescent="0.25">
      <c r="A57" s="205"/>
      <c r="B57" s="205"/>
      <c r="C57" s="206"/>
      <c r="D57" s="205"/>
      <c r="E57" s="205"/>
      <c r="F57" s="205"/>
      <c r="G57" s="205"/>
      <c r="H57" s="205"/>
      <c r="I57" s="205"/>
      <c r="J57" s="205"/>
      <c r="K57" s="205"/>
    </row>
    <row r="58" spans="1:11" x14ac:dyDescent="0.25">
      <c r="A58" s="205"/>
      <c r="B58" s="205"/>
      <c r="C58" s="206"/>
      <c r="D58" s="205"/>
      <c r="E58" s="205"/>
      <c r="F58" s="205"/>
      <c r="G58" s="205"/>
      <c r="H58" s="205"/>
      <c r="I58" s="205"/>
      <c r="J58" s="205"/>
      <c r="K58" s="205"/>
    </row>
    <row r="59" spans="1:11" x14ac:dyDescent="0.25">
      <c r="A59" s="205"/>
      <c r="B59" s="205"/>
      <c r="C59" s="206"/>
      <c r="D59" s="205"/>
      <c r="E59" s="205"/>
      <c r="F59" s="205"/>
      <c r="G59" s="205"/>
      <c r="H59" s="205"/>
      <c r="I59" s="205"/>
      <c r="J59" s="205"/>
      <c r="K59" s="205"/>
    </row>
    <row r="60" spans="1:11" x14ac:dyDescent="0.25">
      <c r="A60" s="205"/>
      <c r="B60" s="205"/>
      <c r="C60" s="206"/>
      <c r="D60" s="205"/>
      <c r="E60" s="205"/>
      <c r="F60" s="205"/>
      <c r="G60" s="205"/>
      <c r="H60" s="205"/>
      <c r="I60" s="205"/>
      <c r="J60" s="205"/>
      <c r="K60" s="205"/>
    </row>
    <row r="61" spans="1:11" x14ac:dyDescent="0.25">
      <c r="A61" s="205"/>
      <c r="B61" s="205"/>
      <c r="C61" s="206"/>
      <c r="D61" s="205"/>
      <c r="E61" s="205"/>
      <c r="F61" s="205"/>
      <c r="G61" s="205"/>
      <c r="H61" s="205"/>
      <c r="I61" s="205"/>
      <c r="J61" s="205"/>
      <c r="K61" s="205"/>
    </row>
    <row r="62" spans="1:11" x14ac:dyDescent="0.25">
      <c r="A62" s="205"/>
      <c r="B62" s="205"/>
      <c r="C62" s="206"/>
      <c r="D62" s="205"/>
      <c r="E62" s="205"/>
      <c r="F62" s="205"/>
      <c r="G62" s="205"/>
      <c r="H62" s="205"/>
      <c r="I62" s="205"/>
      <c r="J62" s="205"/>
      <c r="K62" s="205"/>
    </row>
    <row r="63" spans="1:11" x14ac:dyDescent="0.25">
      <c r="A63" s="205"/>
      <c r="B63" s="205"/>
      <c r="C63" s="206"/>
      <c r="D63" s="205"/>
      <c r="E63" s="205"/>
      <c r="F63" s="205"/>
      <c r="G63" s="205"/>
      <c r="H63" s="205"/>
      <c r="I63" s="205"/>
      <c r="J63" s="205"/>
      <c r="K63" s="205"/>
    </row>
    <row r="64" spans="1:11" x14ac:dyDescent="0.25">
      <c r="A64" s="205"/>
      <c r="B64" s="205"/>
      <c r="C64" s="206"/>
      <c r="D64" s="205"/>
      <c r="E64" s="205"/>
      <c r="F64" s="205"/>
      <c r="G64" s="205"/>
      <c r="H64" s="205"/>
      <c r="I64" s="205"/>
      <c r="J64" s="205"/>
      <c r="K64" s="205"/>
    </row>
    <row r="65" spans="1:11" x14ac:dyDescent="0.25">
      <c r="A65" s="205"/>
      <c r="B65" s="205"/>
      <c r="C65" s="206"/>
      <c r="D65" s="205"/>
      <c r="E65" s="205"/>
      <c r="F65" s="205"/>
      <c r="G65" s="205"/>
      <c r="H65" s="205"/>
      <c r="I65" s="205"/>
      <c r="J65" s="205"/>
      <c r="K65" s="205"/>
    </row>
    <row r="66" spans="1:11" x14ac:dyDescent="0.25">
      <c r="A66" s="205"/>
      <c r="B66" s="205"/>
      <c r="C66" s="206"/>
      <c r="D66" s="205"/>
      <c r="E66" s="205"/>
      <c r="F66" s="205"/>
      <c r="G66" s="205"/>
      <c r="H66" s="205"/>
      <c r="I66" s="205"/>
      <c r="J66" s="205"/>
      <c r="K66" s="205"/>
    </row>
    <row r="67" spans="1:11" x14ac:dyDescent="0.25">
      <c r="A67" s="205"/>
      <c r="B67" s="205"/>
      <c r="C67" s="206"/>
      <c r="D67" s="205"/>
      <c r="E67" s="205"/>
      <c r="F67" s="205"/>
      <c r="G67" s="205"/>
      <c r="H67" s="205"/>
      <c r="I67" s="205"/>
      <c r="J67" s="205"/>
      <c r="K67" s="205"/>
    </row>
    <row r="68" spans="1:11" x14ac:dyDescent="0.25">
      <c r="A68" s="205"/>
      <c r="B68" s="205"/>
      <c r="C68" s="206"/>
      <c r="D68" s="205"/>
      <c r="E68" s="205"/>
      <c r="F68" s="205"/>
      <c r="G68" s="205"/>
      <c r="H68" s="205"/>
      <c r="I68" s="205"/>
      <c r="J68" s="205"/>
      <c r="K68" s="205"/>
    </row>
    <row r="69" spans="1:11" x14ac:dyDescent="0.25">
      <c r="A69" s="205"/>
      <c r="B69" s="205"/>
      <c r="C69" s="206"/>
      <c r="D69" s="205"/>
      <c r="E69" s="205"/>
      <c r="F69" s="205"/>
      <c r="G69" s="205"/>
      <c r="H69" s="205"/>
      <c r="I69" s="205"/>
      <c r="J69" s="205"/>
      <c r="K69" s="205"/>
    </row>
    <row r="70" spans="1:11" x14ac:dyDescent="0.25">
      <c r="A70" s="205"/>
      <c r="B70" s="205"/>
      <c r="C70" s="206"/>
      <c r="D70" s="205"/>
      <c r="E70" s="205"/>
      <c r="F70" s="205"/>
      <c r="G70" s="205"/>
      <c r="H70" s="205"/>
      <c r="I70" s="205"/>
      <c r="J70" s="205"/>
      <c r="K70" s="205"/>
    </row>
    <row r="71" spans="1:11" x14ac:dyDescent="0.25">
      <c r="A71" s="205"/>
      <c r="B71" s="205"/>
      <c r="C71" s="206"/>
      <c r="D71" s="205"/>
      <c r="E71" s="205"/>
      <c r="F71" s="205"/>
      <c r="G71" s="205"/>
      <c r="H71" s="205"/>
      <c r="I71" s="205"/>
      <c r="J71" s="205"/>
      <c r="K71" s="205"/>
    </row>
    <row r="72" spans="1:11" x14ac:dyDescent="0.25">
      <c r="A72" s="205"/>
      <c r="B72" s="205"/>
      <c r="C72" s="206"/>
      <c r="D72" s="205"/>
      <c r="E72" s="205"/>
      <c r="F72" s="205"/>
      <c r="G72" s="205"/>
      <c r="H72" s="205"/>
      <c r="I72" s="205"/>
      <c r="J72" s="205"/>
      <c r="K72" s="205"/>
    </row>
    <row r="73" spans="1:11" x14ac:dyDescent="0.25">
      <c r="A73" s="205"/>
      <c r="B73" s="205"/>
      <c r="C73" s="206"/>
      <c r="D73" s="205"/>
      <c r="E73" s="205"/>
      <c r="F73" s="205"/>
      <c r="G73" s="205"/>
      <c r="H73" s="205"/>
      <c r="I73" s="205"/>
      <c r="J73" s="205"/>
      <c r="K73" s="205"/>
    </row>
    <row r="74" spans="1:11" x14ac:dyDescent="0.25">
      <c r="A74" s="205"/>
      <c r="B74" s="205"/>
      <c r="C74" s="206"/>
      <c r="D74" s="205"/>
      <c r="E74" s="205"/>
      <c r="F74" s="205"/>
      <c r="G74" s="205"/>
      <c r="H74" s="205"/>
      <c r="I74" s="205"/>
      <c r="J74" s="205"/>
      <c r="K74" s="205"/>
    </row>
    <row r="75" spans="1:11" x14ac:dyDescent="0.25">
      <c r="A75" s="205"/>
      <c r="B75" s="205"/>
      <c r="C75" s="206"/>
      <c r="D75" s="205"/>
      <c r="E75" s="205"/>
      <c r="F75" s="205"/>
      <c r="G75" s="205"/>
      <c r="H75" s="205"/>
      <c r="I75" s="205"/>
      <c r="J75" s="205"/>
      <c r="K75" s="205"/>
    </row>
    <row r="76" spans="1:11" x14ac:dyDescent="0.25">
      <c r="A76" s="205"/>
      <c r="B76" s="205"/>
      <c r="C76" s="206"/>
      <c r="D76" s="205"/>
      <c r="E76" s="205"/>
      <c r="F76" s="205"/>
      <c r="G76" s="205"/>
      <c r="H76" s="205"/>
      <c r="I76" s="205"/>
      <c r="J76" s="205"/>
      <c r="K76" s="205"/>
    </row>
    <row r="77" spans="1:11" x14ac:dyDescent="0.25">
      <c r="A77" s="205"/>
      <c r="B77" s="205"/>
      <c r="C77" s="206"/>
      <c r="D77" s="205"/>
      <c r="E77" s="205"/>
      <c r="F77" s="205"/>
      <c r="G77" s="205"/>
      <c r="H77" s="205"/>
      <c r="I77" s="205"/>
      <c r="J77" s="205"/>
      <c r="K77" s="205"/>
    </row>
    <row r="78" spans="1:11" x14ac:dyDescent="0.25">
      <c r="A78" s="205"/>
      <c r="B78" s="205"/>
      <c r="C78" s="206"/>
      <c r="D78" s="205"/>
      <c r="E78" s="205"/>
      <c r="F78" s="205"/>
      <c r="G78" s="205"/>
      <c r="H78" s="205"/>
      <c r="I78" s="205"/>
      <c r="J78" s="205"/>
      <c r="K78" s="205"/>
    </row>
    <row r="79" spans="1:11" x14ac:dyDescent="0.25">
      <c r="A79" s="205"/>
      <c r="B79" s="205"/>
      <c r="C79" s="206"/>
      <c r="D79" s="205"/>
      <c r="E79" s="205"/>
      <c r="F79" s="205"/>
      <c r="G79" s="205"/>
      <c r="H79" s="205"/>
      <c r="I79" s="205"/>
      <c r="J79" s="205"/>
      <c r="K79" s="205"/>
    </row>
    <row r="80" spans="1:11" x14ac:dyDescent="0.25">
      <c r="A80" s="205"/>
      <c r="B80" s="205"/>
      <c r="C80" s="206"/>
      <c r="D80" s="205"/>
      <c r="E80" s="205"/>
      <c r="F80" s="205"/>
      <c r="G80" s="205"/>
      <c r="H80" s="205"/>
      <c r="I80" s="205"/>
      <c r="J80" s="205"/>
      <c r="K80" s="205"/>
    </row>
    <row r="81" spans="1:11" x14ac:dyDescent="0.25">
      <c r="A81" s="205"/>
      <c r="B81" s="205"/>
      <c r="C81" s="206"/>
      <c r="D81" s="205"/>
      <c r="E81" s="205"/>
      <c r="F81" s="205"/>
      <c r="G81" s="205"/>
      <c r="H81" s="205"/>
      <c r="I81" s="205"/>
      <c r="J81" s="205"/>
      <c r="K81" s="205"/>
    </row>
    <row r="82" spans="1:11" x14ac:dyDescent="0.25">
      <c r="A82" s="205"/>
      <c r="B82" s="205"/>
      <c r="C82" s="206"/>
      <c r="D82" s="205"/>
      <c r="E82" s="205"/>
      <c r="F82" s="205"/>
      <c r="G82" s="205"/>
      <c r="H82" s="205"/>
      <c r="I82" s="205"/>
      <c r="J82" s="205"/>
      <c r="K82" s="205"/>
    </row>
    <row r="83" spans="1:11" x14ac:dyDescent="0.25">
      <c r="A83" s="205"/>
      <c r="B83" s="205"/>
      <c r="C83" s="206"/>
      <c r="D83" s="205"/>
      <c r="E83" s="205"/>
      <c r="F83" s="205"/>
      <c r="G83" s="205"/>
      <c r="H83" s="205"/>
      <c r="I83" s="205"/>
      <c r="J83" s="205"/>
      <c r="K83" s="205"/>
    </row>
    <row r="84" spans="1:11" x14ac:dyDescent="0.25">
      <c r="A84" s="205"/>
      <c r="B84" s="205"/>
      <c r="C84" s="206"/>
      <c r="D84" s="205"/>
      <c r="E84" s="205"/>
      <c r="F84" s="205"/>
      <c r="G84" s="205"/>
      <c r="H84" s="205"/>
      <c r="I84" s="205"/>
      <c r="J84" s="205"/>
      <c r="K84" s="205"/>
    </row>
    <row r="85" spans="1:11" x14ac:dyDescent="0.25">
      <c r="A85" s="205"/>
      <c r="B85" s="205"/>
      <c r="C85" s="206"/>
      <c r="D85" s="205"/>
      <c r="E85" s="205"/>
      <c r="F85" s="205"/>
      <c r="G85" s="205"/>
      <c r="H85" s="205"/>
      <c r="I85" s="205"/>
      <c r="J85" s="205"/>
      <c r="K85" s="205"/>
    </row>
    <row r="86" spans="1:11" x14ac:dyDescent="0.25">
      <c r="A86" s="205"/>
      <c r="B86" s="205"/>
      <c r="C86" s="206"/>
      <c r="D86" s="205"/>
      <c r="E86" s="205"/>
      <c r="F86" s="205"/>
      <c r="G86" s="205"/>
      <c r="H86" s="205"/>
      <c r="I86" s="205"/>
      <c r="J86" s="205"/>
      <c r="K86" s="205"/>
    </row>
    <row r="87" spans="1:11" x14ac:dyDescent="0.25">
      <c r="A87" s="205"/>
      <c r="B87" s="205"/>
      <c r="C87" s="206"/>
      <c r="D87" s="205"/>
      <c r="E87" s="205"/>
      <c r="F87" s="205"/>
      <c r="G87" s="205"/>
      <c r="H87" s="205"/>
      <c r="I87" s="205"/>
      <c r="J87" s="205"/>
      <c r="K87" s="205"/>
    </row>
    <row r="88" spans="1:11" x14ac:dyDescent="0.25">
      <c r="A88" s="205"/>
      <c r="B88" s="205"/>
      <c r="C88" s="206"/>
      <c r="D88" s="205"/>
      <c r="E88" s="205"/>
      <c r="F88" s="205"/>
      <c r="G88" s="205"/>
      <c r="H88" s="205"/>
      <c r="I88" s="205"/>
      <c r="J88" s="205"/>
      <c r="K88" s="205"/>
    </row>
    <row r="89" spans="1:11" x14ac:dyDescent="0.25">
      <c r="A89" s="205"/>
      <c r="B89" s="205"/>
      <c r="C89" s="206"/>
      <c r="D89" s="205"/>
      <c r="E89" s="205"/>
      <c r="F89" s="205"/>
      <c r="G89" s="205"/>
      <c r="H89" s="205"/>
      <c r="I89" s="205"/>
      <c r="J89" s="205"/>
      <c r="K89" s="205"/>
    </row>
    <row r="90" spans="1:11" x14ac:dyDescent="0.25">
      <c r="A90" s="205"/>
      <c r="B90" s="205"/>
      <c r="C90" s="206"/>
      <c r="D90" s="205"/>
      <c r="E90" s="205"/>
      <c r="F90" s="205"/>
      <c r="G90" s="205"/>
      <c r="H90" s="205"/>
      <c r="I90" s="205"/>
      <c r="J90" s="205"/>
      <c r="K90" s="205"/>
    </row>
    <row r="91" spans="1:11" x14ac:dyDescent="0.25">
      <c r="A91" s="205"/>
      <c r="B91" s="205"/>
      <c r="C91" s="206"/>
      <c r="D91" s="205"/>
      <c r="E91" s="205"/>
      <c r="F91" s="205"/>
      <c r="G91" s="205"/>
      <c r="H91" s="205"/>
      <c r="I91" s="205"/>
      <c r="J91" s="205"/>
      <c r="K91" s="205"/>
    </row>
    <row r="92" spans="1:11" x14ac:dyDescent="0.25">
      <c r="A92" s="205"/>
      <c r="B92" s="205"/>
      <c r="C92" s="206"/>
      <c r="D92" s="205"/>
      <c r="E92" s="205"/>
      <c r="F92" s="205"/>
      <c r="G92" s="205"/>
      <c r="H92" s="205"/>
      <c r="I92" s="205"/>
      <c r="J92" s="205"/>
      <c r="K92" s="205"/>
    </row>
    <row r="93" spans="1:11" x14ac:dyDescent="0.25">
      <c r="A93" s="205"/>
      <c r="B93" s="205"/>
      <c r="C93" s="206"/>
      <c r="D93" s="205"/>
      <c r="E93" s="205"/>
      <c r="F93" s="205"/>
      <c r="G93" s="205"/>
      <c r="H93" s="205"/>
      <c r="I93" s="205"/>
      <c r="J93" s="205"/>
      <c r="K93" s="205"/>
    </row>
    <row r="94" spans="1:11" x14ac:dyDescent="0.25">
      <c r="A94" s="205"/>
      <c r="B94" s="205"/>
      <c r="C94" s="206"/>
      <c r="D94" s="205"/>
      <c r="E94" s="205"/>
      <c r="F94" s="205"/>
      <c r="G94" s="205"/>
      <c r="H94" s="205"/>
      <c r="I94" s="205"/>
      <c r="J94" s="205"/>
      <c r="K94" s="205"/>
    </row>
    <row r="95" spans="1:11" x14ac:dyDescent="0.25">
      <c r="A95" s="205"/>
      <c r="B95" s="205"/>
      <c r="C95" s="206"/>
      <c r="D95" s="205"/>
      <c r="E95" s="205"/>
      <c r="F95" s="205"/>
      <c r="G95" s="205"/>
      <c r="H95" s="205"/>
      <c r="I95" s="205"/>
      <c r="J95" s="205"/>
      <c r="K95" s="205"/>
    </row>
    <row r="96" spans="1:11" x14ac:dyDescent="0.25">
      <c r="A96" s="205"/>
      <c r="B96" s="205"/>
      <c r="C96" s="206"/>
      <c r="D96" s="205"/>
      <c r="E96" s="205"/>
      <c r="F96" s="205"/>
      <c r="G96" s="205"/>
      <c r="H96" s="205"/>
      <c r="I96" s="205"/>
      <c r="J96" s="205"/>
      <c r="K96" s="205"/>
    </row>
    <row r="97" spans="1:11" x14ac:dyDescent="0.25">
      <c r="A97" s="205"/>
      <c r="B97" s="205"/>
      <c r="C97" s="206"/>
      <c r="D97" s="205"/>
      <c r="E97" s="205"/>
      <c r="F97" s="205"/>
      <c r="G97" s="205"/>
      <c r="H97" s="205"/>
      <c r="I97" s="205"/>
      <c r="J97" s="205"/>
      <c r="K97" s="205"/>
    </row>
    <row r="98" spans="1:11" x14ac:dyDescent="0.25">
      <c r="A98" s="205"/>
      <c r="B98" s="205"/>
      <c r="C98" s="206"/>
      <c r="D98" s="205"/>
      <c r="E98" s="205"/>
      <c r="F98" s="205"/>
      <c r="G98" s="205"/>
      <c r="H98" s="205"/>
      <c r="I98" s="205"/>
      <c r="J98" s="205"/>
      <c r="K98" s="205"/>
    </row>
    <row r="99" spans="1:11" x14ac:dyDescent="0.25">
      <c r="C99" s="154"/>
    </row>
    <row r="100" spans="1:11" x14ac:dyDescent="0.25">
      <c r="C100" s="154"/>
    </row>
    <row r="101" spans="1:11" x14ac:dyDescent="0.25">
      <c r="C101" s="154"/>
    </row>
    <row r="102" spans="1:11" x14ac:dyDescent="0.25">
      <c r="C102" s="154"/>
    </row>
    <row r="103" spans="1:11" x14ac:dyDescent="0.25">
      <c r="C103" s="154"/>
    </row>
    <row r="104" spans="1:11" x14ac:dyDescent="0.25">
      <c r="C104" s="154"/>
    </row>
    <row r="105" spans="1:11" x14ac:dyDescent="0.25">
      <c r="C105" s="154"/>
    </row>
    <row r="106" spans="1:11" x14ac:dyDescent="0.25">
      <c r="C106" s="154"/>
    </row>
    <row r="107" spans="1:11" x14ac:dyDescent="0.25">
      <c r="C107" s="154"/>
    </row>
    <row r="108" spans="1:11" x14ac:dyDescent="0.25">
      <c r="C108" s="154"/>
    </row>
    <row r="109" spans="1:11" x14ac:dyDescent="0.25">
      <c r="C109" s="154"/>
    </row>
    <row r="110" spans="1:11" x14ac:dyDescent="0.25">
      <c r="C110" s="154"/>
    </row>
    <row r="111" spans="1:11" x14ac:dyDescent="0.25">
      <c r="C111" s="154"/>
    </row>
    <row r="112" spans="1:11" x14ac:dyDescent="0.25">
      <c r="C112" s="154"/>
    </row>
    <row r="113" spans="3:3" x14ac:dyDescent="0.25">
      <c r="C113" s="154"/>
    </row>
    <row r="114" spans="3:3" x14ac:dyDescent="0.25">
      <c r="C114" s="154"/>
    </row>
    <row r="115" spans="3:3" x14ac:dyDescent="0.25">
      <c r="C115" s="154"/>
    </row>
    <row r="116" spans="3:3" x14ac:dyDescent="0.25">
      <c r="C116" s="154"/>
    </row>
    <row r="117" spans="3:3" x14ac:dyDescent="0.25">
      <c r="C117" s="154"/>
    </row>
    <row r="118" spans="3:3" x14ac:dyDescent="0.25">
      <c r="C118" s="154"/>
    </row>
    <row r="119" spans="3:3" x14ac:dyDescent="0.25">
      <c r="C119" s="154"/>
    </row>
    <row r="120" spans="3:3" x14ac:dyDescent="0.25">
      <c r="C120" s="154"/>
    </row>
    <row r="121" spans="3:3" x14ac:dyDescent="0.25">
      <c r="C121" s="154"/>
    </row>
    <row r="122" spans="3:3" x14ac:dyDescent="0.25">
      <c r="C122" s="154"/>
    </row>
    <row r="123" spans="3:3" x14ac:dyDescent="0.25">
      <c r="C123" s="154"/>
    </row>
    <row r="124" spans="3:3" x14ac:dyDescent="0.25">
      <c r="C124" s="154"/>
    </row>
    <row r="125" spans="3:3" x14ac:dyDescent="0.25">
      <c r="C125" s="154"/>
    </row>
    <row r="126" spans="3:3" x14ac:dyDescent="0.25">
      <c r="C126" s="154"/>
    </row>
    <row r="127" spans="3:3" x14ac:dyDescent="0.25">
      <c r="C127" s="154"/>
    </row>
    <row r="128" spans="3:3" x14ac:dyDescent="0.25">
      <c r="C128" s="154"/>
    </row>
    <row r="129" spans="3:3" x14ac:dyDescent="0.25">
      <c r="C129" s="154"/>
    </row>
    <row r="130" spans="3:3" x14ac:dyDescent="0.25">
      <c r="C130" s="154"/>
    </row>
    <row r="131" spans="3:3" x14ac:dyDescent="0.25">
      <c r="C131" s="154"/>
    </row>
    <row r="132" spans="3:3" x14ac:dyDescent="0.25">
      <c r="C132" s="154"/>
    </row>
    <row r="133" spans="3:3" x14ac:dyDescent="0.25">
      <c r="C133" s="154"/>
    </row>
    <row r="134" spans="3:3" x14ac:dyDescent="0.25">
      <c r="C134" s="154"/>
    </row>
    <row r="135" spans="3:3" x14ac:dyDescent="0.25">
      <c r="C135" s="154"/>
    </row>
    <row r="136" spans="3:3" x14ac:dyDescent="0.25">
      <c r="C136" s="154"/>
    </row>
    <row r="137" spans="3:3" x14ac:dyDescent="0.25">
      <c r="C137" s="154"/>
    </row>
    <row r="138" spans="3:3" x14ac:dyDescent="0.25">
      <c r="C138" s="154"/>
    </row>
    <row r="139" spans="3:3" x14ac:dyDescent="0.25">
      <c r="C139" s="154"/>
    </row>
    <row r="140" spans="3:3" x14ac:dyDescent="0.25">
      <c r="C140" s="154"/>
    </row>
    <row r="141" spans="3:3" x14ac:dyDescent="0.25">
      <c r="C141" s="154"/>
    </row>
    <row r="142" spans="3:3" x14ac:dyDescent="0.25">
      <c r="C142" s="154"/>
    </row>
    <row r="143" spans="3:3" x14ac:dyDescent="0.25">
      <c r="C143" s="154"/>
    </row>
    <row r="144" spans="3:3" x14ac:dyDescent="0.25">
      <c r="C144" s="154"/>
    </row>
    <row r="145" spans="3:3" x14ac:dyDescent="0.25">
      <c r="C145" s="154"/>
    </row>
    <row r="146" spans="3:3" x14ac:dyDescent="0.25">
      <c r="C146" s="154"/>
    </row>
    <row r="147" spans="3:3" x14ac:dyDescent="0.25">
      <c r="C147" s="154"/>
    </row>
    <row r="148" spans="3:3" x14ac:dyDescent="0.25">
      <c r="C148" s="154"/>
    </row>
    <row r="149" spans="3:3" x14ac:dyDescent="0.25">
      <c r="C149" s="154"/>
    </row>
    <row r="150" spans="3:3" x14ac:dyDescent="0.25">
      <c r="C150" s="154"/>
    </row>
    <row r="151" spans="3:3" x14ac:dyDescent="0.25">
      <c r="C151" s="154"/>
    </row>
    <row r="152" spans="3:3" x14ac:dyDescent="0.25">
      <c r="C152" s="154"/>
    </row>
    <row r="153" spans="3:3" x14ac:dyDescent="0.25">
      <c r="C153" s="154"/>
    </row>
    <row r="154" spans="3:3" x14ac:dyDescent="0.25">
      <c r="C154" s="154"/>
    </row>
    <row r="155" spans="3:3" x14ac:dyDescent="0.25">
      <c r="C155" s="154"/>
    </row>
    <row r="156" spans="3:3" x14ac:dyDescent="0.25">
      <c r="C156" s="154"/>
    </row>
    <row r="157" spans="3:3" x14ac:dyDescent="0.25">
      <c r="C157" s="154"/>
    </row>
    <row r="158" spans="3:3" x14ac:dyDescent="0.25">
      <c r="C158" s="154"/>
    </row>
    <row r="159" spans="3:3" x14ac:dyDescent="0.25">
      <c r="C159" s="154"/>
    </row>
    <row r="160" spans="3:3" x14ac:dyDescent="0.25">
      <c r="C160" s="154"/>
    </row>
    <row r="161" spans="3:3" x14ac:dyDescent="0.25">
      <c r="C161" s="154"/>
    </row>
    <row r="162" spans="3:3" x14ac:dyDescent="0.25">
      <c r="C162" s="154"/>
    </row>
    <row r="163" spans="3:3" x14ac:dyDescent="0.25">
      <c r="C163" s="154"/>
    </row>
    <row r="164" spans="3:3" x14ac:dyDescent="0.25">
      <c r="C164" s="154"/>
    </row>
    <row r="165" spans="3:3" x14ac:dyDescent="0.25">
      <c r="C165" s="154"/>
    </row>
    <row r="166" spans="3:3" x14ac:dyDescent="0.25">
      <c r="C166" s="154"/>
    </row>
    <row r="167" spans="3:3" x14ac:dyDescent="0.25">
      <c r="C167" s="154"/>
    </row>
    <row r="168" spans="3:3" x14ac:dyDescent="0.25">
      <c r="C168" s="154"/>
    </row>
    <row r="169" spans="3:3" x14ac:dyDescent="0.25">
      <c r="C169" s="154"/>
    </row>
    <row r="170" spans="3:3" x14ac:dyDescent="0.25">
      <c r="C170" s="154"/>
    </row>
    <row r="171" spans="3:3" x14ac:dyDescent="0.25">
      <c r="C171" s="154"/>
    </row>
    <row r="172" spans="3:3" x14ac:dyDescent="0.25">
      <c r="C172" s="154"/>
    </row>
    <row r="173" spans="3:3" x14ac:dyDescent="0.25">
      <c r="C173" s="154"/>
    </row>
    <row r="174" spans="3:3" x14ac:dyDescent="0.25">
      <c r="C174" s="154"/>
    </row>
    <row r="175" spans="3:3" x14ac:dyDescent="0.25">
      <c r="C175" s="154"/>
    </row>
    <row r="176" spans="3:3" x14ac:dyDescent="0.25">
      <c r="C176" s="154"/>
    </row>
  </sheetData>
  <mergeCells count="12">
    <mergeCell ref="A18:B18"/>
    <mergeCell ref="A12:B12"/>
    <mergeCell ref="A13:B13"/>
    <mergeCell ref="A15:B15"/>
    <mergeCell ref="A16:B16"/>
    <mergeCell ref="A17:B17"/>
    <mergeCell ref="A36:F36"/>
    <mergeCell ref="A31:B31"/>
    <mergeCell ref="A32:B32"/>
    <mergeCell ref="A19:B19"/>
    <mergeCell ref="A22:H22"/>
    <mergeCell ref="A24:B2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6"/>
  <sheetViews>
    <sheetView workbookViewId="0">
      <selection activeCell="J31" sqref="J31"/>
    </sheetView>
  </sheetViews>
  <sheetFormatPr baseColWidth="10" defaultColWidth="11.42578125" defaultRowHeight="15" x14ac:dyDescent="0.25"/>
  <cols>
    <col min="1" max="1" width="34.140625" style="154" customWidth="1"/>
    <col min="2" max="3" width="12.85546875" style="154" customWidth="1"/>
    <col min="4" max="4" width="12.85546875" style="133" customWidth="1"/>
    <col min="5" max="6" width="12.85546875" style="154" customWidth="1"/>
    <col min="7" max="7" width="14.85546875" style="154" customWidth="1"/>
    <col min="8" max="256" width="9.140625" style="154" customWidth="1"/>
    <col min="257" max="16384" width="11.42578125" style="154"/>
  </cols>
  <sheetData>
    <row r="1" spans="1:8" x14ac:dyDescent="0.25">
      <c r="A1" s="133"/>
    </row>
    <row r="2" spans="1:8" s="210" customFormat="1" ht="6" customHeight="1" x14ac:dyDescent="0.2"/>
    <row r="3" spans="1:8" ht="18" x14ac:dyDescent="0.25">
      <c r="A3" s="136" t="s">
        <v>495</v>
      </c>
      <c r="C3" s="429">
        <v>44926</v>
      </c>
      <c r="G3" s="133"/>
    </row>
    <row r="4" spans="1:8" x14ac:dyDescent="0.25">
      <c r="D4" s="246"/>
      <c r="E4" s="246"/>
    </row>
    <row r="5" spans="1:8" x14ac:dyDescent="0.25">
      <c r="A5" s="273" t="s">
        <v>496</v>
      </c>
      <c r="B5" s="273"/>
      <c r="C5" s="273"/>
      <c r="D5" s="297"/>
      <c r="E5" s="246"/>
    </row>
    <row r="6" spans="1:8" x14ac:dyDescent="0.25">
      <c r="A6" s="259"/>
      <c r="B6" s="269"/>
      <c r="C6" s="270">
        <f>C3</f>
        <v>44926</v>
      </c>
      <c r="D6" s="298"/>
      <c r="E6" s="246"/>
    </row>
    <row r="7" spans="1:8" x14ac:dyDescent="0.25">
      <c r="A7" s="207" t="s">
        <v>497</v>
      </c>
      <c r="B7" s="230"/>
      <c r="C7" s="300">
        <f>'5'!F40</f>
        <v>0.76168294512072121</v>
      </c>
      <c r="D7" s="302"/>
      <c r="E7" s="246"/>
    </row>
    <row r="8" spans="1:8" x14ac:dyDescent="0.25">
      <c r="A8" s="207" t="s">
        <v>697</v>
      </c>
      <c r="B8" s="230"/>
      <c r="C8" s="301">
        <f>'5'!F39</f>
        <v>0.20855649758136205</v>
      </c>
      <c r="D8" s="302"/>
      <c r="E8" s="246"/>
    </row>
    <row r="9" spans="1:8" x14ac:dyDescent="0.25">
      <c r="A9" s="208" t="s">
        <v>469</v>
      </c>
      <c r="B9" s="231"/>
      <c r="C9" s="301">
        <f>'5'!F38</f>
        <v>2.9760557297916677E-2</v>
      </c>
      <c r="D9" s="302"/>
      <c r="E9" s="246"/>
    </row>
    <row r="10" spans="1:8" x14ac:dyDescent="0.25">
      <c r="A10" s="205"/>
      <c r="B10" s="205"/>
      <c r="D10" s="299"/>
      <c r="E10" s="246"/>
    </row>
    <row r="11" spans="1:8" x14ac:dyDescent="0.25">
      <c r="A11" s="205"/>
      <c r="B11" s="205"/>
      <c r="C11" s="205"/>
      <c r="D11" s="299"/>
      <c r="E11" s="246"/>
    </row>
    <row r="12" spans="1:8" x14ac:dyDescent="0.25">
      <c r="A12" s="273" t="s">
        <v>498</v>
      </c>
      <c r="B12" s="273"/>
      <c r="C12" s="273"/>
      <c r="D12" s="297"/>
      <c r="E12" s="246"/>
    </row>
    <row r="13" spans="1:8" x14ac:dyDescent="0.25">
      <c r="A13" s="259"/>
      <c r="B13" s="269"/>
      <c r="C13" s="270">
        <f>C3</f>
        <v>44926</v>
      </c>
      <c r="D13" s="298"/>
      <c r="E13" s="246"/>
    </row>
    <row r="14" spans="1:8" x14ac:dyDescent="0.25">
      <c r="A14" s="207" t="s">
        <v>499</v>
      </c>
      <c r="B14" s="231"/>
      <c r="C14" s="301">
        <f>'5'!C17/'5'!C18</f>
        <v>6.8486655638559041E-3</v>
      </c>
      <c r="D14" s="302"/>
      <c r="E14" s="246"/>
    </row>
    <row r="15" spans="1:8" x14ac:dyDescent="0.25">
      <c r="A15" s="207" t="s">
        <v>531</v>
      </c>
      <c r="B15" s="238"/>
      <c r="C15" s="301">
        <f>100%-C14</f>
        <v>0.99315133443614412</v>
      </c>
      <c r="D15" s="302"/>
      <c r="E15" s="299"/>
      <c r="F15" s="205"/>
      <c r="G15" s="205"/>
      <c r="H15" s="205"/>
    </row>
    <row r="16" spans="1:8" x14ac:dyDescent="0.25">
      <c r="A16" s="205"/>
      <c r="B16" s="205"/>
      <c r="C16" s="232"/>
      <c r="D16" s="232"/>
      <c r="E16" s="232"/>
      <c r="F16" s="232"/>
      <c r="G16" s="232"/>
      <c r="H16" s="232"/>
    </row>
    <row r="17" spans="1:8" ht="15" customHeight="1" x14ac:dyDescent="0.25">
      <c r="A17" s="444" t="s">
        <v>699</v>
      </c>
      <c r="B17" s="444"/>
      <c r="C17" s="444"/>
      <c r="D17" s="444"/>
      <c r="E17" s="444"/>
      <c r="F17" s="444"/>
      <c r="G17" s="444"/>
      <c r="H17" s="444"/>
    </row>
    <row r="18" spans="1:8" ht="15" customHeight="1" x14ac:dyDescent="0.25">
      <c r="A18" s="259" t="s">
        <v>22</v>
      </c>
      <c r="B18" s="269"/>
      <c r="C18" s="272" t="s">
        <v>500</v>
      </c>
      <c r="D18" s="272" t="s">
        <v>501</v>
      </c>
      <c r="E18" s="272" t="s">
        <v>502</v>
      </c>
      <c r="F18" s="272" t="s">
        <v>503</v>
      </c>
      <c r="G18" s="272" t="s">
        <v>504</v>
      </c>
      <c r="H18" s="272" t="s">
        <v>30</v>
      </c>
    </row>
    <row r="19" spans="1:8" x14ac:dyDescent="0.25">
      <c r="A19" s="207" t="s">
        <v>499</v>
      </c>
      <c r="B19" s="230"/>
      <c r="C19" s="233">
        <v>0</v>
      </c>
      <c r="D19" s="233" t="s">
        <v>505</v>
      </c>
      <c r="E19" s="233" t="s">
        <v>505</v>
      </c>
      <c r="F19" s="233">
        <f>65</f>
        <v>65</v>
      </c>
      <c r="G19" s="233">
        <v>0</v>
      </c>
      <c r="H19" s="233">
        <f>SUM(C19:G19)</f>
        <v>65</v>
      </c>
    </row>
    <row r="20" spans="1:8" x14ac:dyDescent="0.25">
      <c r="A20" s="234" t="s">
        <v>506</v>
      </c>
      <c r="B20" s="235"/>
      <c r="C20" s="236">
        <f>SUM(C19:C19)</f>
        <v>0</v>
      </c>
      <c r="D20" s="236">
        <f>SUM(D19:D19)</f>
        <v>0</v>
      </c>
      <c r="E20" s="236">
        <f>SUM(E19:E19)</f>
        <v>0</v>
      </c>
      <c r="F20" s="236">
        <f t="shared" ref="F20:H20" si="0">SUM(F19:F19)</f>
        <v>65</v>
      </c>
      <c r="G20" s="236">
        <f t="shared" si="0"/>
        <v>0</v>
      </c>
      <c r="H20" s="236">
        <f t="shared" si="0"/>
        <v>65</v>
      </c>
    </row>
    <row r="21" spans="1:8" s="209" customFormat="1" x14ac:dyDescent="0.25">
      <c r="A21" s="205"/>
      <c r="B21" s="205"/>
      <c r="C21" s="205"/>
      <c r="D21" s="237"/>
      <c r="E21" s="232"/>
      <c r="F21" s="232"/>
      <c r="G21" s="232"/>
      <c r="H21" s="232"/>
    </row>
    <row r="22" spans="1:8" x14ac:dyDescent="0.25">
      <c r="A22" s="205"/>
      <c r="B22" s="205"/>
      <c r="C22" s="205"/>
      <c r="D22" s="206"/>
      <c r="E22" s="205"/>
      <c r="F22" s="205"/>
      <c r="G22" s="205"/>
      <c r="H22" s="205"/>
    </row>
    <row r="23" spans="1:8" x14ac:dyDescent="0.25">
      <c r="A23" s="273" t="s">
        <v>603</v>
      </c>
      <c r="B23" s="273"/>
      <c r="C23" s="273"/>
      <c r="D23" s="273"/>
      <c r="E23" s="273"/>
      <c r="F23" s="273"/>
      <c r="G23" s="273"/>
    </row>
    <row r="24" spans="1:8" ht="25.5" x14ac:dyDescent="0.25">
      <c r="A24" s="303" t="s">
        <v>602</v>
      </c>
      <c r="B24" s="304" t="s">
        <v>597</v>
      </c>
      <c r="C24" s="305" t="s">
        <v>598</v>
      </c>
      <c r="D24" s="305" t="s">
        <v>599</v>
      </c>
      <c r="E24" s="305" t="s">
        <v>600</v>
      </c>
      <c r="F24" s="304" t="s">
        <v>601</v>
      </c>
      <c r="G24" s="306" t="s">
        <v>30</v>
      </c>
    </row>
    <row r="25" spans="1:8" x14ac:dyDescent="0.25">
      <c r="A25" s="307" t="s">
        <v>574</v>
      </c>
      <c r="B25" s="308">
        <v>0</v>
      </c>
      <c r="C25" s="308">
        <v>0</v>
      </c>
      <c r="D25" s="308">
        <v>0</v>
      </c>
      <c r="E25" s="308">
        <v>0</v>
      </c>
      <c r="F25" s="309">
        <v>807.8</v>
      </c>
      <c r="G25" s="310">
        <f t="shared" ref="G25:G26" si="1">SUM(B25:F25)</f>
        <v>807.8</v>
      </c>
    </row>
    <row r="26" spans="1:8" x14ac:dyDescent="0.25">
      <c r="A26" s="307" t="s">
        <v>575</v>
      </c>
      <c r="B26" s="413">
        <v>0</v>
      </c>
      <c r="C26" s="413">
        <v>9.6</v>
      </c>
      <c r="D26" s="413">
        <v>4864.5</v>
      </c>
      <c r="E26" s="308">
        <v>0</v>
      </c>
      <c r="F26" s="412">
        <v>5639.6</v>
      </c>
      <c r="G26" s="414">
        <f t="shared" si="1"/>
        <v>10513.7</v>
      </c>
    </row>
    <row r="27" spans="1:8" x14ac:dyDescent="0.25">
      <c r="A27" s="311" t="s">
        <v>494</v>
      </c>
      <c r="B27" s="312">
        <v>0</v>
      </c>
      <c r="C27" s="308">
        <v>0</v>
      </c>
      <c r="D27" s="308">
        <v>0</v>
      </c>
      <c r="E27" s="308">
        <v>0</v>
      </c>
      <c r="F27" s="309">
        <v>1453.5</v>
      </c>
      <c r="G27" s="310">
        <f>SUM(B27:F27)</f>
        <v>1453.5</v>
      </c>
    </row>
    <row r="28" spans="1:8" x14ac:dyDescent="0.25">
      <c r="A28" s="307" t="s">
        <v>604</v>
      </c>
      <c r="B28" s="309">
        <v>20.7</v>
      </c>
      <c r="C28" s="308">
        <v>0</v>
      </c>
      <c r="D28" s="308">
        <v>0</v>
      </c>
      <c r="E28" s="308">
        <v>0</v>
      </c>
      <c r="F28" s="309">
        <v>0</v>
      </c>
      <c r="G28" s="310">
        <f t="shared" ref="G28" si="2">SUM(B28:F28)</f>
        <v>20.7</v>
      </c>
    </row>
    <row r="29" spans="1:8" ht="15.75" thickBot="1" x14ac:dyDescent="0.3">
      <c r="A29" s="313" t="s">
        <v>674</v>
      </c>
      <c r="B29" s="314">
        <f t="shared" ref="B29:G29" si="3">SUM(B25:B28)</f>
        <v>20.7</v>
      </c>
      <c r="C29" s="314">
        <f t="shared" si="3"/>
        <v>9.6</v>
      </c>
      <c r="D29" s="314">
        <f t="shared" si="3"/>
        <v>4864.5</v>
      </c>
      <c r="E29" s="314">
        <f t="shared" si="3"/>
        <v>0</v>
      </c>
      <c r="F29" s="314">
        <f t="shared" si="3"/>
        <v>7900.9000000000005</v>
      </c>
      <c r="G29" s="314">
        <f t="shared" si="3"/>
        <v>12795.7</v>
      </c>
    </row>
    <row r="30" spans="1:8" x14ac:dyDescent="0.25">
      <c r="A30" s="315"/>
      <c r="B30" s="315"/>
      <c r="C30" s="316"/>
      <c r="D30" s="316"/>
      <c r="E30" s="316"/>
      <c r="F30" s="316"/>
      <c r="G30" s="316"/>
    </row>
    <row r="31" spans="1:8" x14ac:dyDescent="0.25">
      <c r="A31" s="315"/>
      <c r="B31" s="315"/>
      <c r="C31" s="316"/>
      <c r="D31" s="316"/>
      <c r="E31" s="316"/>
      <c r="F31" s="316"/>
      <c r="G31" s="316"/>
    </row>
    <row r="32" spans="1:8" ht="25.5" x14ac:dyDescent="0.25">
      <c r="A32" s="317" t="s">
        <v>605</v>
      </c>
      <c r="B32" s="304" t="s">
        <v>597</v>
      </c>
      <c r="C32" s="305" t="s">
        <v>598</v>
      </c>
      <c r="D32" s="305" t="s">
        <v>599</v>
      </c>
      <c r="E32" s="305" t="s">
        <v>600</v>
      </c>
      <c r="F32" s="304" t="s">
        <v>601</v>
      </c>
      <c r="G32" s="306" t="s">
        <v>30</v>
      </c>
    </row>
    <row r="33" spans="1:7" x14ac:dyDescent="0.25">
      <c r="A33" s="307" t="s">
        <v>606</v>
      </c>
      <c r="B33" s="309">
        <v>0</v>
      </c>
      <c r="C33" s="308">
        <v>10.5</v>
      </c>
      <c r="D33" s="309">
        <v>0</v>
      </c>
      <c r="E33" s="308">
        <v>0</v>
      </c>
      <c r="F33" s="318">
        <v>9337.1</v>
      </c>
      <c r="G33" s="319">
        <f t="shared" ref="G33:G35" si="4">SUM(B33:F33)</f>
        <v>9347.6</v>
      </c>
    </row>
    <row r="34" spans="1:7" x14ac:dyDescent="0.25">
      <c r="A34" s="307" t="s">
        <v>608</v>
      </c>
      <c r="B34" s="309">
        <v>1.4</v>
      </c>
      <c r="C34" s="308">
        <v>4.0999999999999996</v>
      </c>
      <c r="D34" s="309">
        <v>22</v>
      </c>
      <c r="E34" s="308">
        <v>82.9</v>
      </c>
      <c r="F34" s="318">
        <v>0</v>
      </c>
      <c r="G34" s="319">
        <f t="shared" si="4"/>
        <v>110.4</v>
      </c>
    </row>
    <row r="35" spans="1:7" x14ac:dyDescent="0.25">
      <c r="A35" s="307" t="s">
        <v>607</v>
      </c>
      <c r="B35" s="309">
        <v>78.3</v>
      </c>
      <c r="C35" s="308">
        <v>0</v>
      </c>
      <c r="D35" s="309">
        <v>0</v>
      </c>
      <c r="E35" s="308">
        <v>0</v>
      </c>
      <c r="F35" s="318">
        <v>0</v>
      </c>
      <c r="G35" s="319">
        <f t="shared" si="4"/>
        <v>78.3</v>
      </c>
    </row>
    <row r="36" spans="1:7" ht="15.75" thickBot="1" x14ac:dyDescent="0.3">
      <c r="A36" s="313" t="s">
        <v>477</v>
      </c>
      <c r="B36" s="314">
        <f t="shared" ref="B36:F36" si="5">SUM(B33:B35)</f>
        <v>79.7</v>
      </c>
      <c r="C36" s="314">
        <f t="shared" si="5"/>
        <v>14.6</v>
      </c>
      <c r="D36" s="314">
        <f t="shared" si="5"/>
        <v>22</v>
      </c>
      <c r="E36" s="314">
        <f t="shared" si="5"/>
        <v>82.9</v>
      </c>
      <c r="F36" s="314">
        <f t="shared" si="5"/>
        <v>9337.1</v>
      </c>
      <c r="G36" s="314">
        <f>SUM(G33:G35)-0.1</f>
        <v>9536.1999999999989</v>
      </c>
    </row>
  </sheetData>
  <mergeCells count="1">
    <mergeCell ref="A17:H17"/>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showGridLines="0" zoomScaleNormal="100" workbookViewId="0"/>
  </sheetViews>
  <sheetFormatPr baseColWidth="10" defaultColWidth="11.42578125" defaultRowHeight="11.25" x14ac:dyDescent="0.2"/>
  <cols>
    <col min="1" max="1" width="2.85546875" style="23" customWidth="1"/>
    <col min="2" max="2" width="16.140625" style="16" customWidth="1"/>
    <col min="3" max="3" width="18.42578125" style="16" customWidth="1"/>
    <col min="4" max="5" width="15" style="16" bestFit="1" customWidth="1"/>
    <col min="6" max="7" width="13.85546875" style="16" customWidth="1"/>
    <col min="8" max="8" width="19" style="16" bestFit="1" customWidth="1"/>
    <col min="9" max="9" width="11.42578125" style="16"/>
    <col min="10" max="10" width="14.140625" style="16" bestFit="1" customWidth="1"/>
    <col min="11" max="12" width="11.42578125" style="16"/>
    <col min="13" max="13" width="14.140625" style="16" bestFit="1" customWidth="1"/>
    <col min="14" max="16384" width="11.42578125" style="16"/>
  </cols>
  <sheetData>
    <row r="1" spans="1:18" s="10" customFormat="1" ht="11.25" customHeight="1" x14ac:dyDescent="0.2">
      <c r="A1" s="7"/>
      <c r="B1" s="7"/>
      <c r="C1" s="7"/>
      <c r="D1" s="8"/>
      <c r="E1" s="8"/>
      <c r="F1" s="9"/>
      <c r="G1" s="9"/>
      <c r="H1" s="9"/>
    </row>
    <row r="2" spans="1:18" s="10" customFormat="1" ht="5.25" customHeight="1" x14ac:dyDescent="0.2">
      <c r="A2" s="7"/>
      <c r="B2" s="7"/>
      <c r="C2" s="7"/>
      <c r="D2" s="8"/>
      <c r="E2" s="8"/>
      <c r="F2" s="9"/>
      <c r="G2" s="9"/>
      <c r="H2" s="9"/>
    </row>
    <row r="3" spans="1:18" s="12" customFormat="1" ht="12.75" customHeight="1" x14ac:dyDescent="0.2">
      <c r="A3" s="11"/>
      <c r="B3" s="320"/>
      <c r="C3" s="320"/>
      <c r="D3" s="320"/>
      <c r="E3" s="320"/>
      <c r="F3" s="320"/>
      <c r="G3" s="320"/>
      <c r="H3" s="320"/>
    </row>
    <row r="4" spans="1:18" s="10" customFormat="1" ht="5.0999999999999996" customHeight="1" x14ac:dyDescent="0.2">
      <c r="A4" s="7"/>
      <c r="B4" s="7"/>
      <c r="C4" s="7"/>
      <c r="D4" s="8"/>
      <c r="E4" s="8"/>
      <c r="F4" s="9"/>
      <c r="G4" s="9"/>
      <c r="H4" s="9"/>
      <c r="J4" s="7"/>
      <c r="K4" s="7"/>
    </row>
    <row r="5" spans="1:18" s="3" customFormat="1" ht="15.75" x14ac:dyDescent="0.25">
      <c r="A5" s="13"/>
      <c r="B5" s="321" t="s">
        <v>609</v>
      </c>
    </row>
    <row r="7" spans="1:18" x14ac:dyDescent="0.2">
      <c r="A7" s="12"/>
    </row>
    <row r="8" spans="1:18" ht="45.75" customHeight="1" x14ac:dyDescent="0.2">
      <c r="A8" s="12"/>
      <c r="B8" s="335" t="s">
        <v>610</v>
      </c>
      <c r="C8" s="335"/>
      <c r="D8" s="335" t="s">
        <v>611</v>
      </c>
      <c r="E8" s="335"/>
      <c r="F8" s="335" t="s">
        <v>612</v>
      </c>
      <c r="G8" s="335"/>
      <c r="H8" s="335" t="s">
        <v>613</v>
      </c>
      <c r="I8" s="335"/>
      <c r="J8" s="335" t="s">
        <v>614</v>
      </c>
      <c r="K8" s="335"/>
      <c r="L8" s="335"/>
      <c r="M8" s="335"/>
      <c r="N8" s="335" t="s">
        <v>615</v>
      </c>
      <c r="O8" s="335" t="s">
        <v>616</v>
      </c>
      <c r="P8" s="322"/>
    </row>
    <row r="9" spans="1:18" ht="66" customHeight="1" x14ac:dyDescent="0.2">
      <c r="A9" s="12"/>
      <c r="B9" s="335"/>
      <c r="C9" s="335"/>
      <c r="D9" s="335" t="s">
        <v>617</v>
      </c>
      <c r="E9" s="335" t="s">
        <v>618</v>
      </c>
      <c r="F9" s="335" t="s">
        <v>619</v>
      </c>
      <c r="G9" s="335" t="s">
        <v>620</v>
      </c>
      <c r="H9" s="335" t="s">
        <v>621</v>
      </c>
      <c r="I9" s="335" t="s">
        <v>622</v>
      </c>
      <c r="J9" s="335" t="s">
        <v>623</v>
      </c>
      <c r="K9" s="335" t="s">
        <v>624</v>
      </c>
      <c r="L9" s="335" t="s">
        <v>625</v>
      </c>
      <c r="M9" s="335" t="s">
        <v>506</v>
      </c>
      <c r="N9" s="335"/>
      <c r="O9" s="335"/>
    </row>
    <row r="10" spans="1:18" x14ac:dyDescent="0.2">
      <c r="A10" s="12"/>
      <c r="B10" s="323"/>
      <c r="C10" s="324"/>
      <c r="D10" s="325" t="s">
        <v>103</v>
      </c>
      <c r="E10" s="325" t="s">
        <v>513</v>
      </c>
      <c r="F10" s="325" t="s">
        <v>104</v>
      </c>
      <c r="G10" s="325" t="s">
        <v>105</v>
      </c>
      <c r="H10" s="325" t="s">
        <v>106</v>
      </c>
      <c r="I10" s="325" t="s">
        <v>107</v>
      </c>
      <c r="J10" s="325" t="s">
        <v>113</v>
      </c>
      <c r="K10" s="325" t="s">
        <v>108</v>
      </c>
      <c r="L10" s="325" t="s">
        <v>109</v>
      </c>
      <c r="M10" s="324" t="s">
        <v>110</v>
      </c>
      <c r="N10" s="325" t="s">
        <v>514</v>
      </c>
      <c r="O10" s="325" t="s">
        <v>114</v>
      </c>
    </row>
    <row r="11" spans="1:18" x14ac:dyDescent="0.2">
      <c r="A11" s="12"/>
      <c r="B11" s="326" t="s">
        <v>103</v>
      </c>
      <c r="C11" s="327" t="s">
        <v>626</v>
      </c>
      <c r="D11" s="327"/>
      <c r="E11" s="327"/>
      <c r="F11" s="327"/>
      <c r="G11" s="327"/>
      <c r="H11" s="327"/>
      <c r="I11" s="327"/>
      <c r="J11" s="327"/>
      <c r="K11" s="327"/>
      <c r="L11" s="327"/>
      <c r="M11" s="327"/>
      <c r="N11" s="327"/>
      <c r="O11" s="327"/>
    </row>
    <row r="12" spans="1:18" x14ac:dyDescent="0.2">
      <c r="A12" s="12"/>
      <c r="B12" s="327"/>
      <c r="C12" s="327" t="s">
        <v>627</v>
      </c>
      <c r="D12" s="328">
        <f>'[4]2. Development'!BU45</f>
        <v>4175.0971478000001</v>
      </c>
      <c r="E12" s="328"/>
      <c r="F12" s="327"/>
      <c r="G12" s="327"/>
      <c r="H12" s="327"/>
      <c r="I12" s="327"/>
      <c r="J12" s="328"/>
      <c r="K12" s="328"/>
      <c r="L12" s="328"/>
      <c r="M12" s="328"/>
      <c r="N12" s="329">
        <f>D12/SUM($D$12:$D$14)</f>
        <v>0.43309642919737384</v>
      </c>
      <c r="O12" s="330">
        <v>0.02</v>
      </c>
      <c r="R12" s="331"/>
    </row>
    <row r="13" spans="1:18" x14ac:dyDescent="0.2">
      <c r="A13" s="12"/>
      <c r="B13" s="327"/>
      <c r="C13" s="327" t="s">
        <v>29</v>
      </c>
      <c r="D13" s="328">
        <f>'[4]2. Development'!BU46</f>
        <v>2987.1846657300002</v>
      </c>
      <c r="E13" s="328"/>
      <c r="F13" s="327"/>
      <c r="G13" s="327"/>
      <c r="H13" s="327"/>
      <c r="I13" s="327"/>
      <c r="J13" s="328"/>
      <c r="K13" s="328"/>
      <c r="L13" s="328"/>
      <c r="M13" s="328"/>
      <c r="N13" s="329">
        <f>D13/SUM($D$12:$D$14)</f>
        <v>0.30987039733016242</v>
      </c>
      <c r="O13" s="330">
        <v>0.01</v>
      </c>
      <c r="R13" s="331"/>
    </row>
    <row r="14" spans="1:18" x14ac:dyDescent="0.2">
      <c r="A14" s="12"/>
      <c r="B14" s="327"/>
      <c r="C14" s="327" t="s">
        <v>512</v>
      </c>
      <c r="D14" s="328">
        <f>'[4]2. Development'!BU47</f>
        <v>2477.8280242199999</v>
      </c>
      <c r="E14" s="328"/>
      <c r="F14" s="327"/>
      <c r="G14" s="327"/>
      <c r="H14" s="327"/>
      <c r="I14" s="327"/>
      <c r="J14" s="328"/>
      <c r="K14" s="328"/>
      <c r="L14" s="328"/>
      <c r="M14" s="328"/>
      <c r="N14" s="329">
        <f>D14/SUM($D$12:$D$14)</f>
        <v>0.25703317347246374</v>
      </c>
      <c r="O14" s="330">
        <v>0</v>
      </c>
      <c r="R14" s="331"/>
    </row>
    <row r="15" spans="1:18" x14ac:dyDescent="0.2">
      <c r="A15" s="12"/>
      <c r="B15" s="16" t="s">
        <v>628</v>
      </c>
    </row>
    <row r="16" spans="1:18" x14ac:dyDescent="0.2">
      <c r="A16" s="12"/>
    </row>
    <row r="17" spans="1:15" x14ac:dyDescent="0.2">
      <c r="A17" s="12"/>
      <c r="B17" s="99" t="s">
        <v>629</v>
      </c>
      <c r="C17" s="99"/>
      <c r="D17" s="99"/>
    </row>
    <row r="18" spans="1:15" x14ac:dyDescent="0.2">
      <c r="A18" s="12"/>
    </row>
    <row r="19" spans="1:15" x14ac:dyDescent="0.2">
      <c r="A19" s="12"/>
      <c r="B19" s="273" t="s">
        <v>630</v>
      </c>
      <c r="C19" s="273"/>
      <c r="D19" s="273"/>
      <c r="E19" s="273"/>
      <c r="F19" s="273"/>
      <c r="G19" s="273"/>
      <c r="H19" s="273"/>
      <c r="I19" s="273"/>
      <c r="J19" s="273"/>
      <c r="K19" s="273"/>
      <c r="L19" s="273"/>
      <c r="M19" s="273" t="s">
        <v>631</v>
      </c>
      <c r="N19" s="273"/>
      <c r="O19" s="273"/>
    </row>
    <row r="20" spans="1:15" x14ac:dyDescent="0.2">
      <c r="A20" s="12"/>
      <c r="B20" s="326"/>
      <c r="C20" s="451"/>
      <c r="D20" s="452"/>
      <c r="E20" s="452"/>
      <c r="F20" s="452"/>
      <c r="G20" s="452"/>
      <c r="H20" s="452"/>
      <c r="I20" s="452"/>
      <c r="J20" s="452"/>
      <c r="K20" s="452"/>
      <c r="L20" s="453"/>
      <c r="M20" s="454" t="s">
        <v>103</v>
      </c>
      <c r="N20" s="454"/>
      <c r="O20" s="454"/>
    </row>
    <row r="21" spans="1:15" x14ac:dyDescent="0.2">
      <c r="A21" s="12"/>
      <c r="B21" s="326" t="s">
        <v>103</v>
      </c>
      <c r="C21" s="460" t="s">
        <v>632</v>
      </c>
      <c r="D21" s="460"/>
      <c r="E21" s="460"/>
      <c r="F21" s="460"/>
      <c r="G21" s="460"/>
      <c r="H21" s="460"/>
      <c r="I21" s="460"/>
      <c r="J21" s="460"/>
      <c r="K21" s="460"/>
      <c r="L21" s="460"/>
      <c r="M21" s="459">
        <f>D12+D13+D14</f>
        <v>9640.1098377500002</v>
      </c>
      <c r="N21" s="459"/>
      <c r="O21" s="459"/>
    </row>
    <row r="22" spans="1:15" x14ac:dyDescent="0.2">
      <c r="A22" s="12"/>
      <c r="B22" s="326" t="s">
        <v>513</v>
      </c>
      <c r="C22" s="455" t="s">
        <v>633</v>
      </c>
      <c r="D22" s="456"/>
      <c r="E22" s="456"/>
      <c r="F22" s="456"/>
      <c r="G22" s="456"/>
      <c r="H22" s="456"/>
      <c r="I22" s="456"/>
      <c r="J22" s="456"/>
      <c r="K22" s="456"/>
      <c r="L22" s="457"/>
      <c r="M22" s="458">
        <f>N12*O12+N13*O13+N14*O14</f>
        <v>1.1760632557249101E-2</v>
      </c>
      <c r="N22" s="458"/>
      <c r="O22" s="458"/>
    </row>
    <row r="23" spans="1:15" x14ac:dyDescent="0.2">
      <c r="A23" s="12"/>
      <c r="B23" s="326" t="s">
        <v>104</v>
      </c>
      <c r="C23" s="332" t="s">
        <v>634</v>
      </c>
      <c r="D23" s="333"/>
      <c r="E23" s="333"/>
      <c r="F23" s="333"/>
      <c r="G23" s="333"/>
      <c r="H23" s="333"/>
      <c r="I23" s="333"/>
      <c r="J23" s="333"/>
      <c r="K23" s="333"/>
      <c r="L23" s="334"/>
      <c r="M23" s="459">
        <f>+M21*M22</f>
        <v>113.3737896133</v>
      </c>
      <c r="N23" s="459"/>
      <c r="O23" s="459"/>
    </row>
    <row r="24" spans="1:15" x14ac:dyDescent="0.2">
      <c r="A24" s="12"/>
    </row>
    <row r="25" spans="1:15" x14ac:dyDescent="0.2">
      <c r="A25" s="12"/>
    </row>
    <row r="26" spans="1:15" x14ac:dyDescent="0.2">
      <c r="A26" s="12"/>
    </row>
    <row r="27" spans="1:15" x14ac:dyDescent="0.2">
      <c r="A27" s="12"/>
    </row>
    <row r="28" spans="1:15" x14ac:dyDescent="0.2">
      <c r="A28" s="12"/>
    </row>
    <row r="29" spans="1:15" x14ac:dyDescent="0.2">
      <c r="A29" s="12"/>
    </row>
    <row r="30" spans="1:15" x14ac:dyDescent="0.2">
      <c r="A30" s="12"/>
    </row>
    <row r="31" spans="1:15" x14ac:dyDescent="0.2">
      <c r="A31" s="12"/>
    </row>
    <row r="32" spans="1: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7" spans="1:1" x14ac:dyDescent="0.2">
      <c r="A57" s="20"/>
    </row>
    <row r="58" spans="1:1" x14ac:dyDescent="0.2">
      <c r="A58" s="20"/>
    </row>
    <row r="59" spans="1:1" x14ac:dyDescent="0.2">
      <c r="A59" s="21"/>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22"/>
    </row>
    <row r="69" spans="1:1" x14ac:dyDescent="0.2">
      <c r="A69" s="22"/>
    </row>
    <row r="70" spans="1:1" x14ac:dyDescent="0.2">
      <c r="A70" s="22"/>
    </row>
    <row r="71" spans="1:1" x14ac:dyDescent="0.2">
      <c r="A71" s="22"/>
    </row>
    <row r="72" spans="1:1" x14ac:dyDescent="0.2">
      <c r="A72" s="22"/>
    </row>
    <row r="73" spans="1:1" x14ac:dyDescent="0.2">
      <c r="A73" s="22"/>
    </row>
    <row r="74" spans="1:1" x14ac:dyDescent="0.2">
      <c r="A74" s="22"/>
    </row>
    <row r="75" spans="1:1" x14ac:dyDescent="0.2">
      <c r="A75" s="22"/>
    </row>
  </sheetData>
  <mergeCells count="7">
    <mergeCell ref="C20:L20"/>
    <mergeCell ref="M20:O20"/>
    <mergeCell ref="C22:L22"/>
    <mergeCell ref="M22:O22"/>
    <mergeCell ref="M23:O23"/>
    <mergeCell ref="C21:L21"/>
    <mergeCell ref="M21:O21"/>
  </mergeCells>
  <pageMargins left="0.23622047244094491" right="0.23622047244094491" top="0.74803149606299213" bottom="0.74803149606299213" header="0.31496062992125984" footer="0.31496062992125984"/>
  <pageSetup paperSize="9" scale="9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89"/>
  <sheetViews>
    <sheetView showGridLines="0" showRowColHeaders="0" zoomScaleNormal="100" workbookViewId="0">
      <selection activeCell="F13" sqref="F13:F14"/>
    </sheetView>
  </sheetViews>
  <sheetFormatPr baseColWidth="10" defaultColWidth="11.42578125" defaultRowHeight="11.25" x14ac:dyDescent="0.2"/>
  <cols>
    <col min="1" max="1" width="2.85546875" style="23" customWidth="1"/>
    <col min="2" max="2" width="11.42578125" style="16"/>
    <col min="3" max="3" width="71.85546875" style="16" customWidth="1"/>
    <col min="4" max="4" width="13.85546875" style="16" customWidth="1"/>
    <col min="5" max="16384" width="11.42578125" style="16"/>
  </cols>
  <sheetData>
    <row r="1" spans="1:11" s="10" customFormat="1" ht="11.25" customHeight="1" x14ac:dyDescent="0.2">
      <c r="A1" s="7"/>
      <c r="B1" s="7"/>
      <c r="C1" s="7"/>
      <c r="D1" s="8"/>
      <c r="E1" s="8"/>
      <c r="F1" s="9"/>
      <c r="G1" s="9"/>
      <c r="H1" s="9"/>
    </row>
    <row r="2" spans="1:11" s="10" customFormat="1" ht="5.25" customHeight="1" x14ac:dyDescent="0.2">
      <c r="A2" s="7"/>
      <c r="B2" s="7"/>
      <c r="C2" s="7"/>
      <c r="D2" s="8"/>
      <c r="E2" s="8"/>
      <c r="F2" s="9"/>
      <c r="G2" s="9"/>
      <c r="H2" s="9"/>
    </row>
    <row r="3" spans="1:11" s="12" customFormat="1" ht="12.75" customHeight="1" x14ac:dyDescent="0.2">
      <c r="A3" s="11"/>
      <c r="B3" s="461"/>
      <c r="C3" s="461"/>
      <c r="D3" s="461"/>
      <c r="E3" s="461"/>
      <c r="F3" s="461"/>
      <c r="G3" s="461"/>
      <c r="H3" s="461"/>
    </row>
    <row r="4" spans="1:11" s="10" customFormat="1" ht="5.0999999999999996" customHeight="1" x14ac:dyDescent="0.2">
      <c r="A4" s="7"/>
      <c r="B4" s="7"/>
      <c r="C4" s="7"/>
      <c r="D4" s="8"/>
      <c r="E4" s="8"/>
      <c r="F4" s="9"/>
      <c r="G4" s="9"/>
      <c r="H4" s="9"/>
      <c r="J4" s="7"/>
      <c r="K4" s="7"/>
    </row>
    <row r="5" spans="1:11" s="3" customFormat="1" ht="18" x14ac:dyDescent="0.25">
      <c r="A5" s="13"/>
      <c r="B5" s="136" t="s">
        <v>31</v>
      </c>
    </row>
    <row r="7" spans="1:11" x14ac:dyDescent="0.2">
      <c r="A7" s="14"/>
      <c r="B7" s="462" t="s">
        <v>22</v>
      </c>
      <c r="C7" s="463"/>
      <c r="D7" s="24">
        <f>CONTENTS!G13</f>
        <v>44926</v>
      </c>
    </row>
    <row r="8" spans="1:11" x14ac:dyDescent="0.2">
      <c r="A8" s="14"/>
      <c r="B8" s="25">
        <v>1</v>
      </c>
      <c r="C8" s="26" t="s">
        <v>32</v>
      </c>
      <c r="D8" s="27">
        <v>11528.02758217</v>
      </c>
    </row>
    <row r="9" spans="1:11" ht="22.5" x14ac:dyDescent="0.2">
      <c r="A9" s="12"/>
      <c r="B9" s="28">
        <v>2</v>
      </c>
      <c r="C9" s="26" t="s">
        <v>33</v>
      </c>
      <c r="D9" s="29"/>
    </row>
    <row r="10" spans="1:11" ht="22.5" x14ac:dyDescent="0.2">
      <c r="A10" s="12"/>
      <c r="B10" s="28">
        <v>3</v>
      </c>
      <c r="C10" s="26" t="s">
        <v>34</v>
      </c>
      <c r="D10" s="29"/>
    </row>
    <row r="11" spans="1:11" x14ac:dyDescent="0.2">
      <c r="A11" s="12"/>
      <c r="B11" s="25">
        <v>4</v>
      </c>
      <c r="C11" s="26" t="s">
        <v>35</v>
      </c>
      <c r="D11" s="29"/>
    </row>
    <row r="12" spans="1:11" x14ac:dyDescent="0.2">
      <c r="A12" s="12"/>
      <c r="B12" s="25">
        <v>5</v>
      </c>
      <c r="C12" s="26" t="s">
        <v>36</v>
      </c>
      <c r="D12" s="29"/>
    </row>
    <row r="13" spans="1:11" ht="22.5" x14ac:dyDescent="0.2">
      <c r="A13" s="12"/>
      <c r="B13" s="25">
        <v>6</v>
      </c>
      <c r="C13" s="26" t="s">
        <v>37</v>
      </c>
      <c r="D13" s="29">
        <f>'[4]8. Capital'!$CJ$79/1000</f>
        <v>9640.1098377500002</v>
      </c>
    </row>
    <row r="14" spans="1:11" x14ac:dyDescent="0.2">
      <c r="A14" s="12"/>
      <c r="B14" s="25">
        <v>7</v>
      </c>
      <c r="C14" s="26" t="s">
        <v>38</v>
      </c>
      <c r="D14" s="29"/>
    </row>
    <row r="15" spans="1:11" x14ac:dyDescent="0.2">
      <c r="A15" s="12"/>
      <c r="B15" s="30">
        <v>8</v>
      </c>
      <c r="C15" s="31" t="s">
        <v>39</v>
      </c>
      <c r="D15" s="29">
        <f>D8+D13</f>
        <v>21168.13741992</v>
      </c>
      <c r="E15" s="32"/>
    </row>
    <row r="16" spans="1:11" x14ac:dyDescent="0.2">
      <c r="A16" s="12"/>
    </row>
    <row r="17" spans="1:3" x14ac:dyDescent="0.2">
      <c r="A17" s="12"/>
      <c r="B17" s="33"/>
      <c r="C17" s="34"/>
    </row>
    <row r="18" spans="1:3" x14ac:dyDescent="0.2">
      <c r="A18" s="12"/>
    </row>
    <row r="19" spans="1:3" x14ac:dyDescent="0.2">
      <c r="A19" s="12"/>
    </row>
    <row r="20" spans="1:3" x14ac:dyDescent="0.2">
      <c r="A20" s="12"/>
    </row>
    <row r="21" spans="1:3" x14ac:dyDescent="0.2">
      <c r="A21" s="12"/>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71" spans="1:1" x14ac:dyDescent="0.2">
      <c r="A71" s="20"/>
    </row>
    <row r="72" spans="1:1" x14ac:dyDescent="0.2">
      <c r="A72" s="20"/>
    </row>
    <row r="73" spans="1:1" x14ac:dyDescent="0.2">
      <c r="A73" s="21"/>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22"/>
    </row>
    <row r="83" spans="1:1" x14ac:dyDescent="0.2">
      <c r="A83" s="22"/>
    </row>
    <row r="84" spans="1:1" x14ac:dyDescent="0.2">
      <c r="A84" s="22"/>
    </row>
    <row r="85" spans="1:1" x14ac:dyDescent="0.2">
      <c r="A85" s="22"/>
    </row>
    <row r="86" spans="1:1" x14ac:dyDescent="0.2">
      <c r="A86" s="22"/>
    </row>
    <row r="87" spans="1:1" x14ac:dyDescent="0.2">
      <c r="A87" s="22"/>
    </row>
    <row r="88" spans="1:1" x14ac:dyDescent="0.2">
      <c r="A88" s="22"/>
    </row>
    <row r="89" spans="1:1" x14ac:dyDescent="0.2">
      <c r="A89" s="22"/>
    </row>
  </sheetData>
  <mergeCells count="2">
    <mergeCell ref="B3:H3"/>
    <mergeCell ref="B7:C7"/>
  </mergeCells>
  <pageMargins left="0.23622047244094491" right="0.23622047244094491" top="0.74803149606299213" bottom="0.74803149606299213" header="0.31496062992125984" footer="0.31496062992125984"/>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73C229833EC514FB4C5288EF734FEC7" ma:contentTypeVersion="7" ma:contentTypeDescription="Create a new document." ma:contentTypeScope="" ma:versionID="62e8461f645d1dbc2053b0258dc40f6a">
  <xsd:schema xmlns:xsd="http://www.w3.org/2001/XMLSchema" xmlns:xs="http://www.w3.org/2001/XMLSchema" xmlns:p="http://schemas.microsoft.com/office/2006/metadata/properties" xmlns:ns2="10a674b4-5007-4c57-a4ac-375f0d3ec0bd" xmlns:ns3="c5ab5468-e81e-4415-96f8-a061e1653fd3" targetNamespace="http://schemas.microsoft.com/office/2006/metadata/properties" ma:root="true" ma:fieldsID="456b2f1ae70bd093f002cdcfb5f5c59c" ns2:_="" ns3:_="">
    <xsd:import namespace="10a674b4-5007-4c57-a4ac-375f0d3ec0bd"/>
    <xsd:import namespace="c5ab5468-e81e-4415-96f8-a061e1653fd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a674b4-5007-4c57-a4ac-375f0d3ec0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ab5468-e81e-4415-96f8-a061e1653fd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EEC020-9CBC-40BB-B760-AFAF04E94B04}">
  <ds:schemaRefs>
    <ds:schemaRef ds:uri="http://schemas.microsoft.com/sharepoint/v3/contenttype/forms"/>
  </ds:schemaRefs>
</ds:datastoreItem>
</file>

<file path=customXml/itemProps2.xml><?xml version="1.0" encoding="utf-8"?>
<ds:datastoreItem xmlns:ds="http://schemas.openxmlformats.org/officeDocument/2006/customXml" ds:itemID="{2425438D-76F8-40A2-84BE-76F0CEFEBF52}">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schemas.microsoft.com/office/2006/metadata/properties"/>
    <ds:schemaRef ds:uri="10a674b4-5007-4c57-a4ac-375f0d3ec0bd"/>
    <ds:schemaRef ds:uri="c5ab5468-e81e-4415-96f8-a061e1653fd3"/>
    <ds:schemaRef ds:uri="http://www.w3.org/XML/1998/namespace"/>
    <ds:schemaRef ds:uri="http://purl.org/dc/dcmitype/"/>
  </ds:schemaRefs>
</ds:datastoreItem>
</file>

<file path=customXml/itemProps3.xml><?xml version="1.0" encoding="utf-8"?>
<ds:datastoreItem xmlns:ds="http://schemas.openxmlformats.org/officeDocument/2006/customXml" ds:itemID="{9CC33854-6F5F-494F-8FF8-C15092A5EC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a674b4-5007-4c57-a4ac-375f0d3ec0bd"/>
    <ds:schemaRef ds:uri="c5ab5468-e81e-4415-96f8-a061e1653f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19</vt:i4>
      </vt:variant>
      <vt:variant>
        <vt:lpstr>Navngitte områder</vt:lpstr>
      </vt:variant>
      <vt:variant>
        <vt:i4>14</vt:i4>
      </vt:variant>
    </vt:vector>
  </HeadingPairs>
  <TitlesOfParts>
    <vt:vector size="33"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'1'!Utskriftsområde</vt:lpstr>
      <vt:lpstr>'10'!Utskriftsområde</vt:lpstr>
      <vt:lpstr>'11'!Utskriftsområde</vt:lpstr>
      <vt:lpstr>'12'!Utskriftsområde</vt:lpstr>
      <vt:lpstr>'13'!Utskriftsområde</vt:lpstr>
      <vt:lpstr>'14'!Utskriftsområde</vt:lpstr>
      <vt:lpstr>'15'!Utskriftsområde</vt:lpstr>
      <vt:lpstr>'16'!Utskriftsområde</vt:lpstr>
      <vt:lpstr>'17'!Utskriftsområde</vt:lpstr>
      <vt:lpstr>'18'!Utskriftsområde</vt:lpstr>
      <vt:lpstr>'7'!Utskriftsområde</vt:lpstr>
      <vt:lpstr>'8'!Utskriftsområde</vt:lpstr>
      <vt:lpstr>'9'!Utskriftsområde</vt:lpstr>
      <vt:lpstr>CONTENTS!Utskriftsområde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Ellisiv Lund-Johansen Nordmark</dc:creator>
  <cp:lastModifiedBy>Henning Fagerbakke</cp:lastModifiedBy>
  <cp:lastPrinted>2023-03-21T15:06:02Z</cp:lastPrinted>
  <dcterms:created xsi:type="dcterms:W3CDTF">2020-02-12T13:45:07Z</dcterms:created>
  <dcterms:modified xsi:type="dcterms:W3CDTF">2023-10-25T13:13:23Z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0x010100873C229833EC514FB4C5288EF734FEC7</vt:lpwstr>
  </property>
  <property fmtid="{D5CDD505-2E9C-101B-9397-08002B2CF9AE}" pid="3" name="MSIP_Label_65d367ee-beae-4924-b12b-7048534329e8_Enabled">
    <vt:lpwstr>True</vt:lpwstr>
  </property>
  <property fmtid="{D5CDD505-2E9C-101B-9397-08002B2CF9AE}" pid="4" name="MSIP_Label_65d367ee-beae-4924-b12b-7048534329e8_SiteId">
    <vt:lpwstr>633b4369-77b3-495b-a4b4-eca8484ef39f</vt:lpwstr>
  </property>
  <property fmtid="{D5CDD505-2E9C-101B-9397-08002B2CF9AE}" pid="5" name="MSIP_Label_65d367ee-beae-4924-b12b-7048534329e8_SetDate">
    <vt:lpwstr>2020-06-30T09:00:16.4285623Z</vt:lpwstr>
  </property>
  <property fmtid="{D5CDD505-2E9C-101B-9397-08002B2CF9AE}" pid="6" name="MSIP_Label_65d367ee-beae-4924-b12b-7048534329e8_Name">
    <vt:lpwstr>Internal</vt:lpwstr>
  </property>
  <property fmtid="{D5CDD505-2E9C-101B-9397-08002B2CF9AE}" pid="7" name="MSIP_Label_65d367ee-beae-4924-b12b-7048534329e8_ActionId">
    <vt:lpwstr>f6f13972-8e01-4086-b5e1-f62bfd9eaf27</vt:lpwstr>
  </property>
  <property fmtid="{D5CDD505-2E9C-101B-9397-08002B2CF9AE}" pid="8" name="MSIP_Label_65d367ee-beae-4924-b12b-7048534329e8_Extended_MSFT_Method">
    <vt:lpwstr>Automatic</vt:lpwstr>
  </property>
  <property fmtid="{D5CDD505-2E9C-101B-9397-08002B2CF9AE}" pid="9" name="Sensitivity">
    <vt:lpwstr>Internal</vt:lpwstr>
  </property>
</Properties>
</file>