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emtind.sharepoint.com/sites/BusinessControlling/Shared Documents/APM/2026/Q2 2026/"/>
    </mc:Choice>
  </mc:AlternateContent>
  <xr:revisionPtr revIDLastSave="200" documentId="8_{F8238DE4-BB8D-4D64-AFCA-315C8F72CC93}" xr6:coauthVersionLast="47" xr6:coauthVersionMax="47" xr10:uidLastSave="{C1C551DD-A5E9-4CF7-A9CC-00F12662C05B}"/>
  <bookViews>
    <workbookView xWindow="28680" yWindow="-120" windowWidth="29040" windowHeight="17520" activeTab="1" xr2:uid="{D2667682-5639-453C-B7EB-CA2DF19D2947}"/>
  </bookViews>
  <sheets>
    <sheet name="Definisjoner" sheetId="1" r:id="rId1"/>
    <sheet name="Avstemminger" sheetId="2" r:id="rId2"/>
    <sheet name="Dat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54" i="2" s="1"/>
  <c r="D49" i="2"/>
  <c r="D50" i="2"/>
  <c r="D48" i="2"/>
  <c r="D45" i="2"/>
  <c r="D47" i="2" s="1"/>
  <c r="D51" i="2" s="1"/>
  <c r="D52" i="2" s="1"/>
  <c r="D55" i="2" s="1"/>
  <c r="B53" i="2"/>
  <c r="B54" i="2" s="1"/>
  <c r="B50" i="2"/>
  <c r="B49" i="2"/>
  <c r="B48" i="2"/>
  <c r="B45" i="2"/>
  <c r="O16" i="3"/>
  <c r="E33" i="2"/>
  <c r="D34" i="2"/>
  <c r="E34" i="2"/>
  <c r="D33" i="2"/>
  <c r="C21" i="2" l="1"/>
  <c r="E21" i="2" l="1"/>
  <c r="F39" i="2" l="1"/>
  <c r="E43" i="2"/>
  <c r="D43" i="2"/>
  <c r="E39" i="2"/>
  <c r="D39" i="2"/>
  <c r="B23" i="2"/>
  <c r="D23" i="2"/>
  <c r="D21" i="2"/>
  <c r="B21" i="2"/>
  <c r="D28" i="2"/>
  <c r="D26" i="2"/>
  <c r="D25" i="2"/>
  <c r="D27" i="2" s="1"/>
  <c r="D29" i="2" s="1"/>
  <c r="E51" i="2"/>
  <c r="E52" i="2" s="1"/>
  <c r="E55" i="2" s="1"/>
  <c r="E49" i="2"/>
  <c r="E50" i="2"/>
  <c r="E48" i="2"/>
  <c r="E45" i="2"/>
  <c r="E47" i="2" s="1"/>
  <c r="E53" i="2" s="1"/>
  <c r="E54" i="2" s="1"/>
  <c r="E28" i="2"/>
  <c r="E26" i="2"/>
  <c r="E25" i="2"/>
  <c r="E27" i="2" s="1"/>
  <c r="E29" i="2" s="1"/>
  <c r="E22" i="2"/>
  <c r="E23" i="2" s="1"/>
  <c r="C53" i="2"/>
  <c r="C54" i="2" s="1"/>
  <c r="C50" i="2"/>
  <c r="C49" i="2"/>
  <c r="C48" i="2"/>
  <c r="C47" i="2"/>
  <c r="C22" i="2"/>
  <c r="C23" i="2" s="1"/>
  <c r="F49" i="2" l="1"/>
  <c r="F50" i="2"/>
  <c r="F48" i="2"/>
  <c r="B47" i="2"/>
  <c r="B51" i="2" s="1"/>
  <c r="B52" i="2" s="1"/>
  <c r="N16" i="3" l="1"/>
  <c r="N12" i="3"/>
  <c r="C39" i="2"/>
  <c r="C51" i="2" l="1"/>
  <c r="C52" i="2" s="1"/>
  <c r="C55" i="2" s="1"/>
  <c r="F21" i="2"/>
  <c r="F23" i="2"/>
  <c r="C43" i="2" l="1"/>
  <c r="F47" i="2"/>
  <c r="B43" i="2"/>
  <c r="F43" i="2"/>
  <c r="B39" i="2"/>
  <c r="F53" i="2" l="1"/>
  <c r="F54" i="2" s="1"/>
  <c r="F51" i="2"/>
  <c r="F52" i="2" s="1"/>
  <c r="B55" i="2" l="1"/>
  <c r="F55" i="2" l="1"/>
  <c r="C34" i="2" l="1"/>
  <c r="F34" i="2"/>
  <c r="C33" i="2"/>
  <c r="F33" i="2"/>
  <c r="B34" i="2"/>
  <c r="B33" i="2"/>
  <c r="C28" i="2" l="1"/>
  <c r="F28" i="2"/>
  <c r="B28" i="2"/>
  <c r="C26" i="2"/>
  <c r="F26" i="2"/>
  <c r="B26" i="2"/>
  <c r="C25" i="2"/>
  <c r="F25" i="2"/>
  <c r="B25" i="2"/>
  <c r="B27" i="2" l="1"/>
  <c r="B29" i="2" s="1"/>
  <c r="F27" i="2"/>
  <c r="F29" i="2" s="1"/>
  <c r="C27" i="2"/>
  <c r="C29" i="2" s="1"/>
</calcChain>
</file>

<file path=xl/sharedStrings.xml><?xml version="1.0" encoding="utf-8"?>
<sst xmlns="http://schemas.openxmlformats.org/spreadsheetml/2006/main" count="107" uniqueCount="101">
  <si>
    <t>Alternative resultatmål</t>
  </si>
  <si>
    <t>Definisjon</t>
  </si>
  <si>
    <t>Kostnadsprosent</t>
  </si>
  <si>
    <t xml:space="preserve">(Driftskostnader + provisjonskostnader) /
(Inntekter fra forsikringstjenester - GMM-effekt) </t>
  </si>
  <si>
    <t>Skadeprosent, brutto</t>
  </si>
  <si>
    <t>(Brutto betalte erstatninger - GMM-effekt) /
(Inntekter fra forsikringstjenester - GMM-effekt)</t>
  </si>
  <si>
    <t>Gjenforsikringsandel</t>
  </si>
  <si>
    <t>(Netto resultat fra gjenforsikringskontrakter) /
(Inntekter fra forsikringstjenester - GMM-effekt)</t>
  </si>
  <si>
    <t>Skadeprosent, netto etter gjenforsikring</t>
  </si>
  <si>
    <t>Skadeprosent, brutto + gjenforsikringsandel</t>
  </si>
  <si>
    <t>Combined ratio, brutto</t>
  </si>
  <si>
    <t>Kostnadsprosent + skadeprosent, brutto</t>
  </si>
  <si>
    <t>Combined ratio, netto etter gjenforsikring</t>
  </si>
  <si>
    <t xml:space="preserve">Kostnadsprosent + skadeprosent, netto av gjenforsikring </t>
  </si>
  <si>
    <t>Egenkapitalavkastning</t>
  </si>
  <si>
    <t xml:space="preserve">Resultat etter skatt (før OCI) / 
(Egenkapital inngående balanse + egenkapital utgående balanse)/2 </t>
  </si>
  <si>
    <t>Egenkapital justert for goodwill og merverdier fra transaksjonen med Eika Forsikring AS</t>
  </si>
  <si>
    <t>Total egenkapital - goodwill fra transaksjonen med Eika forsikring - merverdierer oppkjøp fra transaksjonen med Eika forsikring + utsatt skatt på merverdier oppkjøp fra transaksjonen med Eika forsikring</t>
  </si>
  <si>
    <t>Egenkapitalavkastning justert for transaksjonen med Eika Forsikring AS</t>
  </si>
  <si>
    <t>(Resultat etter skatt + avskrivninger knyttet til merverdier ifob transaksjonen med Eika Forsikring AS) / (Egenkapital justert for transaksjonen med Eika Forsikring AS inngående balanse + Egenkapital justert for transaksjonen med Eika Forsikring AS utgående balanse)/2</t>
  </si>
  <si>
    <t>Vekst i inntekter fra forsikringstjenester (%) sammenlignet med tilsvarende periode i fjor</t>
  </si>
  <si>
    <t>(Inntekter fra forsikringstjenester justert for GMM-effekt siste periode - inntekter fra forsikringstjenester justert for GMM-effekt tilsvarende periode forrige år) / 
(inntekter fra forsikringstjenester justert for GMM effekt tilsvarende periode forrige år)</t>
  </si>
  <si>
    <t xml:space="preserve">Bestandspremie </t>
  </si>
  <si>
    <t>Summen av premien for alle forsikringene i en forsikringsbestand på et gitt tidspunkt</t>
  </si>
  <si>
    <t xml:space="preserve">Vekst i bestandspremie </t>
  </si>
  <si>
    <t>(Bestandspremie siste periode - bestandspremie tilsvarende periode i fjor) / (Bestandspremie tilsvarende periode i fjor)</t>
  </si>
  <si>
    <t>Storskader, netto etter gjenforsikring</t>
  </si>
  <si>
    <t>Udiskonterte skader over 10 MNOK eks. værrelaterte skader, justert for gjenforsikring</t>
  </si>
  <si>
    <t>Værrelaterte skader, netto etter gjenforsikring</t>
  </si>
  <si>
    <t>Udiskonterte skader/hendelser over 10 MNOK knyttet til storm, styrtregn, naturskader og vinterhendelser, justert for gjenforsikring</t>
  </si>
  <si>
    <t>Resultatutvikling og nøkkeltall*</t>
  </si>
  <si>
    <t>Tall i MNOK</t>
  </si>
  <si>
    <t>FY2025</t>
  </si>
  <si>
    <t xml:space="preserve">Inntekter fra forsikringstjenester </t>
  </si>
  <si>
    <t>Driftskostnader</t>
  </si>
  <si>
    <t>Provisjonskostnader</t>
  </si>
  <si>
    <t xml:space="preserve">Brutto betalte erstatninger </t>
  </si>
  <si>
    <t xml:space="preserve">Kostnader fra forsikringstjenester </t>
  </si>
  <si>
    <t>Brutto resultat fra forsikringstjenester</t>
  </si>
  <si>
    <t>Netto resultat fra gjenforsikringskontrakter</t>
  </si>
  <si>
    <t>Resultat fra forsikringstjenester</t>
  </si>
  <si>
    <t>Netto finansresultat fra forsikringskontrakter</t>
  </si>
  <si>
    <t>Netto inntekt fra investeringer</t>
  </si>
  <si>
    <t>Andre inntekter og kostnader**</t>
  </si>
  <si>
    <t>Resultat før skatt</t>
  </si>
  <si>
    <t>Skatt***</t>
  </si>
  <si>
    <t>Resultat etter skatt</t>
  </si>
  <si>
    <t>Vekst i bestandspremie (%) i perioden</t>
  </si>
  <si>
    <t>Skadeprosent, brutto (%)</t>
  </si>
  <si>
    <t>Gjenforsikringsandel (%)</t>
  </si>
  <si>
    <t>Skadeprosent, netto etter gjenforsikring (%)</t>
  </si>
  <si>
    <t>Kostnadsprosent (%)</t>
  </si>
  <si>
    <t>Combined ratio, netto etter gjenforsikring (%)</t>
  </si>
  <si>
    <t>Storskader, netto etter gjenforsikring (MNOK)</t>
  </si>
  <si>
    <t>Værrelaterte skader, netto etter gjenforsikring (MNOK)</t>
  </si>
  <si>
    <t>herav storskader, netto etter gjenforsikring (%)</t>
  </si>
  <si>
    <t>herav værskader, netto etter gjenforsikring (%)</t>
  </si>
  <si>
    <t xml:space="preserve">Inntekter fra forsikringstjenester, PM </t>
  </si>
  <si>
    <t>Kostnader fra forsikringstjenester, netto etter gjenforsikring, PM</t>
  </si>
  <si>
    <t>Combined ratio, netto etter gjenforsikring per segment (%) PM</t>
  </si>
  <si>
    <t>Inntekter fra forsikringstjenester, BM</t>
  </si>
  <si>
    <t>Kostnader fra forsikringstjenester, netto etter gjenforsikring, BM</t>
  </si>
  <si>
    <t>Combined ratio, netto etter gjenforsikring per segment (%) BM</t>
  </si>
  <si>
    <t>Total egenkapital</t>
  </si>
  <si>
    <t>Goodwill fra fusjonen med Eika forsikring</t>
  </si>
  <si>
    <t xml:space="preserve">Merverdier fra oppkjøp Eika forsikring </t>
  </si>
  <si>
    <t>Utsatt skatt på merverdi oppkjøp av Eika forsikring</t>
  </si>
  <si>
    <t>Total egenkapital justert for goodwill og merverdier fra transaksjonen med Eika Forsikring AS</t>
  </si>
  <si>
    <t>Gjennomsnittlig egenkapital</t>
  </si>
  <si>
    <t xml:space="preserve">Annualisert egenkapitalavkastning </t>
  </si>
  <si>
    <t>Annualisert egenkapitalavkastning justert for transaksjonen med Eika Forsikring AS</t>
  </si>
  <si>
    <t>* Se definisjoner på nøkkeltall i fanen "Definisjoner"</t>
  </si>
  <si>
    <t>** Andre inntekter og kostnader er justert for avskrivninger på merverdier ved oppkjøp av Eika Forsikring AS</t>
  </si>
  <si>
    <t>*** Skattekostnaden er et estimat som reflekterer de justerte tallene.</t>
  </si>
  <si>
    <t>MNOK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</si>
  <si>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</si>
  <si>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</si>
  <si>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</si>
  <si>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</si>
  <si>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</si>
  <si>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</si>
  <si>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</si>
  <si>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</si>
  <si>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</si>
  <si>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Inntekter fra forsikringstjenester, justert for GMM</t>
  </si>
  <si>
    <t xml:space="preserve">Regnskapsmessig resultat for perioden </t>
  </si>
  <si>
    <t>Bestandspremie</t>
  </si>
  <si>
    <t xml:space="preserve">Tallene er justert for GMM-effekter og avskrivninger på merverdier fra transaksjonen med Eika Forsikring AS. </t>
  </si>
  <si>
    <t>Utbytte</t>
  </si>
  <si>
    <t>Total egenkapital justert for utbytte</t>
  </si>
  <si>
    <t>Total egenkapital justert for utbytte ,goodwill og merverdier fra transaksjonen med Eika Forsikring AS</t>
  </si>
  <si>
    <t>Gjennomsnittlig egenkapital justert for utbytte ,goodwill og merverdier fra transaksjonen med Eika Forsikring AS</t>
  </si>
  <si>
    <t>Q1-2026</t>
  </si>
  <si>
    <t>Tall i MNOK****</t>
  </si>
  <si>
    <t xml:space="preserve">**** Segmentresultatene for Q1 2025 er justert ved å flytte kårbolig fra landbruk (bedriftsmarkedet) til hus (privatmarkedet). Dette er korrigert i regnskapet fra mai 2025. </t>
  </si>
  <si>
    <t>Total egenkapital*</t>
  </si>
  <si>
    <t xml:space="preserve">*I forbindelse med overgang til full IFRS per 31.12.2025 er sammenligningstall for egenkapital omarbeidet. Endringen gjelder kun klassifisering av utbytte. </t>
  </si>
  <si>
    <t>Total egenkapital inkludert avsatt utbytte</t>
  </si>
  <si>
    <t>Q2 2026</t>
  </si>
  <si>
    <t>Q2 2025</t>
  </si>
  <si>
    <t>Q2-2026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</si>
</sst>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\ 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Fremtind Grotesk"/>
      <family val="2"/>
    </font>
    <font>
      <b/>
      <sz val="11"/>
      <color theme="1"/>
      <name val="Fremtind Grotesk"/>
      <family val="2"/>
    </font>
    <font>
      <b/>
      <sz val="16"/>
      <name val="Calibri Light"/>
      <family val="2"/>
    </font>
    <font>
      <b/>
      <sz val="10"/>
      <name val="Fremtind Grotesk"/>
      <family val="2"/>
    </font>
    <font>
      <b/>
      <sz val="11"/>
      <name val="Fremtind Grotesk"/>
      <family val="2"/>
    </font>
    <font>
      <sz val="10"/>
      <name val="Fremtind Grotesk"/>
      <family val="2"/>
    </font>
    <font>
      <sz val="11"/>
      <name val="Fremtind Grotesk"/>
      <family val="2"/>
    </font>
    <font>
      <sz val="10"/>
      <color theme="1"/>
      <name val="Fremtind Grotesk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0" xfId="0" applyFont="1"/>
    <xf numFmtId="0" fontId="5" fillId="0" borderId="2" xfId="0" applyFont="1" applyBorder="1"/>
    <xf numFmtId="14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164" fontId="6" fillId="0" borderId="3" xfId="1" applyNumberFormat="1" applyFont="1" applyFill="1" applyBorder="1"/>
    <xf numFmtId="164" fontId="6" fillId="0" borderId="3" xfId="1" applyNumberFormat="1" applyFont="1" applyBorder="1"/>
    <xf numFmtId="0" fontId="7" fillId="0" borderId="0" xfId="0" applyFont="1"/>
    <xf numFmtId="164" fontId="8" fillId="0" borderId="0" xfId="1" applyNumberFormat="1" applyFont="1" applyFill="1"/>
    <xf numFmtId="164" fontId="8" fillId="0" borderId="0" xfId="1" applyNumberFormat="1" applyFont="1"/>
    <xf numFmtId="0" fontId="7" fillId="0" borderId="4" xfId="0" applyFont="1" applyBorder="1"/>
    <xf numFmtId="164" fontId="8" fillId="0" borderId="4" xfId="1" applyNumberFormat="1" applyFont="1" applyFill="1" applyBorder="1"/>
    <xf numFmtId="164" fontId="8" fillId="0" borderId="4" xfId="1" applyNumberFormat="1" applyFont="1" applyBorder="1"/>
    <xf numFmtId="0" fontId="5" fillId="0" borderId="4" xfId="0" applyFont="1" applyBorder="1"/>
    <xf numFmtId="164" fontId="6" fillId="0" borderId="4" xfId="1" applyNumberFormat="1" applyFont="1" applyFill="1" applyBorder="1"/>
    <xf numFmtId="164" fontId="6" fillId="0" borderId="4" xfId="1" applyNumberFormat="1" applyFont="1" applyBorder="1"/>
    <xf numFmtId="164" fontId="2" fillId="0" borderId="0" xfId="1" applyNumberFormat="1" applyFont="1"/>
    <xf numFmtId="0" fontId="5" fillId="0" borderId="0" xfId="0" applyFont="1"/>
    <xf numFmtId="165" fontId="8" fillId="0" borderId="0" xfId="2" applyNumberFormat="1" applyFont="1"/>
    <xf numFmtId="165" fontId="8" fillId="0" borderId="4" xfId="2" applyNumberFormat="1" applyFont="1" applyBorder="1"/>
    <xf numFmtId="165" fontId="8" fillId="0" borderId="0" xfId="2" applyNumberFormat="1" applyFont="1" applyAlignment="1">
      <alignment horizontal="right"/>
    </xf>
    <xf numFmtId="165" fontId="6" fillId="0" borderId="0" xfId="2" applyNumberFormat="1" applyFont="1" applyAlignment="1">
      <alignment horizontal="right"/>
    </xf>
    <xf numFmtId="165" fontId="7" fillId="0" borderId="0" xfId="2" applyNumberFormat="1" applyFont="1" applyBorder="1"/>
    <xf numFmtId="165" fontId="8" fillId="0" borderId="0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3" fillId="0" borderId="0" xfId="2" applyNumberFormat="1" applyFont="1" applyBorder="1"/>
    <xf numFmtId="0" fontId="7" fillId="0" borderId="3" xfId="0" applyFont="1" applyBorder="1"/>
    <xf numFmtId="164" fontId="8" fillId="0" borderId="0" xfId="1" applyNumberFormat="1" applyFont="1" applyBorder="1" applyAlignment="1">
      <alignment horizontal="right"/>
    </xf>
    <xf numFmtId="165" fontId="8" fillId="0" borderId="4" xfId="2" applyNumberFormat="1" applyFont="1" applyFill="1" applyBorder="1"/>
    <xf numFmtId="165" fontId="8" fillId="0" borderId="0" xfId="2" applyNumberFormat="1" applyFont="1" applyFill="1"/>
    <xf numFmtId="164" fontId="0" fillId="0" borderId="0" xfId="0" applyNumberFormat="1"/>
    <xf numFmtId="165" fontId="8" fillId="0" borderId="0" xfId="2" applyNumberFormat="1" applyFont="1" applyFill="1" applyAlignment="1">
      <alignment horizontal="right"/>
    </xf>
    <xf numFmtId="165" fontId="8" fillId="0" borderId="3" xfId="2" applyNumberFormat="1" applyFont="1" applyFill="1" applyBorder="1" applyAlignment="1">
      <alignment horizontal="right"/>
    </xf>
    <xf numFmtId="165" fontId="8" fillId="0" borderId="0" xfId="2" applyNumberFormat="1" applyFont="1" applyFill="1" applyBorder="1"/>
    <xf numFmtId="0" fontId="7" fillId="0" borderId="5" xfId="0" applyFont="1" applyBorder="1"/>
    <xf numFmtId="0" fontId="7" fillId="0" borderId="0" xfId="0" applyFont="1" applyAlignment="1">
      <alignment wrapText="1"/>
    </xf>
    <xf numFmtId="0" fontId="3" fillId="2" borderId="0" xfId="0" applyFont="1" applyFill="1"/>
    <xf numFmtId="0" fontId="2" fillId="0" borderId="4" xfId="0" applyFont="1" applyBorder="1"/>
    <xf numFmtId="164" fontId="2" fillId="0" borderId="4" xfId="1" applyNumberFormat="1" applyFont="1" applyBorder="1"/>
    <xf numFmtId="164" fontId="8" fillId="0" borderId="5" xfId="1" applyNumberFormat="1" applyFont="1" applyFill="1" applyBorder="1"/>
    <xf numFmtId="164" fontId="8" fillId="0" borderId="0" xfId="1" applyNumberFormat="1" applyFont="1" applyFill="1" applyBorder="1"/>
    <xf numFmtId="14" fontId="3" fillId="4" borderId="0" xfId="0" applyNumberFormat="1" applyFont="1" applyFill="1"/>
    <xf numFmtId="164" fontId="2" fillId="0" borderId="0" xfId="1" applyNumberFormat="1" applyFont="1" applyFill="1"/>
    <xf numFmtId="165" fontId="6" fillId="0" borderId="0" xfId="2" applyNumberFormat="1" applyFont="1" applyFill="1" applyAlignment="1">
      <alignment horizontal="right"/>
    </xf>
    <xf numFmtId="0" fontId="9" fillId="0" borderId="0" xfId="0" applyFont="1"/>
    <xf numFmtId="164" fontId="8" fillId="0" borderId="0" xfId="1" applyNumberFormat="1" applyFont="1" applyFill="1" applyBorder="1" applyAlignment="1">
      <alignment horizontal="right"/>
    </xf>
    <xf numFmtId="165" fontId="3" fillId="0" borderId="0" xfId="2" applyNumberFormat="1" applyFont="1" applyFill="1" applyBorder="1"/>
    <xf numFmtId="0" fontId="5" fillId="0" borderId="2" xfId="0" applyFont="1" applyBorder="1" applyAlignment="1">
      <alignment horizontal="right"/>
    </xf>
    <xf numFmtId="165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381F-7D85-43F2-831A-B57BD447B020}">
  <dimension ref="B2:C16"/>
  <sheetViews>
    <sheetView showGridLines="0" workbookViewId="0">
      <selection activeCell="B14" sqref="B14"/>
    </sheetView>
  </sheetViews>
  <sheetFormatPr defaultRowHeight="19.5" x14ac:dyDescent="0.4"/>
  <cols>
    <col min="1" max="1" width="2.7109375" customWidth="1"/>
    <col min="2" max="2" width="48.7109375" style="1" customWidth="1"/>
    <col min="3" max="3" width="67" style="1" customWidth="1"/>
  </cols>
  <sheetData>
    <row r="2" spans="2:3" x14ac:dyDescent="0.25">
      <c r="B2" s="2" t="s">
        <v>0</v>
      </c>
      <c r="C2" s="2" t="s">
        <v>1</v>
      </c>
    </row>
    <row r="3" spans="2:3" ht="39" x14ac:dyDescent="0.25">
      <c r="B3" s="3" t="s">
        <v>2</v>
      </c>
      <c r="C3" s="4" t="s">
        <v>3</v>
      </c>
    </row>
    <row r="4" spans="2:3" ht="39" x14ac:dyDescent="0.25">
      <c r="B4" s="3" t="s">
        <v>4</v>
      </c>
      <c r="C4" s="4" t="s">
        <v>5</v>
      </c>
    </row>
    <row r="5" spans="2:3" ht="39" x14ac:dyDescent="0.25">
      <c r="B5" s="3" t="s">
        <v>6</v>
      </c>
      <c r="C5" s="4" t="s">
        <v>7</v>
      </c>
    </row>
    <row r="6" spans="2:3" x14ac:dyDescent="0.25">
      <c r="B6" s="3" t="s">
        <v>8</v>
      </c>
      <c r="C6" s="4" t="s">
        <v>9</v>
      </c>
    </row>
    <row r="7" spans="2:3" x14ac:dyDescent="0.25">
      <c r="B7" s="3" t="s">
        <v>10</v>
      </c>
      <c r="C7" s="3" t="s">
        <v>11</v>
      </c>
    </row>
    <row r="8" spans="2:3" x14ac:dyDescent="0.25">
      <c r="B8" s="3" t="s">
        <v>12</v>
      </c>
      <c r="C8" s="3" t="s">
        <v>13</v>
      </c>
    </row>
    <row r="9" spans="2:3" ht="58.5" x14ac:dyDescent="0.25">
      <c r="B9" s="3" t="s">
        <v>14</v>
      </c>
      <c r="C9" s="5" t="s">
        <v>15</v>
      </c>
    </row>
    <row r="10" spans="2:3" ht="78" x14ac:dyDescent="0.25">
      <c r="B10" s="4" t="s">
        <v>16</v>
      </c>
      <c r="C10" s="5" t="s">
        <v>17</v>
      </c>
    </row>
    <row r="11" spans="2:3" ht="97.5" x14ac:dyDescent="0.25">
      <c r="B11" s="4" t="s">
        <v>18</v>
      </c>
      <c r="C11" s="5" t="s">
        <v>19</v>
      </c>
    </row>
    <row r="12" spans="2:3" ht="97.5" x14ac:dyDescent="0.25">
      <c r="B12" s="4" t="s">
        <v>20</v>
      </c>
      <c r="C12" s="4" t="s">
        <v>21</v>
      </c>
    </row>
    <row r="13" spans="2:3" ht="39" x14ac:dyDescent="0.25">
      <c r="B13" s="4" t="s">
        <v>22</v>
      </c>
      <c r="C13" s="4" t="s">
        <v>23</v>
      </c>
    </row>
    <row r="14" spans="2:3" ht="39" x14ac:dyDescent="0.25">
      <c r="B14" s="4" t="s">
        <v>24</v>
      </c>
      <c r="C14" s="4" t="s">
        <v>25</v>
      </c>
    </row>
    <row r="15" spans="2:3" ht="39" x14ac:dyDescent="0.25">
      <c r="B15" s="3" t="s">
        <v>26</v>
      </c>
      <c r="C15" s="4" t="s">
        <v>27</v>
      </c>
    </row>
    <row r="16" spans="2:3" ht="58.5" x14ac:dyDescent="0.25">
      <c r="B16" s="3" t="s">
        <v>28</v>
      </c>
      <c r="C16" s="4" t="s">
        <v>29</v>
      </c>
    </row>
  </sheetData>
  <pageMargins left="0.7" right="0.7" top="0.75" bottom="0.75" header="0.3" footer="0.3"/>
  <headerFooter>
    <oddHeader>&amp;R&amp;"Aptos"&amp;12&amp;K000000 INTERN&amp;1#_x000D_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DA4E-B400-4FCF-9755-9E8F6A561C04}">
  <dimension ref="A1:K63"/>
  <sheetViews>
    <sheetView showGridLines="0" tabSelected="1" workbookViewId="0">
      <selection activeCell="L37" sqref="L37"/>
    </sheetView>
  </sheetViews>
  <sheetFormatPr defaultColWidth="9.140625" defaultRowHeight="15" x14ac:dyDescent="0.25"/>
  <cols>
    <col min="1" max="1" width="96" customWidth="1"/>
    <col min="2" max="6" width="11.85546875" customWidth="1"/>
  </cols>
  <sheetData>
    <row r="1" spans="1:6" ht="9.75" customHeight="1" x14ac:dyDescent="0.25"/>
    <row r="2" spans="1:6" ht="21" x14ac:dyDescent="0.35">
      <c r="A2" s="6" t="s">
        <v>30</v>
      </c>
      <c r="B2" s="6"/>
      <c r="C2" s="6"/>
      <c r="D2" s="6"/>
      <c r="E2" s="6"/>
      <c r="F2" s="6"/>
    </row>
    <row r="3" spans="1:6" s="1" customFormat="1" ht="20.25" thickBot="1" x14ac:dyDescent="0.45">
      <c r="A3" s="7" t="s">
        <v>31</v>
      </c>
      <c r="B3" s="52" t="s">
        <v>98</v>
      </c>
      <c r="C3" s="8" t="s">
        <v>99</v>
      </c>
      <c r="D3" s="8">
        <v>46203</v>
      </c>
      <c r="E3" s="8">
        <v>45838</v>
      </c>
      <c r="F3" s="8" t="s">
        <v>32</v>
      </c>
    </row>
    <row r="4" spans="1:6" ht="19.5" x14ac:dyDescent="0.4">
      <c r="A4" s="9" t="s">
        <v>33</v>
      </c>
      <c r="B4" s="10">
        <v>5863.3744215499992</v>
      </c>
      <c r="C4" s="10">
        <v>5559.7293030099991</v>
      </c>
      <c r="D4" s="10">
        <v>12068.046333190001</v>
      </c>
      <c r="E4" s="10">
        <v>11328.365672510001</v>
      </c>
      <c r="F4" s="11">
        <v>23509.81742747</v>
      </c>
    </row>
    <row r="5" spans="1:6" ht="19.5" x14ac:dyDescent="0.4">
      <c r="A5" s="12" t="s">
        <v>34</v>
      </c>
      <c r="B5" s="13">
        <v>-591.23437349000028</v>
      </c>
      <c r="C5" s="13">
        <v>-594.02630537000016</v>
      </c>
      <c r="D5" s="13">
        <v>-1164.5699652000003</v>
      </c>
      <c r="E5" s="13">
        <v>-1193.2399843000001</v>
      </c>
      <c r="F5" s="14">
        <v>-2392.9582674800017</v>
      </c>
    </row>
    <row r="6" spans="1:6" ht="19.5" x14ac:dyDescent="0.4">
      <c r="A6" s="12" t="s">
        <v>35</v>
      </c>
      <c r="B6" s="13">
        <v>-763.83391300000005</v>
      </c>
      <c r="C6" s="13">
        <v>-686.18928885000014</v>
      </c>
      <c r="D6" s="13">
        <v>-1507.9600647100001</v>
      </c>
      <c r="E6" s="13">
        <v>-1327.3668668300002</v>
      </c>
      <c r="F6" s="14">
        <v>-2765.8677903600001</v>
      </c>
    </row>
    <row r="7" spans="1:6" ht="19.5" x14ac:dyDescent="0.4">
      <c r="A7" s="12" t="s">
        <v>36</v>
      </c>
      <c r="B7" s="13">
        <v>-3101.3261885100001</v>
      </c>
      <c r="C7" s="13">
        <v>-3376.76097424</v>
      </c>
      <c r="D7" s="13">
        <v>-6638.282792590001</v>
      </c>
      <c r="E7" s="13">
        <v>-6987.1049202999984</v>
      </c>
      <c r="F7" s="14">
        <v>-13912.717893279992</v>
      </c>
    </row>
    <row r="8" spans="1:6" ht="19.5" x14ac:dyDescent="0.4">
      <c r="A8" s="15" t="s">
        <v>37</v>
      </c>
      <c r="B8" s="16">
        <v>-4456.394475000001</v>
      </c>
      <c r="C8" s="16">
        <v>-4656.9765684600006</v>
      </c>
      <c r="D8" s="16">
        <v>-9310.8128225000019</v>
      </c>
      <c r="E8" s="16">
        <v>-9507.7117714299984</v>
      </c>
      <c r="F8" s="17">
        <v>-19071.543951119995</v>
      </c>
    </row>
    <row r="9" spans="1:6" ht="19.5" x14ac:dyDescent="0.4">
      <c r="A9" s="12" t="s">
        <v>38</v>
      </c>
      <c r="B9" s="13">
        <v>1406.9799465499982</v>
      </c>
      <c r="C9" s="13">
        <v>902.75273454999842</v>
      </c>
      <c r="D9" s="13">
        <v>2757.2335106899991</v>
      </c>
      <c r="E9" s="13">
        <v>1820.6539010800025</v>
      </c>
      <c r="F9" s="14">
        <v>4438.2734763500048</v>
      </c>
    </row>
    <row r="10" spans="1:6" ht="19.5" x14ac:dyDescent="0.4">
      <c r="A10" s="12" t="s">
        <v>39</v>
      </c>
      <c r="B10" s="13">
        <v>-86.119455259999995</v>
      </c>
      <c r="C10" s="13">
        <v>-46.759431979999988</v>
      </c>
      <c r="D10" s="13">
        <v>-180.80842352999991</v>
      </c>
      <c r="E10" s="13">
        <v>-121.39659449999995</v>
      </c>
      <c r="F10" s="14">
        <v>81.246395629999995</v>
      </c>
    </row>
    <row r="11" spans="1:6" ht="19.5" x14ac:dyDescent="0.4">
      <c r="A11" s="18" t="s">
        <v>40</v>
      </c>
      <c r="B11" s="19">
        <v>1320.8604912899982</v>
      </c>
      <c r="C11" s="19">
        <v>855.99330256999838</v>
      </c>
      <c r="D11" s="19">
        <v>2576.4250871599993</v>
      </c>
      <c r="E11" s="19">
        <v>1699.2573065800025</v>
      </c>
      <c r="F11" s="20">
        <v>4519.5198719800046</v>
      </c>
    </row>
    <row r="12" spans="1:6" ht="19.5" x14ac:dyDescent="0.4">
      <c r="A12" s="12"/>
      <c r="B12" s="13"/>
      <c r="C12" s="13"/>
      <c r="D12" s="13"/>
      <c r="E12" s="13"/>
      <c r="F12" s="14"/>
    </row>
    <row r="13" spans="1:6" ht="19.5" x14ac:dyDescent="0.4">
      <c r="A13" s="12" t="s">
        <v>41</v>
      </c>
      <c r="B13" s="13">
        <v>-406.89972534999993</v>
      </c>
      <c r="C13" s="47">
        <v>-415.63702810000001</v>
      </c>
      <c r="D13" s="47">
        <v>-307.18824404999998</v>
      </c>
      <c r="E13" s="47">
        <v>-564.37928631999989</v>
      </c>
      <c r="F13" s="14">
        <v>-787.7933733599998</v>
      </c>
    </row>
    <row r="14" spans="1:6" ht="19.5" x14ac:dyDescent="0.4">
      <c r="A14" s="12" t="s">
        <v>42</v>
      </c>
      <c r="B14" s="13">
        <v>945.76899850000007</v>
      </c>
      <c r="C14" s="47">
        <v>849.74538669000003</v>
      </c>
      <c r="D14" s="47">
        <v>920.57329788000004</v>
      </c>
      <c r="E14" s="47">
        <v>1154.4471159500001</v>
      </c>
      <c r="F14" s="14">
        <v>2087.51335096</v>
      </c>
    </row>
    <row r="15" spans="1:6" ht="19.5" x14ac:dyDescent="0.4">
      <c r="A15" s="12" t="s">
        <v>43</v>
      </c>
      <c r="B15" s="13">
        <v>-30.892979480000019</v>
      </c>
      <c r="C15" s="47">
        <v>-36.217730970000012</v>
      </c>
      <c r="D15" s="47">
        <v>-66.605031950000011</v>
      </c>
      <c r="E15" s="47">
        <v>-65.559146359999957</v>
      </c>
      <c r="F15" s="14">
        <v>-483.90232035999992</v>
      </c>
    </row>
    <row r="16" spans="1:6" ht="19.5" x14ac:dyDescent="0.4">
      <c r="A16" s="18" t="s">
        <v>44</v>
      </c>
      <c r="B16" s="19">
        <v>1828.8367849599981</v>
      </c>
      <c r="C16" s="19">
        <v>1253.8839301899984</v>
      </c>
      <c r="D16" s="19">
        <v>3123.2051090399996</v>
      </c>
      <c r="E16" s="19">
        <v>2223.7659898500028</v>
      </c>
      <c r="F16" s="20">
        <v>5335.3375292200044</v>
      </c>
    </row>
    <row r="17" spans="1:6" ht="19.5" x14ac:dyDescent="0.4">
      <c r="A17" s="12" t="s">
        <v>45</v>
      </c>
      <c r="B17" s="13">
        <v>-360.29661222000004</v>
      </c>
      <c r="C17" s="13">
        <v>-315.35766525999998</v>
      </c>
      <c r="D17" s="13">
        <v>-693.13128787000016</v>
      </c>
      <c r="E17" s="13">
        <v>-544.63167714999997</v>
      </c>
      <c r="F17" s="14">
        <v>-1274.20433267</v>
      </c>
    </row>
    <row r="18" spans="1:6" ht="19.5" x14ac:dyDescent="0.4">
      <c r="A18" s="18" t="s">
        <v>46</v>
      </c>
      <c r="B18" s="19">
        <v>1468.5401727399981</v>
      </c>
      <c r="C18" s="19">
        <v>938.52626492999843</v>
      </c>
      <c r="D18" s="19">
        <v>2430.0738211699995</v>
      </c>
      <c r="E18" s="19">
        <v>1679.1343127000027</v>
      </c>
      <c r="F18" s="20">
        <v>4061.1331965500044</v>
      </c>
    </row>
    <row r="19" spans="1:6" ht="15.75" x14ac:dyDescent="0.3">
      <c r="A19" s="22"/>
      <c r="B19" s="22"/>
      <c r="C19" s="22"/>
      <c r="D19" s="22"/>
      <c r="E19" s="22"/>
      <c r="F19" s="22"/>
    </row>
    <row r="20" spans="1:6" ht="15.75" x14ac:dyDescent="0.3">
      <c r="A20" s="22"/>
      <c r="B20" s="22"/>
      <c r="C20" s="22"/>
      <c r="D20" s="22"/>
      <c r="E20" s="22"/>
      <c r="F20" s="22"/>
    </row>
    <row r="21" spans="1:6" ht="19.5" x14ac:dyDescent="0.4">
      <c r="A21" s="15" t="s">
        <v>20</v>
      </c>
      <c r="B21" s="33">
        <f>+(B4-C4)/C4</f>
        <v>5.4615090410176759E-2</v>
      </c>
      <c r="C21" s="33">
        <f>+(C4-Data!E2)/Data!E2</f>
        <v>0.38715800973303371</v>
      </c>
      <c r="D21" s="33">
        <f>+(D4-E4)/E4</f>
        <v>6.5294560756892536E-2</v>
      </c>
      <c r="E21" s="33">
        <f>+(E4-Data!E2-Data!D2)/(Data!D2+Data!E2)</f>
        <v>0.36469891248162883</v>
      </c>
      <c r="F21" s="33">
        <f>+(F4-Data!H2)/Data!H2</f>
        <v>0.21963968943871193</v>
      </c>
    </row>
    <row r="22" spans="1:6" ht="19.5" x14ac:dyDescent="0.4">
      <c r="A22" s="12" t="s">
        <v>86</v>
      </c>
      <c r="B22" s="13">
        <v>24605</v>
      </c>
      <c r="C22" s="13">
        <f>+Data!J6</f>
        <v>23265</v>
      </c>
      <c r="D22" s="13">
        <v>24605</v>
      </c>
      <c r="E22" s="13">
        <f>+Data!J6</f>
        <v>23265</v>
      </c>
      <c r="F22" s="13">
        <v>24402</v>
      </c>
    </row>
    <row r="23" spans="1:6" ht="19.5" x14ac:dyDescent="0.4">
      <c r="A23" s="12" t="s">
        <v>47</v>
      </c>
      <c r="B23" s="34">
        <f>+(B22-Data!N6)/Data!N6</f>
        <v>1.4179135237624171E-2</v>
      </c>
      <c r="C23" s="34">
        <f>+(C22-Data!I6)/Data!I6</f>
        <v>3.2394053694253383E-2</v>
      </c>
      <c r="D23" s="34">
        <f>+(D22-Data!M6)/Data!M6</f>
        <v>8.3189902467010902E-3</v>
      </c>
      <c r="E23" s="34">
        <f>+(E22-Data!H6)/Data!H6</f>
        <v>6.4662273476112031E-2</v>
      </c>
      <c r="F23" s="34">
        <f>+(F22-Data!H6)/Data!H6</f>
        <v>0.11669412410763316</v>
      </c>
    </row>
    <row r="24" spans="1:6" ht="15.75" x14ac:dyDescent="0.3">
      <c r="A24" s="12"/>
      <c r="B24" s="12"/>
      <c r="C24" s="12"/>
      <c r="D24" s="12"/>
      <c r="E24" s="12"/>
      <c r="F24" s="12"/>
    </row>
    <row r="25" spans="1:6" ht="19.5" x14ac:dyDescent="0.4">
      <c r="A25" s="12" t="s">
        <v>48</v>
      </c>
      <c r="B25" s="34">
        <f>-B7/B4</f>
        <v>0.52893197083091203</v>
      </c>
      <c r="C25" s="34">
        <f t="shared" ref="C25:F25" si="0">-C7/C4</f>
        <v>0.60736068074606531</v>
      </c>
      <c r="D25" s="34">
        <f>-D7/D4</f>
        <v>0.55007103961252968</v>
      </c>
      <c r="E25" s="34">
        <f t="shared" ref="E25" si="1">-E7/E4</f>
        <v>0.61677960636945794</v>
      </c>
      <c r="F25" s="23">
        <f t="shared" si="0"/>
        <v>0.59178332354991858</v>
      </c>
    </row>
    <row r="26" spans="1:6" ht="19.5" x14ac:dyDescent="0.4">
      <c r="A26" s="12" t="s">
        <v>49</v>
      </c>
      <c r="B26" s="34">
        <f>-B10/B4</f>
        <v>1.4687695014577302E-2</v>
      </c>
      <c r="C26" s="34">
        <f t="shared" ref="C26:F26" si="2">-C10/C4</f>
        <v>8.4103792525806517E-3</v>
      </c>
      <c r="D26" s="34">
        <f>-D10/D4</f>
        <v>1.4982410453026991E-2</v>
      </c>
      <c r="E26" s="34">
        <f t="shared" ref="E26" si="3">-E10/E4</f>
        <v>1.0716161360732486E-2</v>
      </c>
      <c r="F26" s="23">
        <f t="shared" si="2"/>
        <v>-3.4558497053689494E-3</v>
      </c>
    </row>
    <row r="27" spans="1:6" ht="19.5" x14ac:dyDescent="0.4">
      <c r="A27" s="15" t="s">
        <v>50</v>
      </c>
      <c r="B27" s="33">
        <f>+B25+B26</f>
        <v>0.54361966584548937</v>
      </c>
      <c r="C27" s="33">
        <f t="shared" ref="C27:F27" si="4">+C25+C26</f>
        <v>0.61577105999864601</v>
      </c>
      <c r="D27" s="33">
        <f>+D25+D26</f>
        <v>0.56505345006555663</v>
      </c>
      <c r="E27" s="33">
        <f t="shared" ref="E27" si="5">+E25+E26</f>
        <v>0.62749576773019045</v>
      </c>
      <c r="F27" s="24">
        <f t="shared" si="4"/>
        <v>0.58832747384454964</v>
      </c>
    </row>
    <row r="28" spans="1:6" ht="19.5" x14ac:dyDescent="0.4">
      <c r="A28" s="12" t="s">
        <v>51</v>
      </c>
      <c r="B28" s="36">
        <f>-(B5+B6)/B4</f>
        <v>0.23110724116639039</v>
      </c>
      <c r="C28" s="36">
        <f t="shared" ref="C28:F28" si="6">-(C5+C6)/C4</f>
        <v>0.23026581411560818</v>
      </c>
      <c r="D28" s="36">
        <f>-(D5+D6)/D4</f>
        <v>0.22145506870982973</v>
      </c>
      <c r="E28" s="36">
        <f t="shared" ref="E28" si="7">-(E5+E6)/E4</f>
        <v>0.22250401549507137</v>
      </c>
      <c r="F28" s="25">
        <f t="shared" si="6"/>
        <v>0.21943284220540915</v>
      </c>
    </row>
    <row r="29" spans="1:6" ht="19.5" x14ac:dyDescent="0.4">
      <c r="A29" s="22" t="s">
        <v>52</v>
      </c>
      <c r="B29" s="48">
        <f>+B27+B28</f>
        <v>0.77472690701187974</v>
      </c>
      <c r="C29" s="48">
        <f t="shared" ref="C29:F29" si="8">+C27+C28</f>
        <v>0.84603687411425421</v>
      </c>
      <c r="D29" s="48">
        <f>+D27+D28</f>
        <v>0.78650851877538641</v>
      </c>
      <c r="E29" s="48">
        <f t="shared" ref="E29" si="9">+E27+E28</f>
        <v>0.84999978322526182</v>
      </c>
      <c r="F29" s="26">
        <f t="shared" si="8"/>
        <v>0.80776031604995879</v>
      </c>
    </row>
    <row r="30" spans="1:6" ht="19.5" x14ac:dyDescent="0.4">
      <c r="A30" s="22"/>
      <c r="B30" s="48"/>
      <c r="C30" s="48"/>
      <c r="D30" s="48"/>
      <c r="E30" s="48"/>
      <c r="F30" s="26"/>
    </row>
    <row r="31" spans="1:6" ht="19.5" x14ac:dyDescent="0.4">
      <c r="A31" s="12" t="s">
        <v>53</v>
      </c>
      <c r="B31" s="50">
        <v>170</v>
      </c>
      <c r="C31" s="50">
        <v>153</v>
      </c>
      <c r="D31" s="50">
        <v>326</v>
      </c>
      <c r="E31" s="50">
        <v>226</v>
      </c>
      <c r="F31" s="32">
        <v>581</v>
      </c>
    </row>
    <row r="32" spans="1:6" ht="19.5" x14ac:dyDescent="0.4">
      <c r="A32" s="12" t="s">
        <v>54</v>
      </c>
      <c r="B32" s="50">
        <v>19</v>
      </c>
      <c r="C32" s="50">
        <v>0</v>
      </c>
      <c r="D32" s="50">
        <v>84</v>
      </c>
      <c r="E32" s="50">
        <v>30</v>
      </c>
      <c r="F32" s="32">
        <v>243</v>
      </c>
    </row>
    <row r="33" spans="1:11" ht="19.5" x14ac:dyDescent="0.4">
      <c r="A33" s="27" t="s">
        <v>55</v>
      </c>
      <c r="B33" s="28">
        <f>+B31/B4</f>
        <v>2.8993543270098728E-2</v>
      </c>
      <c r="C33" s="28">
        <f t="shared" ref="C33:F33" si="10">+C31/C4</f>
        <v>2.7519325431395888E-2</v>
      </c>
      <c r="D33" s="28">
        <f t="shared" si="10"/>
        <v>2.7013485944566054E-2</v>
      </c>
      <c r="E33" s="28">
        <f>+E31/E4</f>
        <v>1.9949920980077761E-2</v>
      </c>
      <c r="F33" s="28">
        <f t="shared" si="10"/>
        <v>2.4713080048045448E-2</v>
      </c>
    </row>
    <row r="34" spans="1:11" ht="19.5" x14ac:dyDescent="0.4">
      <c r="A34" s="27" t="s">
        <v>56</v>
      </c>
      <c r="B34" s="28">
        <f>B32/B4</f>
        <v>3.2404548360698577E-3</v>
      </c>
      <c r="C34" s="28">
        <f t="shared" ref="C34:F34" si="11">C32/C4</f>
        <v>0</v>
      </c>
      <c r="D34" s="28">
        <f t="shared" si="11"/>
        <v>6.9605301206857317E-3</v>
      </c>
      <c r="E34" s="28">
        <f t="shared" si="11"/>
        <v>2.6482195991253668E-3</v>
      </c>
      <c r="F34" s="28">
        <f t="shared" si="11"/>
        <v>1.0336107489974258E-2</v>
      </c>
    </row>
    <row r="35" spans="1:11" ht="19.5" x14ac:dyDescent="0.4">
      <c r="A35" s="29"/>
      <c r="B35" s="51"/>
      <c r="C35" s="51"/>
      <c r="D35" s="51"/>
      <c r="E35" s="51"/>
      <c r="F35" s="30"/>
    </row>
    <row r="36" spans="1:11" ht="15.75" x14ac:dyDescent="0.3">
      <c r="A36" s="22" t="s">
        <v>93</v>
      </c>
      <c r="B36" s="12"/>
      <c r="C36" s="12"/>
      <c r="D36" s="12"/>
      <c r="E36" s="12"/>
      <c r="F36" s="12"/>
    </row>
    <row r="37" spans="1:11" ht="19.5" x14ac:dyDescent="0.4">
      <c r="A37" s="39" t="s">
        <v>57</v>
      </c>
      <c r="B37" s="44">
        <v>4932</v>
      </c>
      <c r="C37" s="44">
        <v>4665</v>
      </c>
      <c r="D37" s="44">
        <v>10156</v>
      </c>
      <c r="E37" s="44">
        <v>9494</v>
      </c>
      <c r="F37" s="44">
        <v>19800</v>
      </c>
      <c r="H37" s="35"/>
      <c r="I37" s="53"/>
      <c r="J37" s="35"/>
      <c r="K37" s="35"/>
    </row>
    <row r="38" spans="1:11" ht="19.5" x14ac:dyDescent="0.4">
      <c r="A38" s="12" t="s">
        <v>58</v>
      </c>
      <c r="B38" s="45">
        <v>-3772</v>
      </c>
      <c r="C38" s="45">
        <v>-3898</v>
      </c>
      <c r="D38" s="45">
        <v>-7937</v>
      </c>
      <c r="E38" s="45">
        <v>-7973</v>
      </c>
      <c r="F38" s="45">
        <v>-15875</v>
      </c>
      <c r="H38" s="35"/>
      <c r="I38" s="53"/>
      <c r="J38" s="35"/>
      <c r="K38" s="35"/>
    </row>
    <row r="39" spans="1:11" ht="19.5" x14ac:dyDescent="0.4">
      <c r="A39" s="31" t="s">
        <v>59</v>
      </c>
      <c r="B39" s="37">
        <f>-B38/B37</f>
        <v>0.76480129764801297</v>
      </c>
      <c r="C39" s="37">
        <f>-C38/C37</f>
        <v>0.8355841371918542</v>
      </c>
      <c r="D39" s="37">
        <f>-D38/D37</f>
        <v>0.78150846790074835</v>
      </c>
      <c r="E39" s="37">
        <f>-E38/E37</f>
        <v>0.83979355382346743</v>
      </c>
      <c r="F39" s="37">
        <f>-F38/F37</f>
        <v>0.8017676767676768</v>
      </c>
      <c r="H39" s="35"/>
      <c r="I39" s="53"/>
      <c r="J39" s="35"/>
      <c r="K39" s="35"/>
    </row>
    <row r="40" spans="1:11" ht="19.5" x14ac:dyDescent="0.4">
      <c r="A40" s="12"/>
      <c r="B40" s="28"/>
      <c r="C40" s="28"/>
      <c r="D40" s="28"/>
      <c r="E40" s="28"/>
      <c r="F40" s="28"/>
      <c r="H40" s="35"/>
      <c r="I40" s="53"/>
    </row>
    <row r="41" spans="1:11" ht="19.5" x14ac:dyDescent="0.4">
      <c r="A41" s="39" t="s">
        <v>60</v>
      </c>
      <c r="B41" s="44">
        <v>932</v>
      </c>
      <c r="C41" s="44">
        <v>895</v>
      </c>
      <c r="D41" s="44">
        <v>1912</v>
      </c>
      <c r="E41" s="44">
        <v>1828</v>
      </c>
      <c r="F41" s="44">
        <v>3710</v>
      </c>
      <c r="H41" s="35"/>
      <c r="I41" s="53"/>
    </row>
    <row r="42" spans="1:11" ht="19.5" x14ac:dyDescent="0.4">
      <c r="A42" s="12" t="s">
        <v>61</v>
      </c>
      <c r="B42" s="45">
        <v>-771</v>
      </c>
      <c r="C42" s="45">
        <v>-806</v>
      </c>
      <c r="D42" s="45">
        <v>-1554</v>
      </c>
      <c r="E42" s="45">
        <v>-1649</v>
      </c>
      <c r="F42" s="45">
        <v>-3115</v>
      </c>
    </row>
    <row r="43" spans="1:11" ht="19.5" x14ac:dyDescent="0.4">
      <c r="A43" s="31" t="s">
        <v>62</v>
      </c>
      <c r="B43" s="37">
        <f>-B42/B41</f>
        <v>0.82725321888412018</v>
      </c>
      <c r="C43" s="37">
        <f>-C42/C41</f>
        <v>0.90055865921787714</v>
      </c>
      <c r="D43" s="37">
        <f>-D42/D41</f>
        <v>0.81276150627615062</v>
      </c>
      <c r="E43" s="37">
        <f>-E42/E41</f>
        <v>0.90207877461706787</v>
      </c>
      <c r="F43" s="37">
        <f>-F42/F41</f>
        <v>0.839622641509434</v>
      </c>
    </row>
    <row r="44" spans="1:11" ht="15.75" x14ac:dyDescent="0.3">
      <c r="A44" s="12"/>
      <c r="B44" s="12"/>
      <c r="C44" s="12"/>
      <c r="D44" s="12"/>
      <c r="E44" s="12"/>
      <c r="F44" s="12"/>
    </row>
    <row r="45" spans="1:11" ht="19.5" x14ac:dyDescent="0.4">
      <c r="A45" s="12" t="s">
        <v>97</v>
      </c>
      <c r="B45" s="13">
        <f>+Data!O12</f>
        <v>17903.827416669999</v>
      </c>
      <c r="C45" s="13">
        <v>17033</v>
      </c>
      <c r="D45" s="13">
        <f>+Data!O12</f>
        <v>17903.827416669999</v>
      </c>
      <c r="E45" s="13">
        <f>+Data!J12</f>
        <v>17033.191321409995</v>
      </c>
      <c r="F45" s="13">
        <v>19279</v>
      </c>
    </row>
    <row r="46" spans="1:11" ht="19.5" x14ac:dyDescent="0.4">
      <c r="A46" s="12" t="s">
        <v>88</v>
      </c>
      <c r="B46" s="13">
        <v>0</v>
      </c>
      <c r="C46" s="13"/>
      <c r="D46" s="13"/>
      <c r="E46" s="13"/>
      <c r="F46" s="13">
        <v>3746</v>
      </c>
    </row>
    <row r="47" spans="1:11" ht="19.5" x14ac:dyDescent="0.4">
      <c r="A47" s="15" t="s">
        <v>89</v>
      </c>
      <c r="B47" s="16">
        <f>+B45-B46</f>
        <v>17903.827416669999</v>
      </c>
      <c r="C47" s="16">
        <f>+C45</f>
        <v>17033</v>
      </c>
      <c r="D47" s="16">
        <f>+D45</f>
        <v>17903.827416669999</v>
      </c>
      <c r="E47" s="16">
        <f>+E45</f>
        <v>17033.191321409995</v>
      </c>
      <c r="F47" s="16">
        <f>+F45-F46</f>
        <v>15533</v>
      </c>
    </row>
    <row r="48" spans="1:11" ht="19.5" x14ac:dyDescent="0.4">
      <c r="A48" s="12" t="s">
        <v>64</v>
      </c>
      <c r="B48" s="13">
        <f>+Data!O13</f>
        <v>-4022</v>
      </c>
      <c r="C48" s="13">
        <f>+Data!J13</f>
        <v>-4021.91560041</v>
      </c>
      <c r="D48" s="13">
        <f>+Data!O13</f>
        <v>-4022</v>
      </c>
      <c r="E48" s="13">
        <f>+Data!J13</f>
        <v>-4021.91560041</v>
      </c>
      <c r="F48" s="13">
        <f>+Data!M13</f>
        <v>-4022</v>
      </c>
    </row>
    <row r="49" spans="1:8" ht="19.5" x14ac:dyDescent="0.4">
      <c r="A49" s="12" t="s">
        <v>65</v>
      </c>
      <c r="B49" s="13">
        <f>+Data!O14</f>
        <v>-1619.23</v>
      </c>
      <c r="C49" s="13">
        <f>+Data!J14</f>
        <v>-2090.1166666500003</v>
      </c>
      <c r="D49" s="13">
        <f>+Data!O14</f>
        <v>-1619.23</v>
      </c>
      <c r="E49" s="13">
        <f>+Data!J14</f>
        <v>-2090.1166666500003</v>
      </c>
      <c r="F49" s="13">
        <f>+Data!M14</f>
        <v>-1855</v>
      </c>
    </row>
    <row r="50" spans="1:8" ht="19.5" x14ac:dyDescent="0.4">
      <c r="A50" s="12" t="s">
        <v>66</v>
      </c>
      <c r="B50" s="13">
        <f>+Data!O15</f>
        <v>404.55799999999999</v>
      </c>
      <c r="C50" s="13">
        <f>+Data!J15</f>
        <v>522.27916665999987</v>
      </c>
      <c r="D50" s="13">
        <f>+Data!O15</f>
        <v>404.55799999999999</v>
      </c>
      <c r="E50" s="13">
        <f>+Data!J15</f>
        <v>522.27916665999987</v>
      </c>
      <c r="F50" s="13">
        <f>+Data!M15</f>
        <v>464</v>
      </c>
    </row>
    <row r="51" spans="1:8" ht="19.5" x14ac:dyDescent="0.4">
      <c r="A51" s="15" t="s">
        <v>90</v>
      </c>
      <c r="B51" s="16">
        <f>+SUM(B47:B50)</f>
        <v>12667.155416670001</v>
      </c>
      <c r="C51" s="16">
        <f>+SUM(C47:C50)</f>
        <v>11443.246899600001</v>
      </c>
      <c r="D51" s="16">
        <f>+SUM(D47:D50)</f>
        <v>12667.155416670001</v>
      </c>
      <c r="E51" s="16">
        <f>+Data!J16</f>
        <v>11443.438221009996</v>
      </c>
      <c r="F51" s="16">
        <f>+SUM(F47:F50)</f>
        <v>10120</v>
      </c>
    </row>
    <row r="52" spans="1:8" ht="19.5" x14ac:dyDescent="0.4">
      <c r="A52" s="12" t="s">
        <v>91</v>
      </c>
      <c r="B52" s="13">
        <f>+AVERAGE(B51,Data!N16)</f>
        <v>11869.550708335</v>
      </c>
      <c r="C52" s="13">
        <f>+AVERAGE(C51,Data!I16)</f>
        <v>10963.586285065001</v>
      </c>
      <c r="D52" s="13">
        <f>+AVERAGE(D51,Data!M16)</f>
        <v>11393.610690004996</v>
      </c>
      <c r="E52" s="13">
        <f>+AVERAGE(E51,Data!H16)</f>
        <v>10684.998538574997</v>
      </c>
      <c r="F52" s="13">
        <f>+AVERAGE(F51,Data!H16)</f>
        <v>10023.27942807</v>
      </c>
      <c r="H52" s="35"/>
    </row>
    <row r="53" spans="1:8" ht="19.5" x14ac:dyDescent="0.4">
      <c r="A53" s="15" t="s">
        <v>68</v>
      </c>
      <c r="B53" s="16">
        <f>+AVERAGE(Data!O12,Data!N12)</f>
        <v>17150.413708335</v>
      </c>
      <c r="C53" s="16">
        <f>+AVERAGE(C47,Data!I12)</f>
        <v>16597.484697964999</v>
      </c>
      <c r="D53" s="16">
        <f>+AVERAGE(Data!M12,Data!O12)</f>
        <v>16718.413708335</v>
      </c>
      <c r="E53" s="16">
        <f>+AVERAGE(E47,Data!H12)</f>
        <v>16294.595660704997</v>
      </c>
      <c r="F53" s="16">
        <f>+AVERAGE(F47,Data!H12)</f>
        <v>15544.5</v>
      </c>
      <c r="H53" s="35"/>
    </row>
    <row r="54" spans="1:8" ht="19.5" x14ac:dyDescent="0.4">
      <c r="A54" s="12" t="s">
        <v>69</v>
      </c>
      <c r="B54" s="36">
        <f>+(Data!O4/B53)*4</f>
        <v>0.32185812505020289</v>
      </c>
      <c r="C54" s="36">
        <f>+(Data!J4/Avstemminger!C53)*4</f>
        <v>0.20485031689270788</v>
      </c>
      <c r="D54" s="36">
        <f>+(((Data!N4+Data!O4)/Avstemminger!D53))/6*12</f>
        <v>0.2695231783714937</v>
      </c>
      <c r="E54" s="36">
        <f>+(Data!I4+Data!J4)/(Avstemminger!E53)*2</f>
        <v>0.17870955871721275</v>
      </c>
      <c r="F54" s="34">
        <f>+Data!M4/Avstemminger!F53</f>
        <v>0.23558171700601499</v>
      </c>
    </row>
    <row r="55" spans="1:8" ht="19.5" x14ac:dyDescent="0.4">
      <c r="A55" s="12" t="s">
        <v>70</v>
      </c>
      <c r="B55" s="28">
        <f>+(B18/B52)*4</f>
        <v>0.49489326389035576</v>
      </c>
      <c r="C55" s="38">
        <f>+(C18/C52)*4</f>
        <v>0.34241579006259776</v>
      </c>
      <c r="D55" s="38">
        <f>+(D18/D52)/6*12</f>
        <v>0.42656781722439807</v>
      </c>
      <c r="E55" s="38">
        <f>+(E18/E52)*2</f>
        <v>0.31429752781677783</v>
      </c>
      <c r="F55" s="38">
        <f>+F18/F52</f>
        <v>0.40517010681921922</v>
      </c>
    </row>
    <row r="56" spans="1:8" ht="15.75" x14ac:dyDescent="0.3">
      <c r="B56" s="12"/>
      <c r="C56" s="12"/>
      <c r="D56" s="12"/>
      <c r="E56" s="12"/>
      <c r="F56" s="12"/>
    </row>
    <row r="57" spans="1:8" ht="15.75" x14ac:dyDescent="0.3">
      <c r="A57" s="12"/>
    </row>
    <row r="58" spans="1:8" ht="15.75" x14ac:dyDescent="0.3">
      <c r="A58" s="12" t="s">
        <v>71</v>
      </c>
    </row>
    <row r="59" spans="1:8" ht="15.75" x14ac:dyDescent="0.3">
      <c r="A59" s="12" t="s">
        <v>72</v>
      </c>
    </row>
    <row r="60" spans="1:8" ht="15.75" x14ac:dyDescent="0.3">
      <c r="A60" s="12" t="s">
        <v>73</v>
      </c>
    </row>
    <row r="61" spans="1:8" ht="31.5" x14ac:dyDescent="0.3">
      <c r="A61" s="40" t="s">
        <v>94</v>
      </c>
    </row>
    <row r="62" spans="1:8" ht="15.75" x14ac:dyDescent="0.3">
      <c r="A62" s="12"/>
    </row>
    <row r="63" spans="1:8" ht="15.75" x14ac:dyDescent="0.3">
      <c r="A63" s="12" t="s">
        <v>87</v>
      </c>
    </row>
  </sheetData>
  <pageMargins left="0.7" right="0.7" top="0.75" bottom="0.75" header="0.3" footer="0.3"/>
  <headerFooter>
    <oddHeader>&amp;R&amp;"Aptos"&amp;12&amp;K000000 INTERN&amp;1#_x000D_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E245-BBEA-4507-9157-530F6C67CD29}">
  <dimension ref="A1:O18"/>
  <sheetViews>
    <sheetView showGridLines="0" workbookViewId="0">
      <selection activeCell="A30" sqref="A30"/>
    </sheetView>
  </sheetViews>
  <sheetFormatPr defaultRowHeight="19.5" x14ac:dyDescent="0.4"/>
  <cols>
    <col min="1" max="1" width="81.42578125" style="1" bestFit="1" customWidth="1"/>
    <col min="2" max="2" width="11.5703125" style="1" customWidth="1"/>
    <col min="3" max="3" width="11.85546875" style="1" bestFit="1" customWidth="1"/>
    <col min="4" max="4" width="10.42578125" style="1" customWidth="1"/>
    <col min="5" max="5" width="11.140625" style="1" customWidth="1"/>
    <col min="6" max="6" width="12.42578125" style="1" customWidth="1"/>
    <col min="7" max="7" width="12.140625" style="1" customWidth="1"/>
    <col min="8" max="8" width="11.85546875" style="1" customWidth="1"/>
    <col min="9" max="9" width="10.140625" style="1" customWidth="1"/>
    <col min="10" max="10" width="9.42578125" style="1" customWidth="1"/>
    <col min="11" max="11" width="9.140625" style="1" customWidth="1"/>
    <col min="12" max="12" width="10.140625" style="1" bestFit="1" customWidth="1"/>
    <col min="13" max="13" width="11.7109375" style="1" bestFit="1" customWidth="1"/>
    <col min="14" max="14" width="10.140625" style="1" customWidth="1"/>
    <col min="15" max="15" width="12.5703125" style="1" bestFit="1" customWidth="1"/>
    <col min="16" max="16384" width="9.140625" style="1"/>
  </cols>
  <sheetData>
    <row r="1" spans="1:15" x14ac:dyDescent="0.4">
      <c r="A1" s="41" t="s">
        <v>74</v>
      </c>
      <c r="B1" s="41" t="s">
        <v>75</v>
      </c>
      <c r="C1" s="46">
        <v>45291</v>
      </c>
      <c r="D1" s="41" t="s">
        <v>76</v>
      </c>
      <c r="E1" s="41" t="s">
        <v>77</v>
      </c>
      <c r="F1" s="41" t="s">
        <v>78</v>
      </c>
      <c r="G1" s="41" t="s">
        <v>79</v>
      </c>
      <c r="H1" s="46">
        <v>45657</v>
      </c>
      <c r="I1" s="41" t="s">
        <v>80</v>
      </c>
      <c r="J1" s="41" t="s">
        <v>81</v>
      </c>
      <c r="K1" s="41" t="s">
        <v>82</v>
      </c>
      <c r="L1" s="41" t="s">
        <v>83</v>
      </c>
      <c r="M1" s="46">
        <v>46022</v>
      </c>
      <c r="N1" s="41" t="s">
        <v>92</v>
      </c>
      <c r="O1" s="41" t="s">
        <v>100</v>
      </c>
    </row>
    <row r="2" spans="1:15" x14ac:dyDescent="0.4">
      <c r="A2" s="12" t="s">
        <v>84</v>
      </c>
      <c r="B2" s="21">
        <v>4018</v>
      </c>
      <c r="C2" s="21">
        <v>15607</v>
      </c>
      <c r="D2" s="21">
        <v>4293</v>
      </c>
      <c r="E2" s="21">
        <v>4008</v>
      </c>
      <c r="F2" s="21">
        <v>5445</v>
      </c>
      <c r="G2" s="21">
        <v>5530.7780802999996</v>
      </c>
      <c r="H2" s="21">
        <v>19276.03507089</v>
      </c>
      <c r="I2" s="21">
        <v>5769</v>
      </c>
      <c r="J2" s="21">
        <v>5560</v>
      </c>
      <c r="K2" s="21">
        <v>6047</v>
      </c>
      <c r="L2" s="21">
        <v>6134.26649026</v>
      </c>
      <c r="M2" s="21">
        <v>23509.81742747</v>
      </c>
      <c r="N2" s="21">
        <v>6205</v>
      </c>
      <c r="O2" s="21">
        <v>5863</v>
      </c>
    </row>
    <row r="3" spans="1:15" x14ac:dyDescent="0.4">
      <c r="A3" s="12"/>
      <c r="B3" s="21"/>
      <c r="C3" s="21"/>
      <c r="H3" s="21"/>
      <c r="I3" s="21"/>
      <c r="J3" s="21"/>
      <c r="K3" s="21"/>
      <c r="L3" s="21"/>
      <c r="M3" s="21"/>
      <c r="N3" s="21"/>
    </row>
    <row r="4" spans="1:15" x14ac:dyDescent="0.4">
      <c r="A4" s="12" t="s">
        <v>85</v>
      </c>
      <c r="B4" s="21">
        <v>912</v>
      </c>
      <c r="C4" s="21">
        <v>1110</v>
      </c>
      <c r="D4" s="21">
        <v>206</v>
      </c>
      <c r="E4" s="21">
        <v>388</v>
      </c>
      <c r="F4" s="21">
        <v>825</v>
      </c>
      <c r="G4" s="21">
        <v>730</v>
      </c>
      <c r="H4" s="21">
        <v>2148</v>
      </c>
      <c r="I4" s="21">
        <v>606</v>
      </c>
      <c r="J4" s="21">
        <v>850</v>
      </c>
      <c r="K4" s="21">
        <v>1161</v>
      </c>
      <c r="L4" s="21">
        <v>1044</v>
      </c>
      <c r="M4" s="21">
        <v>3662</v>
      </c>
      <c r="N4" s="21">
        <v>873</v>
      </c>
      <c r="O4" s="21">
        <v>1380</v>
      </c>
    </row>
    <row r="5" spans="1:15" x14ac:dyDescent="0.4">
      <c r="A5" s="12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5" x14ac:dyDescent="0.4">
      <c r="A6" s="12" t="s">
        <v>86</v>
      </c>
      <c r="B6" s="21">
        <v>15829</v>
      </c>
      <c r="C6" s="21">
        <v>15829</v>
      </c>
      <c r="D6" s="21">
        <v>16480</v>
      </c>
      <c r="E6" s="21">
        <v>16743</v>
      </c>
      <c r="F6" s="21">
        <v>21472</v>
      </c>
      <c r="G6" s="21">
        <v>21852</v>
      </c>
      <c r="H6" s="21">
        <v>21852</v>
      </c>
      <c r="I6" s="21">
        <v>22535</v>
      </c>
      <c r="J6" s="21">
        <v>23265</v>
      </c>
      <c r="K6" s="21">
        <v>23988</v>
      </c>
      <c r="L6" s="21">
        <v>24402</v>
      </c>
      <c r="M6" s="21">
        <v>24402</v>
      </c>
      <c r="N6" s="21">
        <v>24261</v>
      </c>
      <c r="O6" s="21">
        <v>24605</v>
      </c>
    </row>
    <row r="7" spans="1:15" x14ac:dyDescent="0.4">
      <c r="A7" s="12"/>
      <c r="B7" s="21"/>
      <c r="C7" s="21"/>
      <c r="F7" s="21"/>
      <c r="G7" s="21"/>
      <c r="H7" s="21"/>
      <c r="I7" s="21"/>
      <c r="J7" s="21"/>
      <c r="K7" s="21"/>
      <c r="L7" s="21"/>
      <c r="M7" s="21"/>
      <c r="N7" s="21"/>
    </row>
    <row r="8" spans="1:15" x14ac:dyDescent="0.4">
      <c r="A8" s="12"/>
      <c r="B8" s="21"/>
      <c r="C8" s="21"/>
      <c r="F8" s="21"/>
      <c r="G8" s="21"/>
      <c r="H8" s="21"/>
      <c r="I8" s="21"/>
      <c r="J8" s="21"/>
      <c r="K8" s="21"/>
      <c r="L8" s="21"/>
      <c r="M8" s="21"/>
      <c r="N8" s="21"/>
    </row>
    <row r="9" spans="1:15" x14ac:dyDescent="0.4">
      <c r="A9" s="12"/>
    </row>
    <row r="10" spans="1:15" x14ac:dyDescent="0.4">
      <c r="A10" s="12" t="s">
        <v>95</v>
      </c>
      <c r="G10" s="21">
        <v>18089</v>
      </c>
      <c r="H10" s="21">
        <v>18089</v>
      </c>
      <c r="I10" s="21">
        <v>18695</v>
      </c>
      <c r="L10" s="13">
        <v>19279</v>
      </c>
      <c r="M10" s="13">
        <v>19279</v>
      </c>
      <c r="N10" s="13">
        <v>20143</v>
      </c>
    </row>
    <row r="11" spans="1:15" x14ac:dyDescent="0.4">
      <c r="A11" s="12" t="s">
        <v>88</v>
      </c>
      <c r="G11" s="21">
        <v>2533</v>
      </c>
      <c r="H11" s="21">
        <v>2533</v>
      </c>
      <c r="I11" s="21">
        <v>2533</v>
      </c>
      <c r="L11" s="13">
        <v>3746</v>
      </c>
      <c r="M11" s="13">
        <v>3746</v>
      </c>
      <c r="N11" s="13">
        <v>3746</v>
      </c>
    </row>
    <row r="12" spans="1:15" x14ac:dyDescent="0.4">
      <c r="A12" s="12" t="s">
        <v>63</v>
      </c>
      <c r="B12" s="21">
        <v>9114</v>
      </c>
      <c r="C12" s="21">
        <v>9114</v>
      </c>
      <c r="D12" s="21">
        <v>9319</v>
      </c>
      <c r="E12" s="21">
        <v>9669</v>
      </c>
      <c r="F12" s="21">
        <v>17544.068315299995</v>
      </c>
      <c r="G12" s="21">
        <v>15556</v>
      </c>
      <c r="H12" s="21">
        <v>15556</v>
      </c>
      <c r="I12" s="21">
        <v>16161.96939593</v>
      </c>
      <c r="J12" s="21">
        <v>17033.191321409995</v>
      </c>
      <c r="K12" s="21">
        <v>18215.760988309998</v>
      </c>
      <c r="L12" s="21">
        <v>15533</v>
      </c>
      <c r="M12" s="21">
        <v>15533</v>
      </c>
      <c r="N12" s="21">
        <f>+N10-N11</f>
        <v>16397</v>
      </c>
      <c r="O12" s="21">
        <v>17903.827416669999</v>
      </c>
    </row>
    <row r="13" spans="1:15" x14ac:dyDescent="0.4">
      <c r="A13" s="12" t="s">
        <v>64</v>
      </c>
      <c r="F13" s="21">
        <v>-3884.4015408999999</v>
      </c>
      <c r="G13" s="21">
        <v>-3884.4015408999999</v>
      </c>
      <c r="H13" s="21">
        <v>-3884.4015408999999</v>
      </c>
      <c r="I13" s="21">
        <v>-4021.91560041</v>
      </c>
      <c r="J13" s="21">
        <v>-4021.91560041</v>
      </c>
      <c r="K13" s="21">
        <v>-4021.91560041</v>
      </c>
      <c r="L13" s="21">
        <v>-4022</v>
      </c>
      <c r="M13" s="21">
        <v>-4022</v>
      </c>
      <c r="N13" s="21">
        <v>-4022</v>
      </c>
      <c r="O13" s="21">
        <v>-4022</v>
      </c>
    </row>
    <row r="14" spans="1:15" x14ac:dyDescent="0.4">
      <c r="A14" s="12" t="s">
        <v>65</v>
      </c>
      <c r="F14" s="21">
        <v>-2443.2791666599996</v>
      </c>
      <c r="G14" s="21">
        <v>-2325.5583333300001</v>
      </c>
      <c r="H14" s="21">
        <v>-2325.5583333300001</v>
      </c>
      <c r="I14" s="21">
        <v>-2207.8374999899997</v>
      </c>
      <c r="J14" s="21">
        <v>-2090.1166666500003</v>
      </c>
      <c r="K14" s="21">
        <v>-1972.3958333100002</v>
      </c>
      <c r="L14" s="21">
        <v>-1855</v>
      </c>
      <c r="M14" s="21">
        <v>-1855</v>
      </c>
      <c r="N14" s="21">
        <v>-1736.954</v>
      </c>
      <c r="O14" s="21">
        <v>-1619.23</v>
      </c>
    </row>
    <row r="15" spans="1:15" x14ac:dyDescent="0.4">
      <c r="A15" s="12" t="s">
        <v>66</v>
      </c>
      <c r="F15" s="21">
        <v>610.56979140999999</v>
      </c>
      <c r="G15" s="21">
        <v>580.79599999999994</v>
      </c>
      <c r="H15" s="21">
        <v>580.79599999999994</v>
      </c>
      <c r="I15" s="21">
        <v>551.70937499999991</v>
      </c>
      <c r="J15" s="21">
        <v>522.27916665999987</v>
      </c>
      <c r="K15" s="21">
        <v>492.84895832999985</v>
      </c>
      <c r="L15" s="21">
        <v>464</v>
      </c>
      <c r="M15" s="21">
        <v>464</v>
      </c>
      <c r="N15" s="21">
        <v>433.9</v>
      </c>
      <c r="O15" s="21">
        <v>404.55799999999999</v>
      </c>
    </row>
    <row r="16" spans="1:15" x14ac:dyDescent="0.4">
      <c r="A16" s="15" t="s">
        <v>67</v>
      </c>
      <c r="B16" s="42"/>
      <c r="C16" s="42"/>
      <c r="D16" s="42"/>
      <c r="E16" s="42"/>
      <c r="F16" s="43">
        <v>11826.957399149996</v>
      </c>
      <c r="G16" s="43">
        <v>9926.55885614</v>
      </c>
      <c r="H16" s="43">
        <v>9926.55885614</v>
      </c>
      <c r="I16" s="43">
        <v>10483.925670530001</v>
      </c>
      <c r="J16" s="43">
        <v>11443.438221009996</v>
      </c>
      <c r="K16" s="43">
        <v>12714.298512919999</v>
      </c>
      <c r="L16" s="43">
        <v>10120.065963339992</v>
      </c>
      <c r="M16" s="43">
        <v>10120.065963339992</v>
      </c>
      <c r="N16" s="43">
        <f>+N12+N13+N14+N15</f>
        <v>11071.946</v>
      </c>
      <c r="O16" s="43">
        <f>+O12+O13+O14+O15</f>
        <v>12667.155416670001</v>
      </c>
    </row>
    <row r="18" spans="1:1" x14ac:dyDescent="0.4">
      <c r="A18" s="49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C2C58E1F55942BF8F81B4ED840E4B" ma:contentTypeVersion="16" ma:contentTypeDescription="Create a new document." ma:contentTypeScope="" ma:versionID="5a179d31fc0721161636bbf372f0eefe">
  <xsd:schema xmlns:xsd="http://www.w3.org/2001/XMLSchema" xmlns:xs="http://www.w3.org/2001/XMLSchema" xmlns:p="http://schemas.microsoft.com/office/2006/metadata/properties" xmlns:ns2="aa711e6f-5281-4845-aa92-d7a45703e8c9" xmlns:ns3="50306868-6be9-452c-8683-d1dc490ceee0" targetNamespace="http://schemas.microsoft.com/office/2006/metadata/properties" ma:root="true" ma:fieldsID="e7f7c0a66d0b3d7eefcb40b074c0d2fd" ns2:_="" ns3:_="">
    <xsd:import namespace="aa711e6f-5281-4845-aa92-d7a45703e8c9"/>
    <xsd:import namespace="50306868-6be9-452c-8683-d1dc490cee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11e6f-5281-4845-aa92-d7a45703e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6ec7d43-4eba-44ea-b719-d98426e322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06868-6be9-452c-8683-d1dc490cee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f1e79fa-2501-4e17-a663-95f2c8ddab11}" ma:internalName="TaxCatchAll" ma:showField="CatchAllData" ma:web="50306868-6be9-452c-8683-d1dc490cee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711e6f-5281-4845-aa92-d7a45703e8c9">
      <Terms xmlns="http://schemas.microsoft.com/office/infopath/2007/PartnerControls"/>
    </lcf76f155ced4ddcb4097134ff3c332f>
    <TaxCatchAll xmlns="50306868-6be9-452c-8683-d1dc490ceee0" xsi:nil="true"/>
  </documentManagement>
</p:properties>
</file>

<file path=customXml/itemProps1.xml><?xml version="1.0" encoding="utf-8"?>
<ds:datastoreItem xmlns:ds="http://schemas.openxmlformats.org/officeDocument/2006/customXml" ds:itemID="{8D7E854D-73ED-4D8A-8487-DE6D4E6061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F2CC44-34AC-437A-8460-6121BFC5EB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11e6f-5281-4845-aa92-d7a45703e8c9"/>
    <ds:schemaRef ds:uri="50306868-6be9-452c-8683-d1dc490cee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8C7955-E6D2-4769-8ACA-20987503E24B}">
  <ds:schemaRefs>
    <ds:schemaRef ds:uri="http://schemas.microsoft.com/office/2006/metadata/properties"/>
    <ds:schemaRef ds:uri="http://schemas.microsoft.com/office/infopath/2007/PartnerControls"/>
    <ds:schemaRef ds:uri="aa711e6f-5281-4845-aa92-d7a45703e8c9"/>
    <ds:schemaRef ds:uri="50306868-6be9-452c-8683-d1dc490ceee0"/>
  </ds:schemaRefs>
</ds:datastoreItem>
</file>

<file path=docMetadata/LabelInfo.xml><?xml version="1.0" encoding="utf-8"?>
<clbl:labelList xmlns:clbl="http://schemas.microsoft.com/office/2020/mipLabelMetadata">
  <clbl:label id="{8330e813-b26a-43e2-bb91-e517359f3ed4}" enabled="1" method="Privileged" siteId="{273051d7-ce03-4594-b66d-0c68e4c778c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Definisjoner</vt:lpstr>
      <vt:lpstr>Avstemminger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Herigstad</dc:creator>
  <cp:keywords/>
  <dc:description/>
  <cp:lastModifiedBy>Karina Herigstad</cp:lastModifiedBy>
  <cp:revision/>
  <dcterms:created xsi:type="dcterms:W3CDTF">2026-02-25T14:51:28Z</dcterms:created>
  <dcterms:modified xsi:type="dcterms:W3CDTF">2026-07-10T07:40:58Z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0x010100DCEC2C58E1F55942BF8F81B4ED840E4B</vt:lpwstr>
  </property>
  <property fmtid="{D5CDD505-2E9C-101B-9397-08002B2CF9AE}" pid="3" name="MediaServiceImageTags">
    <vt:lpwstr/>
  </property>
</Properties>
</file>