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11/relationships/webextensiontaskpanes" Target="xl/webextensions/taskpanes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thzilla1.sharepoint.com/sites/ETHZillaSharepoint/Shared Documents/Deals/CFM Engines/07_Tokenization/Engine Token Launch Prep/Models/"/>
    </mc:Choice>
  </mc:AlternateContent>
  <xr:revisionPtr revIDLastSave="32" documentId="8_{140E95D1-9EEC-4B15-AAA5-ACD29E5D9DDD}" xr6:coauthVersionLast="47" xr6:coauthVersionMax="47" xr10:uidLastSave="{676366CB-ED52-4ABD-8254-92305E00347F}"/>
  <bookViews>
    <workbookView xWindow="-76905" yWindow="0" windowWidth="38610" windowHeight="20985" activeTab="1" xr2:uid="{00000000-000D-0000-FFFF-FFFF00000000}"/>
  </bookViews>
  <sheets>
    <sheet name="Token cash flow" sheetId="37" r:id="rId1"/>
    <sheet name="OpCo Cash Flow" sheetId="23" r:id="rId2"/>
    <sheet name="890XXX" sheetId="21" r:id="rId3"/>
    <sheet name="892XXX" sheetId="22" r:id="rId4"/>
  </sheets>
  <definedNames>
    <definedName name="MLNK1e83c94f0dce4c21ba6039ed0deb2a8f" hidden="1">#REF!</definedName>
    <definedName name="MLNK1f595364312b4ddd8cf5004ab2d652ab" hidden="1">#REF!</definedName>
    <definedName name="MLNK855c4ec4b29644a2946a12d0a7cd5e05" hidden="1">'Token cash flow'!$C$16</definedName>
    <definedName name="MLNK9335067f8efe413c9acece8c884f05f2" hidden="1">#REF!</definedName>
    <definedName name="MLNK9556e63a126746f6a964a785ad72a800" hidden="1">#REF!</definedName>
    <definedName name="MLNKcacdcc4e25c34411a801033083936116" hidden="1">'Token cash flow'!$1:$1048576</definedName>
  </definedNames>
  <calcPr calcId="191028" calcMode="autoNoTable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37" l="1"/>
  <c r="J23" i="23" l="1"/>
  <c r="J29" i="23"/>
  <c r="E3" i="23"/>
  <c r="L5" i="23" l="1"/>
  <c r="M5" i="23" s="1"/>
  <c r="N5" i="23" s="1"/>
  <c r="O5" i="23" s="1"/>
  <c r="P5" i="23" s="1"/>
  <c r="Q5" i="23" s="1"/>
  <c r="R5" i="23" s="1"/>
  <c r="S5" i="23" s="1"/>
  <c r="T5" i="23" s="1"/>
  <c r="U5" i="23" s="1"/>
  <c r="V5" i="23" s="1"/>
  <c r="W5" i="23" s="1"/>
  <c r="X5" i="23" s="1"/>
  <c r="Y5" i="23" s="1"/>
  <c r="Z5" i="23" s="1"/>
  <c r="AA5" i="23" s="1"/>
  <c r="AB5" i="23" s="1"/>
  <c r="AC5" i="23" s="1"/>
  <c r="AD5" i="23" s="1"/>
  <c r="AE5" i="23" s="1"/>
  <c r="AF5" i="23" s="1"/>
  <c r="AG5" i="23" s="1"/>
  <c r="AH5" i="23" s="1"/>
  <c r="AI5" i="23" s="1"/>
  <c r="AJ5" i="23" s="1"/>
  <c r="AK5" i="23" s="1"/>
  <c r="AL5" i="23" s="1"/>
  <c r="AM5" i="23" s="1"/>
  <c r="AN5" i="23" s="1"/>
  <c r="AO5" i="23" s="1"/>
  <c r="AP5" i="23" s="1"/>
  <c r="AQ5" i="23" s="1"/>
  <c r="AR5" i="23" s="1"/>
  <c r="AS5" i="23" s="1"/>
  <c r="AT5" i="23" s="1"/>
  <c r="AU5" i="23" s="1"/>
  <c r="AV5" i="23" s="1"/>
  <c r="AW5" i="23" s="1"/>
  <c r="AX5" i="23" s="1"/>
  <c r="AY5" i="23" s="1"/>
  <c r="AZ5" i="23" s="1"/>
  <c r="BA5" i="23" s="1"/>
  <c r="BB5" i="23" s="1"/>
  <c r="BC5" i="23" s="1"/>
  <c r="BD5" i="23" s="1"/>
  <c r="BE5" i="23" s="1"/>
  <c r="BF5" i="23" s="1"/>
  <c r="E6" i="37" l="1"/>
  <c r="L37" i="23"/>
  <c r="M37" i="23" s="1"/>
  <c r="N37" i="23" s="1"/>
  <c r="O37" i="23" s="1"/>
  <c r="P37" i="23" s="1"/>
  <c r="Q37" i="23" s="1"/>
  <c r="R37" i="23" s="1"/>
  <c r="S37" i="23" s="1"/>
  <c r="T37" i="23" s="1"/>
  <c r="U37" i="23" s="1"/>
  <c r="V37" i="23" s="1"/>
  <c r="W37" i="23" s="1"/>
  <c r="X37" i="23" s="1"/>
  <c r="Y37" i="23" s="1"/>
  <c r="Z37" i="23" s="1"/>
  <c r="AA37" i="23" s="1"/>
  <c r="AB37" i="23" s="1"/>
  <c r="AC37" i="23" s="1"/>
  <c r="AD37" i="23" s="1"/>
  <c r="AE37" i="23" s="1"/>
  <c r="AF37" i="23" s="1"/>
  <c r="AG37" i="23" s="1"/>
  <c r="AH37" i="23" s="1"/>
  <c r="AI37" i="23" s="1"/>
  <c r="AJ37" i="23" s="1"/>
  <c r="AK37" i="23" s="1"/>
  <c r="AL37" i="23" s="1"/>
  <c r="AM37" i="23" s="1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AY37" i="23" s="1"/>
  <c r="AZ37" i="23" s="1"/>
  <c r="BA37" i="23" s="1"/>
  <c r="BB37" i="23" s="1"/>
  <c r="BC37" i="23" s="1"/>
  <c r="BD37" i="23" s="1"/>
  <c r="BE37" i="23" s="1"/>
  <c r="BF37" i="23" s="1"/>
  <c r="K60" i="23"/>
  <c r="L60" i="23" s="1"/>
  <c r="M60" i="23" s="1"/>
  <c r="N60" i="23" s="1"/>
  <c r="O60" i="23" s="1"/>
  <c r="P60" i="23" s="1"/>
  <c r="Q60" i="23" s="1"/>
  <c r="R60" i="23" s="1"/>
  <c r="S60" i="23" s="1"/>
  <c r="T60" i="23" s="1"/>
  <c r="U60" i="23" s="1"/>
  <c r="V60" i="23" s="1"/>
  <c r="W60" i="23" s="1"/>
  <c r="X60" i="23" s="1"/>
  <c r="Y60" i="23" s="1"/>
  <c r="Z60" i="23" s="1"/>
  <c r="AA60" i="23" s="1"/>
  <c r="AB60" i="23" s="1"/>
  <c r="AC60" i="23" s="1"/>
  <c r="AD60" i="23" s="1"/>
  <c r="AE60" i="23" s="1"/>
  <c r="AF60" i="23" s="1"/>
  <c r="AG60" i="23" s="1"/>
  <c r="AH60" i="23" s="1"/>
  <c r="AI60" i="23" s="1"/>
  <c r="AJ60" i="23" s="1"/>
  <c r="AK60" i="23" s="1"/>
  <c r="AL60" i="23" s="1"/>
  <c r="AM60" i="23" s="1"/>
  <c r="AN60" i="23" s="1"/>
  <c r="AO60" i="23" s="1"/>
  <c r="AP60" i="23" s="1"/>
  <c r="AQ60" i="23" s="1"/>
  <c r="AR60" i="23" s="1"/>
  <c r="AS60" i="23" s="1"/>
  <c r="AT60" i="23" s="1"/>
  <c r="AU60" i="23" s="1"/>
  <c r="AV60" i="23" s="1"/>
  <c r="AW60" i="23" s="1"/>
  <c r="AX60" i="23" s="1"/>
  <c r="AY60" i="23" s="1"/>
  <c r="AZ60" i="23" s="1"/>
  <c r="BA60" i="23" s="1"/>
  <c r="BB60" i="23" s="1"/>
  <c r="BC60" i="23" s="1"/>
  <c r="BD60" i="23" s="1"/>
  <c r="BE60" i="23" s="1"/>
  <c r="BF60" i="23" s="1"/>
  <c r="C8" i="37"/>
  <c r="C10" i="23"/>
  <c r="S5" i="21"/>
  <c r="P5" i="21"/>
  <c r="S5" i="22"/>
  <c r="C12" i="37" l="1"/>
  <c r="F5" i="37" s="1"/>
  <c r="E7" i="37"/>
  <c r="E8" i="37" l="1"/>
  <c r="E9" i="37" l="1"/>
  <c r="E10" i="37" l="1"/>
  <c r="E11" i="37" l="1"/>
  <c r="G6" i="21"/>
  <c r="G6" i="22"/>
  <c r="G7" i="22"/>
  <c r="G8" i="22" s="1"/>
  <c r="G9" i="22" s="1"/>
  <c r="G10" i="22" s="1"/>
  <c r="G11" i="22" s="1"/>
  <c r="G12" i="22" s="1"/>
  <c r="G13" i="22" s="1"/>
  <c r="G14" i="22" s="1"/>
  <c r="G15" i="22" s="1"/>
  <c r="G16" i="22" s="1"/>
  <c r="G17" i="22" s="1"/>
  <c r="G18" i="22" s="1"/>
  <c r="G19" i="22" s="1"/>
  <c r="G20" i="22" s="1"/>
  <c r="G21" i="22" s="1"/>
  <c r="G22" i="22" s="1"/>
  <c r="G23" i="22" s="1"/>
  <c r="G24" i="22" s="1"/>
  <c r="G25" i="22" s="1"/>
  <c r="G26" i="22" s="1"/>
  <c r="G27" i="22" s="1"/>
  <c r="G28" i="22" s="1"/>
  <c r="G29" i="22" s="1"/>
  <c r="G30" i="22" s="1"/>
  <c r="G31" i="22" s="1"/>
  <c r="G32" i="22" s="1"/>
  <c r="G33" i="22" s="1"/>
  <c r="G34" i="22" s="1"/>
  <c r="G35" i="22" s="1"/>
  <c r="G36" i="22" s="1"/>
  <c r="G37" i="22" s="1"/>
  <c r="G38" i="22" s="1"/>
  <c r="G39" i="22" s="1"/>
  <c r="G40" i="22" s="1"/>
  <c r="G41" i="22" s="1"/>
  <c r="G42" i="22" s="1"/>
  <c r="G43" i="22" s="1"/>
  <c r="G44" i="22" s="1"/>
  <c r="G45" i="22" s="1"/>
  <c r="G46" i="22" s="1"/>
  <c r="G47" i="22" s="1"/>
  <c r="G48" i="22" s="1"/>
  <c r="G49" i="22" s="1"/>
  <c r="G50" i="22" s="1"/>
  <c r="G51" i="22" s="1"/>
  <c r="G52" i="22" s="1"/>
  <c r="G53" i="22" s="1"/>
  <c r="E12" i="37" l="1"/>
  <c r="G7" i="21"/>
  <c r="E13" i="37" l="1"/>
  <c r="G8" i="21"/>
  <c r="E14" i="37" l="1"/>
  <c r="G9" i="21"/>
  <c r="E15" i="37" l="1"/>
  <c r="G10" i="21"/>
  <c r="E16" i="37" l="1"/>
  <c r="G11" i="21"/>
  <c r="E17" i="37" l="1"/>
  <c r="G12" i="21"/>
  <c r="E18" i="37" l="1"/>
  <c r="G13" i="21"/>
  <c r="E19" i="37" l="1"/>
  <c r="G14" i="21"/>
  <c r="E20" i="37" l="1"/>
  <c r="G15" i="21"/>
  <c r="K51" i="23"/>
  <c r="L51" i="23" s="1"/>
  <c r="M51" i="23" s="1"/>
  <c r="N51" i="23" s="1"/>
  <c r="O51" i="23" s="1"/>
  <c r="P51" i="23" s="1"/>
  <c r="Q51" i="23" s="1"/>
  <c r="R51" i="23" s="1"/>
  <c r="S51" i="23" s="1"/>
  <c r="T51" i="23" s="1"/>
  <c r="U51" i="23" s="1"/>
  <c r="V51" i="23" s="1"/>
  <c r="W51" i="23" s="1"/>
  <c r="X51" i="23" s="1"/>
  <c r="Y51" i="23" s="1"/>
  <c r="Z51" i="23" s="1"/>
  <c r="AA51" i="23" s="1"/>
  <c r="AB51" i="23" s="1"/>
  <c r="AC51" i="23" s="1"/>
  <c r="AD51" i="23" s="1"/>
  <c r="AE51" i="23" s="1"/>
  <c r="AF51" i="23" s="1"/>
  <c r="AG51" i="23" s="1"/>
  <c r="AH51" i="23" s="1"/>
  <c r="AI51" i="23" s="1"/>
  <c r="AJ51" i="23" s="1"/>
  <c r="AK51" i="23" s="1"/>
  <c r="AL51" i="23" s="1"/>
  <c r="AM51" i="23" s="1"/>
  <c r="AN51" i="23" s="1"/>
  <c r="AO51" i="23" s="1"/>
  <c r="AP51" i="23" s="1"/>
  <c r="AQ51" i="23" s="1"/>
  <c r="AR51" i="23" s="1"/>
  <c r="AS51" i="23" s="1"/>
  <c r="AT51" i="23" s="1"/>
  <c r="AU51" i="23" s="1"/>
  <c r="AV51" i="23" s="1"/>
  <c r="AW51" i="23" s="1"/>
  <c r="AX51" i="23" s="1"/>
  <c r="AY51" i="23" s="1"/>
  <c r="AZ51" i="23" s="1"/>
  <c r="BA51" i="23" s="1"/>
  <c r="BB51" i="23" s="1"/>
  <c r="BC51" i="23" s="1"/>
  <c r="BD51" i="23" s="1"/>
  <c r="BE51" i="23" s="1"/>
  <c r="BF51" i="23" s="1"/>
  <c r="K44" i="23"/>
  <c r="L44" i="23" s="1"/>
  <c r="M44" i="23" s="1"/>
  <c r="N44" i="23" s="1"/>
  <c r="O44" i="23" s="1"/>
  <c r="P44" i="23" s="1"/>
  <c r="Q44" i="23" s="1"/>
  <c r="R44" i="23" s="1"/>
  <c r="S44" i="23" s="1"/>
  <c r="T44" i="23" s="1"/>
  <c r="U44" i="23" s="1"/>
  <c r="V44" i="23" s="1"/>
  <c r="W44" i="23" s="1"/>
  <c r="X44" i="23" s="1"/>
  <c r="Y44" i="23" s="1"/>
  <c r="Z44" i="23" s="1"/>
  <c r="AA44" i="23" s="1"/>
  <c r="AB44" i="23" s="1"/>
  <c r="AC44" i="23" s="1"/>
  <c r="AD44" i="23" s="1"/>
  <c r="AE44" i="23" s="1"/>
  <c r="AF44" i="23" s="1"/>
  <c r="AG44" i="23" s="1"/>
  <c r="AH44" i="23" s="1"/>
  <c r="AI44" i="23" s="1"/>
  <c r="AJ44" i="23" s="1"/>
  <c r="AK44" i="23" s="1"/>
  <c r="AL44" i="23" s="1"/>
  <c r="AM44" i="23" s="1"/>
  <c r="AN44" i="23" s="1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AY44" i="23" s="1"/>
  <c r="AZ44" i="23" s="1"/>
  <c r="BA44" i="23" s="1"/>
  <c r="BB44" i="23" s="1"/>
  <c r="BC44" i="23" s="1"/>
  <c r="BD44" i="23" s="1"/>
  <c r="BE44" i="23" s="1"/>
  <c r="BF44" i="23" s="1"/>
  <c r="E21" i="37" l="1"/>
  <c r="G16" i="21"/>
  <c r="E22" i="37" l="1"/>
  <c r="G17" i="21"/>
  <c r="E23" i="37" l="1"/>
  <c r="G18" i="21"/>
  <c r="E24" i="37" l="1"/>
  <c r="G19" i="21"/>
  <c r="E25" i="37" l="1"/>
  <c r="G20" i="21"/>
  <c r="E26" i="37" l="1"/>
  <c r="G21" i="21"/>
  <c r="E27" i="37" l="1"/>
  <c r="G22" i="21"/>
  <c r="E28" i="37" l="1"/>
  <c r="G23" i="21"/>
  <c r="E29" i="37" l="1"/>
  <c r="G24" i="21"/>
  <c r="E30" i="37" l="1"/>
  <c r="G25" i="21"/>
  <c r="E31" i="37" l="1"/>
  <c r="G26" i="21"/>
  <c r="E32" i="37" l="1"/>
  <c r="G27" i="21"/>
  <c r="E33" i="37" l="1"/>
  <c r="G28" i="21"/>
  <c r="E34" i="37" l="1"/>
  <c r="G29" i="21"/>
  <c r="E35" i="37" l="1"/>
  <c r="G30" i="21"/>
  <c r="E36" i="37" l="1"/>
  <c r="G31" i="21"/>
  <c r="E37" i="37" l="1"/>
  <c r="G32" i="21"/>
  <c r="E38" i="37" l="1"/>
  <c r="G33" i="21"/>
  <c r="E39" i="37" l="1"/>
  <c r="G34" i="21"/>
  <c r="E40" i="37" l="1"/>
  <c r="G35" i="21"/>
  <c r="G36" i="21" l="1"/>
  <c r="G37" i="21" l="1"/>
  <c r="G38" i="21" l="1"/>
  <c r="G39" i="21" l="1"/>
  <c r="G40" i="21" l="1"/>
  <c r="G41" i="21" l="1"/>
  <c r="G42" i="21" l="1"/>
  <c r="G43" i="21" l="1"/>
  <c r="G44" i="21" l="1"/>
  <c r="G45" i="21" l="1"/>
  <c r="G46" i="21" l="1"/>
  <c r="G47" i="21" l="1"/>
  <c r="G48" i="21" l="1"/>
  <c r="G49" i="21" l="1"/>
  <c r="G50" i="21" l="1"/>
  <c r="G51" i="21" l="1"/>
  <c r="G52" i="21" l="1"/>
  <c r="G53" i="21" l="1"/>
  <c r="D52" i="23"/>
  <c r="Q5" i="22" l="1"/>
  <c r="Q5" i="21"/>
  <c r="J8" i="23" l="1" a="1"/>
  <c r="J8" i="23" s="1"/>
  <c r="J9" i="23" a="1"/>
  <c r="J9" i="23" s="1"/>
  <c r="O4" i="22"/>
  <c r="N5" i="22" s="1"/>
  <c r="O4" i="21"/>
  <c r="N5" i="21" s="1"/>
  <c r="H29" i="22"/>
  <c r="H41" i="22" s="1"/>
  <c r="H53" i="22" s="1"/>
  <c r="H28" i="22"/>
  <c r="H40" i="22" s="1"/>
  <c r="H52" i="22" s="1"/>
  <c r="H27" i="22"/>
  <c r="H39" i="22" s="1"/>
  <c r="H51" i="22" s="1"/>
  <c r="H26" i="22"/>
  <c r="H38" i="22" s="1"/>
  <c r="H50" i="22" s="1"/>
  <c r="H25" i="22"/>
  <c r="H37" i="22" s="1"/>
  <c r="H49" i="22" s="1"/>
  <c r="H24" i="22"/>
  <c r="H36" i="22" s="1"/>
  <c r="H48" i="22" s="1"/>
  <c r="H23" i="22"/>
  <c r="H35" i="22" s="1"/>
  <c r="H47" i="22" s="1"/>
  <c r="H22" i="22"/>
  <c r="H34" i="22" s="1"/>
  <c r="H46" i="22" s="1"/>
  <c r="H21" i="22"/>
  <c r="H20" i="22"/>
  <c r="H32" i="22" s="1"/>
  <c r="H44" i="22" s="1"/>
  <c r="H19" i="22"/>
  <c r="H31" i="22" s="1"/>
  <c r="H43" i="22" s="1"/>
  <c r="K18" i="22"/>
  <c r="K19" i="22" s="1"/>
  <c r="K20" i="22" s="1"/>
  <c r="K21" i="22" s="1"/>
  <c r="K22" i="22" s="1"/>
  <c r="K23" i="22" s="1"/>
  <c r="K24" i="22" s="1"/>
  <c r="K25" i="22" s="1"/>
  <c r="K26" i="22" s="1"/>
  <c r="K27" i="22" s="1"/>
  <c r="K28" i="22" s="1"/>
  <c r="K29" i="22" s="1"/>
  <c r="K30" i="22" s="1"/>
  <c r="K31" i="22" s="1"/>
  <c r="K32" i="22" s="1"/>
  <c r="K33" i="22" s="1"/>
  <c r="K34" i="22" s="1"/>
  <c r="K35" i="22" s="1"/>
  <c r="K36" i="22" s="1"/>
  <c r="K37" i="22" s="1"/>
  <c r="K38" i="22" s="1"/>
  <c r="K39" i="22" s="1"/>
  <c r="K40" i="22" s="1"/>
  <c r="K41" i="22" s="1"/>
  <c r="K42" i="22" s="1"/>
  <c r="K43" i="22" s="1"/>
  <c r="K44" i="22" s="1"/>
  <c r="K45" i="22" s="1"/>
  <c r="K46" i="22" s="1"/>
  <c r="K47" i="22" s="1"/>
  <c r="K48" i="22" s="1"/>
  <c r="K49" i="22" s="1"/>
  <c r="K50" i="22" s="1"/>
  <c r="K51" i="22" s="1"/>
  <c r="K52" i="22" s="1"/>
  <c r="K53" i="22" s="1"/>
  <c r="J18" i="22"/>
  <c r="J19" i="22" s="1"/>
  <c r="J20" i="22" s="1"/>
  <c r="J21" i="22" s="1"/>
  <c r="J22" i="22" s="1"/>
  <c r="J23" i="22" s="1"/>
  <c r="J24" i="22" s="1"/>
  <c r="J25" i="22" s="1"/>
  <c r="J26" i="22" s="1"/>
  <c r="J27" i="22" s="1"/>
  <c r="J28" i="22" s="1"/>
  <c r="J29" i="22" s="1"/>
  <c r="J30" i="22" s="1"/>
  <c r="J31" i="22" s="1"/>
  <c r="J32" i="22" s="1"/>
  <c r="J33" i="22" s="1"/>
  <c r="J34" i="22" s="1"/>
  <c r="J35" i="22" s="1"/>
  <c r="J36" i="22" s="1"/>
  <c r="J37" i="22" s="1"/>
  <c r="J38" i="22" s="1"/>
  <c r="J39" i="22" s="1"/>
  <c r="J40" i="22" s="1"/>
  <c r="J41" i="22" s="1"/>
  <c r="J42" i="22" s="1"/>
  <c r="J43" i="22" s="1"/>
  <c r="J44" i="22" s="1"/>
  <c r="J45" i="22" s="1"/>
  <c r="J46" i="22" s="1"/>
  <c r="J47" i="22" s="1"/>
  <c r="J48" i="22" s="1"/>
  <c r="J49" i="22" s="1"/>
  <c r="J50" i="22" s="1"/>
  <c r="J51" i="22" s="1"/>
  <c r="J52" i="22" s="1"/>
  <c r="J53" i="22" s="1"/>
  <c r="H18" i="22"/>
  <c r="H30" i="22" s="1"/>
  <c r="H42" i="22" s="1"/>
  <c r="E10" i="22"/>
  <c r="M5" i="22"/>
  <c r="M4" i="22" s="1"/>
  <c r="H29" i="21"/>
  <c r="H41" i="21" s="1"/>
  <c r="H53" i="21" s="1"/>
  <c r="H28" i="21"/>
  <c r="H40" i="21" s="1"/>
  <c r="H52" i="21" s="1"/>
  <c r="H27" i="21"/>
  <c r="H39" i="21" s="1"/>
  <c r="H51" i="21" s="1"/>
  <c r="H26" i="21"/>
  <c r="H38" i="21" s="1"/>
  <c r="H50" i="21" s="1"/>
  <c r="H25" i="21"/>
  <c r="H37" i="21" s="1"/>
  <c r="H49" i="21" s="1"/>
  <c r="H24" i="21"/>
  <c r="H36" i="21" s="1"/>
  <c r="H48" i="21" s="1"/>
  <c r="H23" i="21"/>
  <c r="H35" i="21" s="1"/>
  <c r="H47" i="21" s="1"/>
  <c r="H22" i="21"/>
  <c r="H34" i="21" s="1"/>
  <c r="H46" i="21" s="1"/>
  <c r="H21" i="21"/>
  <c r="H33" i="21" s="1"/>
  <c r="H45" i="21" s="1"/>
  <c r="H20" i="21"/>
  <c r="H32" i="21" s="1"/>
  <c r="H44" i="21" s="1"/>
  <c r="H19" i="21"/>
  <c r="H31" i="21" s="1"/>
  <c r="H43" i="21" s="1"/>
  <c r="K18" i="21"/>
  <c r="K19" i="21" s="1"/>
  <c r="K20" i="21" s="1"/>
  <c r="K21" i="21" s="1"/>
  <c r="K22" i="21" s="1"/>
  <c r="K23" i="21" s="1"/>
  <c r="K24" i="21" s="1"/>
  <c r="K25" i="21" s="1"/>
  <c r="K26" i="21" s="1"/>
  <c r="K27" i="21" s="1"/>
  <c r="K28" i="21" s="1"/>
  <c r="K29" i="21" s="1"/>
  <c r="K30" i="21" s="1"/>
  <c r="K31" i="21" s="1"/>
  <c r="K32" i="21" s="1"/>
  <c r="K33" i="21" s="1"/>
  <c r="K34" i="21" s="1"/>
  <c r="K35" i="21" s="1"/>
  <c r="K36" i="21" s="1"/>
  <c r="K37" i="21" s="1"/>
  <c r="K38" i="21" s="1"/>
  <c r="K39" i="21" s="1"/>
  <c r="K40" i="21" s="1"/>
  <c r="K41" i="21" s="1"/>
  <c r="K42" i="21" s="1"/>
  <c r="K43" i="21" s="1"/>
  <c r="K44" i="21" s="1"/>
  <c r="K45" i="21" s="1"/>
  <c r="K46" i="21" s="1"/>
  <c r="K47" i="21" s="1"/>
  <c r="K48" i="21" s="1"/>
  <c r="K49" i="21" s="1"/>
  <c r="K50" i="21" s="1"/>
  <c r="K51" i="21" s="1"/>
  <c r="K52" i="21" s="1"/>
  <c r="K53" i="21" s="1"/>
  <c r="J18" i="21"/>
  <c r="J19" i="21" s="1"/>
  <c r="J20" i="21" s="1"/>
  <c r="J21" i="21" s="1"/>
  <c r="J22" i="21" s="1"/>
  <c r="J23" i="21" s="1"/>
  <c r="J24" i="21" s="1"/>
  <c r="J25" i="21" s="1"/>
  <c r="J26" i="21" s="1"/>
  <c r="J27" i="21" s="1"/>
  <c r="J28" i="21" s="1"/>
  <c r="J29" i="21" s="1"/>
  <c r="J30" i="21" s="1"/>
  <c r="J31" i="21" s="1"/>
  <c r="J32" i="21" s="1"/>
  <c r="J33" i="21" s="1"/>
  <c r="J34" i="21" s="1"/>
  <c r="J35" i="21" s="1"/>
  <c r="J36" i="21" s="1"/>
  <c r="J37" i="21" s="1"/>
  <c r="J38" i="21" s="1"/>
  <c r="J39" i="21" s="1"/>
  <c r="J40" i="21" s="1"/>
  <c r="J41" i="21" s="1"/>
  <c r="J42" i="21" s="1"/>
  <c r="J43" i="21" s="1"/>
  <c r="J44" i="21" s="1"/>
  <c r="J45" i="21" s="1"/>
  <c r="J46" i="21" s="1"/>
  <c r="J47" i="21" s="1"/>
  <c r="J48" i="21" s="1"/>
  <c r="J49" i="21" s="1"/>
  <c r="J50" i="21" s="1"/>
  <c r="J51" i="21" s="1"/>
  <c r="J52" i="21" s="1"/>
  <c r="J53" i="21" s="1"/>
  <c r="H18" i="21"/>
  <c r="E10" i="21"/>
  <c r="M5" i="21"/>
  <c r="J10" i="23" l="1"/>
  <c r="O5" i="21"/>
  <c r="R5" i="21"/>
  <c r="U5" i="21" s="1"/>
  <c r="T5" i="21"/>
  <c r="T5" i="22"/>
  <c r="R5" i="22"/>
  <c r="U5" i="22" s="1"/>
  <c r="M4" i="21"/>
  <c r="K3" i="23"/>
  <c r="F3" i="23"/>
  <c r="P5" i="22"/>
  <c r="H33" i="22"/>
  <c r="H30" i="21"/>
  <c r="V5" i="21" l="1"/>
  <c r="W5" i="21" s="1"/>
  <c r="L6" i="21"/>
  <c r="S6" i="21" s="1"/>
  <c r="K20" i="23" s="1" a="1"/>
  <c r="K20" i="23" s="1"/>
  <c r="O5" i="22"/>
  <c r="L3" i="23"/>
  <c r="G3" i="23"/>
  <c r="H45" i="22"/>
  <c r="H42" i="21"/>
  <c r="N6" i="21" l="1"/>
  <c r="O6" i="21" s="1"/>
  <c r="P6" i="21"/>
  <c r="K10" i="23"/>
  <c r="L6" i="22"/>
  <c r="V5" i="22"/>
  <c r="W5" i="22" s="1"/>
  <c r="H3" i="23"/>
  <c r="M3" i="23"/>
  <c r="R6" i="21" l="1"/>
  <c r="U6" i="21" s="1"/>
  <c r="K22" i="23" s="1" a="1"/>
  <c r="K22" i="23" s="1"/>
  <c r="T6" i="21"/>
  <c r="N6" i="22"/>
  <c r="S6" i="22"/>
  <c r="L10" i="23"/>
  <c r="V6" i="21"/>
  <c r="W6" i="21" s="1"/>
  <c r="K21" i="23" a="1"/>
  <c r="K21" i="23" s="1"/>
  <c r="L7" i="21"/>
  <c r="P6" i="22"/>
  <c r="K26" i="23" a="1"/>
  <c r="K26" i="23" s="1"/>
  <c r="N3" i="23"/>
  <c r="T6" i="22" l="1"/>
  <c r="R6" i="22"/>
  <c r="U6" i="22" s="1"/>
  <c r="M10" i="23"/>
  <c r="S7" i="21"/>
  <c r="P7" i="21"/>
  <c r="N7" i="21"/>
  <c r="O3" i="23"/>
  <c r="N10" i="23" l="1"/>
  <c r="T7" i="21"/>
  <c r="R7" i="21"/>
  <c r="U7" i="21" s="1"/>
  <c r="O7" i="21"/>
  <c r="L20" i="23" a="1"/>
  <c r="L20" i="23" s="1"/>
  <c r="K28" i="23" a="1"/>
  <c r="K28" i="23" s="1"/>
  <c r="O6" i="22"/>
  <c r="L21" i="23" a="1"/>
  <c r="L21" i="23" s="1"/>
  <c r="L22" i="23" a="1"/>
  <c r="L22" i="23" s="1"/>
  <c r="P3" i="23"/>
  <c r="V7" i="21" l="1"/>
  <c r="W7" i="21" s="1"/>
  <c r="L7" i="22"/>
  <c r="P7" i="22" s="1"/>
  <c r="O10" i="23"/>
  <c r="L8" i="21"/>
  <c r="S8" i="21" s="1"/>
  <c r="K27" i="23" a="1"/>
  <c r="K27" i="23" s="1"/>
  <c r="V6" i="22"/>
  <c r="W6" i="22" s="1"/>
  <c r="Q3" i="23"/>
  <c r="P8" i="21" l="1"/>
  <c r="N8" i="21"/>
  <c r="O8" i="21" s="1"/>
  <c r="N7" i="22"/>
  <c r="O7" i="22" s="1"/>
  <c r="S7" i="22"/>
  <c r="L26" i="23" s="1" a="1"/>
  <c r="L26" i="23" s="1"/>
  <c r="P10" i="23"/>
  <c r="R3" i="23"/>
  <c r="T8" i="21" l="1"/>
  <c r="R8" i="21"/>
  <c r="U8" i="21" s="1"/>
  <c r="V8" i="21" s="1"/>
  <c r="W8" i="21" s="1"/>
  <c r="L8" i="22"/>
  <c r="T7" i="22"/>
  <c r="R7" i="22"/>
  <c r="U7" i="22" s="1"/>
  <c r="L28" i="23" s="1" a="1"/>
  <c r="L28" i="23" s="1"/>
  <c r="Q10" i="23"/>
  <c r="L9" i="21"/>
  <c r="S9" i="21" s="1"/>
  <c r="M20" i="23" a="1"/>
  <c r="M20" i="23" s="1"/>
  <c r="S3" i="23"/>
  <c r="L27" i="23" l="1" a="1"/>
  <c r="L27" i="23" s="1"/>
  <c r="V7" i="22"/>
  <c r="W7" i="22" s="1"/>
  <c r="N8" i="22"/>
  <c r="S8" i="22"/>
  <c r="M26" i="23" s="1" a="1"/>
  <c r="M26" i="23" s="1"/>
  <c r="P8" i="22"/>
  <c r="R10" i="23"/>
  <c r="M22" i="23" a="1"/>
  <c r="M22" i="23" s="1"/>
  <c r="T3" i="23"/>
  <c r="R8" i="22" l="1"/>
  <c r="U8" i="22" s="1"/>
  <c r="M28" i="23" s="1" a="1"/>
  <c r="M28" i="23" s="1"/>
  <c r="T8" i="22"/>
  <c r="O8" i="22"/>
  <c r="S10" i="23"/>
  <c r="P9" i="21"/>
  <c r="N9" i="21"/>
  <c r="M21" i="23" a="1"/>
  <c r="M21" i="23" s="1"/>
  <c r="U3" i="23"/>
  <c r="L9" i="22" l="1"/>
  <c r="M27" i="23" a="1"/>
  <c r="M27" i="23" s="1"/>
  <c r="V8" i="22"/>
  <c r="W8" i="22" s="1"/>
  <c r="T10" i="23"/>
  <c r="O9" i="21"/>
  <c r="T9" i="21"/>
  <c r="R9" i="21"/>
  <c r="U9" i="21" s="1"/>
  <c r="V3" i="23"/>
  <c r="N9" i="22" l="1"/>
  <c r="S9" i="22"/>
  <c r="N26" i="23" s="1" a="1"/>
  <c r="N26" i="23" s="1"/>
  <c r="P9" i="22"/>
  <c r="U10" i="23"/>
  <c r="V9" i="21"/>
  <c r="L10" i="21"/>
  <c r="S10" i="21" s="1"/>
  <c r="N20" i="23" a="1"/>
  <c r="N20" i="23" s="1"/>
  <c r="N21" i="23" a="1"/>
  <c r="N21" i="23" s="1"/>
  <c r="N22" i="23" a="1"/>
  <c r="N22" i="23" s="1"/>
  <c r="O9" i="22"/>
  <c r="W3" i="23"/>
  <c r="R9" i="22" l="1"/>
  <c r="U9" i="22" s="1"/>
  <c r="N28" i="23" s="1" a="1"/>
  <c r="N28" i="23" s="1"/>
  <c r="T9" i="22"/>
  <c r="N27" i="23" s="1" a="1"/>
  <c r="N27" i="23" s="1"/>
  <c r="V10" i="23"/>
  <c r="W9" i="21"/>
  <c r="P10" i="21"/>
  <c r="N10" i="21"/>
  <c r="L10" i="22"/>
  <c r="X3" i="23"/>
  <c r="V9" i="22" l="1"/>
  <c r="W9" i="22" s="1"/>
  <c r="N10" i="22"/>
  <c r="S10" i="22"/>
  <c r="W10" i="23"/>
  <c r="O10" i="21"/>
  <c r="T10" i="21"/>
  <c r="R10" i="21"/>
  <c r="U10" i="21" s="1"/>
  <c r="O22" i="23" s="1" a="1"/>
  <c r="O22" i="23" s="1"/>
  <c r="O20" i="23" a="1"/>
  <c r="O20" i="23" s="1"/>
  <c r="O26" i="23" a="1"/>
  <c r="O26" i="23" s="1"/>
  <c r="O21" i="23" a="1"/>
  <c r="O21" i="23" s="1"/>
  <c r="P10" i="22"/>
  <c r="Y3" i="23"/>
  <c r="R10" i="22" l="1"/>
  <c r="U10" i="22" s="1"/>
  <c r="O28" i="23" s="1" a="1"/>
  <c r="O28" i="23" s="1"/>
  <c r="T10" i="22"/>
  <c r="X10" i="23"/>
  <c r="V10" i="21"/>
  <c r="W10" i="21" s="1"/>
  <c r="L11" i="21"/>
  <c r="S11" i="21" s="1"/>
  <c r="O27" i="23" a="1"/>
  <c r="O27" i="23" s="1"/>
  <c r="O10" i="22"/>
  <c r="Z3" i="23"/>
  <c r="P11" i="21" l="1"/>
  <c r="N11" i="21"/>
  <c r="O11" i="21" s="1"/>
  <c r="L12" i="21" s="1"/>
  <c r="S12" i="21" s="1"/>
  <c r="Y10" i="23"/>
  <c r="L11" i="22"/>
  <c r="V10" i="22"/>
  <c r="W10" i="22" s="1"/>
  <c r="AA3" i="23"/>
  <c r="R11" i="21" l="1"/>
  <c r="U11" i="21" s="1"/>
  <c r="T11" i="21"/>
  <c r="N11" i="22"/>
  <c r="S11" i="22"/>
  <c r="Z10" i="23"/>
  <c r="P21" i="23" a="1"/>
  <c r="P21" i="23" s="1"/>
  <c r="AB3" i="23"/>
  <c r="P11" i="22"/>
  <c r="P26" i="23" a="1"/>
  <c r="P26" i="23" s="1"/>
  <c r="P22" i="23" a="1"/>
  <c r="P22" i="23" s="1"/>
  <c r="P20" i="23" a="1"/>
  <c r="P20" i="23" s="1"/>
  <c r="V11" i="21" l="1"/>
  <c r="W11" i="21" s="1"/>
  <c r="R11" i="22"/>
  <c r="U11" i="22" s="1"/>
  <c r="T11" i="22"/>
  <c r="AA10" i="23"/>
  <c r="P12" i="21"/>
  <c r="N12" i="21"/>
  <c r="AC3" i="23"/>
  <c r="AB10" i="23" l="1"/>
  <c r="O12" i="21"/>
  <c r="L13" i="21" s="1"/>
  <c r="S13" i="21" s="1"/>
  <c r="R12" i="21"/>
  <c r="U12" i="21" s="1"/>
  <c r="T12" i="21"/>
  <c r="P27" i="23" a="1"/>
  <c r="P27" i="23" s="1"/>
  <c r="O11" i="22"/>
  <c r="AD3" i="23"/>
  <c r="P28" i="23" a="1"/>
  <c r="P28" i="23" s="1"/>
  <c r="AC10" i="23" l="1"/>
  <c r="V12" i="21"/>
  <c r="W12" i="21" s="1"/>
  <c r="L12" i="22"/>
  <c r="Q21" i="23" a="1"/>
  <c r="Q21" i="23" s="1"/>
  <c r="V11" i="22"/>
  <c r="W11" i="22" s="1"/>
  <c r="AE3" i="23"/>
  <c r="Q20" i="23" a="1"/>
  <c r="Q20" i="23" s="1"/>
  <c r="Q22" i="23" a="1"/>
  <c r="Q22" i="23" s="1"/>
  <c r="N12" i="22" l="1"/>
  <c r="S12" i="22"/>
  <c r="AD10" i="23"/>
  <c r="P13" i="21"/>
  <c r="N13" i="21"/>
  <c r="AF3" i="23"/>
  <c r="Q26" i="23" a="1"/>
  <c r="Q26" i="23" s="1"/>
  <c r="P12" i="22"/>
  <c r="R12" i="22" l="1"/>
  <c r="U12" i="22" s="1"/>
  <c r="T12" i="22"/>
  <c r="AE10" i="23"/>
  <c r="O13" i="21"/>
  <c r="L14" i="21" s="1"/>
  <c r="S14" i="21" s="1"/>
  <c r="T13" i="21"/>
  <c r="R13" i="21"/>
  <c r="U13" i="21" s="1"/>
  <c r="O12" i="22"/>
  <c r="AG3" i="23"/>
  <c r="R20" i="23" a="1"/>
  <c r="R20" i="23" s="1"/>
  <c r="AF10" i="23" l="1"/>
  <c r="V13" i="21"/>
  <c r="W13" i="21" s="1"/>
  <c r="L13" i="22"/>
  <c r="AH3" i="23"/>
  <c r="N13" i="22" l="1"/>
  <c r="S13" i="22"/>
  <c r="AG10" i="23"/>
  <c r="R21" i="23" a="1"/>
  <c r="R21" i="23" s="1"/>
  <c r="Q27" i="23" a="1"/>
  <c r="Q27" i="23" s="1"/>
  <c r="Q28" i="23" a="1"/>
  <c r="Q28" i="23" s="1"/>
  <c r="AI3" i="23"/>
  <c r="R26" i="23" a="1"/>
  <c r="R26" i="23" s="1"/>
  <c r="P13" i="22"/>
  <c r="R22" i="23" a="1"/>
  <c r="R22" i="23" s="1"/>
  <c r="R13" i="22" l="1"/>
  <c r="U13" i="22" s="1"/>
  <c r="T13" i="22"/>
  <c r="AH10" i="23"/>
  <c r="N14" i="21"/>
  <c r="P14" i="21"/>
  <c r="V12" i="22"/>
  <c r="W12" i="22" s="1"/>
  <c r="AJ3" i="23"/>
  <c r="AI10" i="23" l="1"/>
  <c r="O14" i="21"/>
  <c r="L15" i="21" s="1"/>
  <c r="S15" i="21" s="1"/>
  <c r="T14" i="21"/>
  <c r="R14" i="21"/>
  <c r="U14" i="21" s="1"/>
  <c r="O13" i="22"/>
  <c r="L14" i="22" s="1"/>
  <c r="AK3" i="23"/>
  <c r="S20" i="23" a="1"/>
  <c r="S20" i="23" s="1"/>
  <c r="N14" i="22" l="1"/>
  <c r="S14" i="22"/>
  <c r="AJ10" i="23"/>
  <c r="V14" i="21"/>
  <c r="W14" i="21" s="1"/>
  <c r="R28" i="23" a="1"/>
  <c r="R28" i="23" s="1"/>
  <c r="R27" i="23" a="1"/>
  <c r="R27" i="23" s="1"/>
  <c r="V13" i="22"/>
  <c r="W13" i="22" s="1"/>
  <c r="AL3" i="23"/>
  <c r="P14" i="22"/>
  <c r="R14" i="22" l="1"/>
  <c r="U14" i="22" s="1"/>
  <c r="T14" i="22"/>
  <c r="AK10" i="23"/>
  <c r="S21" i="23" a="1"/>
  <c r="S21" i="23" s="1"/>
  <c r="S27" i="23" a="1"/>
  <c r="S27" i="23" s="1"/>
  <c r="O14" i="22"/>
  <c r="AM3" i="23"/>
  <c r="S28" i="23" a="1"/>
  <c r="S28" i="23" s="1"/>
  <c r="S26" i="23" a="1"/>
  <c r="S26" i="23" s="1"/>
  <c r="S22" i="23" a="1"/>
  <c r="S22" i="23" s="1"/>
  <c r="AL10" i="23" l="1"/>
  <c r="P15" i="21"/>
  <c r="N15" i="21"/>
  <c r="L15" i="22"/>
  <c r="V14" i="22"/>
  <c r="W14" i="22" s="1"/>
  <c r="AN3" i="23"/>
  <c r="N15" i="22" l="1"/>
  <c r="S15" i="22"/>
  <c r="AM10" i="23"/>
  <c r="O15" i="21"/>
  <c r="L16" i="21" s="1"/>
  <c r="S16" i="21" s="1"/>
  <c r="T15" i="21"/>
  <c r="R15" i="21"/>
  <c r="U15" i="21" s="1"/>
  <c r="AO3" i="23"/>
  <c r="T26" i="23" a="1"/>
  <c r="T26" i="23" s="1"/>
  <c r="P15" i="22"/>
  <c r="R15" i="22" l="1"/>
  <c r="U15" i="22" s="1"/>
  <c r="T15" i="22"/>
  <c r="AN10" i="23"/>
  <c r="V15" i="21"/>
  <c r="W15" i="21" s="1"/>
  <c r="T21" i="23" a="1"/>
  <c r="T21" i="23" s="1"/>
  <c r="AP3" i="23"/>
  <c r="T22" i="23" a="1"/>
  <c r="T22" i="23" s="1"/>
  <c r="T20" i="23" a="1"/>
  <c r="T20" i="23" s="1"/>
  <c r="AO10" i="23" l="1"/>
  <c r="P16" i="21"/>
  <c r="N16" i="21"/>
  <c r="T27" i="23" a="1"/>
  <c r="T27" i="23" s="1"/>
  <c r="O15" i="22"/>
  <c r="AQ3" i="23"/>
  <c r="T28" i="23" a="1"/>
  <c r="T28" i="23" s="1"/>
  <c r="AP10" i="23" l="1"/>
  <c r="O16" i="21"/>
  <c r="L17" i="21" s="1"/>
  <c r="S17" i="21" s="1"/>
  <c r="T16" i="21"/>
  <c r="R16" i="21"/>
  <c r="U16" i="21" s="1"/>
  <c r="L16" i="22"/>
  <c r="V15" i="22"/>
  <c r="W15" i="22" s="1"/>
  <c r="AR3" i="23"/>
  <c r="N16" i="22" l="1"/>
  <c r="S16" i="22"/>
  <c r="AQ10" i="23"/>
  <c r="V16" i="21"/>
  <c r="W16" i="21" s="1"/>
  <c r="U21" i="23" a="1"/>
  <c r="U21" i="23" s="1"/>
  <c r="AS3" i="23"/>
  <c r="P16" i="22"/>
  <c r="U26" i="23" a="1"/>
  <c r="U26" i="23" s="1"/>
  <c r="U20" i="23" a="1"/>
  <c r="U20" i="23" s="1"/>
  <c r="U22" i="23" a="1"/>
  <c r="U22" i="23" s="1"/>
  <c r="R16" i="22" l="1"/>
  <c r="U16" i="22" s="1"/>
  <c r="T16" i="22"/>
  <c r="AR10" i="23"/>
  <c r="P17" i="21"/>
  <c r="N17" i="21"/>
  <c r="AT3" i="23"/>
  <c r="O16" i="22"/>
  <c r="AS10" i="23" l="1"/>
  <c r="O17" i="21"/>
  <c r="L18" i="21" s="1"/>
  <c r="S18" i="21" s="1"/>
  <c r="T17" i="21"/>
  <c r="R17" i="21"/>
  <c r="U17" i="21" s="1"/>
  <c r="L17" i="22"/>
  <c r="AU3" i="23"/>
  <c r="V20" i="23" a="1"/>
  <c r="V20" i="23" s="1"/>
  <c r="N17" i="22" l="1"/>
  <c r="S17" i="22"/>
  <c r="AT10" i="23"/>
  <c r="V17" i="21"/>
  <c r="W17" i="21" s="1"/>
  <c r="U28" i="23" a="1"/>
  <c r="U28" i="23" s="1"/>
  <c r="U27" i="23" a="1"/>
  <c r="U27" i="23" s="1"/>
  <c r="V16" i="22"/>
  <c r="W16" i="22" s="1"/>
  <c r="AV3" i="23"/>
  <c r="P17" i="22"/>
  <c r="R17" i="22" l="1"/>
  <c r="U17" i="22" s="1"/>
  <c r="T17" i="22"/>
  <c r="AU10" i="23"/>
  <c r="V21" i="23" a="1"/>
  <c r="V21" i="23" s="1"/>
  <c r="V27" i="23" a="1"/>
  <c r="V27" i="23" s="1"/>
  <c r="O17" i="22"/>
  <c r="V26" i="23" a="1"/>
  <c r="V26" i="23" s="1"/>
  <c r="AW3" i="23"/>
  <c r="V28" i="23" a="1"/>
  <c r="V28" i="23" s="1"/>
  <c r="V22" i="23" a="1"/>
  <c r="V22" i="23" s="1"/>
  <c r="AV10" i="23" l="1"/>
  <c r="P18" i="21"/>
  <c r="N18" i="21"/>
  <c r="L18" i="22"/>
  <c r="V17" i="22"/>
  <c r="W17" i="22" s="1"/>
  <c r="AX3" i="23"/>
  <c r="N18" i="22" l="1"/>
  <c r="S18" i="22"/>
  <c r="AW10" i="23"/>
  <c r="O18" i="21"/>
  <c r="L19" i="21" s="1"/>
  <c r="S19" i="21" s="1"/>
  <c r="T18" i="21"/>
  <c r="R18" i="21"/>
  <c r="U18" i="21" s="1"/>
  <c r="AY3" i="23"/>
  <c r="P18" i="22"/>
  <c r="R18" i="22" l="1"/>
  <c r="U18" i="22" s="1"/>
  <c r="T18" i="22"/>
  <c r="AX10" i="23"/>
  <c r="V18" i="21"/>
  <c r="W18" i="21" s="1"/>
  <c r="W21" i="23" a="1"/>
  <c r="W21" i="23" s="1"/>
  <c r="W27" i="23" a="1"/>
  <c r="W27" i="23" s="1"/>
  <c r="O18" i="22"/>
  <c r="AZ3" i="23"/>
  <c r="W28" i="23" a="1"/>
  <c r="W28" i="23" s="1"/>
  <c r="W26" i="23" a="1"/>
  <c r="W26" i="23" s="1"/>
  <c r="W20" i="23" a="1"/>
  <c r="W20" i="23" s="1"/>
  <c r="W22" i="23" a="1"/>
  <c r="W22" i="23" s="1"/>
  <c r="AY10" i="23" l="1"/>
  <c r="N19" i="21"/>
  <c r="P19" i="21"/>
  <c r="L19" i="22"/>
  <c r="V18" i="22"/>
  <c r="W18" i="22" s="1"/>
  <c r="BA3" i="23"/>
  <c r="N19" i="22" l="1"/>
  <c r="S19" i="22"/>
  <c r="AZ10" i="23"/>
  <c r="O19" i="21"/>
  <c r="L20" i="21" s="1"/>
  <c r="S20" i="21" s="1"/>
  <c r="T19" i="21"/>
  <c r="R19" i="21"/>
  <c r="U19" i="21" s="1"/>
  <c r="BB3" i="23"/>
  <c r="P19" i="22"/>
  <c r="R19" i="22" l="1"/>
  <c r="U19" i="22" s="1"/>
  <c r="X28" i="23" s="1" a="1"/>
  <c r="X28" i="23" s="1"/>
  <c r="T19" i="22"/>
  <c r="BA10" i="23"/>
  <c r="V19" i="21"/>
  <c r="W19" i="21" s="1"/>
  <c r="X21" i="23" a="1"/>
  <c r="X21" i="23" s="1"/>
  <c r="X27" i="23" a="1"/>
  <c r="X27" i="23" s="1"/>
  <c r="O19" i="22"/>
  <c r="X20" i="23" a="1"/>
  <c r="X20" i="23" s="1"/>
  <c r="X26" i="23" a="1"/>
  <c r="X26" i="23" s="1"/>
  <c r="BC3" i="23"/>
  <c r="X22" i="23" a="1"/>
  <c r="X22" i="23" s="1"/>
  <c r="BB10" i="23" l="1"/>
  <c r="P20" i="21"/>
  <c r="N20" i="21"/>
  <c r="L20" i="22"/>
  <c r="V19" i="22"/>
  <c r="W19" i="22" s="1"/>
  <c r="BD3" i="23"/>
  <c r="N20" i="22" l="1"/>
  <c r="S20" i="22"/>
  <c r="BC10" i="23"/>
  <c r="O20" i="21"/>
  <c r="L21" i="21" s="1"/>
  <c r="S21" i="21" s="1"/>
  <c r="R20" i="21"/>
  <c r="U20" i="21" s="1"/>
  <c r="T20" i="21"/>
  <c r="BE3" i="23"/>
  <c r="P20" i="22"/>
  <c r="Y20" i="23" a="1"/>
  <c r="Y20" i="23" s="1"/>
  <c r="R20" i="22" l="1"/>
  <c r="U20" i="22" s="1"/>
  <c r="T20" i="22"/>
  <c r="BD10" i="23"/>
  <c r="V20" i="21"/>
  <c r="W20" i="21" s="1"/>
  <c r="Y27" i="23" a="1"/>
  <c r="Y27" i="23" s="1"/>
  <c r="O20" i="22"/>
  <c r="BF3" i="23"/>
  <c r="Y28" i="23" a="1"/>
  <c r="Y28" i="23" s="1"/>
  <c r="Y26" i="23" a="1"/>
  <c r="Y26" i="23" s="1"/>
  <c r="BE10" i="23" l="1"/>
  <c r="L21" i="22"/>
  <c r="V20" i="22"/>
  <c r="W20" i="22" s="1"/>
  <c r="N21" i="22" l="1"/>
  <c r="S21" i="22"/>
  <c r="BF10" i="23"/>
  <c r="P21" i="21"/>
  <c r="N21" i="21"/>
  <c r="Y22" i="23" a="1"/>
  <c r="Y22" i="23" s="1"/>
  <c r="Y21" i="23" a="1"/>
  <c r="Y21" i="23" s="1"/>
  <c r="P21" i="22"/>
  <c r="R21" i="22" l="1"/>
  <c r="U21" i="22" s="1"/>
  <c r="T21" i="22"/>
  <c r="O21" i="21"/>
  <c r="L22" i="21" s="1"/>
  <c r="S22" i="21" s="1"/>
  <c r="T21" i="21"/>
  <c r="Z21" i="23" s="1" a="1"/>
  <c r="Z21" i="23" s="1"/>
  <c r="R21" i="21"/>
  <c r="U21" i="21" s="1"/>
  <c r="Z22" i="23" s="1" a="1"/>
  <c r="Z22" i="23" s="1"/>
  <c r="Z27" i="23" a="1"/>
  <c r="Z27" i="23" s="1"/>
  <c r="O21" i="22"/>
  <c r="Z28" i="23" a="1"/>
  <c r="Z28" i="23" s="1"/>
  <c r="Z26" i="23" a="1"/>
  <c r="Z26" i="23" s="1"/>
  <c r="Z20" i="23" a="1"/>
  <c r="Z20" i="23" s="1"/>
  <c r="V21" i="21" l="1"/>
  <c r="W21" i="21" s="1"/>
  <c r="P22" i="21"/>
  <c r="N22" i="21"/>
  <c r="L22" i="22"/>
  <c r="V21" i="22"/>
  <c r="W21" i="22" s="1"/>
  <c r="N22" i="22" l="1"/>
  <c r="S22" i="22"/>
  <c r="O22" i="21"/>
  <c r="L23" i="21" s="1"/>
  <c r="S23" i="21" s="1"/>
  <c r="T22" i="21"/>
  <c r="R22" i="21"/>
  <c r="U22" i="21" s="1"/>
  <c r="AA26" i="23" a="1"/>
  <c r="AA26" i="23" s="1"/>
  <c r="P22" i="22"/>
  <c r="AA20" i="23" a="1"/>
  <c r="AA20" i="23" s="1"/>
  <c r="T22" i="22" l="1"/>
  <c r="R22" i="22"/>
  <c r="U22" i="22" s="1"/>
  <c r="V22" i="21"/>
  <c r="W22" i="21" s="1"/>
  <c r="O22" i="22" l="1"/>
  <c r="AA28" i="23" a="1"/>
  <c r="AA28" i="23" s="1"/>
  <c r="AA21" i="23" a="1"/>
  <c r="AA21" i="23" s="1"/>
  <c r="AA22" i="23" a="1"/>
  <c r="AA22" i="23" s="1"/>
  <c r="P23" i="21" l="1"/>
  <c r="N23" i="21"/>
  <c r="L23" i="22"/>
  <c r="P23" i="22" s="1"/>
  <c r="AA27" i="23" a="1"/>
  <c r="AA27" i="23" s="1"/>
  <c r="V22" i="22"/>
  <c r="W22" i="22" s="1"/>
  <c r="N23" i="22" l="1"/>
  <c r="S23" i="22"/>
  <c r="AB26" i="23" s="1" a="1"/>
  <c r="AB26" i="23" s="1"/>
  <c r="O23" i="21"/>
  <c r="L24" i="21" s="1"/>
  <c r="S24" i="21" s="1"/>
  <c r="R23" i="21"/>
  <c r="U23" i="21" s="1"/>
  <c r="T23" i="21"/>
  <c r="R23" i="22" l="1"/>
  <c r="U23" i="22" s="1"/>
  <c r="T23" i="22"/>
  <c r="V23" i="21"/>
  <c r="AB28" i="23" a="1"/>
  <c r="AB28" i="23" s="1"/>
  <c r="AB27" i="23" a="1"/>
  <c r="AB27" i="23" s="1"/>
  <c r="O23" i="22"/>
  <c r="L24" i="22" s="1"/>
  <c r="AB21" i="23" a="1"/>
  <c r="AB21" i="23" s="1"/>
  <c r="V23" i="22"/>
  <c r="W23" i="22" s="1"/>
  <c r="AB22" i="23" a="1"/>
  <c r="AB22" i="23" s="1"/>
  <c r="AB20" i="23" a="1"/>
  <c r="AB20" i="23" s="1"/>
  <c r="N24" i="22" l="1"/>
  <c r="S24" i="22"/>
  <c r="W23" i="21"/>
  <c r="P24" i="21"/>
  <c r="N24" i="21"/>
  <c r="P24" i="22"/>
  <c r="R24" i="22" l="1"/>
  <c r="U24" i="22" s="1"/>
  <c r="AC28" i="23" s="1" a="1"/>
  <c r="AC28" i="23" s="1"/>
  <c r="T24" i="22"/>
  <c r="AC27" i="23" s="1" a="1"/>
  <c r="AC27" i="23" s="1"/>
  <c r="O24" i="21"/>
  <c r="L25" i="21" s="1"/>
  <c r="S25" i="21" s="1"/>
  <c r="T24" i="21"/>
  <c r="R24" i="21"/>
  <c r="U24" i="21" s="1"/>
  <c r="O24" i="22"/>
  <c r="AC26" i="23" a="1"/>
  <c r="AC26" i="23" s="1"/>
  <c r="V24" i="21" l="1"/>
  <c r="W24" i="21" s="1"/>
  <c r="L25" i="22"/>
  <c r="AC21" i="23" a="1"/>
  <c r="AC21" i="23" s="1"/>
  <c r="V24" i="22"/>
  <c r="W24" i="22" s="1"/>
  <c r="AC22" i="23" a="1"/>
  <c r="AC22" i="23" s="1"/>
  <c r="AC20" i="23" a="1"/>
  <c r="AC20" i="23" s="1"/>
  <c r="N25" i="22" l="1"/>
  <c r="S25" i="22"/>
  <c r="P25" i="21"/>
  <c r="N25" i="21"/>
  <c r="P25" i="22"/>
  <c r="R25" i="22" l="1"/>
  <c r="U25" i="22" s="1"/>
  <c r="AD28" i="23" s="1" a="1"/>
  <c r="AD28" i="23" s="1"/>
  <c r="T25" i="22"/>
  <c r="O25" i="21"/>
  <c r="L26" i="21" s="1"/>
  <c r="S26" i="21" s="1"/>
  <c r="T25" i="21"/>
  <c r="R25" i="21"/>
  <c r="U25" i="21" s="1"/>
  <c r="AD27" i="23" a="1"/>
  <c r="AD27" i="23" s="1"/>
  <c r="O25" i="22"/>
  <c r="AD26" i="23" a="1"/>
  <c r="AD26" i="23" s="1"/>
  <c r="AD20" i="23" a="1"/>
  <c r="AD20" i="23" s="1"/>
  <c r="V25" i="21" l="1"/>
  <c r="W25" i="21" s="1"/>
  <c r="L26" i="22"/>
  <c r="V25" i="22"/>
  <c r="W25" i="22" s="1"/>
  <c r="N26" i="22" l="1"/>
  <c r="S26" i="22"/>
  <c r="AD21" i="23" a="1"/>
  <c r="AD21" i="23" s="1"/>
  <c r="P26" i="22"/>
  <c r="AD22" i="23" a="1"/>
  <c r="AD22" i="23" s="1"/>
  <c r="R26" i="22" l="1"/>
  <c r="U26" i="22" s="1"/>
  <c r="AE28" i="23" s="1" a="1"/>
  <c r="AE28" i="23" s="1"/>
  <c r="T26" i="22"/>
  <c r="P26" i="21"/>
  <c r="N26" i="21"/>
  <c r="AE27" i="23" a="1"/>
  <c r="AE27" i="23" s="1"/>
  <c r="O26" i="22"/>
  <c r="AE26" i="23" a="1"/>
  <c r="AE26" i="23" s="1"/>
  <c r="O26" i="21" l="1"/>
  <c r="L27" i="21" s="1"/>
  <c r="S27" i="21" s="1"/>
  <c r="T26" i="21"/>
  <c r="R26" i="21"/>
  <c r="U26" i="21" s="1"/>
  <c r="L27" i="22"/>
  <c r="V26" i="22"/>
  <c r="W26" i="22" s="1"/>
  <c r="AE20" i="23" a="1"/>
  <c r="AE20" i="23" s="1"/>
  <c r="N27" i="22" l="1"/>
  <c r="S27" i="22"/>
  <c r="V26" i="21"/>
  <c r="P27" i="22"/>
  <c r="R27" i="22" l="1"/>
  <c r="U27" i="22" s="1"/>
  <c r="T27" i="22"/>
  <c r="W26" i="21"/>
  <c r="AE21" i="23" a="1"/>
  <c r="AE21" i="23" s="1"/>
  <c r="AF27" i="23" a="1"/>
  <c r="AF27" i="23" s="1"/>
  <c r="O27" i="22"/>
  <c r="AF26" i="23" a="1"/>
  <c r="AF26" i="23" s="1"/>
  <c r="AF28" i="23" a="1"/>
  <c r="AF28" i="23" s="1"/>
  <c r="AE22" i="23" a="1"/>
  <c r="AE22" i="23" s="1"/>
  <c r="P27" i="21" l="1"/>
  <c r="N27" i="21"/>
  <c r="L28" i="22"/>
  <c r="V27" i="22"/>
  <c r="W27" i="22" s="1"/>
  <c r="N28" i="22" l="1"/>
  <c r="S28" i="22"/>
  <c r="O27" i="21"/>
  <c r="L28" i="21" s="1"/>
  <c r="S28" i="21" s="1"/>
  <c r="T27" i="21"/>
  <c r="R27" i="21"/>
  <c r="U27" i="21" s="1"/>
  <c r="P28" i="22"/>
  <c r="T28" i="22" l="1"/>
  <c r="R28" i="22"/>
  <c r="U28" i="22" s="1"/>
  <c r="AG28" i="23" s="1" a="1"/>
  <c r="AG28" i="23" s="1"/>
  <c r="V27" i="21"/>
  <c r="W27" i="21" s="1"/>
  <c r="P28" i="21"/>
  <c r="N28" i="21"/>
  <c r="AF21" i="23" a="1"/>
  <c r="AF21" i="23" s="1"/>
  <c r="AG27" i="23" a="1"/>
  <c r="AG27" i="23" s="1"/>
  <c r="O28" i="22"/>
  <c r="AG26" i="23" a="1"/>
  <c r="AG26" i="23" s="1"/>
  <c r="AF22" i="23" a="1"/>
  <c r="AF22" i="23" s="1"/>
  <c r="AF20" i="23" a="1"/>
  <c r="AF20" i="23" s="1"/>
  <c r="E9" i="23" l="1"/>
  <c r="D9" i="23"/>
  <c r="F8" i="23"/>
  <c r="D8" i="23"/>
  <c r="F9" i="23"/>
  <c r="H8" i="23"/>
  <c r="G9" i="23"/>
  <c r="H9" i="23"/>
  <c r="G8" i="23"/>
  <c r="O28" i="21"/>
  <c r="L29" i="21" s="1"/>
  <c r="S29" i="21" s="1"/>
  <c r="R28" i="21"/>
  <c r="U28" i="21" s="1"/>
  <c r="T28" i="21"/>
  <c r="L29" i="22"/>
  <c r="V28" i="22"/>
  <c r="W28" i="22" s="1"/>
  <c r="N29" i="22" l="1"/>
  <c r="S29" i="22"/>
  <c r="D10" i="23"/>
  <c r="G10" i="23"/>
  <c r="H10" i="23"/>
  <c r="F10" i="23"/>
  <c r="E8" i="23"/>
  <c r="E10" i="23" s="1"/>
  <c r="V28" i="21"/>
  <c r="P29" i="22"/>
  <c r="AG20" i="23" a="1"/>
  <c r="AG20" i="23" s="1"/>
  <c r="T29" i="22" l="1"/>
  <c r="AH27" i="23" s="1" a="1"/>
  <c r="AH27" i="23" s="1"/>
  <c r="R29" i="22"/>
  <c r="U29" i="22" s="1"/>
  <c r="AH28" i="23" s="1" a="1"/>
  <c r="AH28" i="23" s="1"/>
  <c r="W28" i="21"/>
  <c r="P29" i="21"/>
  <c r="N29" i="21"/>
  <c r="O29" i="22"/>
  <c r="AH26" i="23" a="1"/>
  <c r="AH26" i="23" s="1"/>
  <c r="O29" i="21" l="1"/>
  <c r="L30" i="21" s="1"/>
  <c r="S30" i="21" s="1"/>
  <c r="T29" i="21"/>
  <c r="R29" i="21"/>
  <c r="U29" i="21" s="1"/>
  <c r="L30" i="22"/>
  <c r="AG22" i="23" a="1"/>
  <c r="AG22" i="23" s="1"/>
  <c r="V29" i="22"/>
  <c r="W29" i="22" s="1"/>
  <c r="N30" i="22" l="1"/>
  <c r="S30" i="22"/>
  <c r="V29" i="21"/>
  <c r="AG21" i="23" a="1"/>
  <c r="AG21" i="23" s="1"/>
  <c r="P30" i="22"/>
  <c r="AH20" i="23" a="1"/>
  <c r="AH20" i="23" s="1"/>
  <c r="T30" i="22" l="1"/>
  <c r="R30" i="22"/>
  <c r="U30" i="22" s="1"/>
  <c r="W29" i="21"/>
  <c r="P30" i="21"/>
  <c r="N30" i="21"/>
  <c r="AI26" i="23" a="1"/>
  <c r="AI26" i="23" s="1"/>
  <c r="O30" i="22"/>
  <c r="O30" i="21" l="1"/>
  <c r="L31" i="21" s="1"/>
  <c r="S31" i="21" s="1"/>
  <c r="R30" i="21"/>
  <c r="U30" i="21" s="1"/>
  <c r="T30" i="21"/>
  <c r="L31" i="22"/>
  <c r="AH21" i="23" a="1"/>
  <c r="AH21" i="23" s="1"/>
  <c r="AI28" i="23" a="1"/>
  <c r="AI28" i="23" s="1"/>
  <c r="AH22" i="23" a="1"/>
  <c r="AH22" i="23" s="1"/>
  <c r="N31" i="22" l="1"/>
  <c r="S31" i="22"/>
  <c r="AJ26" i="23" s="1" a="1"/>
  <c r="AJ26" i="23" s="1"/>
  <c r="V30" i="21"/>
  <c r="W30" i="21" s="1"/>
  <c r="AI27" i="23" a="1"/>
  <c r="AI27" i="23" s="1"/>
  <c r="V30" i="22"/>
  <c r="W30" i="22" s="1"/>
  <c r="P31" i="22"/>
  <c r="AI20" i="23" a="1"/>
  <c r="AI20" i="23" s="1"/>
  <c r="T31" i="22" l="1"/>
  <c r="R31" i="22"/>
  <c r="U31" i="22" s="1"/>
  <c r="AJ28" i="23" a="1"/>
  <c r="AJ28" i="23" s="1"/>
  <c r="AJ27" i="23" a="1"/>
  <c r="AJ27" i="23" s="1"/>
  <c r="O31" i="22"/>
  <c r="L32" i="22" l="1"/>
  <c r="V31" i="22"/>
  <c r="W31" i="22" s="1"/>
  <c r="AJ20" i="23" a="1"/>
  <c r="AJ20" i="23" s="1"/>
  <c r="N32" i="22" l="1"/>
  <c r="S32" i="22"/>
  <c r="P31" i="21"/>
  <c r="N31" i="21"/>
  <c r="AI21" i="23" a="1"/>
  <c r="AI21" i="23" s="1"/>
  <c r="AI22" i="23" a="1"/>
  <c r="AI22" i="23" s="1"/>
  <c r="P32" i="22"/>
  <c r="T32" i="22" l="1"/>
  <c r="R32" i="22"/>
  <c r="U32" i="22" s="1"/>
  <c r="O31" i="21"/>
  <c r="L32" i="21" s="1"/>
  <c r="S32" i="21" s="1"/>
  <c r="T31" i="21"/>
  <c r="R31" i="21"/>
  <c r="U31" i="21" s="1"/>
  <c r="P32" i="21"/>
  <c r="AK27" i="23" a="1"/>
  <c r="AK27" i="23" s="1"/>
  <c r="O32" i="22"/>
  <c r="AK28" i="23" a="1"/>
  <c r="AK28" i="23" s="1"/>
  <c r="AK26" i="23" a="1"/>
  <c r="AK26" i="23" s="1"/>
  <c r="N32" i="21" l="1"/>
  <c r="O32" i="21" s="1"/>
  <c r="L33" i="21" s="1"/>
  <c r="S33" i="21" s="1"/>
  <c r="T32" i="21"/>
  <c r="R32" i="21"/>
  <c r="U32" i="21" s="1"/>
  <c r="AJ22" i="23" a="1"/>
  <c r="AJ22" i="23" s="1"/>
  <c r="V31" i="21"/>
  <c r="W31" i="21" s="1"/>
  <c r="AJ21" i="23" a="1"/>
  <c r="AJ21" i="23" s="1"/>
  <c r="V32" i="21"/>
  <c r="W32" i="21" s="1"/>
  <c r="L33" i="22"/>
  <c r="V32" i="22"/>
  <c r="W32" i="22" s="1"/>
  <c r="AK20" i="23" a="1"/>
  <c r="AK20" i="23" s="1"/>
  <c r="N33" i="22" l="1"/>
  <c r="S33" i="22"/>
  <c r="P33" i="21"/>
  <c r="N33" i="21"/>
  <c r="AK21" i="23" a="1"/>
  <c r="AK21" i="23" s="1"/>
  <c r="P33" i="22"/>
  <c r="AK22" i="23" a="1"/>
  <c r="AK22" i="23" s="1"/>
  <c r="T33" i="22" l="1"/>
  <c r="R33" i="22"/>
  <c r="U33" i="22" s="1"/>
  <c r="O33" i="21"/>
  <c r="L34" i="21" s="1"/>
  <c r="S34" i="21" s="1"/>
  <c r="R33" i="21"/>
  <c r="U33" i="21" s="1"/>
  <c r="T33" i="21"/>
  <c r="AL27" i="23" a="1"/>
  <c r="AL27" i="23" s="1"/>
  <c r="O33" i="22"/>
  <c r="AL26" i="23" a="1"/>
  <c r="AL26" i="23" s="1"/>
  <c r="AL28" i="23" a="1"/>
  <c r="AL28" i="23" s="1"/>
  <c r="V33" i="21" l="1"/>
  <c r="L34" i="22"/>
  <c r="V33" i="22"/>
  <c r="W33" i="22" s="1"/>
  <c r="AL20" i="23" a="1"/>
  <c r="AL20" i="23" s="1"/>
  <c r="N34" i="22" l="1"/>
  <c r="S34" i="22"/>
  <c r="W33" i="21"/>
  <c r="P34" i="21"/>
  <c r="N34" i="21"/>
  <c r="AL21" i="23" a="1"/>
  <c r="AL21" i="23" s="1"/>
  <c r="P34" i="22"/>
  <c r="AL22" i="23" a="1"/>
  <c r="AL22" i="23" s="1"/>
  <c r="T34" i="22" l="1"/>
  <c r="R34" i="22"/>
  <c r="U34" i="22" s="1"/>
  <c r="O34" i="21"/>
  <c r="L35" i="21" s="1"/>
  <c r="S35" i="21" s="1"/>
  <c r="T34" i="21"/>
  <c r="R34" i="21"/>
  <c r="U34" i="21" s="1"/>
  <c r="AM27" i="23" a="1"/>
  <c r="AM27" i="23" s="1"/>
  <c r="O34" i="22"/>
  <c r="AM28" i="23" a="1"/>
  <c r="AM28" i="23" s="1"/>
  <c r="AM26" i="23" a="1"/>
  <c r="AM26" i="23" s="1"/>
  <c r="V34" i="21" l="1"/>
  <c r="W34" i="21" s="1"/>
  <c r="L35" i="22"/>
  <c r="V34" i="22"/>
  <c r="W34" i="22" s="1"/>
  <c r="AM20" i="23" a="1"/>
  <c r="AM20" i="23" s="1"/>
  <c r="N35" i="22" l="1"/>
  <c r="S35" i="22"/>
  <c r="P35" i="21"/>
  <c r="N35" i="21"/>
  <c r="AM21" i="23" a="1"/>
  <c r="AM21" i="23" s="1"/>
  <c r="P35" i="22"/>
  <c r="AM22" i="23" a="1"/>
  <c r="AM22" i="23" s="1"/>
  <c r="T35" i="22" l="1"/>
  <c r="R35" i="22"/>
  <c r="U35" i="22" s="1"/>
  <c r="O35" i="21"/>
  <c r="L36" i="21" s="1"/>
  <c r="S36" i="21" s="1"/>
  <c r="T35" i="21"/>
  <c r="R35" i="21"/>
  <c r="U35" i="21" s="1"/>
  <c r="AN27" i="23" a="1"/>
  <c r="AN27" i="23" s="1"/>
  <c r="O35" i="22"/>
  <c r="AN26" i="23" a="1"/>
  <c r="AN26" i="23" s="1"/>
  <c r="AN28" i="23" a="1"/>
  <c r="AN28" i="23" s="1"/>
  <c r="V35" i="21" l="1"/>
  <c r="L36" i="22"/>
  <c r="V35" i="22"/>
  <c r="W35" i="22" s="1"/>
  <c r="AN20" i="23" a="1"/>
  <c r="AN20" i="23" s="1"/>
  <c r="N36" i="22" l="1"/>
  <c r="S36" i="22"/>
  <c r="W35" i="21"/>
  <c r="P36" i="21"/>
  <c r="N36" i="21"/>
  <c r="AN21" i="23" a="1"/>
  <c r="AN21" i="23" s="1"/>
  <c r="P36" i="22"/>
  <c r="AN22" i="23" a="1"/>
  <c r="AN22" i="23" s="1"/>
  <c r="T36" i="22" l="1"/>
  <c r="R36" i="22"/>
  <c r="U36" i="22" s="1"/>
  <c r="O36" i="21"/>
  <c r="L37" i="21" s="1"/>
  <c r="S37" i="21" s="1"/>
  <c r="T36" i="21"/>
  <c r="R36" i="21"/>
  <c r="U36" i="21" s="1"/>
  <c r="AO27" i="23" a="1"/>
  <c r="AO27" i="23" s="1"/>
  <c r="O36" i="22"/>
  <c r="AO26" i="23" a="1"/>
  <c r="AO26" i="23" s="1"/>
  <c r="AO28" i="23" a="1"/>
  <c r="AO28" i="23" s="1"/>
  <c r="V36" i="21" l="1"/>
  <c r="W36" i="21" s="1"/>
  <c r="L37" i="22"/>
  <c r="V36" i="22"/>
  <c r="W36" i="22" s="1"/>
  <c r="AO20" i="23" a="1"/>
  <c r="AO20" i="23" s="1"/>
  <c r="N37" i="22" l="1"/>
  <c r="S37" i="22"/>
  <c r="P37" i="21"/>
  <c r="N37" i="21"/>
  <c r="AO21" i="23" a="1"/>
  <c r="AO21" i="23" s="1"/>
  <c r="P37" i="22"/>
  <c r="AP26" i="23" a="1"/>
  <c r="AP26" i="23" s="1"/>
  <c r="AO22" i="23" a="1"/>
  <c r="AO22" i="23" s="1"/>
  <c r="T37" i="22" l="1"/>
  <c r="R37" i="22"/>
  <c r="U37" i="22" s="1"/>
  <c r="O37" i="21"/>
  <c r="L38" i="21" s="1"/>
  <c r="S38" i="21" s="1"/>
  <c r="T37" i="21"/>
  <c r="R37" i="21"/>
  <c r="U37" i="21" s="1"/>
  <c r="AP27" i="23" a="1"/>
  <c r="AP27" i="23" s="1"/>
  <c r="O37" i="22"/>
  <c r="AP28" i="23" a="1"/>
  <c r="AP28" i="23" s="1"/>
  <c r="V37" i="21" l="1"/>
  <c r="W37" i="21" s="1"/>
  <c r="L38" i="22"/>
  <c r="V37" i="22"/>
  <c r="W37" i="22" s="1"/>
  <c r="AP20" i="23" a="1"/>
  <c r="AP20" i="23" s="1"/>
  <c r="N38" i="22" l="1"/>
  <c r="S38" i="22"/>
  <c r="P38" i="21"/>
  <c r="N38" i="21"/>
  <c r="AP21" i="23" a="1"/>
  <c r="AP21" i="23" s="1"/>
  <c r="P38" i="22"/>
  <c r="AQ26" i="23" a="1"/>
  <c r="AQ26" i="23" s="1"/>
  <c r="AP22" i="23" a="1"/>
  <c r="AP22" i="23" s="1"/>
  <c r="T38" i="22" l="1"/>
  <c r="R38" i="22"/>
  <c r="U38" i="22" s="1"/>
  <c r="O38" i="21"/>
  <c r="L39" i="21" s="1"/>
  <c r="S39" i="21" s="1"/>
  <c r="T38" i="21"/>
  <c r="R38" i="21"/>
  <c r="U38" i="21" s="1"/>
  <c r="AQ27" i="23" a="1"/>
  <c r="AQ27" i="23" s="1"/>
  <c r="O38" i="22"/>
  <c r="AQ28" i="23" a="1"/>
  <c r="AQ28" i="23" s="1"/>
  <c r="V38" i="21" l="1"/>
  <c r="W38" i="21" s="1"/>
  <c r="L39" i="22"/>
  <c r="V38" i="22"/>
  <c r="W38" i="22" s="1"/>
  <c r="AQ20" i="23" a="1"/>
  <c r="AQ20" i="23" s="1"/>
  <c r="N39" i="22" l="1"/>
  <c r="S39" i="22"/>
  <c r="P39" i="21"/>
  <c r="N39" i="21"/>
  <c r="AQ21" i="23" a="1"/>
  <c r="AQ21" i="23" s="1"/>
  <c r="P39" i="22"/>
  <c r="AR26" i="23" a="1"/>
  <c r="AR26" i="23" s="1"/>
  <c r="AQ22" i="23" a="1"/>
  <c r="AQ22" i="23" s="1"/>
  <c r="T39" i="22" l="1"/>
  <c r="R39" i="22"/>
  <c r="U39" i="22" s="1"/>
  <c r="AR28" i="23" s="1" a="1"/>
  <c r="AR28" i="23" s="1"/>
  <c r="O39" i="21"/>
  <c r="L40" i="21" s="1"/>
  <c r="S40" i="21" s="1"/>
  <c r="T39" i="21"/>
  <c r="R39" i="21"/>
  <c r="U39" i="21" s="1"/>
  <c r="AR27" i="23" a="1"/>
  <c r="AR27" i="23" s="1"/>
  <c r="O39" i="22"/>
  <c r="V39" i="21" l="1"/>
  <c r="W39" i="21" s="1"/>
  <c r="L40" i="22"/>
  <c r="V39" i="22"/>
  <c r="W39" i="22" s="1"/>
  <c r="AR20" i="23" a="1"/>
  <c r="AR20" i="23" s="1"/>
  <c r="N40" i="22" l="1"/>
  <c r="S40" i="22"/>
  <c r="N40" i="21"/>
  <c r="P40" i="21"/>
  <c r="AR21" i="23" a="1"/>
  <c r="AR21" i="23" s="1"/>
  <c r="P40" i="22"/>
  <c r="AS26" i="23" a="1"/>
  <c r="AS26" i="23" s="1"/>
  <c r="AR22" i="23" a="1"/>
  <c r="AR22" i="23" s="1"/>
  <c r="R40" i="22" l="1"/>
  <c r="U40" i="22" s="1"/>
  <c r="AS28" i="23" s="1" a="1"/>
  <c r="AS28" i="23" s="1"/>
  <c r="T40" i="22"/>
  <c r="O40" i="21"/>
  <c r="L41" i="21" s="1"/>
  <c r="S41" i="21" s="1"/>
  <c r="T40" i="21"/>
  <c r="R40" i="21"/>
  <c r="U40" i="21" s="1"/>
  <c r="V40" i="21" l="1"/>
  <c r="W40" i="21" s="1"/>
  <c r="AS27" i="23" a="1"/>
  <c r="AS27" i="23" s="1"/>
  <c r="O40" i="22"/>
  <c r="V40" i="22"/>
  <c r="W40" i="22" s="1"/>
  <c r="AS20" i="23" a="1"/>
  <c r="AS20" i="23" s="1"/>
  <c r="P41" i="21" l="1"/>
  <c r="N41" i="21"/>
  <c r="L41" i="22"/>
  <c r="P41" i="22" s="1"/>
  <c r="AS21" i="23" a="1"/>
  <c r="AS21" i="23" s="1"/>
  <c r="AS22" i="23" a="1"/>
  <c r="AS22" i="23" s="1"/>
  <c r="N41" i="22" l="1"/>
  <c r="S41" i="22"/>
  <c r="O41" i="21"/>
  <c r="L42" i="21" s="1"/>
  <c r="S42" i="21" s="1"/>
  <c r="T41" i="21"/>
  <c r="R41" i="21"/>
  <c r="U41" i="21" s="1"/>
  <c r="AT26" i="23" a="1"/>
  <c r="AT26" i="23" s="1"/>
  <c r="R41" i="22" l="1"/>
  <c r="U41" i="22" s="1"/>
  <c r="T41" i="22"/>
  <c r="V41" i="21"/>
  <c r="W41" i="21" s="1"/>
  <c r="AT20" i="23" a="1"/>
  <c r="AT20" i="23" s="1"/>
  <c r="P42" i="21" l="1"/>
  <c r="N42" i="21"/>
  <c r="O41" i="22"/>
  <c r="AT21" i="23" a="1"/>
  <c r="AT21" i="23" s="1"/>
  <c r="AT28" i="23" a="1"/>
  <c r="AT28" i="23" s="1"/>
  <c r="AT27" i="23" a="1"/>
  <c r="AT27" i="23" s="1"/>
  <c r="V41" i="22"/>
  <c r="W41" i="22" s="1"/>
  <c r="AT22" i="23" a="1"/>
  <c r="AT22" i="23" s="1"/>
  <c r="O42" i="21" l="1"/>
  <c r="L43" i="21" s="1"/>
  <c r="S43" i="21" s="1"/>
  <c r="T42" i="21"/>
  <c r="R42" i="21"/>
  <c r="U42" i="21" s="1"/>
  <c r="L42" i="22"/>
  <c r="N42" i="22" l="1"/>
  <c r="S42" i="22"/>
  <c r="V42" i="21"/>
  <c r="P42" i="22"/>
  <c r="AU20" i="23" a="1"/>
  <c r="AU20" i="23" s="1"/>
  <c r="R42" i="22" l="1"/>
  <c r="U42" i="22" s="1"/>
  <c r="T42" i="22"/>
  <c r="W42" i="21"/>
  <c r="P43" i="21"/>
  <c r="N43" i="21"/>
  <c r="AU28" i="23" a="1"/>
  <c r="AU28" i="23" s="1"/>
  <c r="AU27" i="23" a="1"/>
  <c r="AU27" i="23" s="1"/>
  <c r="O42" i="22"/>
  <c r="AU21" i="23" a="1"/>
  <c r="AU21" i="23" s="1"/>
  <c r="AU22" i="23" a="1"/>
  <c r="AU22" i="23" s="1"/>
  <c r="O43" i="21" l="1"/>
  <c r="L44" i="21" s="1"/>
  <c r="S44" i="21" s="1"/>
  <c r="T43" i="21"/>
  <c r="R43" i="21"/>
  <c r="U43" i="21" s="1"/>
  <c r="AU26" i="23" a="1"/>
  <c r="AU26" i="23" s="1"/>
  <c r="V42" i="22"/>
  <c r="W42" i="22" s="1"/>
  <c r="L43" i="22"/>
  <c r="N43" i="22" l="1"/>
  <c r="S43" i="22"/>
  <c r="V43" i="21"/>
  <c r="W43" i="21" s="1"/>
  <c r="P43" i="22"/>
  <c r="AV20" i="23" a="1"/>
  <c r="AV20" i="23" s="1"/>
  <c r="R43" i="22" l="1"/>
  <c r="U43" i="22" s="1"/>
  <c r="AV28" i="23" s="1" a="1"/>
  <c r="AV28" i="23" s="1"/>
  <c r="T43" i="22"/>
  <c r="P44" i="21"/>
  <c r="N44" i="21"/>
  <c r="O43" i="22"/>
  <c r="AV27" i="23" a="1"/>
  <c r="AV27" i="23" s="1"/>
  <c r="AV21" i="23" a="1"/>
  <c r="AV21" i="23" s="1"/>
  <c r="AV22" i="23" a="1"/>
  <c r="AV22" i="23" s="1"/>
  <c r="O44" i="21" l="1"/>
  <c r="L45" i="21" s="1"/>
  <c r="S45" i="21" s="1"/>
  <c r="T44" i="21"/>
  <c r="R44" i="21"/>
  <c r="U44" i="21" s="1"/>
  <c r="AV26" i="23" a="1"/>
  <c r="AV26" i="23" s="1"/>
  <c r="V43" i="22"/>
  <c r="W43" i="22" s="1"/>
  <c r="L44" i="22"/>
  <c r="N44" i="22" l="1"/>
  <c r="S44" i="22"/>
  <c r="V44" i="21"/>
  <c r="P44" i="22"/>
  <c r="AW20" i="23" a="1"/>
  <c r="AW20" i="23" s="1"/>
  <c r="R44" i="22" l="1"/>
  <c r="U44" i="22" s="1"/>
  <c r="T44" i="22"/>
  <c r="W44" i="21"/>
  <c r="P45" i="21"/>
  <c r="N45" i="21"/>
  <c r="O44" i="22"/>
  <c r="AW28" i="23" a="1"/>
  <c r="AW28" i="23" s="1"/>
  <c r="AW27" i="23" a="1"/>
  <c r="AW27" i="23" s="1"/>
  <c r="AW21" i="23" a="1"/>
  <c r="AW21" i="23" s="1"/>
  <c r="AW22" i="23" a="1"/>
  <c r="AW22" i="23" s="1"/>
  <c r="O45" i="21" l="1"/>
  <c r="L46" i="21" s="1"/>
  <c r="S46" i="21" s="1"/>
  <c r="R45" i="21"/>
  <c r="U45" i="21" s="1"/>
  <c r="T45" i="21"/>
  <c r="AW26" i="23" a="1"/>
  <c r="AW26" i="23" s="1"/>
  <c r="V44" i="22"/>
  <c r="W44" i="22" s="1"/>
  <c r="L45" i="22"/>
  <c r="N45" i="22" l="1"/>
  <c r="S45" i="22"/>
  <c r="V45" i="21"/>
  <c r="W45" i="21" s="1"/>
  <c r="P45" i="22"/>
  <c r="AX20" i="23" a="1"/>
  <c r="AX20" i="23" s="1"/>
  <c r="R45" i="22" l="1"/>
  <c r="U45" i="22" s="1"/>
  <c r="T45" i="22"/>
  <c r="P46" i="21"/>
  <c r="N46" i="21"/>
  <c r="AX28" i="23" a="1"/>
  <c r="AX28" i="23" s="1"/>
  <c r="O45" i="22"/>
  <c r="AX26" i="23" a="1"/>
  <c r="AX26" i="23" s="1"/>
  <c r="AX21" i="23" a="1"/>
  <c r="AX21" i="23" s="1"/>
  <c r="AX27" i="23" a="1"/>
  <c r="AX27" i="23" s="1"/>
  <c r="AX22" i="23" a="1"/>
  <c r="AX22" i="23" s="1"/>
  <c r="V45" i="22" l="1"/>
  <c r="W45" i="22" s="1"/>
  <c r="O46" i="21"/>
  <c r="L47" i="21" s="1"/>
  <c r="S47" i="21" s="1"/>
  <c r="T46" i="21"/>
  <c r="R46" i="21"/>
  <c r="U46" i="21" s="1"/>
  <c r="L46" i="22"/>
  <c r="N46" i="22" l="1"/>
  <c r="S46" i="22"/>
  <c r="V46" i="21"/>
  <c r="W46" i="21" s="1"/>
  <c r="P46" i="22"/>
  <c r="AY20" i="23" a="1"/>
  <c r="AY20" i="23" s="1"/>
  <c r="R46" i="22" l="1"/>
  <c r="U46" i="22" s="1"/>
  <c r="AY28" i="23" s="1" a="1"/>
  <c r="AY28" i="23" s="1"/>
  <c r="T46" i="22"/>
  <c r="AY27" i="23" s="1" a="1"/>
  <c r="AY27" i="23" s="1"/>
  <c r="P47" i="21"/>
  <c r="N47" i="21"/>
  <c r="O46" i="22"/>
  <c r="AY21" i="23" a="1"/>
  <c r="AY21" i="23" s="1"/>
  <c r="AY22" i="23" a="1"/>
  <c r="AY22" i="23" s="1"/>
  <c r="O47" i="21" l="1"/>
  <c r="L48" i="21" s="1"/>
  <c r="S48" i="21" s="1"/>
  <c r="T47" i="21"/>
  <c r="R47" i="21"/>
  <c r="U47" i="21" s="1"/>
  <c r="AY26" i="23" a="1"/>
  <c r="AY26" i="23" s="1"/>
  <c r="V46" i="22"/>
  <c r="W46" i="22" s="1"/>
  <c r="L47" i="22"/>
  <c r="N47" i="22" l="1"/>
  <c r="S47" i="22"/>
  <c r="V47" i="21"/>
  <c r="W47" i="21" s="1"/>
  <c r="P47" i="22"/>
  <c r="AZ20" i="23" a="1"/>
  <c r="AZ20" i="23" s="1"/>
  <c r="R47" i="22" l="1"/>
  <c r="U47" i="22" s="1"/>
  <c r="AZ28" i="23" s="1" a="1"/>
  <c r="AZ28" i="23" s="1"/>
  <c r="T47" i="22"/>
  <c r="P48" i="21"/>
  <c r="N48" i="21"/>
  <c r="AZ27" i="23" a="1"/>
  <c r="AZ27" i="23" s="1"/>
  <c r="O47" i="22"/>
  <c r="AZ21" i="23" a="1"/>
  <c r="AZ21" i="23" s="1"/>
  <c r="AZ22" i="23" a="1"/>
  <c r="AZ22" i="23" s="1"/>
  <c r="O48" i="21" l="1"/>
  <c r="L49" i="21" s="1"/>
  <c r="S49" i="21" s="1"/>
  <c r="T48" i="21"/>
  <c r="R48" i="21"/>
  <c r="U48" i="21" s="1"/>
  <c r="AZ26" i="23" a="1"/>
  <c r="AZ26" i="23" s="1"/>
  <c r="V47" i="22"/>
  <c r="W47" i="22" s="1"/>
  <c r="L48" i="22"/>
  <c r="N48" i="22" l="1"/>
  <c r="S48" i="22"/>
  <c r="V48" i="21"/>
  <c r="W48" i="21" s="1"/>
  <c r="P48" i="22"/>
  <c r="BA26" i="23" a="1"/>
  <c r="BA26" i="23" s="1"/>
  <c r="BA20" i="23" a="1"/>
  <c r="BA20" i="23" s="1"/>
  <c r="R48" i="22" l="1"/>
  <c r="U48" i="22" s="1"/>
  <c r="T48" i="22"/>
  <c r="P49" i="21"/>
  <c r="N49" i="21"/>
  <c r="BA21" i="23" a="1"/>
  <c r="BA21" i="23" s="1"/>
  <c r="BA22" i="23" a="1"/>
  <c r="BA22" i="23" s="1"/>
  <c r="O49" i="21" l="1"/>
  <c r="L50" i="21" s="1"/>
  <c r="S50" i="21" s="1"/>
  <c r="T49" i="21"/>
  <c r="R49" i="21"/>
  <c r="U49" i="21" s="1"/>
  <c r="BA28" i="23" a="1"/>
  <c r="BA28" i="23" s="1"/>
  <c r="O48" i="22"/>
  <c r="V49" i="21" l="1"/>
  <c r="W49" i="21" s="1"/>
  <c r="BA27" i="23" a="1"/>
  <c r="BA27" i="23" s="1"/>
  <c r="V48" i="22"/>
  <c r="W48" i="22" s="1"/>
  <c r="L49" i="22"/>
  <c r="BB20" i="23" a="1"/>
  <c r="BB20" i="23" s="1"/>
  <c r="N49" i="22" l="1"/>
  <c r="S49" i="22"/>
  <c r="P50" i="21"/>
  <c r="N50" i="21"/>
  <c r="P49" i="22"/>
  <c r="BB21" i="23" a="1"/>
  <c r="BB21" i="23" s="1"/>
  <c r="BB22" i="23" a="1"/>
  <c r="BB22" i="23" s="1"/>
  <c r="R49" i="22" l="1"/>
  <c r="U49" i="22" s="1"/>
  <c r="BB28" i="23" s="1" a="1"/>
  <c r="BB28" i="23" s="1"/>
  <c r="T49" i="22"/>
  <c r="O50" i="21"/>
  <c r="L51" i="21" s="1"/>
  <c r="S51" i="21" s="1"/>
  <c r="T50" i="21"/>
  <c r="R50" i="21"/>
  <c r="U50" i="21" s="1"/>
  <c r="BB26" i="23" a="1"/>
  <c r="BB26" i="23" s="1"/>
  <c r="BB27" i="23" a="1"/>
  <c r="BB27" i="23" s="1"/>
  <c r="O49" i="22"/>
  <c r="V50" i="21" l="1"/>
  <c r="W50" i="21" s="1"/>
  <c r="L50" i="22"/>
  <c r="V49" i="22"/>
  <c r="W49" i="22" s="1"/>
  <c r="BC20" i="23" a="1"/>
  <c r="BC20" i="23" s="1"/>
  <c r="N50" i="22" l="1"/>
  <c r="S50" i="22"/>
  <c r="N51" i="21"/>
  <c r="P51" i="21"/>
  <c r="P50" i="22"/>
  <c r="BC21" i="23" a="1"/>
  <c r="BC21" i="23" s="1"/>
  <c r="BC22" i="23" a="1"/>
  <c r="BC22" i="23" s="1"/>
  <c r="R50" i="22" l="1"/>
  <c r="U50" i="22" s="1"/>
  <c r="T50" i="22"/>
  <c r="O51" i="21"/>
  <c r="L52" i="21" s="1"/>
  <c r="S52" i="21" s="1"/>
  <c r="T51" i="21"/>
  <c r="R51" i="21"/>
  <c r="U51" i="21" s="1"/>
  <c r="BC28" i="23" a="1"/>
  <c r="BC28" i="23" s="1"/>
  <c r="O50" i="22"/>
  <c r="BC27" i="23" a="1"/>
  <c r="BC27" i="23" s="1"/>
  <c r="V51" i="21" l="1"/>
  <c r="W51" i="21" s="1"/>
  <c r="L51" i="22"/>
  <c r="BC26" i="23" a="1"/>
  <c r="BC26" i="23" s="1"/>
  <c r="V50" i="22"/>
  <c r="W50" i="22" s="1"/>
  <c r="BD20" i="23" a="1"/>
  <c r="BD20" i="23" s="1"/>
  <c r="N51" i="22" l="1"/>
  <c r="S51" i="22"/>
  <c r="P52" i="21"/>
  <c r="N52" i="21"/>
  <c r="P51" i="22"/>
  <c r="BD21" i="23" a="1"/>
  <c r="BD21" i="23" s="1"/>
  <c r="BD22" i="23" a="1"/>
  <c r="BD22" i="23" s="1"/>
  <c r="R51" i="22" l="1"/>
  <c r="U51" i="22" s="1"/>
  <c r="BD28" i="23" s="1" a="1"/>
  <c r="BD28" i="23" s="1"/>
  <c r="T51" i="22"/>
  <c r="O52" i="21"/>
  <c r="R52" i="21"/>
  <c r="U52" i="21" s="1"/>
  <c r="T52" i="21"/>
  <c r="BD26" i="23" a="1"/>
  <c r="BD26" i="23" s="1"/>
  <c r="BD27" i="23" a="1"/>
  <c r="BD27" i="23" s="1"/>
  <c r="O51" i="22"/>
  <c r="L53" i="21" l="1"/>
  <c r="V52" i="21"/>
  <c r="W52" i="21" s="1"/>
  <c r="L52" i="22"/>
  <c r="V51" i="22"/>
  <c r="W51" i="22" s="1"/>
  <c r="BE20" i="23" a="1"/>
  <c r="BE20" i="23" s="1"/>
  <c r="S53" i="21" l="1"/>
  <c r="P53" i="21"/>
  <c r="N53" i="21"/>
  <c r="N52" i="22"/>
  <c r="S52" i="22"/>
  <c r="P52" i="22"/>
  <c r="BE21" i="23" a="1"/>
  <c r="BE21" i="23" s="1"/>
  <c r="BE22" i="23" a="1"/>
  <c r="BE22" i="23" s="1"/>
  <c r="T53" i="21" l="1"/>
  <c r="R53" i="21"/>
  <c r="U53" i="21" s="1"/>
  <c r="V53" i="21" s="1"/>
  <c r="W53" i="21" s="1"/>
  <c r="O53" i="21"/>
  <c r="R52" i="22"/>
  <c r="U52" i="22" s="1"/>
  <c r="T52" i="22"/>
  <c r="BE28" i="23" a="1"/>
  <c r="BE28" i="23" s="1"/>
  <c r="BE27" i="23" a="1"/>
  <c r="BE27" i="23" s="1"/>
  <c r="O52" i="22"/>
  <c r="X19" i="21" l="1"/>
  <c r="X9" i="21"/>
  <c r="X8" i="21"/>
  <c r="X20" i="21"/>
  <c r="X51" i="21"/>
  <c r="X33" i="21"/>
  <c r="X11" i="21"/>
  <c r="X24" i="21"/>
  <c r="X42" i="21"/>
  <c r="X32" i="21"/>
  <c r="X48" i="21"/>
  <c r="X49" i="21"/>
  <c r="X46" i="21"/>
  <c r="X6" i="21"/>
  <c r="X29" i="21"/>
  <c r="X22" i="21"/>
  <c r="X50" i="21"/>
  <c r="X5" i="21"/>
  <c r="X16" i="21"/>
  <c r="X40" i="21"/>
  <c r="X37" i="21"/>
  <c r="X13" i="21"/>
  <c r="X47" i="21"/>
  <c r="X53" i="21"/>
  <c r="Z53" i="21" s="1"/>
  <c r="X30" i="21"/>
  <c r="X34" i="21"/>
  <c r="X38" i="21"/>
  <c r="X17" i="21"/>
  <c r="X14" i="21"/>
  <c r="X12" i="21"/>
  <c r="X15" i="21"/>
  <c r="X21" i="21"/>
  <c r="X41" i="21"/>
  <c r="X43" i="21"/>
  <c r="X31" i="21"/>
  <c r="X36" i="21"/>
  <c r="X26" i="21"/>
  <c r="X27" i="21"/>
  <c r="X25" i="21"/>
  <c r="X23" i="21"/>
  <c r="X52" i="21"/>
  <c r="X45" i="21"/>
  <c r="X10" i="21"/>
  <c r="X39" i="21"/>
  <c r="X28" i="21"/>
  <c r="X18" i="21"/>
  <c r="X7" i="21"/>
  <c r="X35" i="21"/>
  <c r="X44" i="21"/>
  <c r="L53" i="22"/>
  <c r="BE26" i="23" a="1"/>
  <c r="BE26" i="23" s="1"/>
  <c r="V52" i="22"/>
  <c r="W52" i="22" s="1"/>
  <c r="BF20" i="23" a="1"/>
  <c r="BF20" i="23" s="1"/>
  <c r="Y53" i="21" l="1"/>
  <c r="S53" i="22"/>
  <c r="P53" i="22"/>
  <c r="N53" i="22"/>
  <c r="BF21" i="23" a="1"/>
  <c r="BF21" i="23" s="1"/>
  <c r="BF22" i="23" a="1"/>
  <c r="BF22" i="23" s="1"/>
  <c r="T53" i="22" l="1"/>
  <c r="R53" i="22"/>
  <c r="U53" i="22" s="1"/>
  <c r="V53" i="22" s="1"/>
  <c r="W53" i="22" s="1"/>
  <c r="O53" i="22"/>
  <c r="BF28" i="23" a="1"/>
  <c r="BF28" i="23" s="1"/>
  <c r="BF27" i="23" a="1"/>
  <c r="BF27" i="23" s="1"/>
  <c r="X16" i="22" l="1"/>
  <c r="X13" i="22"/>
  <c r="X49" i="22"/>
  <c r="X24" i="22"/>
  <c r="X41" i="22"/>
  <c r="X25" i="22"/>
  <c r="X35" i="22"/>
  <c r="X10" i="22"/>
  <c r="X29" i="22"/>
  <c r="X28" i="22"/>
  <c r="X39" i="22"/>
  <c r="X23" i="22"/>
  <c r="X46" i="22"/>
  <c r="X45" i="22"/>
  <c r="X32" i="22"/>
  <c r="X33" i="22"/>
  <c r="X9" i="22"/>
  <c r="X20" i="22"/>
  <c r="X18" i="22"/>
  <c r="X14" i="22"/>
  <c r="X44" i="22"/>
  <c r="X40" i="22"/>
  <c r="X7" i="22"/>
  <c r="X51" i="22"/>
  <c r="X50" i="22"/>
  <c r="X8" i="22"/>
  <c r="X21" i="22"/>
  <c r="X26" i="22"/>
  <c r="X17" i="22"/>
  <c r="X42" i="22"/>
  <c r="X37" i="22"/>
  <c r="X27" i="22"/>
  <c r="X47" i="22"/>
  <c r="X6" i="22"/>
  <c r="X15" i="22"/>
  <c r="X43" i="22"/>
  <c r="X53" i="22"/>
  <c r="Y53" i="22" s="1"/>
  <c r="X5" i="22"/>
  <c r="X19" i="22"/>
  <c r="X31" i="22"/>
  <c r="X11" i="22"/>
  <c r="X52" i="22"/>
  <c r="X22" i="22"/>
  <c r="X38" i="22"/>
  <c r="X48" i="22"/>
  <c r="X12" i="22"/>
  <c r="X34" i="22"/>
  <c r="X36" i="22"/>
  <c r="BF26" i="23" a="1"/>
  <c r="BF26" i="23" s="1"/>
  <c r="Z53" i="22" l="1"/>
  <c r="Q4" i="22"/>
  <c r="Z15" i="21" l="1"/>
  <c r="Y15" i="21"/>
  <c r="Z47" i="21"/>
  <c r="Y47" i="21"/>
  <c r="Z33" i="21"/>
  <c r="Y33" i="21"/>
  <c r="Z13" i="21"/>
  <c r="Y13" i="21"/>
  <c r="Z16" i="21"/>
  <c r="Y16" i="21"/>
  <c r="Z50" i="21"/>
  <c r="Y50" i="21"/>
  <c r="Z9" i="21"/>
  <c r="Y9" i="21"/>
  <c r="Z6" i="21"/>
  <c r="Y6" i="21"/>
  <c r="Z19" i="21"/>
  <c r="Y19" i="21"/>
  <c r="Z21" i="21"/>
  <c r="Y21" i="21"/>
  <c r="Z14" i="21"/>
  <c r="Y14" i="21"/>
  <c r="Z27" i="21"/>
  <c r="Y27" i="21"/>
  <c r="Z37" i="21"/>
  <c r="Y37" i="21"/>
  <c r="Z32" i="21"/>
  <c r="Y32" i="21"/>
  <c r="Z52" i="21"/>
  <c r="Y52" i="21"/>
  <c r="Z20" i="21"/>
  <c r="Y20" i="21"/>
  <c r="Z30" i="21"/>
  <c r="Y30" i="21"/>
  <c r="Z49" i="21"/>
  <c r="Y49" i="21"/>
  <c r="Z34" i="21"/>
  <c r="Y34" i="21"/>
  <c r="Z24" i="21"/>
  <c r="Y24" i="21"/>
  <c r="Y7" i="21"/>
  <c r="Z7" i="21"/>
  <c r="Z11" i="21"/>
  <c r="Y11" i="21"/>
  <c r="Z18" i="21"/>
  <c r="Y18" i="21"/>
  <c r="Z28" i="21"/>
  <c r="Y28" i="21"/>
  <c r="Z17" i="21"/>
  <c r="Y17" i="21"/>
  <c r="Z22" i="21"/>
  <c r="Y22" i="21"/>
  <c r="Z5" i="21"/>
  <c r="Y5" i="21"/>
  <c r="Z26" i="21"/>
  <c r="Y26" i="21"/>
  <c r="Z10" i="21"/>
  <c r="Y10" i="21"/>
  <c r="Z39" i="21"/>
  <c r="Y39" i="21"/>
  <c r="Z40" i="21"/>
  <c r="Y40" i="21"/>
  <c r="Z46" i="21"/>
  <c r="Y46" i="21"/>
  <c r="Z45" i="21"/>
  <c r="Y45" i="21"/>
  <c r="Z38" i="21"/>
  <c r="Y38" i="21"/>
  <c r="Z48" i="21"/>
  <c r="Y48" i="21"/>
  <c r="Z31" i="21"/>
  <c r="Y31" i="21"/>
  <c r="Z25" i="21"/>
  <c r="Y25" i="21"/>
  <c r="Z35" i="21"/>
  <c r="Y35" i="21"/>
  <c r="Z36" i="21"/>
  <c r="Y36" i="21"/>
  <c r="Z51" i="21"/>
  <c r="Y51" i="21"/>
  <c r="Z41" i="21"/>
  <c r="Y41" i="21"/>
  <c r="Z23" i="21"/>
  <c r="Y23" i="21"/>
  <c r="Z44" i="21"/>
  <c r="Y44" i="21"/>
  <c r="Z43" i="21"/>
  <c r="Y43" i="21"/>
  <c r="Z42" i="21"/>
  <c r="Y42" i="21"/>
  <c r="Z29" i="21"/>
  <c r="Y29" i="21"/>
  <c r="Z12" i="21"/>
  <c r="Y12" i="21"/>
  <c r="Z8" i="21"/>
  <c r="Y8" i="21"/>
  <c r="P4" i="22"/>
  <c r="T4" i="21"/>
  <c r="S4" i="21"/>
  <c r="U4" i="21"/>
  <c r="N4" i="21"/>
  <c r="P4" i="21"/>
  <c r="Q4" i="21"/>
  <c r="T4" i="22" l="1"/>
  <c r="N4" i="22"/>
  <c r="V4" i="21"/>
  <c r="W4" i="21"/>
  <c r="R4" i="21"/>
  <c r="J13" i="23" a="1"/>
  <c r="J13" i="23" s="1"/>
  <c r="S4" i="22" l="1"/>
  <c r="V4" i="22"/>
  <c r="R4" i="22"/>
  <c r="AR13" i="23" a="1"/>
  <c r="AR13" i="23" s="1"/>
  <c r="AX13" i="23" a="1"/>
  <c r="AX13" i="23" s="1"/>
  <c r="Y13" i="23" a="1"/>
  <c r="Y13" i="23" s="1"/>
  <c r="R13" i="23" a="1"/>
  <c r="R13" i="23" s="1"/>
  <c r="Z13" i="23" a="1"/>
  <c r="Z13" i="23" s="1"/>
  <c r="M13" i="23" a="1"/>
  <c r="M13" i="23" s="1"/>
  <c r="AJ13" i="23" a="1"/>
  <c r="AJ13" i="23" s="1"/>
  <c r="AT13" i="23" a="1"/>
  <c r="AT13" i="23" s="1"/>
  <c r="Q13" i="23" a="1"/>
  <c r="Q13" i="23" s="1"/>
  <c r="K13" i="23" a="1"/>
  <c r="K13" i="23" s="1"/>
  <c r="O13" i="23" a="1"/>
  <c r="O13" i="23" s="1"/>
  <c r="AB13" i="23" a="1"/>
  <c r="AB13" i="23" s="1"/>
  <c r="AZ13" i="23" a="1"/>
  <c r="AZ13" i="23" s="1"/>
  <c r="AP13" i="23" a="1"/>
  <c r="AP13" i="23" s="1"/>
  <c r="AC13" i="23" a="1"/>
  <c r="AC13" i="23" s="1"/>
  <c r="AV13" i="23" a="1"/>
  <c r="AV13" i="23" s="1"/>
  <c r="AL13" i="23" a="1"/>
  <c r="AL13" i="23" s="1"/>
  <c r="AY13" i="23" a="1"/>
  <c r="AY13" i="23" s="1"/>
  <c r="AK13" i="23" a="1"/>
  <c r="AK13" i="23" s="1"/>
  <c r="BE13" i="23" a="1"/>
  <c r="BE13" i="23" s="1"/>
  <c r="AW13" i="23" a="1"/>
  <c r="AW13" i="23" s="1"/>
  <c r="W13" i="23" a="1"/>
  <c r="W13" i="23" s="1"/>
  <c r="X13" i="23" a="1"/>
  <c r="X13" i="23" s="1"/>
  <c r="BF13" i="23" a="1"/>
  <c r="BF13" i="23" s="1"/>
  <c r="AI13" i="23" a="1"/>
  <c r="AI13" i="23" s="1"/>
  <c r="AF13" i="23" a="1"/>
  <c r="AF13" i="23" s="1"/>
  <c r="BA13" i="23" a="1"/>
  <c r="BA13" i="23" s="1"/>
  <c r="N13" i="23" a="1"/>
  <c r="N13" i="23" s="1"/>
  <c r="BB13" i="23" a="1"/>
  <c r="BB13" i="23" s="1"/>
  <c r="AE13" i="23" a="1"/>
  <c r="AE13" i="23" s="1"/>
  <c r="AH13" i="23" a="1"/>
  <c r="AH13" i="23" s="1"/>
  <c r="T13" i="23" a="1"/>
  <c r="T13" i="23" s="1"/>
  <c r="BC13" i="23" a="1"/>
  <c r="BC13" i="23" s="1"/>
  <c r="AN13" i="23" a="1"/>
  <c r="AN13" i="23" s="1"/>
  <c r="AD13" i="23" a="1"/>
  <c r="AD13" i="23" s="1"/>
  <c r="AM13" i="23" a="1"/>
  <c r="AM13" i="23" s="1"/>
  <c r="AU13" i="23" a="1"/>
  <c r="AU13" i="23" s="1"/>
  <c r="U13" i="23" a="1"/>
  <c r="U13" i="23" s="1"/>
  <c r="AG13" i="23" a="1"/>
  <c r="AG13" i="23" s="1"/>
  <c r="V13" i="23" a="1"/>
  <c r="V13" i="23" s="1"/>
  <c r="L13" i="23" a="1"/>
  <c r="L13" i="23" s="1"/>
  <c r="AO13" i="23" a="1"/>
  <c r="AO13" i="23" s="1"/>
  <c r="S13" i="23" a="1"/>
  <c r="S13" i="23" s="1"/>
  <c r="P13" i="23" a="1"/>
  <c r="P13" i="23" s="1"/>
  <c r="AA13" i="23" a="1"/>
  <c r="AA13" i="23" s="1"/>
  <c r="AS13" i="23" a="1"/>
  <c r="AS13" i="23" s="1"/>
  <c r="BD13" i="23" a="1"/>
  <c r="BD13" i="23" s="1"/>
  <c r="AQ13" i="23" a="1"/>
  <c r="AQ13" i="23" s="1"/>
  <c r="X4" i="21"/>
  <c r="AS14" i="23" l="1" a="1"/>
  <c r="AS14" i="23" s="1"/>
  <c r="Y40" i="22"/>
  <c r="Z40" i="22"/>
  <c r="BE14" i="23" a="1"/>
  <c r="BE14" i="23" s="1"/>
  <c r="Y52" i="22"/>
  <c r="Z52" i="22"/>
  <c r="AQ14" i="23" a="1"/>
  <c r="AQ14" i="23" s="1"/>
  <c r="Z38" i="22"/>
  <c r="Y38" i="22"/>
  <c r="AZ14" i="23" a="1"/>
  <c r="AZ14" i="23" s="1"/>
  <c r="Y47" i="22"/>
  <c r="Z47" i="22"/>
  <c r="AP14" i="23" a="1"/>
  <c r="AP14" i="23" s="1"/>
  <c r="Z37" i="22"/>
  <c r="Y37" i="22"/>
  <c r="AT14" i="23" a="1"/>
  <c r="AT14" i="23" s="1"/>
  <c r="Y41" i="22"/>
  <c r="Z41" i="22"/>
  <c r="U14" i="23" a="1"/>
  <c r="U14" i="23" s="1"/>
  <c r="Y16" i="22"/>
  <c r="Z16" i="22"/>
  <c r="AJ14" i="23" a="1"/>
  <c r="AJ14" i="23" s="1"/>
  <c r="Y31" i="22"/>
  <c r="Z31" i="22"/>
  <c r="AU14" i="23" a="1"/>
  <c r="AU14" i="23" s="1"/>
  <c r="Y42" i="22"/>
  <c r="Z42" i="22"/>
  <c r="AF14" i="23" a="1"/>
  <c r="AF14" i="23" s="1"/>
  <c r="Z27" i="22"/>
  <c r="Y27" i="22"/>
  <c r="Y6" i="22"/>
  <c r="K14" i="23" a="1"/>
  <c r="K14" i="23" s="1"/>
  <c r="Z6" i="22"/>
  <c r="AG14" i="23" a="1"/>
  <c r="AG14" i="23" s="1"/>
  <c r="Z28" i="22"/>
  <c r="Y28" i="22"/>
  <c r="AM14" i="23" a="1"/>
  <c r="AM14" i="23" s="1"/>
  <c r="Z34" i="22"/>
  <c r="Y34" i="22"/>
  <c r="Z14" i="23" a="1"/>
  <c r="Z14" i="23" s="1"/>
  <c r="Y21" i="22"/>
  <c r="Z21" i="22"/>
  <c r="N14" i="23" a="1"/>
  <c r="N14" i="23" s="1"/>
  <c r="Z9" i="22"/>
  <c r="Y9" i="22"/>
  <c r="AW14" i="23" a="1"/>
  <c r="AW14" i="23" s="1"/>
  <c r="Z44" i="22"/>
  <c r="Y44" i="22"/>
  <c r="Y14" i="23" a="1"/>
  <c r="Y14" i="23" s="1"/>
  <c r="Z20" i="22"/>
  <c r="Y20" i="22"/>
  <c r="BF14" i="23" a="1"/>
  <c r="BF14" i="23" s="1"/>
  <c r="AE14" i="23" a="1"/>
  <c r="AE14" i="23" s="1"/>
  <c r="Y26" i="22"/>
  <c r="Z26" i="22"/>
  <c r="Y5" i="22"/>
  <c r="J14" i="23" a="1"/>
  <c r="J14" i="23" s="1"/>
  <c r="Z5" i="22"/>
  <c r="AH14" i="23" a="1"/>
  <c r="AH14" i="23" s="1"/>
  <c r="Y29" i="22"/>
  <c r="Z29" i="22"/>
  <c r="AC14" i="23" a="1"/>
  <c r="AC14" i="23" s="1"/>
  <c r="Z24" i="22"/>
  <c r="Y24" i="22"/>
  <c r="S14" i="23" a="1"/>
  <c r="S14" i="23" s="1"/>
  <c r="Z14" i="22"/>
  <c r="Y14" i="22"/>
  <c r="T14" i="23" a="1"/>
  <c r="T14" i="23" s="1"/>
  <c r="Z15" i="22"/>
  <c r="Y15" i="22"/>
  <c r="BC14" i="23" a="1"/>
  <c r="BC14" i="23" s="1"/>
  <c r="Z50" i="22"/>
  <c r="Y50" i="22"/>
  <c r="M14" i="23" a="1"/>
  <c r="M14" i="23" s="1"/>
  <c r="Z8" i="22"/>
  <c r="Y8" i="22"/>
  <c r="W4" i="22"/>
  <c r="AO14" i="23" a="1"/>
  <c r="AO14" i="23" s="1"/>
  <c r="Z36" i="22"/>
  <c r="Y36" i="22"/>
  <c r="AL14" i="23" a="1"/>
  <c r="AL14" i="23" s="1"/>
  <c r="Y33" i="22"/>
  <c r="Z33" i="22"/>
  <c r="AX14" i="23" a="1"/>
  <c r="AX14" i="23" s="1"/>
  <c r="Z45" i="22"/>
  <c r="Y45" i="22"/>
  <c r="Y7" i="22"/>
  <c r="L14" i="23" a="1"/>
  <c r="L14" i="23" s="1"/>
  <c r="Z7" i="22"/>
  <c r="AB14" i="23" a="1"/>
  <c r="AB14" i="23" s="1"/>
  <c r="Z23" i="22"/>
  <c r="Y23" i="22"/>
  <c r="X14" i="23" a="1"/>
  <c r="X14" i="23" s="1"/>
  <c r="Z19" i="22"/>
  <c r="Y19" i="22"/>
  <c r="R14" i="23" a="1"/>
  <c r="R14" i="23" s="1"/>
  <c r="Y13" i="22"/>
  <c r="Z13" i="22"/>
  <c r="V14" i="23" a="1"/>
  <c r="V14" i="23" s="1"/>
  <c r="Y17" i="22"/>
  <c r="Z17" i="22"/>
  <c r="AA14" i="23" a="1"/>
  <c r="AA14" i="23" s="1"/>
  <c r="Z22" i="22"/>
  <c r="Y22" i="22"/>
  <c r="BB14" i="23" a="1"/>
  <c r="BB14" i="23" s="1"/>
  <c r="Y49" i="22"/>
  <c r="Z49" i="22"/>
  <c r="AV14" i="23" a="1"/>
  <c r="AV14" i="23" s="1"/>
  <c r="Z43" i="22"/>
  <c r="Y43" i="22"/>
  <c r="BD14" i="23" a="1"/>
  <c r="BD14" i="23" s="1"/>
  <c r="Z51" i="22"/>
  <c r="Y51" i="22"/>
  <c r="U4" i="22"/>
  <c r="P14" i="23" a="1"/>
  <c r="P14" i="23" s="1"/>
  <c r="Z11" i="22"/>
  <c r="Y11" i="22"/>
  <c r="O14" i="23" a="1"/>
  <c r="O14" i="23" s="1"/>
  <c r="Z10" i="22"/>
  <c r="Y10" i="22"/>
  <c r="W14" i="23" a="1"/>
  <c r="W14" i="23" s="1"/>
  <c r="Y18" i="22"/>
  <c r="Z18" i="22"/>
  <c r="AR14" i="23" a="1"/>
  <c r="AR14" i="23" s="1"/>
  <c r="Z39" i="22"/>
  <c r="Y39" i="22"/>
  <c r="Q14" i="23" a="1"/>
  <c r="Q14" i="23" s="1"/>
  <c r="Y12" i="22"/>
  <c r="Z12" i="22"/>
  <c r="BA14" i="23" a="1"/>
  <c r="BA14" i="23" s="1"/>
  <c r="Y48" i="22"/>
  <c r="Z48" i="22"/>
  <c r="AY14" i="23" a="1"/>
  <c r="AY14" i="23" s="1"/>
  <c r="Y46" i="22"/>
  <c r="Z46" i="22"/>
  <c r="AD14" i="23" a="1"/>
  <c r="AD14" i="23" s="1"/>
  <c r="Z25" i="22"/>
  <c r="Y25" i="22"/>
  <c r="AN14" i="23" a="1"/>
  <c r="AN14" i="23" s="1"/>
  <c r="Y35" i="22"/>
  <c r="Z35" i="22"/>
  <c r="Z4" i="21"/>
  <c r="AN29" i="23" l="1"/>
  <c r="AN47" i="23" s="1"/>
  <c r="BE29" i="23"/>
  <c r="BE47" i="23" s="1"/>
  <c r="AJ29" i="23"/>
  <c r="AJ47" i="23" s="1"/>
  <c r="Y29" i="23"/>
  <c r="Y47" i="23" s="1"/>
  <c r="O29" i="23"/>
  <c r="O47" i="23" s="1"/>
  <c r="K29" i="23"/>
  <c r="K47" i="23" s="1"/>
  <c r="AS29" i="23"/>
  <c r="AS47" i="23" s="1"/>
  <c r="N29" i="23"/>
  <c r="N47" i="23" s="1"/>
  <c r="BD29" i="23"/>
  <c r="BD47" i="23" s="1"/>
  <c r="V29" i="23"/>
  <c r="V47" i="23" s="1"/>
  <c r="AP29" i="23"/>
  <c r="AP47" i="23" s="1"/>
  <c r="Z29" i="23"/>
  <c r="Z47" i="23" s="1"/>
  <c r="Q29" i="23"/>
  <c r="Q47" i="23" s="1"/>
  <c r="BC29" i="23"/>
  <c r="BC47" i="23" s="1"/>
  <c r="AR29" i="23"/>
  <c r="AR47" i="23" s="1"/>
  <c r="AD29" i="23"/>
  <c r="AD47" i="23" s="1"/>
  <c r="AC29" i="23"/>
  <c r="AC47" i="23" s="1"/>
  <c r="R29" i="23"/>
  <c r="R47" i="23" s="1"/>
  <c r="AL29" i="23"/>
  <c r="AL47" i="23" s="1"/>
  <c r="AZ29" i="23"/>
  <c r="AZ47" i="23" s="1"/>
  <c r="AG29" i="23"/>
  <c r="AG47" i="23" s="1"/>
  <c r="AW29" i="23"/>
  <c r="AW47" i="23" s="1"/>
  <c r="AB29" i="23"/>
  <c r="AB47" i="23" s="1"/>
  <c r="W29" i="23"/>
  <c r="W47" i="23" s="1"/>
  <c r="P29" i="23"/>
  <c r="P47" i="23" s="1"/>
  <c r="AV29" i="23"/>
  <c r="AV47" i="23" s="1"/>
  <c r="X29" i="23"/>
  <c r="X47" i="23" s="1"/>
  <c r="AO29" i="23"/>
  <c r="AO47" i="23" s="1"/>
  <c r="T29" i="23"/>
  <c r="T47" i="23" s="1"/>
  <c r="AA29" i="23"/>
  <c r="AA47" i="23" s="1"/>
  <c r="L29" i="23"/>
  <c r="L47" i="23" s="1"/>
  <c r="AH29" i="23"/>
  <c r="AH47" i="23" s="1"/>
  <c r="AQ29" i="23"/>
  <c r="AQ47" i="23" s="1"/>
  <c r="U29" i="23"/>
  <c r="U47" i="23" s="1"/>
  <c r="S29" i="23"/>
  <c r="S47" i="23" s="1"/>
  <c r="AX29" i="23"/>
  <c r="AX47" i="23" s="1"/>
  <c r="AI29" i="23"/>
  <c r="AI47" i="23" s="1"/>
  <c r="AT29" i="23"/>
  <c r="AT47" i="23" s="1"/>
  <c r="AE29" i="23"/>
  <c r="AE47" i="23" s="1"/>
  <c r="M29" i="23"/>
  <c r="M47" i="23" s="1"/>
  <c r="BA29" i="23"/>
  <c r="BA47" i="23" s="1"/>
  <c r="AF29" i="23"/>
  <c r="AF47" i="23" s="1"/>
  <c r="BF29" i="23"/>
  <c r="BF47" i="23" s="1"/>
  <c r="AK29" i="23"/>
  <c r="AK47" i="23" s="1"/>
  <c r="AU29" i="23"/>
  <c r="AU47" i="23" s="1"/>
  <c r="BB29" i="23"/>
  <c r="BB47" i="23" s="1"/>
  <c r="AM29" i="23"/>
  <c r="AM47" i="23" s="1"/>
  <c r="AY29" i="23"/>
  <c r="AY47" i="23" s="1"/>
  <c r="Y4" i="21" l="1"/>
  <c r="H5" i="23" l="1"/>
  <c r="F5" i="23"/>
  <c r="G5" i="23"/>
  <c r="D5" i="23" l="1"/>
  <c r="X16" i="23" l="1"/>
  <c r="S16" i="23"/>
  <c r="AN16" i="23"/>
  <c r="AA16" i="23"/>
  <c r="J16" i="23"/>
  <c r="AL16" i="23"/>
  <c r="M16" i="23"/>
  <c r="P16" i="23"/>
  <c r="AD16" i="23"/>
  <c r="V16" i="23"/>
  <c r="K16" i="23"/>
  <c r="Y16" i="23"/>
  <c r="N16" i="23"/>
  <c r="AB16" i="23"/>
  <c r="AE16" i="23"/>
  <c r="Q16" i="23"/>
  <c r="AM16" i="23"/>
  <c r="T16" i="23"/>
  <c r="W16" i="23"/>
  <c r="L16" i="23"/>
  <c r="Z16" i="23"/>
  <c r="AJ16" i="23"/>
  <c r="O16" i="23"/>
  <c r="AC16" i="23"/>
  <c r="R16" i="23"/>
  <c r="D28" i="23"/>
  <c r="D27" i="23"/>
  <c r="U16" i="23"/>
  <c r="AG16" i="23"/>
  <c r="F26" i="23" l="1"/>
  <c r="F28" i="23"/>
  <c r="G26" i="23"/>
  <c r="F27" i="23"/>
  <c r="D26" i="23"/>
  <c r="E28" i="23"/>
  <c r="E27" i="23"/>
  <c r="E26" i="23"/>
  <c r="AI34" i="23"/>
  <c r="AH32" i="23"/>
  <c r="K34" i="23"/>
  <c r="S34" i="23"/>
  <c r="AO32" i="23"/>
  <c r="AK32" i="23"/>
  <c r="AF34" i="23"/>
  <c r="R33" i="23"/>
  <c r="AC34" i="23"/>
  <c r="O33" i="23"/>
  <c r="AI32" i="23"/>
  <c r="Z34" i="23"/>
  <c r="L33" i="23"/>
  <c r="AP34" i="23"/>
  <c r="T32" i="23"/>
  <c r="N33" i="23"/>
  <c r="Y33" i="23"/>
  <c r="S33" i="23"/>
  <c r="P34" i="23"/>
  <c r="V34" i="23"/>
  <c r="T34" i="23"/>
  <c r="R34" i="23"/>
  <c r="N34" i="23"/>
  <c r="AG34" i="23"/>
  <c r="AF33" i="23"/>
  <c r="R32" i="23"/>
  <c r="AC33" i="23"/>
  <c r="O32" i="23"/>
  <c r="Z33" i="23"/>
  <c r="L32" i="23"/>
  <c r="W34" i="23"/>
  <c r="AP33" i="23"/>
  <c r="N32" i="23"/>
  <c r="Y32" i="23"/>
  <c r="AG33" i="23"/>
  <c r="P33" i="23"/>
  <c r="V33" i="23"/>
  <c r="AQ34" i="23"/>
  <c r="AF32" i="23"/>
  <c r="AB34" i="23"/>
  <c r="AG32" i="23"/>
  <c r="AD34" i="23"/>
  <c r="AA34" i="23"/>
  <c r="O34" i="23"/>
  <c r="L34" i="23"/>
  <c r="T33" i="23"/>
  <c r="U34" i="23"/>
  <c r="Q34" i="23"/>
  <c r="AB33" i="23"/>
  <c r="P32" i="23"/>
  <c r="AD33" i="23"/>
  <c r="AA32" i="23"/>
  <c r="AJ34" i="23"/>
  <c r="K33" i="23"/>
  <c r="AJ33" i="23"/>
  <c r="AI33" i="23"/>
  <c r="Y34" i="23"/>
  <c r="K32" i="23"/>
  <c r="AJ32" i="23"/>
  <c r="X33" i="23"/>
  <c r="AC32" i="23"/>
  <c r="Z32" i="23"/>
  <c r="W33" i="23"/>
  <c r="AP32" i="23"/>
  <c r="X34" i="23"/>
  <c r="U33" i="23"/>
  <c r="AQ33" i="23"/>
  <c r="W32" i="23"/>
  <c r="X32" i="23"/>
  <c r="U32" i="23"/>
  <c r="AQ32" i="23"/>
  <c r="Q33" i="23"/>
  <c r="AB32" i="23"/>
  <c r="M34" i="23"/>
  <c r="V32" i="23"/>
  <c r="AA33" i="23"/>
  <c r="Q32" i="23"/>
  <c r="AM34" i="23"/>
  <c r="AL33" i="23"/>
  <c r="AE34" i="23"/>
  <c r="M33" i="23"/>
  <c r="AN34" i="23"/>
  <c r="AD32" i="23"/>
  <c r="AL34" i="23"/>
  <c r="AE33" i="23"/>
  <c r="AN32" i="23"/>
  <c r="AN33" i="23"/>
  <c r="M32" i="23"/>
  <c r="AM33" i="23"/>
  <c r="AM32" i="23"/>
  <c r="AL32" i="23"/>
  <c r="AE32" i="23"/>
  <c r="S32" i="23"/>
  <c r="AH34" i="23"/>
  <c r="AO34" i="23"/>
  <c r="AK34" i="23"/>
  <c r="AH33" i="23"/>
  <c r="AO33" i="23"/>
  <c r="AK33" i="23"/>
  <c r="D14" i="23"/>
  <c r="AR16" i="23"/>
  <c r="AZ16" i="23"/>
  <c r="AW16" i="23"/>
  <c r="BE16" i="23"/>
  <c r="BC16" i="23"/>
  <c r="BB16" i="23"/>
  <c r="AY16" i="23"/>
  <c r="AX16" i="23"/>
  <c r="AQ16" i="23"/>
  <c r="BF16" i="23"/>
  <c r="AU16" i="23"/>
  <c r="BA16" i="23"/>
  <c r="AP16" i="23"/>
  <c r="AT16" i="23"/>
  <c r="BD16" i="23"/>
  <c r="G28" i="23"/>
  <c r="G27" i="23"/>
  <c r="AO16" i="23"/>
  <c r="AS16" i="23"/>
  <c r="AV16" i="23"/>
  <c r="K68" i="23" l="1"/>
  <c r="L68" i="23" s="1"/>
  <c r="M68" i="23" s="1"/>
  <c r="N68" i="23" s="1"/>
  <c r="O68" i="23" s="1"/>
  <c r="P68" i="23" s="1"/>
  <c r="Q68" i="23" s="1"/>
  <c r="R68" i="23" s="1"/>
  <c r="S68" i="23" s="1"/>
  <c r="T68" i="23" s="1"/>
  <c r="U68" i="23" s="1"/>
  <c r="V68" i="23" s="1"/>
  <c r="W68" i="23" s="1"/>
  <c r="X68" i="23" s="1"/>
  <c r="Y68" i="23" s="1"/>
  <c r="Z68" i="23" s="1"/>
  <c r="AA68" i="23" s="1"/>
  <c r="AB68" i="23" s="1"/>
  <c r="AC68" i="23" s="1"/>
  <c r="AD68" i="23" s="1"/>
  <c r="AE68" i="23" s="1"/>
  <c r="AF68" i="23" s="1"/>
  <c r="AG68" i="23" s="1"/>
  <c r="AH68" i="23" s="1"/>
  <c r="AI68" i="23" s="1"/>
  <c r="AJ68" i="23" s="1"/>
  <c r="AK68" i="23" s="1"/>
  <c r="AL68" i="23" s="1"/>
  <c r="AM68" i="23" s="1"/>
  <c r="AN68" i="23" s="1"/>
  <c r="AO68" i="23" s="1"/>
  <c r="AP68" i="23" s="1"/>
  <c r="AQ68" i="23" s="1"/>
  <c r="AR68" i="23" s="1"/>
  <c r="AS68" i="23" s="1"/>
  <c r="AT68" i="23" s="1"/>
  <c r="AU68" i="23" s="1"/>
  <c r="AV68" i="23" s="1"/>
  <c r="AW68" i="23" s="1"/>
  <c r="AX68" i="23" s="1"/>
  <c r="AY68" i="23" s="1"/>
  <c r="AZ68" i="23" s="1"/>
  <c r="BA68" i="23" s="1"/>
  <c r="BB68" i="23" s="1"/>
  <c r="BC68" i="23" s="1"/>
  <c r="BD68" i="23" s="1"/>
  <c r="BE68" i="23" s="1"/>
  <c r="BF68" i="23" s="1"/>
  <c r="D29" i="23"/>
  <c r="AD23" i="23"/>
  <c r="N23" i="23"/>
  <c r="D47" i="23"/>
  <c r="K23" i="23"/>
  <c r="E29" i="23"/>
  <c r="AK23" i="23"/>
  <c r="L23" i="23"/>
  <c r="S23" i="23"/>
  <c r="AE23" i="23"/>
  <c r="P23" i="23"/>
  <c r="G29" i="23"/>
  <c r="V23" i="23"/>
  <c r="Z23" i="23"/>
  <c r="AC23" i="23"/>
  <c r="F29" i="23"/>
  <c r="AM23" i="23"/>
  <c r="AB23" i="23"/>
  <c r="AN23" i="23"/>
  <c r="AO23" i="23"/>
  <c r="AQ23" i="23"/>
  <c r="AJ23" i="23"/>
  <c r="U23" i="23"/>
  <c r="M23" i="23"/>
  <c r="X23" i="23"/>
  <c r="AH23" i="23"/>
  <c r="Y23" i="23"/>
  <c r="W23" i="23"/>
  <c r="O23" i="23"/>
  <c r="T23" i="23"/>
  <c r="AG23" i="23"/>
  <c r="R23" i="23"/>
  <c r="AF23" i="23"/>
  <c r="AA23" i="23"/>
  <c r="AI23" i="23"/>
  <c r="AL23" i="23"/>
  <c r="Q23" i="23"/>
  <c r="AP23" i="23"/>
  <c r="H26" i="23"/>
  <c r="H27" i="23"/>
  <c r="H28" i="23"/>
  <c r="AW33" i="23"/>
  <c r="AV32" i="23"/>
  <c r="BF34" i="23"/>
  <c r="AW34" i="23"/>
  <c r="BE32" i="23"/>
  <c r="AS34" i="23"/>
  <c r="BB33" i="23"/>
  <c r="BD33" i="23"/>
  <c r="BA32" i="23"/>
  <c r="AX32" i="23"/>
  <c r="AV34" i="23"/>
  <c r="AY32" i="23"/>
  <c r="AY34" i="23"/>
  <c r="BE33" i="23"/>
  <c r="BA33" i="23"/>
  <c r="BC32" i="23"/>
  <c r="AU32" i="23"/>
  <c r="BE34" i="23"/>
  <c r="BF32" i="23"/>
  <c r="BF33" i="23"/>
  <c r="AW32" i="23"/>
  <c r="AU34" i="23"/>
  <c r="AX33" i="23"/>
  <c r="AZ33" i="23"/>
  <c r="AU33" i="23"/>
  <c r="BC34" i="23"/>
  <c r="BC33" i="23"/>
  <c r="BD34" i="23"/>
  <c r="AR33" i="23"/>
  <c r="AZ32" i="23"/>
  <c r="AS32" i="23"/>
  <c r="AT33" i="23"/>
  <c r="BB34" i="23"/>
  <c r="BB32" i="23"/>
  <c r="AR34" i="23"/>
  <c r="AT32" i="23"/>
  <c r="BD32" i="23"/>
  <c r="AX34" i="23"/>
  <c r="AS33" i="23"/>
  <c r="AV33" i="23"/>
  <c r="AZ34" i="23"/>
  <c r="AR32" i="23"/>
  <c r="AY33" i="23"/>
  <c r="BA34" i="23"/>
  <c r="AT34" i="23"/>
  <c r="D13" i="23"/>
  <c r="F13" i="23"/>
  <c r="E13" i="23"/>
  <c r="E14" i="23"/>
  <c r="D20" i="23"/>
  <c r="D32" i="23" s="1"/>
  <c r="E20" i="23"/>
  <c r="E32" i="23" s="1"/>
  <c r="D21" i="23"/>
  <c r="D33" i="23" s="1"/>
  <c r="U35" i="23" l="1"/>
  <c r="U46" i="23"/>
  <c r="AN35" i="23"/>
  <c r="AN40" i="23" s="1"/>
  <c r="AN46" i="23"/>
  <c r="AC35" i="23"/>
  <c r="AC46" i="23"/>
  <c r="Z35" i="23"/>
  <c r="Z46" i="23"/>
  <c r="O35" i="23"/>
  <c r="O46" i="23"/>
  <c r="Y35" i="23"/>
  <c r="Y46" i="23"/>
  <c r="AH35" i="23"/>
  <c r="AH40" i="23" s="1"/>
  <c r="AH46" i="23"/>
  <c r="AB35" i="23"/>
  <c r="AB46" i="23"/>
  <c r="AM35" i="23"/>
  <c r="AM40" i="23" s="1"/>
  <c r="AM46" i="23"/>
  <c r="V35" i="23"/>
  <c r="V46" i="23"/>
  <c r="AP35" i="23"/>
  <c r="AP40" i="23" s="1"/>
  <c r="AP46" i="23"/>
  <c r="K35" i="23"/>
  <c r="K46" i="23"/>
  <c r="AI35" i="23"/>
  <c r="AI40" i="23" s="1"/>
  <c r="AI46" i="23"/>
  <c r="AF35" i="23"/>
  <c r="AF46" i="23"/>
  <c r="AD35" i="23"/>
  <c r="AD46" i="23"/>
  <c r="T35" i="23"/>
  <c r="T46" i="23"/>
  <c r="X35" i="23"/>
  <c r="X46" i="23"/>
  <c r="AJ35" i="23"/>
  <c r="AJ40" i="23" s="1"/>
  <c r="AJ46" i="23"/>
  <c r="AO35" i="23"/>
  <c r="AO40" i="23" s="1"/>
  <c r="AO46" i="23"/>
  <c r="P35" i="23"/>
  <c r="P46" i="23"/>
  <c r="Q35" i="23"/>
  <c r="Q46" i="23"/>
  <c r="AL35" i="23"/>
  <c r="AL40" i="23" s="1"/>
  <c r="AL46" i="23"/>
  <c r="AA35" i="23"/>
  <c r="AA46" i="23"/>
  <c r="N35" i="23"/>
  <c r="N46" i="23"/>
  <c r="W35" i="23"/>
  <c r="W46" i="23"/>
  <c r="M35" i="23"/>
  <c r="M46" i="23"/>
  <c r="AQ35" i="23"/>
  <c r="AQ40" i="23" s="1"/>
  <c r="AQ46" i="23"/>
  <c r="AE35" i="23"/>
  <c r="AE46" i="23"/>
  <c r="AK35" i="23"/>
  <c r="AK40" i="23" s="1"/>
  <c r="AK46" i="23"/>
  <c r="R35" i="23"/>
  <c r="R46" i="23"/>
  <c r="S35" i="23"/>
  <c r="S46" i="23"/>
  <c r="L35" i="23"/>
  <c r="L46" i="23"/>
  <c r="AG35" i="23"/>
  <c r="AG46" i="23"/>
  <c r="AW23" i="23"/>
  <c r="BD23" i="23"/>
  <c r="H29" i="23"/>
  <c r="AR23" i="23"/>
  <c r="BB23" i="23"/>
  <c r="AV23" i="23"/>
  <c r="BA23" i="23"/>
  <c r="AT23" i="23"/>
  <c r="AU23" i="23"/>
  <c r="BE23" i="23"/>
  <c r="BC23" i="23"/>
  <c r="AY23" i="23"/>
  <c r="AS23" i="23"/>
  <c r="AZ23" i="23"/>
  <c r="AX23" i="23"/>
  <c r="BF23" i="23"/>
  <c r="D16" i="23"/>
  <c r="E16" i="23"/>
  <c r="H13" i="23"/>
  <c r="G13" i="23"/>
  <c r="D55" i="23"/>
  <c r="D22" i="23"/>
  <c r="D34" i="23" s="1"/>
  <c r="F20" i="23"/>
  <c r="F32" i="23" s="1"/>
  <c r="F21" i="23"/>
  <c r="F33" i="23" s="1"/>
  <c r="E22" i="23"/>
  <c r="E34" i="23" s="1"/>
  <c r="F22" i="23"/>
  <c r="F34" i="23" s="1"/>
  <c r="E21" i="23"/>
  <c r="E33" i="23" s="1"/>
  <c r="AI39" i="23" l="1"/>
  <c r="AP39" i="23"/>
  <c r="AH39" i="23"/>
  <c r="AL39" i="23"/>
  <c r="AK39" i="23"/>
  <c r="AQ39" i="23"/>
  <c r="AM39" i="23"/>
  <c r="AO39" i="23"/>
  <c r="AJ39" i="23"/>
  <c r="AN39" i="23"/>
  <c r="L39" i="23"/>
  <c r="M39" i="23" s="1"/>
  <c r="N39" i="23" s="1"/>
  <c r="O39" i="23" s="1"/>
  <c r="P39" i="23" s="1"/>
  <c r="Q39" i="23" s="1"/>
  <c r="R39" i="23" s="1"/>
  <c r="S39" i="23" s="1"/>
  <c r="T39" i="23" s="1"/>
  <c r="U39" i="23" s="1"/>
  <c r="V39" i="23" s="1"/>
  <c r="W39" i="23" s="1"/>
  <c r="X39" i="23" s="1"/>
  <c r="Y39" i="23" s="1"/>
  <c r="Z39" i="23" s="1"/>
  <c r="AA39" i="23" s="1"/>
  <c r="AB39" i="23" s="1"/>
  <c r="AC39" i="23" s="1"/>
  <c r="AD39" i="23" s="1"/>
  <c r="AE39" i="23" s="1"/>
  <c r="AF39" i="23" s="1"/>
  <c r="AG39" i="23" s="1"/>
  <c r="AJ38" i="23"/>
  <c r="AN38" i="23"/>
  <c r="AH38" i="23"/>
  <c r="Q38" i="23"/>
  <c r="AK38" i="23"/>
  <c r="AF38" i="23"/>
  <c r="AI38" i="23"/>
  <c r="AQ38" i="23"/>
  <c r="K38" i="23"/>
  <c r="AG38" i="23"/>
  <c r="AP38" i="23"/>
  <c r="AM38" i="23"/>
  <c r="AA38" i="23"/>
  <c r="P38" i="23"/>
  <c r="AC38" i="23"/>
  <c r="S38" i="23"/>
  <c r="T38" i="23"/>
  <c r="N38" i="23"/>
  <c r="AB38" i="23"/>
  <c r="AO38" i="23"/>
  <c r="O38" i="23"/>
  <c r="Z38" i="23"/>
  <c r="L38" i="23"/>
  <c r="X38" i="23"/>
  <c r="U38" i="23"/>
  <c r="AL38" i="23"/>
  <c r="W38" i="23"/>
  <c r="Y38" i="23"/>
  <c r="AE38" i="23"/>
  <c r="BD35" i="23"/>
  <c r="BD40" i="23" s="1"/>
  <c r="BD46" i="23"/>
  <c r="M38" i="23"/>
  <c r="AZ35" i="23"/>
  <c r="AZ40" i="23" s="1"/>
  <c r="AZ46" i="23"/>
  <c r="AW35" i="23"/>
  <c r="AW40" i="23" s="1"/>
  <c r="AW46" i="23"/>
  <c r="AS35" i="23"/>
  <c r="AS40" i="23" s="1"/>
  <c r="AS46" i="23"/>
  <c r="AD38" i="23"/>
  <c r="V38" i="23"/>
  <c r="BB35" i="23"/>
  <c r="BB40" i="23" s="1"/>
  <c r="BB46" i="23"/>
  <c r="AR35" i="23"/>
  <c r="AR40" i="23" s="1"/>
  <c r="AR46" i="23"/>
  <c r="AY35" i="23"/>
  <c r="AY40" i="23" s="1"/>
  <c r="AY46" i="23"/>
  <c r="AU35" i="23"/>
  <c r="AU40" i="23" s="1"/>
  <c r="AU46" i="23"/>
  <c r="BF35" i="23"/>
  <c r="BF40" i="23" s="1"/>
  <c r="BF46" i="23"/>
  <c r="AX35" i="23"/>
  <c r="AX40" i="23" s="1"/>
  <c r="AX46" i="23"/>
  <c r="BC35" i="23"/>
  <c r="BC40" i="23" s="1"/>
  <c r="BC46" i="23"/>
  <c r="BE35" i="23"/>
  <c r="BE40" i="23" s="1"/>
  <c r="BE46" i="23"/>
  <c r="AT35" i="23"/>
  <c r="AT40" i="23" s="1"/>
  <c r="AT46" i="23"/>
  <c r="BA35" i="23"/>
  <c r="BA40" i="23" s="1"/>
  <c r="BA46" i="23"/>
  <c r="AV35" i="23"/>
  <c r="AV40" i="23" s="1"/>
  <c r="AV46" i="23"/>
  <c r="R38" i="23"/>
  <c r="D39" i="23"/>
  <c r="D40" i="23"/>
  <c r="D46" i="23"/>
  <c r="D48" i="23" s="1"/>
  <c r="E23" i="23"/>
  <c r="E35" i="23" s="1"/>
  <c r="F23" i="23"/>
  <c r="F35" i="23" s="1"/>
  <c r="D23" i="23"/>
  <c r="D35" i="23" s="1"/>
  <c r="D38" i="23"/>
  <c r="H21" i="23"/>
  <c r="H33" i="23" s="1"/>
  <c r="G20" i="23"/>
  <c r="G32" i="23" s="1"/>
  <c r="G21" i="23"/>
  <c r="G33" i="23" s="1"/>
  <c r="H20" i="23"/>
  <c r="H32" i="23" s="1"/>
  <c r="G22" i="23"/>
  <c r="G34" i="23" s="1"/>
  <c r="H22" i="23"/>
  <c r="H34" i="23" s="1"/>
  <c r="BF39" i="23" l="1"/>
  <c r="AU39" i="23"/>
  <c r="AY39" i="23"/>
  <c r="AR39" i="23"/>
  <c r="BB39" i="23"/>
  <c r="AS39" i="23"/>
  <c r="AW39" i="23"/>
  <c r="AV39" i="23"/>
  <c r="AZ39" i="23"/>
  <c r="BA39" i="23"/>
  <c r="AT39" i="23"/>
  <c r="BD39" i="23"/>
  <c r="BE39" i="23"/>
  <c r="BC39" i="23"/>
  <c r="AX39" i="23"/>
  <c r="AX38" i="23"/>
  <c r="BF38" i="23"/>
  <c r="AV38" i="23"/>
  <c r="AR38" i="23"/>
  <c r="BA38" i="23"/>
  <c r="AS38" i="23"/>
  <c r="AZ38" i="23"/>
  <c r="BE38" i="23"/>
  <c r="BB38" i="23"/>
  <c r="BD38" i="23"/>
  <c r="E39" i="23"/>
  <c r="BC38" i="23"/>
  <c r="F39" i="23"/>
  <c r="AU38" i="23"/>
  <c r="AW38" i="23"/>
  <c r="AY38" i="23"/>
  <c r="AT38" i="23"/>
  <c r="E38" i="23"/>
  <c r="K65" i="23"/>
  <c r="L65" i="23" s="1"/>
  <c r="M65" i="23" s="1"/>
  <c r="N65" i="23" s="1"/>
  <c r="O65" i="23" s="1"/>
  <c r="P65" i="23" s="1"/>
  <c r="Q65" i="23" s="1"/>
  <c r="R65" i="23" s="1"/>
  <c r="S65" i="23" s="1"/>
  <c r="T65" i="23" s="1"/>
  <c r="U65" i="23" s="1"/>
  <c r="V65" i="23" s="1"/>
  <c r="W65" i="23" s="1"/>
  <c r="X65" i="23" s="1"/>
  <c r="Y65" i="23" s="1"/>
  <c r="Z65" i="23" s="1"/>
  <c r="AA65" i="23" s="1"/>
  <c r="AB65" i="23" s="1"/>
  <c r="AC65" i="23" s="1"/>
  <c r="AD65" i="23" s="1"/>
  <c r="AE65" i="23" s="1"/>
  <c r="AF65" i="23" s="1"/>
  <c r="AG65" i="23" s="1"/>
  <c r="AH65" i="23" s="1"/>
  <c r="AI65" i="23" s="1"/>
  <c r="AJ65" i="23" s="1"/>
  <c r="AK65" i="23" s="1"/>
  <c r="AL65" i="23" s="1"/>
  <c r="AM65" i="23" s="1"/>
  <c r="AN65" i="23" s="1"/>
  <c r="AO65" i="23" s="1"/>
  <c r="AP65" i="23" s="1"/>
  <c r="AQ65" i="23" s="1"/>
  <c r="AR65" i="23" s="1"/>
  <c r="AS65" i="23" s="1"/>
  <c r="AT65" i="23" s="1"/>
  <c r="AU65" i="23" s="1"/>
  <c r="AV65" i="23" s="1"/>
  <c r="AW65" i="23" s="1"/>
  <c r="AX65" i="23" s="1"/>
  <c r="AY65" i="23" s="1"/>
  <c r="AZ65" i="23" s="1"/>
  <c r="BA65" i="23" s="1"/>
  <c r="BB65" i="23" s="1"/>
  <c r="BC65" i="23" s="1"/>
  <c r="BD65" i="23" s="1"/>
  <c r="BE65" i="23" s="1"/>
  <c r="BF65" i="23" s="1"/>
  <c r="D42" i="23"/>
  <c r="E5" i="23"/>
  <c r="G23" i="23"/>
  <c r="G35" i="23" s="1"/>
  <c r="H23" i="23"/>
  <c r="H35" i="23" s="1"/>
  <c r="F38" i="23"/>
  <c r="G38" i="23" l="1"/>
  <c r="H38" i="23"/>
  <c r="H39" i="23"/>
  <c r="G39" i="23"/>
  <c r="D69" i="23" l="1"/>
  <c r="D66" i="23"/>
  <c r="E46" i="23" l="1"/>
  <c r="E52" i="23" l="1"/>
  <c r="F46" i="23" l="1"/>
  <c r="G46" i="23" l="1"/>
  <c r="H46" i="23" l="1"/>
  <c r="D53" i="23" l="1"/>
  <c r="D54" i="23" l="1"/>
  <c r="D56" i="23" s="1"/>
  <c r="D58" i="23"/>
  <c r="D61" i="23" l="1"/>
  <c r="D63" i="23" l="1"/>
  <c r="D60" i="23"/>
  <c r="D65" i="23" l="1"/>
  <c r="D68" i="23"/>
  <c r="D71" i="23" l="1"/>
  <c r="D49" i="23" l="1"/>
  <c r="X30" i="22" l="1"/>
  <c r="AI14" i="23" s="1" a="1"/>
  <c r="AI14" i="23" s="1"/>
  <c r="AI16" i="23" s="1"/>
  <c r="Y30" i="22" l="1"/>
  <c r="Z30" i="22"/>
  <c r="AH16" i="23"/>
  <c r="AK14" i="23" a="1"/>
  <c r="AK14" i="23" s="1"/>
  <c r="AK16" i="23" s="1"/>
  <c r="AF16" i="23"/>
  <c r="F14" i="23"/>
  <c r="F16" i="23" s="1"/>
  <c r="J42" i="23"/>
  <c r="Y32" i="22"/>
  <c r="Z32" i="22"/>
  <c r="Z4" i="22" s="1"/>
  <c r="X4" i="22"/>
  <c r="K48" i="23"/>
  <c r="K40" i="23" s="1"/>
  <c r="K49" i="23" l="1"/>
  <c r="Y4" i="22"/>
  <c r="L48" i="23"/>
  <c r="L40" i="23" s="1"/>
  <c r="J53" i="23" l="1"/>
  <c r="K42" i="23"/>
  <c r="L49" i="23"/>
  <c r="G14" i="23"/>
  <c r="G16" i="23" s="1"/>
  <c r="H14" i="23"/>
  <c r="H16" i="23" s="1"/>
  <c r="M48" i="23"/>
  <c r="M40" i="23" s="1"/>
  <c r="L42" i="23" l="1"/>
  <c r="M49" i="23"/>
  <c r="J54" i="23"/>
  <c r="N48" i="23"/>
  <c r="N40" i="23" s="1"/>
  <c r="J55" i="23" l="1"/>
  <c r="M42" i="23"/>
  <c r="N49" i="23"/>
  <c r="O48" i="23"/>
  <c r="O40" i="23" s="1"/>
  <c r="J58" i="23" l="1"/>
  <c r="J61" i="23" s="1"/>
  <c r="J56" i="23"/>
  <c r="K53" i="23" s="1"/>
  <c r="N42" i="23"/>
  <c r="O49" i="23"/>
  <c r="P48" i="23"/>
  <c r="P40" i="23" s="1"/>
  <c r="J63" i="23" l="1"/>
  <c r="G5" i="37" s="1" a="1"/>
  <c r="G5" i="37" s="1"/>
  <c r="H5" i="37" s="1"/>
  <c r="K54" i="23"/>
  <c r="K55" i="23" s="1"/>
  <c r="O42" i="23"/>
  <c r="P49" i="23"/>
  <c r="Q48" i="23"/>
  <c r="Q40" i="23" s="1"/>
  <c r="J69" i="23" l="1"/>
  <c r="J66" i="23"/>
  <c r="J71" i="23" s="1"/>
  <c r="K58" i="23"/>
  <c r="K56" i="23"/>
  <c r="L52" i="23" s="1"/>
  <c r="P42" i="23"/>
  <c r="Q49" i="23"/>
  <c r="R48" i="23"/>
  <c r="R40" i="23" s="1"/>
  <c r="K61" i="23" l="1"/>
  <c r="L53" i="23"/>
  <c r="L54" i="23" s="1"/>
  <c r="Q42" i="23"/>
  <c r="R49" i="23"/>
  <c r="S48" i="23"/>
  <c r="S40" i="23" s="1"/>
  <c r="K63" i="23" l="1"/>
  <c r="L55" i="23"/>
  <c r="L58" i="23" s="1"/>
  <c r="R42" i="23"/>
  <c r="S49" i="23"/>
  <c r="T48" i="23"/>
  <c r="T40" i="23" s="1"/>
  <c r="L61" i="23" l="1"/>
  <c r="G6" i="37" a="1"/>
  <c r="G6" i="37" s="1"/>
  <c r="K66" i="23"/>
  <c r="K69" i="23"/>
  <c r="L56" i="23"/>
  <c r="M52" i="23" s="1"/>
  <c r="S42" i="23"/>
  <c r="T49" i="23"/>
  <c r="H6" i="37" l="1"/>
  <c r="K71" i="23"/>
  <c r="L63" i="23"/>
  <c r="M53" i="23"/>
  <c r="M54" i="23" s="1"/>
  <c r="T42" i="23"/>
  <c r="U48" i="23"/>
  <c r="U40" i="23" s="1"/>
  <c r="E47" i="23"/>
  <c r="E48" i="23" s="1"/>
  <c r="V48" i="23"/>
  <c r="V40" i="23" s="1"/>
  <c r="G7" i="37" l="1" a="1"/>
  <c r="G7" i="37" s="1"/>
  <c r="L66" i="23"/>
  <c r="L69" i="23"/>
  <c r="M55" i="23"/>
  <c r="M58" i="23" s="1"/>
  <c r="U49" i="23"/>
  <c r="E49" i="23" s="1"/>
  <c r="V49" i="23"/>
  <c r="W48" i="23"/>
  <c r="W40" i="23" s="1"/>
  <c r="H7" i="37" l="1"/>
  <c r="L71" i="23"/>
  <c r="M61" i="23"/>
  <c r="M56" i="23"/>
  <c r="N52" i="23" s="1"/>
  <c r="V42" i="23"/>
  <c r="U42" i="23"/>
  <c r="W49" i="23"/>
  <c r="X48" i="23"/>
  <c r="X40" i="23" s="1"/>
  <c r="M63" i="23" l="1"/>
  <c r="N53" i="23"/>
  <c r="N54" i="23" s="1"/>
  <c r="W42" i="23"/>
  <c r="X49" i="23"/>
  <c r="Y48" i="23"/>
  <c r="Y40" i="23" s="1"/>
  <c r="G8" i="37" l="1" a="1"/>
  <c r="G8" i="37" s="1"/>
  <c r="M69" i="23"/>
  <c r="M66" i="23"/>
  <c r="N55" i="23"/>
  <c r="N56" i="23" s="1"/>
  <c r="O52" i="23" s="1"/>
  <c r="X42" i="23"/>
  <c r="Y49" i="23"/>
  <c r="Z48" i="23"/>
  <c r="Z40" i="23" s="1"/>
  <c r="N58" i="23" l="1"/>
  <c r="N61" i="23" s="1"/>
  <c r="H8" i="37"/>
  <c r="M71" i="23"/>
  <c r="O53" i="23"/>
  <c r="O54" i="23" s="1"/>
  <c r="N63" i="23"/>
  <c r="Y42" i="23"/>
  <c r="Z49" i="23"/>
  <c r="AA48" i="23"/>
  <c r="AA40" i="23" s="1"/>
  <c r="G9" i="37" l="1" a="1"/>
  <c r="G9" i="37" s="1"/>
  <c r="H9" i="37" s="1"/>
  <c r="N69" i="23"/>
  <c r="N66" i="23"/>
  <c r="O55" i="23"/>
  <c r="O56" i="23" s="1"/>
  <c r="P52" i="23" s="1"/>
  <c r="Z42" i="23"/>
  <c r="AA49" i="23"/>
  <c r="AB48" i="23"/>
  <c r="AB40" i="23" s="1"/>
  <c r="O58" i="23" l="1"/>
  <c r="O61" i="23" s="1"/>
  <c r="N71" i="23"/>
  <c r="P53" i="23"/>
  <c r="P54" i="23" s="1"/>
  <c r="AA42" i="23"/>
  <c r="AB49" i="23"/>
  <c r="AC48" i="23"/>
  <c r="AC40" i="23" s="1"/>
  <c r="O63" i="23" l="1"/>
  <c r="P55" i="23"/>
  <c r="P56" i="23" s="1"/>
  <c r="Q52" i="23" s="1"/>
  <c r="AB42" i="23"/>
  <c r="AC49" i="23"/>
  <c r="AD48" i="23"/>
  <c r="AD40" i="23" s="1"/>
  <c r="P58" i="23" l="1"/>
  <c r="P61" i="23"/>
  <c r="Q53" i="23"/>
  <c r="Q54" i="23"/>
  <c r="G10" i="37" a="1"/>
  <c r="G10" i="37" s="1"/>
  <c r="H10" i="37" s="1"/>
  <c r="O69" i="23"/>
  <c r="O66" i="23"/>
  <c r="AC42" i="23"/>
  <c r="AD49" i="23"/>
  <c r="AE48" i="23"/>
  <c r="AE40" i="23" s="1"/>
  <c r="O71" i="23" l="1"/>
  <c r="P63" i="23"/>
  <c r="Q55" i="23"/>
  <c r="Q56" i="23" s="1"/>
  <c r="R52" i="23" s="1"/>
  <c r="AD42" i="23"/>
  <c r="AE49" i="23"/>
  <c r="AF48" i="23"/>
  <c r="AF40" i="23" s="1"/>
  <c r="Q58" i="23" l="1"/>
  <c r="Q61" i="23" s="1"/>
  <c r="G11" i="37" a="1"/>
  <c r="G11" i="37" s="1"/>
  <c r="H11" i="37" s="1"/>
  <c r="P66" i="23"/>
  <c r="P69" i="23"/>
  <c r="R53" i="23"/>
  <c r="R54" i="23" s="1"/>
  <c r="AE42" i="23"/>
  <c r="AF49" i="23"/>
  <c r="P71" i="23" l="1"/>
  <c r="Q63" i="23"/>
  <c r="R55" i="23"/>
  <c r="R56" i="23" s="1"/>
  <c r="S52" i="23" s="1"/>
  <c r="R58" i="23"/>
  <c r="AF42" i="23"/>
  <c r="AG48" i="23"/>
  <c r="AG40" i="23" s="1"/>
  <c r="F47" i="23"/>
  <c r="F48" i="23" s="1"/>
  <c r="AH48" i="23"/>
  <c r="R61" i="23" l="1"/>
  <c r="G12" i="37" a="1"/>
  <c r="G12" i="37" s="1"/>
  <c r="H12" i="37" s="1"/>
  <c r="Q69" i="23"/>
  <c r="Q66" i="23"/>
  <c r="S53" i="23"/>
  <c r="S54" i="23" s="1"/>
  <c r="AH49" i="23"/>
  <c r="AG49" i="23"/>
  <c r="AI48" i="23"/>
  <c r="F49" i="23"/>
  <c r="Q71" i="23" l="1"/>
  <c r="R63" i="23"/>
  <c r="S55" i="23"/>
  <c r="S56" i="23" s="1"/>
  <c r="T52" i="23" s="1"/>
  <c r="S58" i="23"/>
  <c r="AG42" i="23"/>
  <c r="AH42" i="23"/>
  <c r="AI49" i="23"/>
  <c r="E40" i="23"/>
  <c r="E42" i="23" s="1"/>
  <c r="F40" i="23"/>
  <c r="F42" i="23" s="1"/>
  <c r="AJ48" i="23"/>
  <c r="S61" i="23" l="1"/>
  <c r="G13" i="37" a="1"/>
  <c r="G13" i="37" s="1"/>
  <c r="H13" i="37" s="1"/>
  <c r="R66" i="23"/>
  <c r="R69" i="23"/>
  <c r="T53" i="23"/>
  <c r="T54" i="23" s="1"/>
  <c r="AI42" i="23"/>
  <c r="AJ49" i="23"/>
  <c r="AK48" i="23"/>
  <c r="R71" i="23" l="1"/>
  <c r="S63" i="23"/>
  <c r="T55" i="23"/>
  <c r="T56" i="23" s="1"/>
  <c r="U52" i="23" s="1"/>
  <c r="AJ42" i="23"/>
  <c r="AK49" i="23"/>
  <c r="AL48" i="23"/>
  <c r="T58" i="23" l="1"/>
  <c r="T61" i="23"/>
  <c r="G14" i="37" a="1"/>
  <c r="G14" i="37" s="1"/>
  <c r="H14" i="37" s="1"/>
  <c r="S69" i="23"/>
  <c r="S66" i="23"/>
  <c r="U53" i="23"/>
  <c r="U54" i="23" s="1"/>
  <c r="AK42" i="23"/>
  <c r="AL49" i="23"/>
  <c r="AM48" i="23"/>
  <c r="S71" i="23" l="1"/>
  <c r="T63" i="23"/>
  <c r="U55" i="23"/>
  <c r="U56" i="23" s="1"/>
  <c r="V52" i="23" s="1"/>
  <c r="AL42" i="23"/>
  <c r="AM49" i="23"/>
  <c r="AN48" i="23"/>
  <c r="U58" i="23" l="1"/>
  <c r="U61" i="23" s="1"/>
  <c r="G15" i="37" a="1"/>
  <c r="G15" i="37" s="1"/>
  <c r="H15" i="37" s="1"/>
  <c r="T69" i="23"/>
  <c r="T66" i="23"/>
  <c r="F52" i="23"/>
  <c r="V53" i="23"/>
  <c r="V54" i="23" s="1"/>
  <c r="AM42" i="23"/>
  <c r="AN49" i="23"/>
  <c r="AO48" i="23"/>
  <c r="T71" i="23" l="1"/>
  <c r="U63" i="23"/>
  <c r="V55" i="23"/>
  <c r="V56" i="23" s="1"/>
  <c r="W52" i="23" s="1"/>
  <c r="AN42" i="23"/>
  <c r="AO49" i="23"/>
  <c r="AP48" i="23"/>
  <c r="V58" i="23" l="1"/>
  <c r="V61" i="23"/>
  <c r="G16" i="37" a="1"/>
  <c r="G16" i="37" s="1"/>
  <c r="H16" i="37" s="1"/>
  <c r="U69" i="23"/>
  <c r="U66" i="23"/>
  <c r="W53" i="23"/>
  <c r="W54" i="23" s="1"/>
  <c r="AO42" i="23"/>
  <c r="AP49" i="23"/>
  <c r="AQ48" i="23"/>
  <c r="U71" i="23" l="1"/>
  <c r="V63" i="23"/>
  <c r="W55" i="23"/>
  <c r="W56" i="23" s="1"/>
  <c r="X52" i="23" s="1"/>
  <c r="W58" i="23"/>
  <c r="AP42" i="23"/>
  <c r="AQ49" i="23"/>
  <c r="AR48" i="23"/>
  <c r="W61" i="23" l="1"/>
  <c r="G17" i="37" a="1"/>
  <c r="G17" i="37" s="1"/>
  <c r="H17" i="37" s="1"/>
  <c r="V69" i="23"/>
  <c r="V66" i="23"/>
  <c r="X53" i="23"/>
  <c r="X54" i="23" s="1"/>
  <c r="AQ42" i="23"/>
  <c r="AR49" i="23"/>
  <c r="V71" i="23" l="1"/>
  <c r="W63" i="23"/>
  <c r="X55" i="23"/>
  <c r="X56" i="23" s="1"/>
  <c r="Y52" i="23" s="1"/>
  <c r="X58" i="23"/>
  <c r="AR42" i="23"/>
  <c r="AT48" i="23"/>
  <c r="AS48" i="23"/>
  <c r="G47" i="23"/>
  <c r="G48" i="23" s="1"/>
  <c r="X61" i="23" l="1"/>
  <c r="G18" i="37" a="1"/>
  <c r="G18" i="37" s="1"/>
  <c r="H18" i="37" s="1"/>
  <c r="W69" i="23"/>
  <c r="W66" i="23"/>
  <c r="Y53" i="23"/>
  <c r="Y54" i="23" s="1"/>
  <c r="AS49" i="23"/>
  <c r="G49" i="23" s="1"/>
  <c r="AT49" i="23"/>
  <c r="AU48" i="23"/>
  <c r="W71" i="23" l="1"/>
  <c r="X63" i="23"/>
  <c r="Y55" i="23"/>
  <c r="Y58" i="23" s="1"/>
  <c r="AT42" i="23"/>
  <c r="AS42" i="23"/>
  <c r="AU49" i="23"/>
  <c r="AV48" i="23"/>
  <c r="Y61" i="23" l="1"/>
  <c r="G19" i="37" a="1"/>
  <c r="G19" i="37" s="1"/>
  <c r="H19" i="37" s="1"/>
  <c r="X69" i="23"/>
  <c r="X66" i="23"/>
  <c r="Y56" i="23"/>
  <c r="Z52" i="23" s="1"/>
  <c r="AU42" i="23"/>
  <c r="AV49" i="23"/>
  <c r="AW48" i="23"/>
  <c r="X71" i="23" l="1"/>
  <c r="Y63" i="23"/>
  <c r="Z53" i="23"/>
  <c r="Z54" i="23" s="1"/>
  <c r="AV42" i="23"/>
  <c r="AW49" i="23"/>
  <c r="AX48" i="23"/>
  <c r="G20" i="37" l="1" a="1"/>
  <c r="G20" i="37" s="1"/>
  <c r="H20" i="37" s="1"/>
  <c r="Y69" i="23"/>
  <c r="Y66" i="23"/>
  <c r="Z55" i="23"/>
  <c r="Z58" i="23"/>
  <c r="AW42" i="23"/>
  <c r="AX49" i="23"/>
  <c r="AY48" i="23"/>
  <c r="Y71" i="23" l="1"/>
  <c r="Z61" i="23"/>
  <c r="Z56" i="23"/>
  <c r="AA52" i="23" s="1"/>
  <c r="AX42" i="23"/>
  <c r="AY49" i="23"/>
  <c r="AY42" i="23"/>
  <c r="E61" i="23"/>
  <c r="AZ48" i="23"/>
  <c r="Z63" i="23" l="1"/>
  <c r="AA53" i="23"/>
  <c r="AA54" i="23" s="1"/>
  <c r="AZ49" i="23"/>
  <c r="AZ42" i="23"/>
  <c r="BA48" i="23"/>
  <c r="G21" i="37" l="1" a="1"/>
  <c r="G21" i="37" s="1"/>
  <c r="H21" i="37" s="1"/>
  <c r="Z69" i="23"/>
  <c r="Z66" i="23"/>
  <c r="AA55" i="23"/>
  <c r="AA58" i="23"/>
  <c r="AA61" i="23" s="1"/>
  <c r="BA49" i="23"/>
  <c r="BA42" i="23"/>
  <c r="BB48" i="23"/>
  <c r="Z71" i="23" l="1"/>
  <c r="AA63" i="23"/>
  <c r="AA56" i="23"/>
  <c r="AB52" i="23" s="1"/>
  <c r="BB49" i="23"/>
  <c r="BB42" i="23"/>
  <c r="BC48" i="23"/>
  <c r="AB53" i="23" l="1"/>
  <c r="AB54" i="23" s="1"/>
  <c r="G22" i="37" a="1"/>
  <c r="G22" i="37" s="1"/>
  <c r="H22" i="37" s="1"/>
  <c r="AA69" i="23"/>
  <c r="AA66" i="23"/>
  <c r="BC49" i="23"/>
  <c r="BC42" i="23"/>
  <c r="BD48" i="23"/>
  <c r="AA71" i="23" l="1"/>
  <c r="AB55" i="23"/>
  <c r="AB56" i="23" s="1"/>
  <c r="AC52" i="23" s="1"/>
  <c r="BD49" i="23"/>
  <c r="AB58" i="23" l="1"/>
  <c r="AB61" i="23" s="1"/>
  <c r="AC53" i="23"/>
  <c r="AC54" i="23" s="1"/>
  <c r="AB63" i="23"/>
  <c r="BD42" i="23"/>
  <c r="BF48" i="23"/>
  <c r="H47" i="23"/>
  <c r="H48" i="23" s="1"/>
  <c r="BE48" i="23"/>
  <c r="G23" i="37" l="1" a="1"/>
  <c r="G23" i="37" s="1"/>
  <c r="H23" i="37" s="1"/>
  <c r="AB69" i="23"/>
  <c r="AB66" i="23"/>
  <c r="AC55" i="23"/>
  <c r="AC56" i="23" s="1"/>
  <c r="AD52" i="23" s="1"/>
  <c r="AC58" i="23"/>
  <c r="BE49" i="23"/>
  <c r="BF49" i="23"/>
  <c r="H49" i="23"/>
  <c r="AB71" i="23" l="1"/>
  <c r="AC61" i="23"/>
  <c r="AD53" i="23"/>
  <c r="AD54" i="23"/>
  <c r="BF42" i="23"/>
  <c r="BE42" i="23"/>
  <c r="AC63" i="23" l="1"/>
  <c r="AD55" i="23"/>
  <c r="AD56" i="23" s="1"/>
  <c r="AE52" i="23" s="1"/>
  <c r="AC66" i="23" l="1"/>
  <c r="AC71" i="23" s="1"/>
  <c r="AC69" i="23"/>
  <c r="G24" i="37" a="1"/>
  <c r="G24" i="37" s="1"/>
  <c r="H24" i="37" s="1"/>
  <c r="AD58" i="23"/>
  <c r="AD61" i="23" s="1"/>
  <c r="AE53" i="23"/>
  <c r="AE54" i="23" s="1"/>
  <c r="AD63" i="23" l="1"/>
  <c r="AD69" i="23" s="1"/>
  <c r="AE55" i="23"/>
  <c r="AE56" i="23" s="1"/>
  <c r="AF52" i="23" s="1"/>
  <c r="AE58" i="23" l="1"/>
  <c r="AE61" i="23" s="1"/>
  <c r="AD66" i="23"/>
  <c r="AD71" i="23" s="1"/>
  <c r="G25" i="37" a="1"/>
  <c r="G25" i="37" s="1"/>
  <c r="H25" i="37" s="1"/>
  <c r="AE63" i="23"/>
  <c r="AF53" i="23"/>
  <c r="AF54" i="23" l="1"/>
  <c r="G26" i="37" a="1"/>
  <c r="G26" i="37" s="1"/>
  <c r="H26" i="37" s="1"/>
  <c r="AE66" i="23"/>
  <c r="AE69" i="23"/>
  <c r="AE71" i="23" l="1"/>
  <c r="AF55" i="23"/>
  <c r="AF56" i="23" s="1"/>
  <c r="AG52" i="23" s="1"/>
  <c r="AG53" i="23" l="1"/>
  <c r="AG54" i="23"/>
  <c r="AF58" i="23"/>
  <c r="AF61" i="23" s="1"/>
  <c r="AF63" i="23" l="1"/>
  <c r="AG55" i="23"/>
  <c r="AG58" i="23" s="1"/>
  <c r="AG61" i="23" s="1"/>
  <c r="AG63" i="23" l="1"/>
  <c r="AG56" i="23"/>
  <c r="AH52" i="23" s="1"/>
  <c r="AF69" i="23"/>
  <c r="G27" i="37" a="1"/>
  <c r="G27" i="37" s="1"/>
  <c r="H27" i="37" s="1"/>
  <c r="AF66" i="23"/>
  <c r="AF71" i="23" l="1"/>
  <c r="G52" i="23"/>
  <c r="AH53" i="23"/>
  <c r="AH54" i="23" s="1"/>
  <c r="G28" i="37" a="1"/>
  <c r="G28" i="37" s="1"/>
  <c r="H28" i="37" s="1"/>
  <c r="AG69" i="23"/>
  <c r="AG66" i="23"/>
  <c r="AG71" i="23" l="1"/>
  <c r="AH55" i="23"/>
  <c r="AH56" i="23" s="1"/>
  <c r="AI52" i="23" s="1"/>
  <c r="AH58" i="23" l="1"/>
  <c r="AH61" i="23"/>
  <c r="AI53" i="23"/>
  <c r="AI54" i="23" s="1"/>
  <c r="AH63" i="23" l="1"/>
  <c r="AI55" i="23"/>
  <c r="AI58" i="23" s="1"/>
  <c r="AI61" i="23" s="1"/>
  <c r="AI56" i="23"/>
  <c r="AJ52" i="23" s="1"/>
  <c r="AH66" i="23" l="1"/>
  <c r="AH69" i="23"/>
  <c r="G29" i="37" a="1"/>
  <c r="G29" i="37" s="1"/>
  <c r="H29" i="37" s="1"/>
  <c r="AJ53" i="23"/>
  <c r="AJ54" i="23" s="1"/>
  <c r="AH71" i="23" l="1"/>
  <c r="F61" i="23"/>
  <c r="AJ55" i="23"/>
  <c r="AJ56" i="23"/>
  <c r="AK52" i="23" s="1"/>
  <c r="AJ58" i="23"/>
  <c r="AI63" i="23"/>
  <c r="AJ63" i="23" l="1"/>
  <c r="AJ61" i="23"/>
  <c r="G30" i="37" a="1"/>
  <c r="G30" i="37" s="1"/>
  <c r="AI69" i="23"/>
  <c r="AI66" i="23"/>
  <c r="AK53" i="23"/>
  <c r="AJ66" i="23" l="1"/>
  <c r="AJ71" i="23" s="1"/>
  <c r="AJ69" i="23"/>
  <c r="G31" i="37" a="1"/>
  <c r="G31" i="37" s="1"/>
  <c r="H31" i="37" s="1"/>
  <c r="AK54" i="23"/>
  <c r="AK55" i="23" s="1"/>
  <c r="AK58" i="23" s="1"/>
  <c r="AI71" i="23"/>
  <c r="H30" i="37"/>
  <c r="AK56" i="23" l="1"/>
  <c r="AL52" i="23" s="1"/>
  <c r="AL53" i="23" s="1"/>
  <c r="AL54" i="23" s="1"/>
  <c r="AK63" i="23"/>
  <c r="AK69" i="23" s="1"/>
  <c r="AK61" i="23"/>
  <c r="AK66" i="23"/>
  <c r="G32" i="37" l="1" a="1"/>
  <c r="G32" i="37" s="1"/>
  <c r="AK71" i="23"/>
  <c r="AL55" i="23"/>
  <c r="AL56" i="23" s="1"/>
  <c r="AM52" i="23" s="1"/>
  <c r="H32" i="37"/>
  <c r="AL58" i="23" l="1"/>
  <c r="AL63" i="23" s="1"/>
  <c r="AM53" i="23"/>
  <c r="AM54" i="23" s="1"/>
  <c r="AL61" i="23" l="1"/>
  <c r="AL69" i="23"/>
  <c r="AL66" i="23"/>
  <c r="G33" i="37" a="1"/>
  <c r="G33" i="37" s="1"/>
  <c r="H33" i="37" s="1"/>
  <c r="AL71" i="23"/>
  <c r="AM55" i="23"/>
  <c r="AM56" i="23" s="1"/>
  <c r="AN52" i="23" s="1"/>
  <c r="AM58" i="23" l="1"/>
  <c r="AM63" i="23" s="1"/>
  <c r="AN53" i="23"/>
  <c r="AN54" i="23" s="1"/>
  <c r="AM61" i="23" l="1"/>
  <c r="AM69" i="23"/>
  <c r="AM66" i="23"/>
  <c r="G34" i="37" a="1"/>
  <c r="G34" i="37" s="1"/>
  <c r="H34" i="37" s="1"/>
  <c r="AM71" i="23"/>
  <c r="AN55" i="23"/>
  <c r="AN56" i="23" s="1"/>
  <c r="AO52" i="23" s="1"/>
  <c r="AN58" i="23" l="1"/>
  <c r="AN63" i="23" s="1"/>
  <c r="AO53" i="23"/>
  <c r="AO54" i="23" s="1"/>
  <c r="AN61" i="23" l="1"/>
  <c r="AN69" i="23"/>
  <c r="AN66" i="23"/>
  <c r="AN71" i="23" s="1"/>
  <c r="G35" i="37" a="1"/>
  <c r="G35" i="37" s="1"/>
  <c r="H35" i="37" s="1"/>
  <c r="AO55" i="23"/>
  <c r="AO56" i="23" s="1"/>
  <c r="AP52" i="23" s="1"/>
  <c r="G40" i="23"/>
  <c r="G42" i="23" s="1"/>
  <c r="H40" i="23"/>
  <c r="H42" i="23" s="1"/>
  <c r="AO58" i="23" l="1"/>
  <c r="AO63" i="23" s="1"/>
  <c r="AP53" i="23"/>
  <c r="AP54" i="23" s="1"/>
  <c r="AO61" i="23" l="1"/>
  <c r="AO66" i="23"/>
  <c r="AO71" i="23" s="1"/>
  <c r="AO69" i="23"/>
  <c r="G36" i="37" a="1"/>
  <c r="G36" i="37" s="1"/>
  <c r="H36" i="37" s="1"/>
  <c r="AP55" i="23"/>
  <c r="AP56" i="23" s="1"/>
  <c r="AQ52" i="23" s="1"/>
  <c r="AP58" i="23" l="1"/>
  <c r="AP63" i="23" s="1"/>
  <c r="AQ53" i="23"/>
  <c r="AQ54" i="23" s="1"/>
  <c r="AP61" i="23" l="1"/>
  <c r="G37" i="37" a="1"/>
  <c r="G37" i="37" s="1"/>
  <c r="H37" i="37" s="1"/>
  <c r="AP66" i="23"/>
  <c r="AP69" i="23"/>
  <c r="AP71" i="23"/>
  <c r="AQ55" i="23"/>
  <c r="AQ56" i="23" s="1"/>
  <c r="AR52" i="23" s="1"/>
  <c r="AR53" i="23" s="1"/>
  <c r="AQ58" i="23" l="1"/>
  <c r="AQ63" i="23" s="1"/>
  <c r="AR54" i="23"/>
  <c r="AQ61" i="23" l="1"/>
  <c r="G38" i="37" a="1"/>
  <c r="G38" i="37" s="1"/>
  <c r="AQ69" i="23"/>
  <c r="AQ66" i="23"/>
  <c r="AQ71" i="23" s="1"/>
  <c r="AR55" i="23"/>
  <c r="AR58" i="23" s="1"/>
  <c r="H38" i="37" l="1"/>
  <c r="C16" i="37" s="1"/>
  <c r="C13" i="37"/>
  <c r="C17" i="37" s="1"/>
  <c r="AR63" i="23"/>
  <c r="AR61" i="23"/>
  <c r="AR56" i="23"/>
  <c r="AS52" i="23" s="1"/>
  <c r="G39" i="37" l="1" a="1"/>
  <c r="G39" i="37" s="1"/>
  <c r="H39" i="37" s="1"/>
  <c r="AR69" i="23"/>
  <c r="AR66" i="23"/>
  <c r="AR71" i="23" s="1"/>
  <c r="AS53" i="23"/>
  <c r="AS54" i="23" s="1"/>
  <c r="AS55" i="23" l="1"/>
  <c r="AS56" i="23" s="1"/>
  <c r="AT52" i="23" s="1"/>
  <c r="AS58" i="23" l="1"/>
  <c r="AS63" i="23" s="1"/>
  <c r="AS61" i="23"/>
  <c r="AT53" i="23"/>
  <c r="H52" i="23"/>
  <c r="AT54" i="23"/>
  <c r="AS69" i="23" l="1"/>
  <c r="AS66" i="23"/>
  <c r="AS71" i="23" s="1"/>
  <c r="G40" i="37" a="1"/>
  <c r="G40" i="37" s="1"/>
  <c r="AT55" i="23"/>
  <c r="AT58" i="23" s="1"/>
  <c r="G41" i="37" l="1"/>
  <c r="H40" i="37"/>
  <c r="AT56" i="23"/>
  <c r="AU52" i="23" s="1"/>
  <c r="AU53" i="23" s="1"/>
  <c r="AT63" i="23"/>
  <c r="AT61" i="23"/>
  <c r="E53" i="23"/>
  <c r="F53" i="23"/>
  <c r="G53" i="23"/>
  <c r="AT69" i="23" l="1"/>
  <c r="AT66" i="23"/>
  <c r="AT71" i="23" s="1"/>
  <c r="AU54" i="23"/>
  <c r="G54" i="23"/>
  <c r="E54" i="23"/>
  <c r="F54" i="23"/>
  <c r="AU55" i="23" l="1"/>
  <c r="AU58" i="23" l="1"/>
  <c r="AU56" i="23"/>
  <c r="AV52" i="23" s="1"/>
  <c r="E66" i="23"/>
  <c r="F66" i="23"/>
  <c r="G66" i="23"/>
  <c r="E69" i="23"/>
  <c r="F69" i="23"/>
  <c r="G69" i="23"/>
  <c r="AU63" i="23" l="1"/>
  <c r="AU61" i="23"/>
  <c r="AV53" i="23"/>
  <c r="AV54" i="23" s="1"/>
  <c r="E71" i="23"/>
  <c r="F71" i="23"/>
  <c r="G71" i="23"/>
  <c r="AU66" i="23" l="1"/>
  <c r="AU71" i="23" s="1"/>
  <c r="AU69" i="23"/>
  <c r="AV55" i="23"/>
  <c r="AV58" i="23"/>
  <c r="AV63" i="23" l="1"/>
  <c r="AV61" i="23"/>
  <c r="AV56" i="23"/>
  <c r="AW52" i="23" s="1"/>
  <c r="AV69" i="23" l="1"/>
  <c r="AV66" i="23"/>
  <c r="AV71" i="23" s="1"/>
  <c r="AW53" i="23"/>
  <c r="AW54" i="23" s="1"/>
  <c r="AW55" i="23" l="1"/>
  <c r="AW56" i="23" s="1"/>
  <c r="AX52" i="23" s="1"/>
  <c r="AW58" i="23"/>
  <c r="AW63" i="23" l="1"/>
  <c r="AW69" i="23" s="1"/>
  <c r="AW61" i="23"/>
  <c r="AX53" i="23"/>
  <c r="AX54" i="23"/>
  <c r="AW66" i="23" l="1"/>
  <c r="AW71" i="23" s="1"/>
  <c r="AX55" i="23"/>
  <c r="AX56" i="23" s="1"/>
  <c r="AY52" i="23" s="1"/>
  <c r="AX58" i="23"/>
  <c r="AX63" i="23" l="1"/>
  <c r="AX61" i="23"/>
  <c r="AY53" i="23"/>
  <c r="AY54" i="23" s="1"/>
  <c r="AX69" i="23"/>
  <c r="AX66" i="23"/>
  <c r="AX71" i="23" s="1"/>
  <c r="AY55" i="23" l="1"/>
  <c r="AY56" i="23" s="1"/>
  <c r="AZ52" i="23" s="1"/>
  <c r="AY58" i="23" l="1"/>
  <c r="AY63" i="23" s="1"/>
  <c r="AZ53" i="23"/>
  <c r="AZ54" i="23" s="1"/>
  <c r="AY69" i="23" l="1"/>
  <c r="AY66" i="23"/>
  <c r="AY71" i="23" s="1"/>
  <c r="AY61" i="23"/>
  <c r="AZ55" i="23"/>
  <c r="AZ56" i="23" s="1"/>
  <c r="BA52" i="23" s="1"/>
  <c r="AZ58" i="23" l="1"/>
  <c r="AZ61" i="23" s="1"/>
  <c r="AZ63" i="23"/>
  <c r="BA53" i="23"/>
  <c r="BA54" i="23" s="1"/>
  <c r="AZ69" i="23" l="1"/>
  <c r="AZ66" i="23"/>
  <c r="AZ71" i="23" s="1"/>
  <c r="BA55" i="23"/>
  <c r="BA56" i="23" s="1"/>
  <c r="BB52" i="23" s="1"/>
  <c r="BA58" i="23" l="1"/>
  <c r="BB53" i="23"/>
  <c r="BB54" i="23" s="1"/>
  <c r="BA63" i="23" l="1"/>
  <c r="BA61" i="23"/>
  <c r="BB55" i="23"/>
  <c r="BB56" i="23" s="1"/>
  <c r="BC52" i="23" s="1"/>
  <c r="BB58" i="23"/>
  <c r="BB63" i="23" l="1"/>
  <c r="BB61" i="23"/>
  <c r="BA69" i="23"/>
  <c r="BA66" i="23"/>
  <c r="BC53" i="23"/>
  <c r="BC54" i="23" s="1"/>
  <c r="BB69" i="23" l="1"/>
  <c r="BB66" i="23"/>
  <c r="BB71" i="23"/>
  <c r="BA71" i="23"/>
  <c r="BC55" i="23"/>
  <c r="BC56" i="23" s="1"/>
  <c r="BD52" i="23" s="1"/>
  <c r="BD53" i="23" l="1"/>
  <c r="BD54" i="23"/>
  <c r="BC58" i="23"/>
  <c r="BC63" i="23" l="1"/>
  <c r="BC61" i="23"/>
  <c r="BD55" i="23"/>
  <c r="BD56" i="23" s="1"/>
  <c r="BE52" i="23" s="1"/>
  <c r="BD58" i="23"/>
  <c r="BC66" i="23" l="1"/>
  <c r="BC71" i="23" s="1"/>
  <c r="BC69" i="23"/>
  <c r="BD63" i="23"/>
  <c r="BD61" i="23"/>
  <c r="BE53" i="23"/>
  <c r="BE54" i="23" s="1"/>
  <c r="BD66" i="23"/>
  <c r="BD69" i="23" l="1"/>
  <c r="BD71" i="23"/>
  <c r="BE55" i="23"/>
  <c r="BE56" i="23" s="1"/>
  <c r="BF52" i="23" s="1"/>
  <c r="BE58" i="23"/>
  <c r="BE63" i="23" l="1"/>
  <c r="BE69" i="23" s="1"/>
  <c r="BE61" i="23"/>
  <c r="BF53" i="23"/>
  <c r="BF54" i="23"/>
  <c r="BE66" i="23" l="1"/>
  <c r="BE71" i="23" s="1"/>
  <c r="BF55" i="23"/>
  <c r="BF58" i="23" s="1"/>
  <c r="H53" i="23"/>
  <c r="BF63" i="23" l="1"/>
  <c r="BF61" i="23"/>
  <c r="H54" i="23"/>
  <c r="E55" i="23"/>
  <c r="F55" i="23"/>
  <c r="G55" i="23"/>
  <c r="H55" i="23"/>
  <c r="H58" i="23" s="1"/>
  <c r="BF56" i="23"/>
  <c r="BF66" i="23" l="1"/>
  <c r="BF71" i="23" s="1"/>
  <c r="BF69" i="23"/>
  <c r="H69" i="23" s="1"/>
  <c r="G61" i="23"/>
  <c r="H61" i="23"/>
  <c r="G58" i="23"/>
  <c r="G56" i="23"/>
  <c r="F58" i="23"/>
  <c r="F56" i="23"/>
  <c r="E58" i="23"/>
  <c r="E56" i="23"/>
  <c r="H66" i="23"/>
  <c r="H56" i="23"/>
  <c r="H60" i="23" l="1"/>
  <c r="H63" i="23"/>
  <c r="H68" i="23" s="1"/>
  <c r="H71" i="23"/>
  <c r="E63" i="23"/>
  <c r="E60" i="23"/>
  <c r="F63" i="23"/>
  <c r="F60" i="23"/>
  <c r="G63" i="23"/>
  <c r="G60" i="23"/>
  <c r="H65" i="23" l="1"/>
  <c r="G68" i="23"/>
  <c r="G65" i="23"/>
  <c r="F65" i="23"/>
  <c r="F68" i="23"/>
  <c r="E65" i="23"/>
  <c r="E68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Matt B</author>
  </authors>
  <commentList>
    <comment ref="K52" authorId="0" shapeId="0" xr:uid="{A350FED2-0F49-4C63-A427-18AA4E86213D}">
      <text>
        <r>
          <rPr>
            <sz val="9"/>
            <color indexed="81"/>
            <rFont val="Tahoma"/>
            <family val="2"/>
          </rPr>
          <t>funded by Opco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Matt B</author>
  </authors>
  <commentList>
    <comment ref="G5" authorId="0" shapeId="0" xr:uid="{B4BA7393-438D-460D-A3B4-28D2A8770FB7}">
      <text>
        <r>
          <rPr>
            <sz val="9"/>
            <color indexed="81"/>
            <rFont val="Tahoma"/>
            <family val="2"/>
          </rPr>
          <t>closing date</t>
        </r>
      </text>
    </comment>
    <comment ref="E19" authorId="0" shapeId="0" xr:uid="{817DA1CC-6B7F-4C53-8153-568A2D2FB98A}">
      <text>
        <r>
          <rPr>
            <sz val="9"/>
            <color indexed="81"/>
            <rFont val="Tahoma"/>
            <family val="2"/>
          </rPr>
          <t>from June 20, 2025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Matt B</author>
  </authors>
  <commentList>
    <comment ref="G5" authorId="0" shapeId="0" xr:uid="{C5A89D3C-6573-443B-8699-6F47F1836562}">
      <text>
        <r>
          <rPr>
            <sz val="9"/>
            <color indexed="81"/>
            <rFont val="Tahoma"/>
            <family val="2"/>
          </rPr>
          <t>closing date</t>
        </r>
      </text>
    </comment>
    <comment ref="E19" authorId="0" shapeId="0" xr:uid="{D7F68BBB-69C5-4976-A6AB-01567AE4F853}">
      <text>
        <r>
          <rPr>
            <sz val="9"/>
            <color indexed="81"/>
            <rFont val="Tahoma"/>
            <family val="2"/>
          </rPr>
          <t>from March 13, 2025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<sst xmlns="http://schemas.openxmlformats.org/spreadsheetml/2006/main" count="155" uniqueCount="96">
  <si>
    <t>Ethzilla Eurus Token I Investor Model</t>
  </si>
  <si>
    <t>Investment calculator</t>
  </si>
  <si>
    <t>Token cash flow</t>
  </si>
  <si>
    <t>Investment</t>
  </si>
  <si>
    <t>Revenue</t>
  </si>
  <si>
    <t>Net Cash</t>
  </si>
  <si>
    <t>Token returns</t>
  </si>
  <si>
    <t>Tokens purchased</t>
  </si>
  <si>
    <t>Price per Token</t>
  </si>
  <si>
    <t>Initial investment</t>
  </si>
  <si>
    <t>Profits Participation Interest</t>
  </si>
  <si>
    <t>Mark-Up</t>
  </si>
  <si>
    <t>Capital returned</t>
  </si>
  <si>
    <t>IRR</t>
  </si>
  <si>
    <t>MOIC</t>
  </si>
  <si>
    <t>Annual Summary</t>
  </si>
  <si>
    <t>Consolidated Operating Company Cash Flow</t>
  </si>
  <si>
    <t>Token Offering (100% basis)</t>
  </si>
  <si>
    <t>Closing Costs</t>
  </si>
  <si>
    <t>890676 - Closing</t>
  </si>
  <si>
    <t>892584 - Closing</t>
  </si>
  <si>
    <t>Residual Value</t>
  </si>
  <si>
    <t>Total Residual</t>
  </si>
  <si>
    <t>890676 Revenue</t>
  </si>
  <si>
    <t>Lease Revenue</t>
  </si>
  <si>
    <t>Cyclic Utilization $</t>
  </si>
  <si>
    <t>Hourly Utilization $</t>
  </si>
  <si>
    <t>Total 890676</t>
  </si>
  <si>
    <t>892584 Revenue</t>
  </si>
  <si>
    <t>Total 892584</t>
  </si>
  <si>
    <t>Operating Company Revenues</t>
  </si>
  <si>
    <t>Total Revenues</t>
  </si>
  <si>
    <t>Operating Company Expenses</t>
  </si>
  <si>
    <t>Maintenance</t>
  </si>
  <si>
    <t>Tokenization Costs</t>
  </si>
  <si>
    <t>Insurance</t>
  </si>
  <si>
    <t>Net CF Before Reserves</t>
  </si>
  <si>
    <t>Cash Reserve Required / Eng</t>
  </si>
  <si>
    <t>Active Engines</t>
  </si>
  <si>
    <t>890676 Engines</t>
  </si>
  <si>
    <t>892584 Engines</t>
  </si>
  <si>
    <t>Cash Reserve Required</t>
  </si>
  <si>
    <t>Maintenance Reserve Funds</t>
  </si>
  <si>
    <t>Starting Reserve Account Balance</t>
  </si>
  <si>
    <t>Reserve Contribution</t>
  </si>
  <si>
    <t>Ending Reserve Pre-Draw</t>
  </si>
  <si>
    <t>Reserve Release</t>
  </si>
  <si>
    <t>Ending Reserve Account Balance</t>
  </si>
  <si>
    <t>Cash Available After Reserves</t>
  </si>
  <si>
    <t>Management Fee %</t>
  </si>
  <si>
    <t>Management Fee</t>
  </si>
  <si>
    <t>Operating Company Distributable Cash</t>
  </si>
  <si>
    <t>Token Investor Ownership</t>
  </si>
  <si>
    <t>Net Token Investor Cash</t>
  </si>
  <si>
    <t>ETHZilla Token Ownership</t>
  </si>
  <si>
    <t>Net ETHZilla Token Cash</t>
  </si>
  <si>
    <t>Distributions to Tokenholders</t>
  </si>
  <si>
    <t>Assumptions</t>
  </si>
  <si>
    <t>Engine Lease Model</t>
  </si>
  <si>
    <t>Period</t>
  </si>
  <si>
    <t>Cyclic Multiplier</t>
  </si>
  <si>
    <t>Hourly Multiplier</t>
  </si>
  <si>
    <t>On or Off Lease</t>
  </si>
  <si>
    <t>Engine Purchase</t>
  </si>
  <si>
    <t>Cycles Run</t>
  </si>
  <si>
    <t>Cycles Remaining</t>
  </si>
  <si>
    <t>Engine Repair</t>
  </si>
  <si>
    <t>Transaction Costs</t>
  </si>
  <si>
    <t>Hours Run</t>
  </si>
  <si>
    <t>ETHZ Fee</t>
  </si>
  <si>
    <t>Residual Realization</t>
  </si>
  <si>
    <t>Net Cash Flows</t>
  </si>
  <si>
    <t>Total Revenue</t>
  </si>
  <si>
    <t>Total</t>
  </si>
  <si>
    <t>Up-Front Costs</t>
  </si>
  <si>
    <t>Purchase Price</t>
  </si>
  <si>
    <t>Repair Costs</t>
  </si>
  <si>
    <t>Repair Time (months)</t>
  </si>
  <si>
    <t xml:space="preserve">  Total Up-Front Costs</t>
  </si>
  <si>
    <t>Basic Engine Parameters</t>
  </si>
  <si>
    <t xml:space="preserve">  Cycles Remaning</t>
  </si>
  <si>
    <t xml:space="preserve">  Residual Value</t>
  </si>
  <si>
    <t xml:space="preserve">  Reserves for Annual Repair</t>
  </si>
  <si>
    <t>Months till Residual Realization</t>
  </si>
  <si>
    <t>1st lease Parameters</t>
  </si>
  <si>
    <t xml:space="preserve">  Lease Term (mos)</t>
  </si>
  <si>
    <t xml:space="preserve"> Lease End (date)</t>
  </si>
  <si>
    <t xml:space="preserve">  Fixed Rent</t>
  </si>
  <si>
    <t xml:space="preserve">  Cyclic Ratio (X:1)</t>
  </si>
  <si>
    <t xml:space="preserve">  $ per Cycle</t>
  </si>
  <si>
    <t xml:space="preserve">  $ per Hour</t>
  </si>
  <si>
    <t xml:space="preserve">  Monthly Utilization (cycles)</t>
  </si>
  <si>
    <t xml:space="preserve">  Annual Escalation % (hourly)</t>
  </si>
  <si>
    <t xml:space="preserve">  Annual Escalation % (cyclicly)</t>
  </si>
  <si>
    <t>Maintenance cost (% of revenue)</t>
  </si>
  <si>
    <t>Management fee (% of net CF)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</si>
</sst>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[$-409]mmm\-yy;@"/>
    <numFmt numFmtId="167" formatCode="yyyy"/>
    <numFmt numFmtId="168" formatCode="mm/dd/yy"/>
    <numFmt numFmtId="169" formatCode="mmm\-yy;@"/>
    <numFmt numFmtId="170" formatCode="_(0.00\x_)_)_';_(\(0.00\x\)_'_';_(&quot;–&quot;_)_%;_(@_)_%"/>
    <numFmt numFmtId="171" formatCode="_(&quot;$&quot;#,##0_);\(&quot;$&quot;#,##0\);_(&quot;–&quot;_);_(@_)"/>
    <numFmt numFmtId="172" formatCode="_(#,##0.0%_);\(#,##0.0%\);_(&quot;–&quot;_)_%;_(@_)_%"/>
    <numFmt numFmtId="173" formatCode="_(#,##0.00%_);\(#,##0.00%\);_(&quot;–&quot;_)_%;_(@_)_%"/>
    <numFmt numFmtId="174" formatCode="_(#,##0_);\(#,##0\);_(&quot;–&quot;_);_(@_)"/>
    <numFmt numFmtId="175" formatCode="_(#,##0.000%_);\(#,##0.000%\);_(&quot;–&quot;_)_%;_(@_)_%"/>
    <numFmt numFmtId="176" formatCode="&quot;On&quot;;&quot;ERROR&quot;;&quot;Off&quot;;&quot;ERROR&quot;"/>
    <numFmt numFmtId="177" formatCode="_(&quot;$&quot;#,##0.00_);\(&quot;$&quot;#,##0.00\);_(&quot;–&quot;_);_(@_)"/>
    <numFmt numFmtId="178" formatCode="&quot;Mark Up&quot;"/>
    <numFmt numFmtId="179" formatCode="0.000%"/>
    <numFmt numFmtId="180" formatCode="_(0.0\x_)_)_';_(\(0.0\x\)_'_';_(&quot;–&quot;_)_%;_(@_)_%"/>
  </numFmts>
  <fonts count="30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.5"/>
      <name val="MS Sans Serif"/>
    </font>
    <font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8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i/>
      <sz val="11"/>
      <color rgb="FF0000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i/>
      <sz val="14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b/>
      <sz val="11"/>
      <color rgb="FF38761D"/>
      <name val="Calibri"/>
      <family val="2"/>
      <scheme val="minor"/>
    </font>
    <font>
      <b/>
      <i/>
      <sz val="11"/>
      <color rgb="FF38761D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i/>
      <sz val="2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rgb="FFFFF2CC"/>
        <bgColor rgb="FF000000"/>
      </patternFill>
    </fill>
    <fill>
      <patternFill patternType="solid">
        <fgColor rgb="FFDDDDDD"/>
        <bgColor rgb="FF000000"/>
      </patternFill>
    </fill>
    <fill>
      <patternFill patternType="solid">
        <fgColor rgb="FF1C4587"/>
        <bgColor indexed="64"/>
      </patternFill>
    </fill>
    <fill>
      <patternFill patternType="solid">
        <fgColor rgb="FFDCE6F2"/>
        <bgColor rgb="FF000000"/>
      </patternFill>
    </fill>
    <fill>
      <patternFill patternType="solid">
        <fgColor rgb="FFFFEB9C"/>
      </patternFill>
    </fill>
    <fill>
      <patternFill patternType="solid">
        <fgColor rgb="FF1C4587"/>
        <bgColor rgb="FF000000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/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</borders>
  <cellStyleXfs count="11">
    <xf numFmtId="0" fontId="0" fillId="0" borderId="1"/>
    <xf numFmtId="43" fontId="12" fillId="0" borderId="1" applyFont="0" applyFill="0" applyBorder="0" applyAlignment="0" applyProtection="0"/>
    <xf numFmtId="0" fontId="6" fillId="0" borderId="1"/>
    <xf numFmtId="9" fontId="12" fillId="0" borderId="1" applyFont="0" applyFill="0" applyBorder="0" applyAlignment="0" applyProtection="0"/>
    <xf numFmtId="0" fontId="5" fillId="0" borderId="1"/>
    <xf numFmtId="43" fontId="5" fillId="0" borderId="1" applyFont="0" applyFill="0" applyBorder="0" applyAlignment="0" applyProtection="0"/>
    <xf numFmtId="0" fontId="4" fillId="0" borderId="1"/>
    <xf numFmtId="43" fontId="4" fillId="0" borderId="1" applyFont="0" applyFill="0" applyBorder="0" applyAlignment="0" applyProtection="0"/>
    <xf numFmtId="0" fontId="3" fillId="0" borderId="1"/>
    <xf numFmtId="0" fontId="21" fillId="7" borderId="0" applyNumberFormat="0" applyBorder="0" applyAlignment="0" applyProtection="0"/>
    <xf numFmtId="0" fontId="2" fillId="0" borderId="1"/>
  </cellStyleXfs>
  <cellXfs count="200">
    <xf numFmtId="0" fontId="0" fillId="0" borderId="1" xfId="0"/>
    <xf numFmtId="0" fontId="8" fillId="0" borderId="1" xfId="0" quotePrefix="1" applyFont="1" applyAlignment="1">
      <alignment horizontal="left"/>
    </xf>
    <xf numFmtId="0" fontId="0" fillId="0" borderId="1" xfId="0" applyAlignment="1">
      <alignment horizontal="left"/>
    </xf>
    <xf numFmtId="0" fontId="0" fillId="0" borderId="1" xfId="0" applyAlignment="1">
      <alignment wrapText="1"/>
    </xf>
    <xf numFmtId="0" fontId="0" fillId="0" borderId="1" xfId="0" quotePrefix="1" applyAlignment="1">
      <alignment horizontal="left"/>
    </xf>
    <xf numFmtId="0" fontId="0" fillId="0" borderId="1" xfId="0" applyAlignment="1">
      <alignment vertical="center"/>
    </xf>
    <xf numFmtId="0" fontId="0" fillId="0" borderId="1" xfId="0" applyAlignment="1">
      <alignment vertical="center" wrapText="1"/>
    </xf>
    <xf numFmtId="164" fontId="0" fillId="0" borderId="1" xfId="1" applyNumberFormat="1" applyFont="1" applyAlignment="1">
      <alignment vertical="center"/>
    </xf>
    <xf numFmtId="165" fontId="0" fillId="0" borderId="1" xfId="3" applyNumberFormat="1" applyFont="1" applyAlignment="1">
      <alignment vertical="center"/>
    </xf>
    <xf numFmtId="165" fontId="0" fillId="0" borderId="1" xfId="3" applyNumberFormat="1" applyFont="1"/>
    <xf numFmtId="164" fontId="0" fillId="0" borderId="1" xfId="1" applyNumberFormat="1" applyFont="1"/>
    <xf numFmtId="164" fontId="0" fillId="0" borderId="1" xfId="0" applyNumberFormat="1"/>
    <xf numFmtId="165" fontId="15" fillId="0" borderId="1" xfId="0" applyNumberFormat="1" applyFont="1"/>
    <xf numFmtId="0" fontId="13" fillId="0" borderId="1" xfId="0" applyFont="1"/>
    <xf numFmtId="0" fontId="0" fillId="0" borderId="3" xfId="0" applyBorder="1"/>
    <xf numFmtId="164" fontId="0" fillId="0" borderId="3" xfId="1" applyNumberFormat="1" applyFont="1" applyBorder="1"/>
    <xf numFmtId="0" fontId="15" fillId="0" borderId="1" xfId="0" applyFont="1"/>
    <xf numFmtId="164" fontId="15" fillId="0" borderId="1" xfId="1" applyNumberFormat="1" applyFont="1"/>
    <xf numFmtId="0" fontId="0" fillId="0" borderId="4" xfId="0" applyBorder="1"/>
    <xf numFmtId="0" fontId="9" fillId="0" borderId="1" xfId="0" applyFont="1" applyAlignment="1">
      <alignment horizontal="center"/>
    </xf>
    <xf numFmtId="0" fontId="9" fillId="0" borderId="1" xfId="0" applyFont="1"/>
    <xf numFmtId="10" fontId="0" fillId="0" borderId="1" xfId="0" applyNumberFormat="1"/>
    <xf numFmtId="164" fontId="0" fillId="0" borderId="1" xfId="1" applyNumberFormat="1" applyFont="1" applyBorder="1"/>
    <xf numFmtId="0" fontId="0" fillId="4" borderId="1" xfId="0" applyFill="1"/>
    <xf numFmtId="169" fontId="0" fillId="4" borderId="6" xfId="0" applyNumberFormat="1" applyFill="1" applyBorder="1"/>
    <xf numFmtId="174" fontId="0" fillId="0" borderId="1" xfId="1" applyNumberFormat="1" applyFont="1" applyBorder="1"/>
    <xf numFmtId="164" fontId="9" fillId="0" borderId="4" xfId="1" applyNumberFormat="1" applyFont="1" applyBorder="1"/>
    <xf numFmtId="0" fontId="0" fillId="4" borderId="2" xfId="0" applyFill="1" applyBorder="1"/>
    <xf numFmtId="174" fontId="0" fillId="0" borderId="1" xfId="0" applyNumberFormat="1"/>
    <xf numFmtId="174" fontId="0" fillId="0" borderId="1" xfId="1" applyNumberFormat="1" applyFont="1"/>
    <xf numFmtId="176" fontId="0" fillId="0" borderId="1" xfId="0" applyNumberFormat="1" applyAlignment="1">
      <alignment horizontal="center" vertical="center"/>
    </xf>
    <xf numFmtId="176" fontId="0" fillId="0" borderId="1" xfId="0" applyNumberFormat="1" applyAlignment="1">
      <alignment horizontal="center"/>
    </xf>
    <xf numFmtId="174" fontId="0" fillId="0" borderId="1" xfId="1" applyNumberFormat="1" applyFont="1" applyAlignment="1">
      <alignment vertical="center"/>
    </xf>
    <xf numFmtId="174" fontId="0" fillId="0" borderId="1" xfId="0" applyNumberFormat="1" applyAlignment="1">
      <alignment vertical="center"/>
    </xf>
    <xf numFmtId="169" fontId="10" fillId="4" borderId="16" xfId="0" applyNumberFormat="1" applyFont="1" applyFill="1" applyBorder="1" applyAlignment="1">
      <alignment vertical="center"/>
    </xf>
    <xf numFmtId="169" fontId="0" fillId="4" borderId="6" xfId="0" applyNumberFormat="1" applyFill="1" applyBorder="1" applyAlignment="1">
      <alignment vertical="center"/>
    </xf>
    <xf numFmtId="0" fontId="0" fillId="4" borderId="1" xfId="0" applyFill="1" applyAlignment="1">
      <alignment wrapText="1"/>
    </xf>
    <xf numFmtId="164" fontId="9" fillId="4" borderId="2" xfId="1" applyNumberFormat="1" applyFont="1" applyFill="1" applyBorder="1" applyAlignment="1">
      <alignment horizontal="center" wrapText="1"/>
    </xf>
    <xf numFmtId="0" fontId="9" fillId="4" borderId="1" xfId="0" applyFont="1" applyFill="1" applyAlignment="1">
      <alignment horizontal="center" wrapText="1"/>
    </xf>
    <xf numFmtId="0" fontId="9" fillId="4" borderId="1" xfId="0" quotePrefix="1" applyFont="1" applyFill="1" applyAlignment="1">
      <alignment horizontal="center" wrapText="1"/>
    </xf>
    <xf numFmtId="164" fontId="9" fillId="4" borderId="1" xfId="1" applyNumberFormat="1" applyFont="1" applyFill="1" applyBorder="1" applyAlignment="1">
      <alignment horizontal="center" wrapText="1"/>
    </xf>
    <xf numFmtId="164" fontId="9" fillId="4" borderId="1" xfId="1" quotePrefix="1" applyNumberFormat="1" applyFont="1" applyFill="1" applyBorder="1" applyAlignment="1">
      <alignment horizontal="center" wrapText="1"/>
    </xf>
    <xf numFmtId="165" fontId="0" fillId="0" borderId="1" xfId="3" applyNumberFormat="1" applyFont="1" applyBorder="1" applyAlignment="1">
      <alignment vertical="center" wrapText="1"/>
    </xf>
    <xf numFmtId="164" fontId="0" fillId="0" borderId="1" xfId="1" applyNumberFormat="1" applyFont="1" applyBorder="1" applyAlignment="1">
      <alignment vertical="center"/>
    </xf>
    <xf numFmtId="174" fontId="0" fillId="0" borderId="1" xfId="1" applyNumberFormat="1" applyFont="1" applyBorder="1" applyAlignment="1">
      <alignment vertical="center"/>
    </xf>
    <xf numFmtId="169" fontId="18" fillId="4" borderId="17" xfId="0" applyNumberFormat="1" applyFont="1" applyFill="1" applyBorder="1" applyAlignment="1">
      <alignment vertical="center"/>
    </xf>
    <xf numFmtId="176" fontId="10" fillId="3" borderId="11" xfId="9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9" fillId="4" borderId="2" xfId="0" quotePrefix="1" applyFont="1" applyFill="1" applyBorder="1" applyAlignment="1">
      <alignment horizontal="center" wrapText="1"/>
    </xf>
    <xf numFmtId="0" fontId="0" fillId="5" borderId="1" xfId="0" applyFill="1"/>
    <xf numFmtId="0" fontId="0" fillId="5" borderId="1" xfId="0" applyFill="1" applyAlignment="1">
      <alignment horizontal="center"/>
    </xf>
    <xf numFmtId="164" fontId="0" fillId="5" borderId="1" xfId="1" applyNumberFormat="1" applyFont="1" applyFill="1" applyAlignment="1">
      <alignment horizontal="center"/>
    </xf>
    <xf numFmtId="164" fontId="0" fillId="5" borderId="1" xfId="1" applyNumberFormat="1" applyFont="1" applyFill="1"/>
    <xf numFmtId="0" fontId="20" fillId="5" borderId="1" xfId="0" applyFont="1" applyFill="1" applyAlignment="1">
      <alignment vertical="center"/>
    </xf>
    <xf numFmtId="0" fontId="0" fillId="0" borderId="2" xfId="0" applyBorder="1"/>
    <xf numFmtId="0" fontId="18" fillId="0" borderId="14" xfId="0" applyFont="1" applyBorder="1"/>
    <xf numFmtId="0" fontId="18" fillId="0" borderId="2" xfId="0" applyFont="1" applyBorder="1" applyAlignment="1">
      <alignment wrapText="1"/>
    </xf>
    <xf numFmtId="165" fontId="18" fillId="0" borderId="2" xfId="3" applyNumberFormat="1" applyFont="1" applyFill="1" applyBorder="1" applyAlignment="1"/>
    <xf numFmtId="176" fontId="18" fillId="0" borderId="2" xfId="0" applyNumberFormat="1" applyFont="1" applyBorder="1" applyAlignment="1">
      <alignment horizontal="center"/>
    </xf>
    <xf numFmtId="164" fontId="18" fillId="0" borderId="2" xfId="1" applyNumberFormat="1" applyFont="1" applyFill="1" applyBorder="1" applyAlignment="1"/>
    <xf numFmtId="174" fontId="18" fillId="0" borderId="2" xfId="1" applyNumberFormat="1" applyFont="1" applyFill="1" applyBorder="1" applyAlignment="1"/>
    <xf numFmtId="174" fontId="18" fillId="0" borderId="2" xfId="1" applyNumberFormat="1" applyFont="1" applyFill="1" applyBorder="1" applyAlignment="1">
      <alignment vertical="center"/>
    </xf>
    <xf numFmtId="174" fontId="18" fillId="0" borderId="2" xfId="0" applyNumberFormat="1" applyFont="1" applyBorder="1"/>
    <xf numFmtId="169" fontId="18" fillId="4" borderId="2" xfId="0" applyNumberFormat="1" applyFont="1" applyFill="1" applyBorder="1" applyAlignment="1">
      <alignment vertical="center"/>
    </xf>
    <xf numFmtId="0" fontId="22" fillId="5" borderId="1" xfId="0" applyFont="1" applyFill="1" applyAlignment="1">
      <alignment vertical="center"/>
    </xf>
    <xf numFmtId="164" fontId="0" fillId="0" borderId="1" xfId="1" applyNumberFormat="1" applyFont="1" applyFill="1"/>
    <xf numFmtId="164" fontId="0" fillId="0" borderId="3" xfId="1" applyNumberFormat="1" applyFont="1" applyFill="1" applyBorder="1"/>
    <xf numFmtId="164" fontId="0" fillId="0" borderId="1" xfId="1" applyNumberFormat="1" applyFont="1" applyFill="1" applyBorder="1"/>
    <xf numFmtId="174" fontId="0" fillId="0" borderId="1" xfId="1" applyNumberFormat="1" applyFont="1" applyFill="1" applyBorder="1"/>
    <xf numFmtId="164" fontId="9" fillId="0" borderId="4" xfId="1" applyNumberFormat="1" applyFont="1" applyFill="1" applyBorder="1"/>
    <xf numFmtId="164" fontId="15" fillId="0" borderId="1" xfId="0" applyNumberFormat="1" applyFont="1"/>
    <xf numFmtId="164" fontId="14" fillId="0" borderId="1" xfId="0" applyNumberFormat="1" applyFont="1"/>
    <xf numFmtId="164" fontId="14" fillId="0" borderId="3" xfId="0" applyNumberFormat="1" applyFont="1" applyBorder="1"/>
    <xf numFmtId="164" fontId="17" fillId="0" borderId="1" xfId="0" applyNumberFormat="1" applyFont="1"/>
    <xf numFmtId="164" fontId="0" fillId="0" borderId="8" xfId="0" applyNumberFormat="1" applyBorder="1"/>
    <xf numFmtId="164" fontId="18" fillId="0" borderId="1" xfId="0" applyNumberFormat="1" applyFont="1"/>
    <xf numFmtId="0" fontId="9" fillId="0" borderId="4" xfId="0" applyFont="1" applyBorder="1" applyAlignment="1">
      <alignment horizontal="left"/>
    </xf>
    <xf numFmtId="0" fontId="0" fillId="0" borderId="7" xfId="0" applyBorder="1" applyAlignment="1">
      <alignment vertical="center"/>
    </xf>
    <xf numFmtId="0" fontId="11" fillId="0" borderId="1" xfId="0" applyFont="1" applyAlignment="1">
      <alignment vertical="center"/>
    </xf>
    <xf numFmtId="0" fontId="11" fillId="0" borderId="1" xfId="0" applyFont="1"/>
    <xf numFmtId="0" fontId="7" fillId="0" borderId="7" xfId="0" applyFont="1" applyBorder="1"/>
    <xf numFmtId="0" fontId="0" fillId="0" borderId="7" xfId="0" quotePrefix="1" applyBorder="1" applyAlignment="1">
      <alignment horizontal="left" vertical="center"/>
    </xf>
    <xf numFmtId="0" fontId="7" fillId="0" borderId="7" xfId="0" applyFont="1" applyBorder="1" applyAlignment="1">
      <alignment vertical="center"/>
    </xf>
    <xf numFmtId="0" fontId="0" fillId="0" borderId="7" xfId="0" quotePrefix="1" applyBorder="1" applyAlignment="1">
      <alignment horizontal="left" vertical="center" indent="1"/>
    </xf>
    <xf numFmtId="0" fontId="0" fillId="0" borderId="7" xfId="0" applyBorder="1"/>
    <xf numFmtId="0" fontId="0" fillId="0" borderId="7" xfId="0" quotePrefix="1" applyBorder="1" applyAlignment="1">
      <alignment horizontal="left"/>
    </xf>
    <xf numFmtId="0" fontId="0" fillId="0" borderId="14" xfId="0" applyBorder="1"/>
    <xf numFmtId="164" fontId="0" fillId="0" borderId="6" xfId="1" applyNumberFormat="1" applyFont="1" applyBorder="1"/>
    <xf numFmtId="164" fontId="0" fillId="2" borderId="6" xfId="1" applyNumberFormat="1" applyFont="1" applyFill="1" applyBorder="1" applyAlignment="1">
      <alignment vertical="center"/>
    </xf>
    <xf numFmtId="164" fontId="0" fillId="0" borderId="6" xfId="1" applyNumberFormat="1" applyFont="1" applyBorder="1" applyAlignment="1">
      <alignment vertical="center"/>
    </xf>
    <xf numFmtId="168" fontId="10" fillId="0" borderId="6" xfId="1" applyNumberFormat="1" applyFont="1" applyBorder="1" applyAlignment="1">
      <alignment vertical="center"/>
    </xf>
    <xf numFmtId="164" fontId="19" fillId="3" borderId="18" xfId="1" applyNumberFormat="1" applyFont="1" applyFill="1" applyBorder="1" applyAlignment="1">
      <alignment vertical="center"/>
    </xf>
    <xf numFmtId="168" fontId="19" fillId="3" borderId="16" xfId="1" applyNumberFormat="1" applyFont="1" applyFill="1" applyBorder="1" applyAlignment="1">
      <alignment vertical="center"/>
    </xf>
    <xf numFmtId="171" fontId="10" fillId="3" borderId="17" xfId="1" applyNumberFormat="1" applyFont="1" applyFill="1" applyBorder="1" applyAlignment="1">
      <alignment vertical="center"/>
    </xf>
    <xf numFmtId="43" fontId="10" fillId="3" borderId="18" xfId="1" applyFont="1" applyFill="1" applyBorder="1"/>
    <xf numFmtId="165" fontId="0" fillId="2" borderId="6" xfId="3" applyNumberFormat="1" applyFont="1" applyFill="1" applyBorder="1"/>
    <xf numFmtId="0" fontId="0" fillId="5" borderId="8" xfId="0" applyFill="1" applyBorder="1" applyAlignment="1">
      <alignment vertical="center" wrapText="1"/>
    </xf>
    <xf numFmtId="164" fontId="0" fillId="5" borderId="15" xfId="1" applyNumberFormat="1" applyFont="1" applyFill="1" applyBorder="1" applyAlignment="1">
      <alignment vertical="center" wrapText="1"/>
    </xf>
    <xf numFmtId="0" fontId="0" fillId="4" borderId="7" xfId="0" applyFill="1" applyBorder="1" applyAlignment="1">
      <alignment vertical="center"/>
    </xf>
    <xf numFmtId="0" fontId="0" fillId="4" borderId="6" xfId="0" applyFill="1" applyBorder="1" applyAlignment="1">
      <alignment vertical="center"/>
    </xf>
    <xf numFmtId="0" fontId="23" fillId="5" borderId="9" xfId="0" quotePrefix="1" applyFont="1" applyFill="1" applyBorder="1" applyAlignment="1">
      <alignment horizontal="left" vertical="center"/>
    </xf>
    <xf numFmtId="0" fontId="0" fillId="4" borderId="1" xfId="0" applyFill="1" applyAlignment="1">
      <alignment vertical="center"/>
    </xf>
    <xf numFmtId="0" fontId="0" fillId="4" borderId="14" xfId="0" applyFill="1" applyBorder="1"/>
    <xf numFmtId="164" fontId="0" fillId="4" borderId="13" xfId="1" applyNumberFormat="1" applyFont="1" applyFill="1" applyBorder="1"/>
    <xf numFmtId="0" fontId="0" fillId="0" borderId="7" xfId="0" applyBorder="1" applyAlignment="1">
      <alignment horizontal="left" vertical="center" indent="1"/>
    </xf>
    <xf numFmtId="164" fontId="19" fillId="3" borderId="16" xfId="1" applyNumberFormat="1" applyFont="1" applyFill="1" applyBorder="1" applyAlignment="1">
      <alignment vertical="center"/>
    </xf>
    <xf numFmtId="168" fontId="19" fillId="3" borderId="20" xfId="1" applyNumberFormat="1" applyFont="1" applyFill="1" applyBorder="1" applyAlignment="1">
      <alignment vertical="center"/>
    </xf>
    <xf numFmtId="171" fontId="10" fillId="3" borderId="18" xfId="1" applyNumberFormat="1" applyFont="1" applyFill="1" applyBorder="1" applyAlignment="1">
      <alignment vertical="center"/>
    </xf>
    <xf numFmtId="0" fontId="0" fillId="0" borderId="1" xfId="0" applyAlignment="1">
      <alignment horizontal="center"/>
    </xf>
    <xf numFmtId="0" fontId="20" fillId="8" borderId="1" xfId="0" applyFont="1" applyFill="1" applyAlignment="1">
      <alignment vertical="center"/>
    </xf>
    <xf numFmtId="0" fontId="18" fillId="0" borderId="8" xfId="0" applyFont="1" applyBorder="1"/>
    <xf numFmtId="0" fontId="18" fillId="4" borderId="1" xfId="0" applyFont="1" applyFill="1"/>
    <xf numFmtId="0" fontId="24" fillId="0" borderId="1" xfId="0" applyFont="1" applyAlignment="1">
      <alignment horizontal="left"/>
    </xf>
    <xf numFmtId="0" fontId="18" fillId="0" borderId="1" xfId="0" applyFont="1"/>
    <xf numFmtId="0" fontId="24" fillId="0" borderId="1" xfId="0" applyFont="1"/>
    <xf numFmtId="0" fontId="24" fillId="0" borderId="1" xfId="0" applyFont="1" applyAlignment="1">
      <alignment horizontal="left" indent="1"/>
    </xf>
    <xf numFmtId="174" fontId="18" fillId="0" borderId="1" xfId="0" applyNumberFormat="1" applyFont="1" applyAlignment="1">
      <alignment horizontal="left" indent="1"/>
    </xf>
    <xf numFmtId="0" fontId="18" fillId="0" borderId="1" xfId="0" applyFont="1" applyAlignment="1">
      <alignment horizontal="left" indent="1"/>
    </xf>
    <xf numFmtId="0" fontId="25" fillId="0" borderId="1" xfId="0" applyFont="1" applyAlignment="1">
      <alignment horizontal="left"/>
    </xf>
    <xf numFmtId="0" fontId="25" fillId="0" borderId="1" xfId="0" applyFont="1"/>
    <xf numFmtId="0" fontId="24" fillId="0" borderId="8" xfId="0" applyFont="1" applyBorder="1"/>
    <xf numFmtId="0" fontId="9" fillId="6" borderId="8" xfId="0" applyFont="1" applyFill="1" applyBorder="1"/>
    <xf numFmtId="164" fontId="9" fillId="6" borderId="8" xfId="0" applyNumberFormat="1" applyFont="1" applyFill="1" applyBorder="1"/>
    <xf numFmtId="171" fontId="9" fillId="6" borderId="8" xfId="0" applyNumberFormat="1" applyFont="1" applyFill="1" applyBorder="1"/>
    <xf numFmtId="0" fontId="18" fillId="6" borderId="2" xfId="0" applyFont="1" applyFill="1" applyBorder="1"/>
    <xf numFmtId="0" fontId="9" fillId="6" borderId="2" xfId="0" applyFont="1" applyFill="1" applyBorder="1" applyAlignment="1">
      <alignment horizontal="left"/>
    </xf>
    <xf numFmtId="10" fontId="9" fillId="6" borderId="2" xfId="0" applyNumberFormat="1" applyFont="1" applyFill="1" applyBorder="1"/>
    <xf numFmtId="0" fontId="0" fillId="6" borderId="2" xfId="0" applyFill="1" applyBorder="1"/>
    <xf numFmtId="164" fontId="0" fillId="6" borderId="2" xfId="0" applyNumberFormat="1" applyFill="1" applyBorder="1"/>
    <xf numFmtId="172" fontId="0" fillId="0" borderId="1" xfId="0" applyNumberFormat="1" applyAlignment="1">
      <alignment horizontal="center"/>
    </xf>
    <xf numFmtId="177" fontId="0" fillId="0" borderId="1" xfId="0" applyNumberFormat="1" applyAlignment="1">
      <alignment horizontal="center"/>
    </xf>
    <xf numFmtId="177" fontId="15" fillId="0" borderId="1" xfId="0" applyNumberFormat="1" applyFont="1" applyAlignment="1">
      <alignment horizontal="center"/>
    </xf>
    <xf numFmtId="177" fontId="15" fillId="0" borderId="5" xfId="0" applyNumberFormat="1" applyFont="1" applyBorder="1" applyAlignment="1">
      <alignment horizontal="center"/>
    </xf>
    <xf numFmtId="0" fontId="20" fillId="5" borderId="9" xfId="0" applyFont="1" applyFill="1" applyBorder="1" applyAlignment="1">
      <alignment vertical="center"/>
    </xf>
    <xf numFmtId="0" fontId="0" fillId="6" borderId="7" xfId="0" applyFill="1" applyBorder="1"/>
    <xf numFmtId="0" fontId="0" fillId="6" borderId="14" xfId="0" applyFill="1" applyBorder="1"/>
    <xf numFmtId="0" fontId="0" fillId="5" borderId="15" xfId="0" applyFill="1" applyBorder="1"/>
    <xf numFmtId="0" fontId="0" fillId="4" borderId="13" xfId="0" applyFill="1" applyBorder="1"/>
    <xf numFmtId="0" fontId="0" fillId="0" borderId="6" xfId="0" applyBorder="1"/>
    <xf numFmtId="174" fontId="19" fillId="3" borderId="16" xfId="0" applyNumberFormat="1" applyFont="1" applyFill="1" applyBorder="1" applyAlignment="1">
      <alignment horizontal="center"/>
    </xf>
    <xf numFmtId="177" fontId="0" fillId="0" borderId="6" xfId="0" applyNumberFormat="1" applyBorder="1"/>
    <xf numFmtId="171" fontId="0" fillId="0" borderId="6" xfId="0" applyNumberFormat="1" applyBorder="1"/>
    <xf numFmtId="170" fontId="9" fillId="6" borderId="13" xfId="0" applyNumberFormat="1" applyFont="1" applyFill="1" applyBorder="1"/>
    <xf numFmtId="0" fontId="1" fillId="0" borderId="7" xfId="0" applyFont="1" applyBorder="1"/>
    <xf numFmtId="43" fontId="19" fillId="3" borderId="16" xfId="1" applyFont="1" applyFill="1" applyBorder="1" applyAlignment="1">
      <alignment horizontal="center"/>
    </xf>
    <xf numFmtId="0" fontId="20" fillId="0" borderId="1" xfId="0" applyFont="1" applyAlignment="1">
      <alignment vertical="center"/>
    </xf>
    <xf numFmtId="178" fontId="9" fillId="0" borderId="1" xfId="0" applyNumberFormat="1" applyFont="1" applyAlignment="1">
      <alignment horizontal="center"/>
    </xf>
    <xf numFmtId="14" fontId="0" fillId="0" borderId="1" xfId="0" applyNumberFormat="1"/>
    <xf numFmtId="164" fontId="26" fillId="3" borderId="10" xfId="0" applyNumberFormat="1" applyFont="1" applyFill="1" applyBorder="1"/>
    <xf numFmtId="165" fontId="26" fillId="3" borderId="10" xfId="0" applyNumberFormat="1" applyFont="1" applyFill="1" applyBorder="1" applyAlignment="1">
      <alignment vertical="top"/>
    </xf>
    <xf numFmtId="179" fontId="0" fillId="0" borderId="1" xfId="0" applyNumberFormat="1"/>
    <xf numFmtId="164" fontId="10" fillId="3" borderId="6" xfId="1" applyNumberFormat="1" applyFont="1" applyFill="1" applyBorder="1" applyAlignment="1">
      <alignment vertical="center"/>
    </xf>
    <xf numFmtId="175" fontId="27" fillId="0" borderId="6" xfId="0" applyNumberFormat="1" applyFont="1" applyBorder="1"/>
    <xf numFmtId="164" fontId="26" fillId="3" borderId="12" xfId="0" applyNumberFormat="1" applyFont="1" applyFill="1" applyBorder="1"/>
    <xf numFmtId="167" fontId="24" fillId="4" borderId="2" xfId="0" applyNumberFormat="1" applyFont="1" applyFill="1" applyBorder="1"/>
    <xf numFmtId="173" fontId="24" fillId="6" borderId="6" xfId="0" applyNumberFormat="1" applyFont="1" applyFill="1" applyBorder="1"/>
    <xf numFmtId="171" fontId="9" fillId="0" borderId="8" xfId="0" applyNumberFormat="1" applyFont="1" applyBorder="1" applyAlignment="1">
      <alignment horizontal="center"/>
    </xf>
    <xf numFmtId="171" fontId="9" fillId="0" borderId="1" xfId="0" applyNumberFormat="1" applyFont="1" applyAlignment="1">
      <alignment horizontal="center"/>
    </xf>
    <xf numFmtId="177" fontId="15" fillId="0" borderId="2" xfId="0" applyNumberFormat="1" applyFont="1" applyBorder="1" applyAlignment="1">
      <alignment horizontal="center"/>
    </xf>
    <xf numFmtId="177" fontId="15" fillId="0" borderId="7" xfId="0" applyNumberFormat="1" applyFont="1" applyBorder="1" applyAlignment="1">
      <alignment horizontal="center"/>
    </xf>
    <xf numFmtId="164" fontId="10" fillId="3" borderId="1" xfId="0" applyNumberFormat="1" applyFont="1" applyFill="1"/>
    <xf numFmtId="164" fontId="19" fillId="3" borderId="10" xfId="0" applyNumberFormat="1" applyFont="1" applyFill="1" applyBorder="1"/>
    <xf numFmtId="165" fontId="10" fillId="3" borderId="10" xfId="0" applyNumberFormat="1" applyFont="1" applyFill="1" applyBorder="1" applyAlignment="1">
      <alignment vertical="top"/>
    </xf>
    <xf numFmtId="165" fontId="19" fillId="3" borderId="10" xfId="0" applyNumberFormat="1" applyFont="1" applyFill="1" applyBorder="1" applyAlignment="1">
      <alignment vertical="top"/>
    </xf>
    <xf numFmtId="172" fontId="19" fillId="3" borderId="10" xfId="0" applyNumberFormat="1" applyFont="1" applyFill="1" applyBorder="1" applyAlignment="1">
      <alignment vertical="top"/>
    </xf>
    <xf numFmtId="164" fontId="19" fillId="3" borderId="10" xfId="1" applyNumberFormat="1" applyFont="1" applyFill="1" applyBorder="1"/>
    <xf numFmtId="173" fontId="19" fillId="3" borderId="16" xfId="0" applyNumberFormat="1" applyFont="1" applyFill="1" applyBorder="1" applyAlignment="1">
      <alignment vertical="top"/>
    </xf>
    <xf numFmtId="173" fontId="19" fillId="3" borderId="19" xfId="0" applyNumberFormat="1" applyFont="1" applyFill="1" applyBorder="1" applyAlignment="1">
      <alignment vertical="top"/>
    </xf>
    <xf numFmtId="164" fontId="28" fillId="3" borderId="10" xfId="1" applyNumberFormat="1" applyFont="1" applyFill="1" applyBorder="1" applyAlignment="1">
      <alignment vertical="center"/>
    </xf>
    <xf numFmtId="0" fontId="29" fillId="0" borderId="1" xfId="0" applyFont="1"/>
    <xf numFmtId="180" fontId="10" fillId="3" borderId="18" xfId="1" applyNumberFormat="1" applyFont="1" applyFill="1" applyBorder="1"/>
    <xf numFmtId="164" fontId="10" fillId="3" borderId="16" xfId="1" applyNumberFormat="1" applyFont="1" applyFill="1" applyBorder="1"/>
    <xf numFmtId="180" fontId="10" fillId="3" borderId="17" xfId="1" applyNumberFormat="1" applyFont="1" applyFill="1" applyBorder="1"/>
    <xf numFmtId="0" fontId="1" fillId="4" borderId="2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9" fillId="4" borderId="2" xfId="0" applyFont="1" applyFill="1" applyBorder="1"/>
    <xf numFmtId="167" fontId="9" fillId="4" borderId="2" xfId="0" applyNumberFormat="1" applyFont="1" applyFill="1" applyBorder="1"/>
    <xf numFmtId="166" fontId="9" fillId="4" borderId="2" xfId="0" applyNumberFormat="1" applyFont="1" applyFill="1" applyBorder="1"/>
    <xf numFmtId="0" fontId="9" fillId="0" borderId="1" xfId="0" applyFont="1" applyAlignment="1">
      <alignment horizontal="left"/>
    </xf>
    <xf numFmtId="164" fontId="9" fillId="0" borderId="1" xfId="1" applyNumberFormat="1" applyFont="1"/>
    <xf numFmtId="164" fontId="9" fillId="3" borderId="1" xfId="1" applyNumberFormat="1" applyFont="1" applyFill="1"/>
    <xf numFmtId="164" fontId="9" fillId="0" borderId="1" xfId="1" applyNumberFormat="1" applyFont="1" applyFill="1"/>
    <xf numFmtId="0" fontId="1" fillId="0" borderId="1" xfId="0" applyFont="1"/>
    <xf numFmtId="0" fontId="1" fillId="0" borderId="1" xfId="0" applyFont="1" applyAlignment="1">
      <alignment horizontal="left"/>
    </xf>
    <xf numFmtId="0" fontId="1" fillId="0" borderId="1" xfId="0" applyFont="1" applyAlignment="1">
      <alignment horizontal="left" indent="1"/>
    </xf>
    <xf numFmtId="0" fontId="1" fillId="0" borderId="3" xfId="0" applyFont="1" applyBorder="1" applyAlignment="1">
      <alignment horizontal="left" indent="1"/>
    </xf>
    <xf numFmtId="0" fontId="1" fillId="0" borderId="1" xfId="0" applyFont="1" applyAlignment="1">
      <alignment horizontal="left" indent="2"/>
    </xf>
    <xf numFmtId="0" fontId="1" fillId="0" borderId="3" xfId="0" applyFont="1" applyBorder="1" applyAlignment="1">
      <alignment horizontal="left"/>
    </xf>
    <xf numFmtId="165" fontId="18" fillId="0" borderId="1" xfId="0" applyNumberFormat="1" applyFont="1" applyBorder="1" applyAlignment="1">
      <alignment vertical="top"/>
    </xf>
    <xf numFmtId="164" fontId="9" fillId="0" borderId="4" xfId="0" applyNumberFormat="1" applyFont="1" applyBorder="1"/>
    <xf numFmtId="164" fontId="10" fillId="0" borderId="1" xfId="0" applyNumberFormat="1" applyFont="1"/>
    <xf numFmtId="0" fontId="1" fillId="0" borderId="3" xfId="0" applyFont="1" applyBorder="1"/>
    <xf numFmtId="164" fontId="1" fillId="0" borderId="1" xfId="0" applyNumberFormat="1" applyFont="1"/>
    <xf numFmtId="0" fontId="1" fillId="0" borderId="4" xfId="0" applyFont="1" applyBorder="1" applyAlignment="1">
      <alignment horizontal="left"/>
    </xf>
    <xf numFmtId="164" fontId="1" fillId="0" borderId="4" xfId="0" applyNumberFormat="1" applyFont="1" applyBorder="1"/>
    <xf numFmtId="165" fontId="14" fillId="0" borderId="1" xfId="0" applyNumberFormat="1" applyFont="1" applyBorder="1" applyAlignment="1">
      <alignment vertical="top"/>
    </xf>
    <xf numFmtId="165" fontId="10" fillId="0" borderId="1" xfId="0" applyNumberFormat="1" applyFont="1" applyBorder="1" applyAlignment="1">
      <alignment vertical="top"/>
    </xf>
    <xf numFmtId="172" fontId="10" fillId="0" borderId="1" xfId="0" applyNumberFormat="1" applyFont="1" applyBorder="1" applyAlignment="1">
      <alignment vertical="top"/>
    </xf>
    <xf numFmtId="164" fontId="9" fillId="0" borderId="1" xfId="0" applyNumberFormat="1" applyFont="1"/>
    <xf numFmtId="172" fontId="18" fillId="0" borderId="1" xfId="0" applyNumberFormat="1" applyFont="1" applyBorder="1" applyAlignment="1">
      <alignment vertical="top"/>
    </xf>
  </cellXfs>
  <cellStyles count="11">
    <cellStyle name="Comma" xfId="1" builtinId="3"/>
    <cellStyle name="Comma 2" xfId="5" xr:uid="{81B362D1-B1EC-4052-8984-23D9A4B072E7}"/>
    <cellStyle name="Comma 3" xfId="7" xr:uid="{6E2E47D0-DFE8-4AAA-A171-E46958D660F8}"/>
    <cellStyle name="Neutral" xfId="9" builtinId="28"/>
    <cellStyle name="Normal" xfId="0" builtinId="0"/>
    <cellStyle name="Normal 2" xfId="2" xr:uid="{00000000-0005-0000-0000-000003000000}"/>
    <cellStyle name="Normal 3" xfId="4" xr:uid="{C17C0BEA-83BE-4372-8F45-3054D982F1C3}"/>
    <cellStyle name="Normal 4" xfId="6" xr:uid="{CB61B2AC-FE49-4C42-97B6-503C85EE1F0D}"/>
    <cellStyle name="Normal 5" xfId="8" xr:uid="{78497DA0-A6A5-489A-8183-5FF0A9034216}"/>
    <cellStyle name="Normal 5 2" xfId="10" xr:uid="{D078EAD6-0E79-4B71-9F21-700112245866}"/>
    <cellStyle name="Percent" xfId="3" builtinId="5"/>
  </cellStyles>
  <dxfs count="0"/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1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7D1112B-32FC-4408-9AA7-0C794280AC2A}">
  <we:reference id="WA200009404" version="1.0.0.5" store="Omex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31C3-0B27-4C24-97F0-D23410383A12}">
  <sheetPr codeName="Sheet1">
    <tabColor theme="9"/>
  </sheetPr>
  <dimension ref="A1:I61"/>
  <sheetViews>
    <sheetView showGridLines="0" zoomScale="130" zoomScaleNormal="130" workbookViewId="0">
      <selection activeCell="C20" sqref="C20"/>
    </sheetView>
  </sheetViews>
  <sheetFormatPr defaultColWidth="0" defaultRowHeight="14.25" zeroHeight="1"/>
  <cols>
    <col min="1" max="1" width="2.5703125" customWidth="1"/>
    <col min="2" max="2" width="26" customWidth="1"/>
    <col min="3" max="3" width="13" customWidth="1"/>
    <col min="4" max="4" width="8.7109375" customWidth="1"/>
    <col min="5" max="5" width="9.5703125" bestFit="1" customWidth="1"/>
    <col min="6" max="6" width="11.28515625" style="108" bestFit="1" customWidth="1"/>
    <col min="7" max="7" width="11" style="108" bestFit="1" customWidth="1"/>
    <col min="8" max="8" width="11.7109375" style="108" bestFit="1" customWidth="1"/>
    <col min="9" max="9" width="8.7109375" customWidth="1"/>
    <col min="10" max="16384" width="8.7109375" hidden="1"/>
  </cols>
  <sheetData>
    <row r="1" spans="1:8" ht="25.5">
      <c r="A1" s="169" t="s">
        <v>0</v>
      </c>
    </row>
    <row r="2" spans="1:8">
      <c r="G2" s="129"/>
    </row>
    <row r="3" spans="1:8" ht="18" customHeight="1">
      <c r="B3" s="133" t="s">
        <v>1</v>
      </c>
      <c r="C3" s="136"/>
      <c r="E3" s="53" t="s">
        <v>2</v>
      </c>
      <c r="F3" s="50"/>
      <c r="G3" s="50"/>
      <c r="H3" s="50"/>
    </row>
    <row r="4" spans="1:8" ht="14.65" customHeight="1">
      <c r="B4" s="102"/>
      <c r="C4" s="137"/>
      <c r="E4" s="23"/>
      <c r="F4" s="173" t="s">
        <v>3</v>
      </c>
      <c r="G4" s="173" t="s">
        <v>4</v>
      </c>
      <c r="H4" s="174" t="s">
        <v>5</v>
      </c>
    </row>
    <row r="5" spans="1:8">
      <c r="B5" s="80" t="s">
        <v>6</v>
      </c>
      <c r="C5" s="138"/>
      <c r="E5" s="24">
        <v>46053</v>
      </c>
      <c r="F5" s="130">
        <f>+C12</f>
        <v>-1000</v>
      </c>
      <c r="G5" s="131" cm="1">
        <f t="array" ref="G5">$C$9*INDEX('OpCo Cash Flow'!$J$63:$BF$63,1,_xlfn.XMATCH('Token cash flow'!E5,'OpCo Cash Flow'!$J$3:$BF$3))</f>
        <v>0</v>
      </c>
      <c r="H5" s="132">
        <f>SUM(F5:G5)</f>
        <v>-1000</v>
      </c>
    </row>
    <row r="6" spans="1:8">
      <c r="B6" s="84" t="s">
        <v>7</v>
      </c>
      <c r="C6" s="139">
        <v>10</v>
      </c>
      <c r="E6" s="24">
        <f>EOMONTH(E5,1)</f>
        <v>46081</v>
      </c>
      <c r="F6" s="131"/>
      <c r="G6" s="131" cm="1">
        <f t="array" ref="G6">$C$9*INDEX('OpCo Cash Flow'!$J$63:$BF$63,1,_xlfn.XMATCH('Token cash flow'!E6,'OpCo Cash Flow'!$J$3:$BF$3))</f>
        <v>28.920771066030635</v>
      </c>
      <c r="H6" s="132">
        <f t="shared" ref="H6:H38" si="0">SUM(F6:G6)</f>
        <v>28.920771066030635</v>
      </c>
    </row>
    <row r="7" spans="1:8">
      <c r="B7" s="84" t="s">
        <v>8</v>
      </c>
      <c r="C7" s="140">
        <v>100</v>
      </c>
      <c r="E7" s="24">
        <f t="shared" ref="E7:E40" si="1">EOMONTH(E6,1)</f>
        <v>46112</v>
      </c>
      <c r="F7" s="131"/>
      <c r="G7" s="131" cm="1">
        <f t="array" ref="G7">$C$9*INDEX('OpCo Cash Flow'!$J$63:$BF$63,1,_xlfn.XMATCH('Token cash flow'!E7,'OpCo Cash Flow'!$J$3:$BF$3))</f>
        <v>28.920771066030635</v>
      </c>
      <c r="H7" s="132">
        <f t="shared" si="0"/>
        <v>28.920771066030635</v>
      </c>
    </row>
    <row r="8" spans="1:8">
      <c r="B8" s="84" t="s">
        <v>9</v>
      </c>
      <c r="C8" s="141">
        <f>+C6*C7</f>
        <v>1000</v>
      </c>
      <c r="E8" s="24">
        <f t="shared" si="1"/>
        <v>46142</v>
      </c>
      <c r="F8" s="131"/>
      <c r="G8" s="131" cm="1">
        <f t="array" ref="G8">$C$9*INDEX('OpCo Cash Flow'!$J$63:$BF$63,1,_xlfn.XMATCH('Token cash flow'!E8,'OpCo Cash Flow'!$J$3:$BF$3))</f>
        <v>28.920771066030635</v>
      </c>
      <c r="H8" s="132">
        <f t="shared" si="0"/>
        <v>28.920771066030635</v>
      </c>
    </row>
    <row r="9" spans="1:8">
      <c r="B9" s="84" t="s">
        <v>10</v>
      </c>
      <c r="C9" s="152">
        <f>+C6/118652</f>
        <v>8.428007956039511E-5</v>
      </c>
      <c r="E9" s="24">
        <f t="shared" si="1"/>
        <v>46173</v>
      </c>
      <c r="F9" s="131"/>
      <c r="G9" s="131" cm="1">
        <f t="array" ref="G9">$C$9*INDEX('OpCo Cash Flow'!$J$63:$BF$63,1,_xlfn.XMATCH('Token cash flow'!E9,'OpCo Cash Flow'!$J$3:$BF$3))</f>
        <v>28.920771066030635</v>
      </c>
      <c r="H9" s="132">
        <f t="shared" si="0"/>
        <v>28.920771066030635</v>
      </c>
    </row>
    <row r="10" spans="1:8">
      <c r="B10" s="84"/>
      <c r="C10" s="138"/>
      <c r="E10" s="24">
        <f t="shared" si="1"/>
        <v>46203</v>
      </c>
      <c r="F10" s="131"/>
      <c r="G10" s="131" cm="1">
        <f t="array" ref="G10">$C$9*INDEX('OpCo Cash Flow'!$J$63:$BF$63,1,_xlfn.XMATCH('Token cash flow'!E10,'OpCo Cash Flow'!$J$3:$BF$3))</f>
        <v>28.920771066030635</v>
      </c>
      <c r="H10" s="132">
        <f t="shared" si="0"/>
        <v>28.920771066030635</v>
      </c>
    </row>
    <row r="11" spans="1:8">
      <c r="B11" s="143" t="s">
        <v>11</v>
      </c>
      <c r="C11" s="144">
        <v>0</v>
      </c>
      <c r="E11" s="24">
        <f t="shared" si="1"/>
        <v>46234</v>
      </c>
      <c r="F11" s="131"/>
      <c r="G11" s="131" cm="1">
        <f t="array" ref="G11">$C$9*INDEX('OpCo Cash Flow'!$J$63:$BF$63,1,_xlfn.XMATCH('Token cash flow'!E11,'OpCo Cash Flow'!$J$3:$BF$3))</f>
        <v>28.920771066030635</v>
      </c>
      <c r="H11" s="132">
        <f t="shared" si="0"/>
        <v>28.920771066030635</v>
      </c>
    </row>
    <row r="12" spans="1:8">
      <c r="B12" s="84" t="s">
        <v>9</v>
      </c>
      <c r="C12" s="141">
        <f>+(C8+C11)*-1</f>
        <v>-1000</v>
      </c>
      <c r="E12" s="24">
        <f t="shared" si="1"/>
        <v>46265</v>
      </c>
      <c r="F12" s="131"/>
      <c r="G12" s="131" cm="1">
        <f t="array" ref="G12">$C$9*INDEX('OpCo Cash Flow'!$J$63:$BF$63,1,_xlfn.XMATCH('Token cash flow'!E12,'OpCo Cash Flow'!$J$3:$BF$3))</f>
        <v>28.920771066030635</v>
      </c>
      <c r="H12" s="132">
        <f t="shared" si="0"/>
        <v>28.920771066030635</v>
      </c>
    </row>
    <row r="13" spans="1:8">
      <c r="B13" s="84" t="s">
        <v>12</v>
      </c>
      <c r="C13" s="141">
        <f>SUM(G5:G38)</f>
        <v>1162.3296560351648</v>
      </c>
      <c r="E13" s="24">
        <f t="shared" si="1"/>
        <v>46295</v>
      </c>
      <c r="F13" s="131"/>
      <c r="G13" s="131" cm="1">
        <f t="array" ref="G13">$C$9*INDEX('OpCo Cash Flow'!$J$63:$BF$63,1,_xlfn.XMATCH('Token cash flow'!E13,'OpCo Cash Flow'!$J$3:$BF$3))</f>
        <v>28.920771066030635</v>
      </c>
      <c r="H13" s="132">
        <f t="shared" si="0"/>
        <v>28.920771066030635</v>
      </c>
    </row>
    <row r="14" spans="1:8">
      <c r="B14" s="84"/>
      <c r="C14" s="138"/>
      <c r="E14" s="24">
        <f t="shared" si="1"/>
        <v>46326</v>
      </c>
      <c r="F14" s="131"/>
      <c r="G14" s="131" cm="1">
        <f t="array" ref="G14">$C$9*INDEX('OpCo Cash Flow'!$J$63:$BF$63,1,_xlfn.XMATCH('Token cash flow'!E14,'OpCo Cash Flow'!$J$3:$BF$3))</f>
        <v>28.920771066030635</v>
      </c>
      <c r="H14" s="132">
        <f t="shared" si="0"/>
        <v>28.920771066030635</v>
      </c>
    </row>
    <row r="15" spans="1:8">
      <c r="B15" s="80" t="s">
        <v>6</v>
      </c>
      <c r="C15" s="138"/>
      <c r="E15" s="24">
        <f t="shared" si="1"/>
        <v>46356</v>
      </c>
      <c r="F15" s="131"/>
      <c r="G15" s="131" cm="1">
        <f t="array" ref="G15">$C$9*INDEX('OpCo Cash Flow'!$J$63:$BF$63,1,_xlfn.XMATCH('Token cash flow'!E15,'OpCo Cash Flow'!$J$3:$BF$3))</f>
        <v>28.920771066030635</v>
      </c>
      <c r="H15" s="132">
        <f t="shared" si="0"/>
        <v>28.920771066030635</v>
      </c>
    </row>
    <row r="16" spans="1:8" ht="14.65" customHeight="1">
      <c r="B16" s="134" t="s">
        <v>13</v>
      </c>
      <c r="C16" s="155">
        <f>XIRR(H5:H38,E5:E38)</f>
        <v>0.1131586492061615</v>
      </c>
      <c r="E16" s="24">
        <f t="shared" si="1"/>
        <v>46387</v>
      </c>
      <c r="F16" s="131"/>
      <c r="G16" s="131" cm="1">
        <f t="array" ref="G16">$C$9*INDEX('OpCo Cash Flow'!$J$63:$BF$63,1,_xlfn.XMATCH('Token cash flow'!E16,'OpCo Cash Flow'!$J$3:$BF$3))</f>
        <v>28.920771066030635</v>
      </c>
      <c r="H16" s="132">
        <f t="shared" si="0"/>
        <v>28.920771066030635</v>
      </c>
    </row>
    <row r="17" spans="2:8">
      <c r="B17" s="135" t="s">
        <v>14</v>
      </c>
      <c r="C17" s="142">
        <f>+C13/C12*-1</f>
        <v>1.1623296560351648</v>
      </c>
      <c r="E17" s="24">
        <f t="shared" si="1"/>
        <v>46418</v>
      </c>
      <c r="F17" s="131"/>
      <c r="G17" s="131" cm="1">
        <f t="array" ref="G17">$C$9*INDEX('OpCo Cash Flow'!$J$63:$BF$63,1,_xlfn.XMATCH('Token cash flow'!E17,'OpCo Cash Flow'!$J$3:$BF$3))</f>
        <v>28.920771066030635</v>
      </c>
      <c r="H17" s="132">
        <f t="shared" si="0"/>
        <v>28.920771066030635</v>
      </c>
    </row>
    <row r="18" spans="2:8">
      <c r="E18" s="24">
        <f t="shared" si="1"/>
        <v>46446</v>
      </c>
      <c r="F18" s="131"/>
      <c r="G18" s="131" cm="1">
        <f t="array" ref="G18">$C$9*INDEX('OpCo Cash Flow'!$J$63:$BF$63,1,_xlfn.XMATCH('Token cash flow'!E18,'OpCo Cash Flow'!$J$3:$BF$3))</f>
        <v>28.920771066030635</v>
      </c>
      <c r="H18" s="132">
        <f t="shared" si="0"/>
        <v>28.920771066030635</v>
      </c>
    </row>
    <row r="19" spans="2:8">
      <c r="E19" s="24">
        <f t="shared" si="1"/>
        <v>46477</v>
      </c>
      <c r="F19" s="131"/>
      <c r="G19" s="131" cm="1">
        <f t="array" ref="G19">$C$9*INDEX('OpCo Cash Flow'!$J$63:$BF$63,1,_xlfn.XMATCH('Token cash flow'!E19,'OpCo Cash Flow'!$J$3:$BF$3))</f>
        <v>28.920771066030635</v>
      </c>
      <c r="H19" s="132">
        <f t="shared" si="0"/>
        <v>28.920771066030635</v>
      </c>
    </row>
    <row r="20" spans="2:8">
      <c r="B20" s="145"/>
      <c r="E20" s="24">
        <f t="shared" si="1"/>
        <v>46507</v>
      </c>
      <c r="F20" s="131"/>
      <c r="G20" s="131" cm="1">
        <f t="array" ref="G20">$C$9*INDEX('OpCo Cash Flow'!$J$63:$BF$63,1,_xlfn.XMATCH('Token cash flow'!E20,'OpCo Cash Flow'!$J$3:$BF$3))</f>
        <v>28.920771066030635</v>
      </c>
      <c r="H20" s="132">
        <f t="shared" si="0"/>
        <v>28.920771066030635</v>
      </c>
    </row>
    <row r="21" spans="2:8">
      <c r="B21" s="19"/>
      <c r="E21" s="24">
        <f t="shared" si="1"/>
        <v>46538</v>
      </c>
      <c r="F21" s="131"/>
      <c r="G21" s="131" cm="1">
        <f t="array" ref="G21">$C$9*INDEX('OpCo Cash Flow'!$J$63:$BF$63,1,_xlfn.XMATCH('Token cash flow'!E21,'OpCo Cash Flow'!$J$3:$BF$3))</f>
        <v>28.920771066030635</v>
      </c>
      <c r="H21" s="132">
        <f t="shared" si="0"/>
        <v>28.920771066030635</v>
      </c>
    </row>
    <row r="22" spans="2:8">
      <c r="B22" s="146"/>
      <c r="E22" s="24">
        <f t="shared" si="1"/>
        <v>46568</v>
      </c>
      <c r="F22" s="131"/>
      <c r="G22" s="131" cm="1">
        <f t="array" ref="G22">$C$9*INDEX('OpCo Cash Flow'!$J$63:$BF$63,1,_xlfn.XMATCH('Token cash flow'!E22,'OpCo Cash Flow'!$J$3:$BF$3))</f>
        <v>28.920771066030635</v>
      </c>
      <c r="H22" s="132">
        <f t="shared" si="0"/>
        <v>28.920771066030635</v>
      </c>
    </row>
    <row r="23" spans="2:8">
      <c r="E23" s="24">
        <f t="shared" si="1"/>
        <v>46599</v>
      </c>
      <c r="F23" s="131"/>
      <c r="G23" s="131" cm="1">
        <f t="array" ref="G23">$C$9*INDEX('OpCo Cash Flow'!$J$63:$BF$63,1,_xlfn.XMATCH('Token cash flow'!E23,'OpCo Cash Flow'!$J$3:$BF$3))</f>
        <v>28.920771066030635</v>
      </c>
      <c r="H23" s="132">
        <f t="shared" si="0"/>
        <v>28.920771066030635</v>
      </c>
    </row>
    <row r="24" spans="2:8">
      <c r="E24" s="24">
        <f t="shared" si="1"/>
        <v>46630</v>
      </c>
      <c r="F24" s="131"/>
      <c r="G24" s="131" cm="1">
        <f t="array" ref="G24">$C$9*INDEX('OpCo Cash Flow'!$J$63:$BF$63,1,_xlfn.XMATCH('Token cash flow'!E24,'OpCo Cash Flow'!$J$3:$BF$3))</f>
        <v>28.920771066030635</v>
      </c>
      <c r="H24" s="132">
        <f t="shared" si="0"/>
        <v>28.920771066030635</v>
      </c>
    </row>
    <row r="25" spans="2:8">
      <c r="E25" s="24">
        <f t="shared" si="1"/>
        <v>46660</v>
      </c>
      <c r="F25" s="131"/>
      <c r="G25" s="131" cm="1">
        <f t="array" ref="G25">$C$9*INDEX('OpCo Cash Flow'!$J$63:$BF$63,1,_xlfn.XMATCH('Token cash flow'!E25,'OpCo Cash Flow'!$J$3:$BF$3))</f>
        <v>28.920771066030635</v>
      </c>
      <c r="H25" s="132">
        <f t="shared" si="0"/>
        <v>28.920771066030635</v>
      </c>
    </row>
    <row r="26" spans="2:8">
      <c r="E26" s="24">
        <f t="shared" si="1"/>
        <v>46691</v>
      </c>
      <c r="F26" s="131"/>
      <c r="G26" s="131" cm="1">
        <f t="array" ref="G26">$C$9*INDEX('OpCo Cash Flow'!$J$63:$BF$63,1,_xlfn.XMATCH('Token cash flow'!E26,'OpCo Cash Flow'!$J$3:$BF$3))</f>
        <v>26.14053967594619</v>
      </c>
      <c r="H26" s="132">
        <f t="shared" si="0"/>
        <v>26.14053967594619</v>
      </c>
    </row>
    <row r="27" spans="2:8">
      <c r="E27" s="24">
        <f t="shared" si="1"/>
        <v>46721</v>
      </c>
      <c r="F27" s="131"/>
      <c r="G27" s="131" cm="1">
        <f t="array" ref="G27">$C$9*INDEX('OpCo Cash Flow'!$J$63:$BF$63,1,_xlfn.XMATCH('Token cash flow'!E27,'OpCo Cash Flow'!$J$3:$BF$3))</f>
        <v>26.676379375259867</v>
      </c>
      <c r="H27" s="132">
        <f t="shared" si="0"/>
        <v>26.676379375259867</v>
      </c>
    </row>
    <row r="28" spans="2:8">
      <c r="E28" s="24">
        <f t="shared" si="1"/>
        <v>46752</v>
      </c>
      <c r="F28" s="131"/>
      <c r="G28" s="131" cm="1">
        <f t="array" ref="G28">$C$9*INDEX('OpCo Cash Flow'!$J$63:$BF$63,1,_xlfn.XMATCH('Token cash flow'!E28,'OpCo Cash Flow'!$J$3:$BF$3))</f>
        <v>265.86790528678267</v>
      </c>
      <c r="H28" s="132">
        <f t="shared" si="0"/>
        <v>265.86790528678267</v>
      </c>
    </row>
    <row r="29" spans="2:8">
      <c r="E29" s="24">
        <f t="shared" si="1"/>
        <v>46783</v>
      </c>
      <c r="F29" s="131"/>
      <c r="G29" s="131" cm="1">
        <f t="array" ref="G29">$C$9*INDEX('OpCo Cash Flow'!$J$63:$BF$63,1,_xlfn.XMATCH('Token cash flow'!E29,'OpCo Cash Flow'!$J$3:$BF$3))</f>
        <v>12.389171695378081</v>
      </c>
      <c r="H29" s="132">
        <f t="shared" si="0"/>
        <v>12.389171695378081</v>
      </c>
    </row>
    <row r="30" spans="2:8">
      <c r="E30" s="24">
        <f t="shared" si="1"/>
        <v>46812</v>
      </c>
      <c r="F30" s="131"/>
      <c r="G30" s="131" cm="1">
        <f t="array" ref="G30">$C$9*INDEX('OpCo Cash Flow'!$J$63:$BF$63,1,_xlfn.XMATCH('Token cash flow'!E30,'OpCo Cash Flow'!$J$3:$BF$3))</f>
        <v>252.84023868118533</v>
      </c>
      <c r="H30" s="132">
        <f t="shared" si="0"/>
        <v>252.84023868118533</v>
      </c>
    </row>
    <row r="31" spans="2:8">
      <c r="E31" s="24">
        <f t="shared" si="1"/>
        <v>46843</v>
      </c>
      <c r="F31" s="131"/>
      <c r="G31" s="131" cm="1">
        <f t="array" ref="G31">$C$9*INDEX('OpCo Cash Flow'!$J$63:$BF$63,1,_xlfn.XMATCH('Token cash flow'!E31,'OpCo Cash Flow'!$J$3:$BF$3))</f>
        <v>0</v>
      </c>
      <c r="H31" s="132">
        <f t="shared" si="0"/>
        <v>0</v>
      </c>
    </row>
    <row r="32" spans="2:8">
      <c r="E32" s="24">
        <f t="shared" si="1"/>
        <v>46873</v>
      </c>
      <c r="F32" s="131"/>
      <c r="G32" s="131" cm="1">
        <f t="array" ref="G32">$C$9*INDEX('OpCo Cash Flow'!$J$63:$BF$63,1,_xlfn.XMATCH('Token cash flow'!E32,'OpCo Cash Flow'!$J$3:$BF$3))</f>
        <v>0</v>
      </c>
      <c r="H32" s="132">
        <f t="shared" si="0"/>
        <v>0</v>
      </c>
    </row>
    <row r="33" spans="3:8">
      <c r="E33" s="24">
        <f t="shared" si="1"/>
        <v>46904</v>
      </c>
      <c r="F33" s="131"/>
      <c r="G33" s="131" cm="1">
        <f t="array" ref="G33">$C$9*INDEX('OpCo Cash Flow'!$J$63:$BF$63,1,_xlfn.XMATCH('Token cash flow'!E33,'OpCo Cash Flow'!$J$3:$BF$3))</f>
        <v>0</v>
      </c>
      <c r="H33" s="132">
        <f t="shared" si="0"/>
        <v>0</v>
      </c>
    </row>
    <row r="34" spans="3:8">
      <c r="E34" s="24">
        <f t="shared" si="1"/>
        <v>46934</v>
      </c>
      <c r="F34" s="131"/>
      <c r="G34" s="131" cm="1">
        <f t="array" ref="G34">$C$9*INDEX('OpCo Cash Flow'!$J$63:$BF$63,1,_xlfn.XMATCH('Token cash flow'!E34,'OpCo Cash Flow'!$J$3:$BF$3))</f>
        <v>0</v>
      </c>
      <c r="H34" s="132">
        <f t="shared" si="0"/>
        <v>0</v>
      </c>
    </row>
    <row r="35" spans="3:8">
      <c r="E35" s="24">
        <f t="shared" si="1"/>
        <v>46965</v>
      </c>
      <c r="F35" s="131"/>
      <c r="G35" s="131" cm="1">
        <f t="array" ref="G35">$C$9*INDEX('OpCo Cash Flow'!$J$63:$BF$63,1,_xlfn.XMATCH('Token cash flow'!E35,'OpCo Cash Flow'!$J$3:$BF$3))</f>
        <v>0</v>
      </c>
      <c r="H35" s="132">
        <f t="shared" si="0"/>
        <v>0</v>
      </c>
    </row>
    <row r="36" spans="3:8">
      <c r="E36" s="24">
        <f t="shared" si="1"/>
        <v>46996</v>
      </c>
      <c r="F36" s="131"/>
      <c r="G36" s="131" cm="1">
        <f t="array" ref="G36">$C$9*INDEX('OpCo Cash Flow'!$J$63:$BF$63,1,_xlfn.XMATCH('Token cash flow'!E36,'OpCo Cash Flow'!$J$3:$BF$3))</f>
        <v>0</v>
      </c>
      <c r="H36" s="132">
        <f t="shared" si="0"/>
        <v>0</v>
      </c>
    </row>
    <row r="37" spans="3:8" ht="17.100000000000001" customHeight="1">
      <c r="E37" s="24">
        <f t="shared" si="1"/>
        <v>47026</v>
      </c>
      <c r="F37" s="131"/>
      <c r="G37" s="131" cm="1">
        <f t="array" ref="G37">$C$9*INDEX('OpCo Cash Flow'!$J$63:$BF$63,1,_xlfn.XMATCH('Token cash flow'!E37,'OpCo Cash Flow'!$J$3:$BF$3))</f>
        <v>0</v>
      </c>
      <c r="H37" s="132">
        <f t="shared" si="0"/>
        <v>0</v>
      </c>
    </row>
    <row r="38" spans="3:8">
      <c r="E38" s="24">
        <f t="shared" si="1"/>
        <v>47057</v>
      </c>
      <c r="F38" s="131"/>
      <c r="G38" s="131" cm="1">
        <f t="array" ref="G38">$C$9*INDEX('OpCo Cash Flow'!$J$63:$BF$63,1,_xlfn.XMATCH('Token cash flow'!E38,'OpCo Cash Flow'!$J$3:$BF$3))</f>
        <v>0</v>
      </c>
      <c r="H38" s="132">
        <f t="shared" si="0"/>
        <v>0</v>
      </c>
    </row>
    <row r="39" spans="3:8">
      <c r="E39" s="24">
        <f t="shared" si="1"/>
        <v>47087</v>
      </c>
      <c r="F39" s="131"/>
      <c r="G39" s="131" cm="1">
        <f t="array" ref="G39">$C$9*INDEX('OpCo Cash Flow'!$J$63:$BF$63,1,_xlfn.XMATCH('Token cash flow'!E39,'OpCo Cash Flow'!$J$3:$BF$3))</f>
        <v>0</v>
      </c>
      <c r="H39" s="132">
        <f t="shared" ref="H39:H40" si="2">SUM(F39:G39)</f>
        <v>0</v>
      </c>
    </row>
    <row r="40" spans="3:8">
      <c r="E40" s="24">
        <f t="shared" si="1"/>
        <v>47118</v>
      </c>
      <c r="F40" s="131"/>
      <c r="G40" s="158" cm="1">
        <f t="array" ref="G40">$C$9*INDEX('OpCo Cash Flow'!$J$63:$BF$63,1,_xlfn.XMATCH('Token cash flow'!E40,'OpCo Cash Flow'!$J$3:$BF$3))</f>
        <v>0</v>
      </c>
      <c r="H40" s="159">
        <f t="shared" si="2"/>
        <v>0</v>
      </c>
    </row>
    <row r="41" spans="3:8">
      <c r="C41" s="11"/>
      <c r="G41" s="156">
        <f>SUM(G5:G40)</f>
        <v>1162.3296560351648</v>
      </c>
      <c r="H41" s="157"/>
    </row>
    <row r="42" spans="3:8">
      <c r="C42" s="11"/>
    </row>
    <row r="43" spans="3:8" hidden="1">
      <c r="C43" s="11"/>
    </row>
    <row r="44" spans="3:8" hidden="1">
      <c r="C44" s="11"/>
    </row>
    <row r="45" spans="3:8" hidden="1">
      <c r="C45" s="11"/>
    </row>
    <row r="46" spans="3:8" hidden="1">
      <c r="C46" s="11"/>
    </row>
    <row r="47" spans="3:8" hidden="1">
      <c r="C47" s="11"/>
    </row>
    <row r="48" spans="3:8" hidden="1">
      <c r="C48" s="11"/>
    </row>
    <row r="49" spans="3:3" hidden="1">
      <c r="C49" s="11"/>
    </row>
    <row r="50" spans="3:3" hidden="1">
      <c r="C50" s="11"/>
    </row>
    <row r="51" spans="3:3" hidden="1">
      <c r="C51" s="11"/>
    </row>
    <row r="52" spans="3:3" hidden="1">
      <c r="C52" s="11"/>
    </row>
    <row r="53" spans="3:3" hidden="1">
      <c r="C53" s="11"/>
    </row>
    <row r="54" spans="3:3" hidden="1">
      <c r="C54" s="11"/>
    </row>
    <row r="55" spans="3:3" hidden="1">
      <c r="C55" s="11"/>
    </row>
    <row r="56" spans="3:3" hidden="1">
      <c r="C56" s="11"/>
    </row>
    <row r="57" spans="3:3" hidden="1">
      <c r="C57" s="11"/>
    </row>
    <row r="58" spans="3:3" hidden="1">
      <c r="C58" s="11"/>
    </row>
    <row r="59" spans="3:3" hidden="1">
      <c r="C59" s="11"/>
    </row>
    <row r="60" spans="3:3" hidden="1">
      <c r="C60" s="11"/>
    </row>
    <row r="61" spans="3:3" hidden="1">
      <c r="C61" s="1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73347-CDD5-4056-B841-BB5C1F82A16A}">
  <sheetPr codeName="Sheet2">
    <tabColor theme="8"/>
  </sheetPr>
  <dimension ref="B2:CQ75"/>
  <sheetViews>
    <sheetView showGridLines="0" tabSelected="1" zoomScaleNormal="100" workbookViewId="0">
      <pane xSplit="9" ySplit="3" topLeftCell="K52" activePane="bottomRight" state="frozen"/>
      <selection pane="bottomRight" activeCell="K52" sqref="K52"/>
      <selection pane="bottomLeft" activeCell="J5" sqref="J5"/>
      <selection pane="topRight" activeCell="J5" sqref="J5"/>
    </sheetView>
  </sheetViews>
  <sheetFormatPr defaultRowHeight="14.25" outlineLevelRow="1"/>
  <cols>
    <col min="1" max="2" width="2.5703125" customWidth="1"/>
    <col min="3" max="3" width="31.5703125" customWidth="1"/>
    <col min="4" max="4" width="12" customWidth="1"/>
    <col min="5" max="5" width="12" bestFit="1" customWidth="1"/>
    <col min="6" max="6" width="11" bestFit="1" customWidth="1"/>
    <col min="7" max="8" width="12" bestFit="1" customWidth="1"/>
    <col min="10" max="10" width="12.42578125" bestFit="1" customWidth="1"/>
    <col min="11" max="11" width="11.85546875" bestFit="1" customWidth="1"/>
    <col min="12" max="13" width="11" bestFit="1" customWidth="1"/>
    <col min="14" max="14" width="11.85546875" bestFit="1" customWidth="1"/>
    <col min="15" max="31" width="11" bestFit="1" customWidth="1"/>
    <col min="32" max="32" width="11.140625" bestFit="1" customWidth="1"/>
    <col min="33" max="33" width="11" bestFit="1" customWidth="1"/>
    <col min="34" max="34" width="11.7109375" bestFit="1" customWidth="1"/>
    <col min="35" max="35" width="11.140625" bestFit="1" customWidth="1"/>
    <col min="36" max="36" width="11" bestFit="1" customWidth="1"/>
    <col min="37" max="37" width="12.140625" bestFit="1" customWidth="1"/>
    <col min="38" max="58" width="11" bestFit="1" customWidth="1"/>
  </cols>
  <sheetData>
    <row r="2" spans="2:95" ht="18" customHeight="1">
      <c r="B2" s="109" t="s">
        <v>15</v>
      </c>
      <c r="C2" s="49"/>
      <c r="D2" s="49"/>
      <c r="E2" s="49"/>
      <c r="F2" s="49"/>
      <c r="G2" s="49"/>
      <c r="H2" s="49"/>
      <c r="J2" s="53" t="s">
        <v>16</v>
      </c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</row>
    <row r="3" spans="2:95" ht="14.65" customHeight="1">
      <c r="B3" s="111"/>
      <c r="C3" s="175"/>
      <c r="D3" s="154">
        <v>46022</v>
      </c>
      <c r="E3" s="176">
        <f t="shared" ref="E3:H3" si="0">EOMONTH(D3,12)</f>
        <v>46387</v>
      </c>
      <c r="F3" s="176">
        <f t="shared" si="0"/>
        <v>46752</v>
      </c>
      <c r="G3" s="176">
        <f t="shared" si="0"/>
        <v>47118</v>
      </c>
      <c r="H3" s="176">
        <f t="shared" si="0"/>
        <v>47483</v>
      </c>
      <c r="J3" s="177">
        <v>46053</v>
      </c>
      <c r="K3" s="177">
        <f>EOMONTH(J3,1)</f>
        <v>46081</v>
      </c>
      <c r="L3" s="177">
        <f t="shared" ref="L3:BF3" si="1">EOMONTH(K3,1)</f>
        <v>46112</v>
      </c>
      <c r="M3" s="177">
        <f t="shared" si="1"/>
        <v>46142</v>
      </c>
      <c r="N3" s="177">
        <f t="shared" si="1"/>
        <v>46173</v>
      </c>
      <c r="O3" s="177">
        <f t="shared" si="1"/>
        <v>46203</v>
      </c>
      <c r="P3" s="177">
        <f t="shared" si="1"/>
        <v>46234</v>
      </c>
      <c r="Q3" s="177">
        <f t="shared" si="1"/>
        <v>46265</v>
      </c>
      <c r="R3" s="177">
        <f t="shared" si="1"/>
        <v>46295</v>
      </c>
      <c r="S3" s="177">
        <f t="shared" si="1"/>
        <v>46326</v>
      </c>
      <c r="T3" s="177">
        <f t="shared" si="1"/>
        <v>46356</v>
      </c>
      <c r="U3" s="177">
        <f t="shared" si="1"/>
        <v>46387</v>
      </c>
      <c r="V3" s="177">
        <f t="shared" si="1"/>
        <v>46418</v>
      </c>
      <c r="W3" s="177">
        <f t="shared" si="1"/>
        <v>46446</v>
      </c>
      <c r="X3" s="177">
        <f t="shared" si="1"/>
        <v>46477</v>
      </c>
      <c r="Y3" s="177">
        <f t="shared" si="1"/>
        <v>46507</v>
      </c>
      <c r="Z3" s="177">
        <f t="shared" si="1"/>
        <v>46538</v>
      </c>
      <c r="AA3" s="177">
        <f t="shared" si="1"/>
        <v>46568</v>
      </c>
      <c r="AB3" s="177">
        <f t="shared" si="1"/>
        <v>46599</v>
      </c>
      <c r="AC3" s="177">
        <f t="shared" si="1"/>
        <v>46630</v>
      </c>
      <c r="AD3" s="177">
        <f t="shared" si="1"/>
        <v>46660</v>
      </c>
      <c r="AE3" s="177">
        <f t="shared" si="1"/>
        <v>46691</v>
      </c>
      <c r="AF3" s="177">
        <f t="shared" si="1"/>
        <v>46721</v>
      </c>
      <c r="AG3" s="177">
        <f t="shared" si="1"/>
        <v>46752</v>
      </c>
      <c r="AH3" s="177">
        <f t="shared" si="1"/>
        <v>46783</v>
      </c>
      <c r="AI3" s="177">
        <f t="shared" si="1"/>
        <v>46812</v>
      </c>
      <c r="AJ3" s="177">
        <f t="shared" si="1"/>
        <v>46843</v>
      </c>
      <c r="AK3" s="177">
        <f t="shared" si="1"/>
        <v>46873</v>
      </c>
      <c r="AL3" s="177">
        <f t="shared" si="1"/>
        <v>46904</v>
      </c>
      <c r="AM3" s="177">
        <f t="shared" si="1"/>
        <v>46934</v>
      </c>
      <c r="AN3" s="177">
        <f t="shared" si="1"/>
        <v>46965</v>
      </c>
      <c r="AO3" s="177">
        <f t="shared" si="1"/>
        <v>46996</v>
      </c>
      <c r="AP3" s="177">
        <f t="shared" si="1"/>
        <v>47026</v>
      </c>
      <c r="AQ3" s="177">
        <f t="shared" si="1"/>
        <v>47057</v>
      </c>
      <c r="AR3" s="177">
        <f t="shared" si="1"/>
        <v>47087</v>
      </c>
      <c r="AS3" s="177">
        <f t="shared" si="1"/>
        <v>47118</v>
      </c>
      <c r="AT3" s="177">
        <f t="shared" si="1"/>
        <v>47149</v>
      </c>
      <c r="AU3" s="177">
        <f t="shared" si="1"/>
        <v>47177</v>
      </c>
      <c r="AV3" s="177">
        <f t="shared" si="1"/>
        <v>47208</v>
      </c>
      <c r="AW3" s="177">
        <f t="shared" si="1"/>
        <v>47238</v>
      </c>
      <c r="AX3" s="177">
        <f t="shared" si="1"/>
        <v>47269</v>
      </c>
      <c r="AY3" s="177">
        <f t="shared" si="1"/>
        <v>47299</v>
      </c>
      <c r="AZ3" s="177">
        <f t="shared" si="1"/>
        <v>47330</v>
      </c>
      <c r="BA3" s="177">
        <f t="shared" si="1"/>
        <v>47361</v>
      </c>
      <c r="BB3" s="177">
        <f t="shared" si="1"/>
        <v>47391</v>
      </c>
      <c r="BC3" s="177">
        <f t="shared" si="1"/>
        <v>47422</v>
      </c>
      <c r="BD3" s="177">
        <f t="shared" si="1"/>
        <v>47452</v>
      </c>
      <c r="BE3" s="177">
        <f t="shared" si="1"/>
        <v>47483</v>
      </c>
      <c r="BF3" s="177">
        <f t="shared" si="1"/>
        <v>47514</v>
      </c>
    </row>
    <row r="4" spans="2:95" ht="14.65" customHeight="1">
      <c r="B4" s="110"/>
    </row>
    <row r="5" spans="2:95" s="13" customFormat="1" ht="14.65" customHeight="1">
      <c r="B5" s="112" t="s">
        <v>17</v>
      </c>
      <c r="C5" s="178"/>
      <c r="D5" s="179">
        <f>SUMIFS($J5:$BF5,$J$3:$BF$3,"&lt;="&amp;D$3,$J$3:$BF$3,"&gt;"&amp;EOMONTH(D$3,-12))</f>
        <v>0</v>
      </c>
      <c r="E5" s="179">
        <f>SUMIFS($J5:$BF5,$J$3:$BF$3,"&lt;="&amp;E$3,$J$3:$BF$3,"&gt;"&amp;EOMONTH(E$3,-12))</f>
        <v>11665179.671666667</v>
      </c>
      <c r="F5" s="179">
        <f>SUMIFS($J5:$BF5,$J$3:$BF$3,"&lt;="&amp;F$3,$J$3:$BF$3,"&gt;"&amp;EOMONTH(F$3,-12))</f>
        <v>0</v>
      </c>
      <c r="G5" s="179">
        <f>SUMIFS($J5:$BF5,$J$3:$BF$3,"&lt;="&amp;G$3,$J$3:$BF$3,"&gt;"&amp;EOMONTH(G$3,-12))</f>
        <v>0</v>
      </c>
      <c r="H5" s="179">
        <f>SUMIFS($J5:$BF5,$J$3:$BF$3,"&lt;="&amp;H$3,$J$3:$BF$3,"&gt;"&amp;EOMONTH(H$3,-12))</f>
        <v>0</v>
      </c>
      <c r="I5" s="20"/>
      <c r="J5" s="165">
        <v>11665179.671666667</v>
      </c>
      <c r="K5" s="180">
        <v>0</v>
      </c>
      <c r="L5" s="181">
        <f>+K5</f>
        <v>0</v>
      </c>
      <c r="M5" s="181">
        <f t="shared" ref="M5:BF5" si="2">+L5</f>
        <v>0</v>
      </c>
      <c r="N5" s="181">
        <f t="shared" si="2"/>
        <v>0</v>
      </c>
      <c r="O5" s="181">
        <f t="shared" si="2"/>
        <v>0</v>
      </c>
      <c r="P5" s="181">
        <f t="shared" si="2"/>
        <v>0</v>
      </c>
      <c r="Q5" s="181">
        <f t="shared" si="2"/>
        <v>0</v>
      </c>
      <c r="R5" s="181">
        <f t="shared" si="2"/>
        <v>0</v>
      </c>
      <c r="S5" s="181">
        <f t="shared" si="2"/>
        <v>0</v>
      </c>
      <c r="T5" s="181">
        <f t="shared" si="2"/>
        <v>0</v>
      </c>
      <c r="U5" s="181">
        <f t="shared" si="2"/>
        <v>0</v>
      </c>
      <c r="V5" s="181">
        <f t="shared" si="2"/>
        <v>0</v>
      </c>
      <c r="W5" s="181">
        <f t="shared" si="2"/>
        <v>0</v>
      </c>
      <c r="X5" s="181">
        <f t="shared" si="2"/>
        <v>0</v>
      </c>
      <c r="Y5" s="181">
        <f t="shared" si="2"/>
        <v>0</v>
      </c>
      <c r="Z5" s="181">
        <f t="shared" si="2"/>
        <v>0</v>
      </c>
      <c r="AA5" s="181">
        <f t="shared" si="2"/>
        <v>0</v>
      </c>
      <c r="AB5" s="181">
        <f t="shared" si="2"/>
        <v>0</v>
      </c>
      <c r="AC5" s="181">
        <f t="shared" si="2"/>
        <v>0</v>
      </c>
      <c r="AD5" s="181">
        <f t="shared" si="2"/>
        <v>0</v>
      </c>
      <c r="AE5" s="181">
        <f t="shared" si="2"/>
        <v>0</v>
      </c>
      <c r="AF5" s="181">
        <f t="shared" si="2"/>
        <v>0</v>
      </c>
      <c r="AG5" s="181">
        <f t="shared" si="2"/>
        <v>0</v>
      </c>
      <c r="AH5" s="181">
        <f t="shared" si="2"/>
        <v>0</v>
      </c>
      <c r="AI5" s="181">
        <f t="shared" si="2"/>
        <v>0</v>
      </c>
      <c r="AJ5" s="181">
        <f t="shared" si="2"/>
        <v>0</v>
      </c>
      <c r="AK5" s="181">
        <f t="shared" si="2"/>
        <v>0</v>
      </c>
      <c r="AL5" s="181">
        <f t="shared" si="2"/>
        <v>0</v>
      </c>
      <c r="AM5" s="181">
        <f t="shared" si="2"/>
        <v>0</v>
      </c>
      <c r="AN5" s="181">
        <f t="shared" si="2"/>
        <v>0</v>
      </c>
      <c r="AO5" s="181">
        <f t="shared" si="2"/>
        <v>0</v>
      </c>
      <c r="AP5" s="181">
        <f t="shared" si="2"/>
        <v>0</v>
      </c>
      <c r="AQ5" s="181">
        <f t="shared" si="2"/>
        <v>0</v>
      </c>
      <c r="AR5" s="181">
        <f t="shared" si="2"/>
        <v>0</v>
      </c>
      <c r="AS5" s="181">
        <f t="shared" si="2"/>
        <v>0</v>
      </c>
      <c r="AT5" s="181">
        <f t="shared" si="2"/>
        <v>0</v>
      </c>
      <c r="AU5" s="181">
        <f t="shared" si="2"/>
        <v>0</v>
      </c>
      <c r="AV5" s="181">
        <f t="shared" si="2"/>
        <v>0</v>
      </c>
      <c r="AW5" s="181">
        <f t="shared" si="2"/>
        <v>0</v>
      </c>
      <c r="AX5" s="181">
        <f t="shared" si="2"/>
        <v>0</v>
      </c>
      <c r="AY5" s="181">
        <f t="shared" si="2"/>
        <v>0</v>
      </c>
      <c r="AZ5" s="181">
        <f t="shared" si="2"/>
        <v>0</v>
      </c>
      <c r="BA5" s="181">
        <f t="shared" si="2"/>
        <v>0</v>
      </c>
      <c r="BB5" s="181">
        <f t="shared" si="2"/>
        <v>0</v>
      </c>
      <c r="BC5" s="181">
        <f t="shared" si="2"/>
        <v>0</v>
      </c>
      <c r="BD5" s="181">
        <f t="shared" si="2"/>
        <v>0</v>
      </c>
      <c r="BE5" s="181">
        <f t="shared" si="2"/>
        <v>0</v>
      </c>
      <c r="BF5" s="181">
        <f t="shared" si="2"/>
        <v>0</v>
      </c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</row>
    <row r="6" spans="2:95" ht="14.65" customHeight="1">
      <c r="B6" s="113"/>
    </row>
    <row r="7" spans="2:95" outlineLevel="1">
      <c r="B7" s="114" t="s">
        <v>18</v>
      </c>
      <c r="C7" s="182"/>
    </row>
    <row r="8" spans="2:95" outlineLevel="1">
      <c r="B8" s="113"/>
      <c r="C8" s="183" t="s">
        <v>19</v>
      </c>
      <c r="D8" s="10">
        <f t="shared" ref="D8:H9" si="3">SUMIFS($J8:$BF8,$J$3:$BF$3,"&lt;="&amp;D$3,$J$3:$BF$3,"&gt;"&amp;EOMONTH(D$3,-12))</f>
        <v>0</v>
      </c>
      <c r="E8" s="10">
        <f t="shared" si="3"/>
        <v>-10000</v>
      </c>
      <c r="F8" s="10">
        <f t="shared" si="3"/>
        <v>0</v>
      </c>
      <c r="G8" s="10">
        <f t="shared" si="3"/>
        <v>0</v>
      </c>
      <c r="H8" s="10">
        <f t="shared" si="3"/>
        <v>0</v>
      </c>
      <c r="I8">
        <v>1</v>
      </c>
      <c r="J8" s="65" cm="1">
        <f t="array" ref="J8">INDEX('890XXX'!$Q$5:$Q$125,_xlfn.XMATCH('OpCo Cash Flow'!J$3,'890XXX'!$G$5:$G$125),$I8)</f>
        <v>-10000</v>
      </c>
      <c r="K8" s="180">
        <v>0</v>
      </c>
      <c r="L8" s="180">
        <v>0</v>
      </c>
      <c r="M8" s="180">
        <v>0</v>
      </c>
      <c r="N8" s="180">
        <v>0</v>
      </c>
      <c r="O8" s="180">
        <v>0</v>
      </c>
      <c r="P8" s="180">
        <v>0</v>
      </c>
      <c r="Q8" s="180">
        <v>0</v>
      </c>
      <c r="R8" s="180">
        <v>0</v>
      </c>
      <c r="S8" s="180">
        <v>0</v>
      </c>
      <c r="T8" s="180">
        <v>0</v>
      </c>
      <c r="U8" s="180">
        <v>0</v>
      </c>
      <c r="V8" s="180">
        <v>0</v>
      </c>
      <c r="W8" s="180">
        <v>0</v>
      </c>
      <c r="X8" s="180">
        <v>0</v>
      </c>
      <c r="Y8" s="180">
        <v>0</v>
      </c>
      <c r="Z8" s="180">
        <v>0</v>
      </c>
      <c r="AA8" s="180">
        <v>0</v>
      </c>
      <c r="AB8" s="180">
        <v>0</v>
      </c>
      <c r="AC8" s="180">
        <v>0</v>
      </c>
      <c r="AD8" s="180">
        <v>0</v>
      </c>
      <c r="AE8" s="180">
        <v>0</v>
      </c>
      <c r="AF8" s="180">
        <v>0</v>
      </c>
      <c r="AG8" s="180">
        <v>0</v>
      </c>
      <c r="AH8" s="180">
        <v>0</v>
      </c>
      <c r="AI8" s="180">
        <v>0</v>
      </c>
      <c r="AJ8" s="180">
        <v>0</v>
      </c>
      <c r="AK8" s="180">
        <v>0</v>
      </c>
      <c r="AL8" s="180">
        <v>0</v>
      </c>
      <c r="AM8" s="180">
        <v>0</v>
      </c>
      <c r="AN8" s="180">
        <v>0</v>
      </c>
      <c r="AO8" s="180">
        <v>0</v>
      </c>
      <c r="AP8" s="180">
        <v>0</v>
      </c>
      <c r="AQ8" s="180">
        <v>0</v>
      </c>
      <c r="AR8" s="180">
        <v>0</v>
      </c>
      <c r="AS8" s="180">
        <v>0</v>
      </c>
      <c r="AT8" s="180">
        <v>0</v>
      </c>
      <c r="AU8" s="180">
        <v>0</v>
      </c>
      <c r="AV8" s="180">
        <v>0</v>
      </c>
      <c r="AW8" s="180">
        <v>0</v>
      </c>
      <c r="AX8" s="180">
        <v>0</v>
      </c>
      <c r="AY8" s="180">
        <v>0</v>
      </c>
      <c r="AZ8" s="180">
        <v>0</v>
      </c>
      <c r="BA8" s="180">
        <v>0</v>
      </c>
      <c r="BB8" s="180">
        <v>0</v>
      </c>
      <c r="BC8" s="180">
        <v>0</v>
      </c>
      <c r="BD8" s="180">
        <v>0</v>
      </c>
      <c r="BE8" s="180">
        <v>0</v>
      </c>
      <c r="BF8" s="180">
        <v>0</v>
      </c>
    </row>
    <row r="9" spans="2:95" outlineLevel="1">
      <c r="B9" s="113"/>
      <c r="C9" s="183" t="s">
        <v>20</v>
      </c>
      <c r="D9" s="22">
        <f t="shared" si="3"/>
        <v>0</v>
      </c>
      <c r="E9" s="22">
        <f t="shared" si="3"/>
        <v>-10000</v>
      </c>
      <c r="F9" s="22">
        <f t="shared" si="3"/>
        <v>0</v>
      </c>
      <c r="G9" s="22">
        <f t="shared" si="3"/>
        <v>0</v>
      </c>
      <c r="H9" s="22">
        <f t="shared" si="3"/>
        <v>0</v>
      </c>
      <c r="I9">
        <v>1</v>
      </c>
      <c r="J9" s="67" cm="1">
        <f t="array" ref="J9">INDEX('890XXX'!$Q$5:$Q$125,_xlfn.XMATCH('OpCo Cash Flow'!J$3,'890XXX'!$G$5:$G$125),$I9)</f>
        <v>-10000</v>
      </c>
      <c r="K9" s="180">
        <v>0</v>
      </c>
      <c r="L9" s="180">
        <v>0</v>
      </c>
      <c r="M9" s="180">
        <v>0</v>
      </c>
      <c r="N9" s="180">
        <v>0</v>
      </c>
      <c r="O9" s="180">
        <v>0</v>
      </c>
      <c r="P9" s="180">
        <v>0</v>
      </c>
      <c r="Q9" s="180">
        <v>0</v>
      </c>
      <c r="R9" s="180">
        <v>0</v>
      </c>
      <c r="S9" s="180">
        <v>0</v>
      </c>
      <c r="T9" s="180">
        <v>0</v>
      </c>
      <c r="U9" s="180">
        <v>0</v>
      </c>
      <c r="V9" s="180">
        <v>0</v>
      </c>
      <c r="W9" s="180">
        <v>0</v>
      </c>
      <c r="X9" s="180">
        <v>0</v>
      </c>
      <c r="Y9" s="180">
        <v>0</v>
      </c>
      <c r="Z9" s="180">
        <v>0</v>
      </c>
      <c r="AA9" s="180">
        <v>0</v>
      </c>
      <c r="AB9" s="180">
        <v>0</v>
      </c>
      <c r="AC9" s="180">
        <v>0</v>
      </c>
      <c r="AD9" s="180">
        <v>0</v>
      </c>
      <c r="AE9" s="180">
        <v>0</v>
      </c>
      <c r="AF9" s="180">
        <v>0</v>
      </c>
      <c r="AG9" s="180">
        <v>0</v>
      </c>
      <c r="AH9" s="180">
        <v>0</v>
      </c>
      <c r="AI9" s="180">
        <v>0</v>
      </c>
      <c r="AJ9" s="180">
        <v>0</v>
      </c>
      <c r="AK9" s="180">
        <v>0</v>
      </c>
      <c r="AL9" s="180">
        <v>0</v>
      </c>
      <c r="AM9" s="180">
        <v>0</v>
      </c>
      <c r="AN9" s="180">
        <v>0</v>
      </c>
      <c r="AO9" s="180">
        <v>0</v>
      </c>
      <c r="AP9" s="180">
        <v>0</v>
      </c>
      <c r="AQ9" s="180">
        <v>0</v>
      </c>
      <c r="AR9" s="180">
        <v>0</v>
      </c>
      <c r="AS9" s="180">
        <v>0</v>
      </c>
      <c r="AT9" s="180">
        <v>0</v>
      </c>
      <c r="AU9" s="180">
        <v>0</v>
      </c>
      <c r="AV9" s="180">
        <v>0</v>
      </c>
      <c r="AW9" s="180">
        <v>0</v>
      </c>
      <c r="AX9" s="180">
        <v>0</v>
      </c>
      <c r="AY9" s="180">
        <v>0</v>
      </c>
      <c r="AZ9" s="180">
        <v>0</v>
      </c>
      <c r="BA9" s="180">
        <v>0</v>
      </c>
      <c r="BB9" s="180">
        <v>0</v>
      </c>
      <c r="BC9" s="180">
        <v>0</v>
      </c>
      <c r="BD9" s="180">
        <v>0</v>
      </c>
      <c r="BE9" s="180">
        <v>0</v>
      </c>
      <c r="BF9" s="180">
        <v>0</v>
      </c>
    </row>
    <row r="10" spans="2:95" ht="14.65" customHeight="1">
      <c r="B10" s="113"/>
      <c r="C10" s="184" t="str">
        <f>"Total "&amp;B7</f>
        <v>Total Closing Costs</v>
      </c>
      <c r="D10" s="74">
        <f>SUM(D8:D9)</f>
        <v>0</v>
      </c>
      <c r="E10" s="74">
        <f>SUM(E8:E9)</f>
        <v>-20000</v>
      </c>
      <c r="F10" s="74">
        <f>SUM(F8:F9)</f>
        <v>0</v>
      </c>
      <c r="G10" s="74">
        <f>SUM(G8:G9)</f>
        <v>0</v>
      </c>
      <c r="H10" s="74">
        <f>SUM(H8:H9)</f>
        <v>0</v>
      </c>
      <c r="J10" s="74">
        <f t="shared" ref="J10:AO10" si="4">SUM(J8:J9)</f>
        <v>-20000</v>
      </c>
      <c r="K10" s="74">
        <f t="shared" si="4"/>
        <v>0</v>
      </c>
      <c r="L10" s="74">
        <f t="shared" si="4"/>
        <v>0</v>
      </c>
      <c r="M10" s="74">
        <f t="shared" si="4"/>
        <v>0</v>
      </c>
      <c r="N10" s="74">
        <f t="shared" si="4"/>
        <v>0</v>
      </c>
      <c r="O10" s="74">
        <f t="shared" si="4"/>
        <v>0</v>
      </c>
      <c r="P10" s="74">
        <f t="shared" si="4"/>
        <v>0</v>
      </c>
      <c r="Q10" s="74">
        <f t="shared" si="4"/>
        <v>0</v>
      </c>
      <c r="R10" s="74">
        <f t="shared" si="4"/>
        <v>0</v>
      </c>
      <c r="S10" s="74">
        <f t="shared" si="4"/>
        <v>0</v>
      </c>
      <c r="T10" s="74">
        <f t="shared" si="4"/>
        <v>0</v>
      </c>
      <c r="U10" s="74">
        <f t="shared" si="4"/>
        <v>0</v>
      </c>
      <c r="V10" s="74">
        <f t="shared" si="4"/>
        <v>0</v>
      </c>
      <c r="W10" s="74">
        <f t="shared" si="4"/>
        <v>0</v>
      </c>
      <c r="X10" s="74">
        <f t="shared" si="4"/>
        <v>0</v>
      </c>
      <c r="Y10" s="74">
        <f t="shared" si="4"/>
        <v>0</v>
      </c>
      <c r="Z10" s="74">
        <f t="shared" si="4"/>
        <v>0</v>
      </c>
      <c r="AA10" s="74">
        <f t="shared" si="4"/>
        <v>0</v>
      </c>
      <c r="AB10" s="74">
        <f t="shared" si="4"/>
        <v>0</v>
      </c>
      <c r="AC10" s="74">
        <f t="shared" si="4"/>
        <v>0</v>
      </c>
      <c r="AD10" s="74">
        <f t="shared" si="4"/>
        <v>0</v>
      </c>
      <c r="AE10" s="74">
        <f t="shared" si="4"/>
        <v>0</v>
      </c>
      <c r="AF10" s="74">
        <f t="shared" si="4"/>
        <v>0</v>
      </c>
      <c r="AG10" s="74">
        <f t="shared" si="4"/>
        <v>0</v>
      </c>
      <c r="AH10" s="74">
        <f t="shared" si="4"/>
        <v>0</v>
      </c>
      <c r="AI10" s="74">
        <f t="shared" si="4"/>
        <v>0</v>
      </c>
      <c r="AJ10" s="74">
        <f t="shared" si="4"/>
        <v>0</v>
      </c>
      <c r="AK10" s="74">
        <f t="shared" si="4"/>
        <v>0</v>
      </c>
      <c r="AL10" s="74">
        <f t="shared" si="4"/>
        <v>0</v>
      </c>
      <c r="AM10" s="74">
        <f t="shared" si="4"/>
        <v>0</v>
      </c>
      <c r="AN10" s="74">
        <f t="shared" si="4"/>
        <v>0</v>
      </c>
      <c r="AO10" s="74">
        <f t="shared" si="4"/>
        <v>0</v>
      </c>
      <c r="AP10" s="74">
        <f t="shared" ref="AP10:BF10" si="5">SUM(AP8:AP9)</f>
        <v>0</v>
      </c>
      <c r="AQ10" s="74">
        <f t="shared" si="5"/>
        <v>0</v>
      </c>
      <c r="AR10" s="74">
        <f t="shared" si="5"/>
        <v>0</v>
      </c>
      <c r="AS10" s="74">
        <f t="shared" si="5"/>
        <v>0</v>
      </c>
      <c r="AT10" s="74">
        <f t="shared" si="5"/>
        <v>0</v>
      </c>
      <c r="AU10" s="74">
        <f t="shared" si="5"/>
        <v>0</v>
      </c>
      <c r="AV10" s="74">
        <f t="shared" si="5"/>
        <v>0</v>
      </c>
      <c r="AW10" s="74">
        <f t="shared" si="5"/>
        <v>0</v>
      </c>
      <c r="AX10" s="74">
        <f t="shared" si="5"/>
        <v>0</v>
      </c>
      <c r="AY10" s="74">
        <f t="shared" si="5"/>
        <v>0</v>
      </c>
      <c r="AZ10" s="74">
        <f t="shared" si="5"/>
        <v>0</v>
      </c>
      <c r="BA10" s="74">
        <f t="shared" si="5"/>
        <v>0</v>
      </c>
      <c r="BB10" s="74">
        <f t="shared" si="5"/>
        <v>0</v>
      </c>
      <c r="BC10" s="74">
        <f t="shared" si="5"/>
        <v>0</v>
      </c>
      <c r="BD10" s="74">
        <f t="shared" si="5"/>
        <v>0</v>
      </c>
      <c r="BE10" s="74">
        <f t="shared" si="5"/>
        <v>0</v>
      </c>
      <c r="BF10" s="74">
        <f t="shared" si="5"/>
        <v>0</v>
      </c>
    </row>
    <row r="11" spans="2:95" ht="14.65" customHeight="1">
      <c r="B11" s="113"/>
    </row>
    <row r="12" spans="2:95" outlineLevel="1">
      <c r="B12" s="114" t="s">
        <v>21</v>
      </c>
    </row>
    <row r="13" spans="2:95" outlineLevel="1">
      <c r="B13" s="114"/>
      <c r="C13" s="2">
        <v>890676</v>
      </c>
      <c r="D13" s="10">
        <f t="shared" ref="D13:H14" si="6">SUMIFS($J13:$BF13,$J$3:$BF$3,"&lt;="&amp;D$3,$J$3:$BF$3,"&gt;"&amp;EOMONTH(D$3,-12))</f>
        <v>0</v>
      </c>
      <c r="E13" s="10">
        <f t="shared" si="6"/>
        <v>0</v>
      </c>
      <c r="F13" s="10">
        <f t="shared" si="6"/>
        <v>3000000</v>
      </c>
      <c r="G13" s="10">
        <f t="shared" si="6"/>
        <v>0</v>
      </c>
      <c r="H13" s="10">
        <f t="shared" si="6"/>
        <v>0</v>
      </c>
      <c r="J13" s="65" cm="1">
        <f t="array" ref="J13">INDEX('890XXX'!$X$5:$X$125,_xlfn.XMATCH('OpCo Cash Flow'!J$3,'890XXX'!$G$5:$G$125))</f>
        <v>0</v>
      </c>
      <c r="K13" s="65" cm="1">
        <f t="array" ref="K13">INDEX('890XXX'!$X$5:$X$125,_xlfn.XMATCH('OpCo Cash Flow'!K$3,'890XXX'!$G$5:$G$125))</f>
        <v>0</v>
      </c>
      <c r="L13" s="65" cm="1">
        <f t="array" ref="L13">INDEX('890XXX'!$X$5:$X$125,_xlfn.XMATCH('OpCo Cash Flow'!L$3,'890XXX'!$G$5:$G$125))</f>
        <v>0</v>
      </c>
      <c r="M13" s="65" cm="1">
        <f t="array" ref="M13">INDEX('890XXX'!$X$5:$X$125,_xlfn.XMATCH('OpCo Cash Flow'!M$3,'890XXX'!$G$5:$G$125))</f>
        <v>0</v>
      </c>
      <c r="N13" s="65" cm="1">
        <f t="array" ref="N13">INDEX('890XXX'!$X$5:$X$125,_xlfn.XMATCH('OpCo Cash Flow'!N$3,'890XXX'!$G$5:$G$125))</f>
        <v>0</v>
      </c>
      <c r="O13" s="65" cm="1">
        <f t="array" ref="O13">INDEX('890XXX'!$X$5:$X$125,_xlfn.XMATCH('OpCo Cash Flow'!O$3,'890XXX'!$G$5:$G$125))</f>
        <v>0</v>
      </c>
      <c r="P13" s="65" cm="1">
        <f t="array" ref="P13">INDEX('890XXX'!$X$5:$X$125,_xlfn.XMATCH('OpCo Cash Flow'!P$3,'890XXX'!$G$5:$G$125))</f>
        <v>0</v>
      </c>
      <c r="Q13" s="65" cm="1">
        <f t="array" ref="Q13">INDEX('890XXX'!$X$5:$X$125,_xlfn.XMATCH('OpCo Cash Flow'!Q$3,'890XXX'!$G$5:$G$125))</f>
        <v>0</v>
      </c>
      <c r="R13" s="65" cm="1">
        <f t="array" ref="R13">INDEX('890XXX'!$X$5:$X$125,_xlfn.XMATCH('OpCo Cash Flow'!R$3,'890XXX'!$G$5:$G$125))</f>
        <v>0</v>
      </c>
      <c r="S13" s="65" cm="1">
        <f t="array" ref="S13">INDEX('890XXX'!$X$5:$X$125,_xlfn.XMATCH('OpCo Cash Flow'!S$3,'890XXX'!$G$5:$G$125))</f>
        <v>0</v>
      </c>
      <c r="T13" s="65" cm="1">
        <f t="array" ref="T13">INDEX('890XXX'!$X$5:$X$125,_xlfn.XMATCH('OpCo Cash Flow'!T$3,'890XXX'!$G$5:$G$125))</f>
        <v>0</v>
      </c>
      <c r="U13" s="65" cm="1">
        <f t="array" ref="U13">INDEX('890XXX'!$X$5:$X$125,_xlfn.XMATCH('OpCo Cash Flow'!U$3,'890XXX'!$G$5:$G$125))</f>
        <v>0</v>
      </c>
      <c r="V13" s="65" cm="1">
        <f t="array" ref="V13">INDEX('890XXX'!$X$5:$X$125,_xlfn.XMATCH('OpCo Cash Flow'!V$3,'890XXX'!$G$5:$G$125))</f>
        <v>0</v>
      </c>
      <c r="W13" s="65" cm="1">
        <f t="array" ref="W13">INDEX('890XXX'!$X$5:$X$125,_xlfn.XMATCH('OpCo Cash Flow'!W$3,'890XXX'!$G$5:$G$125))</f>
        <v>0</v>
      </c>
      <c r="X13" s="65" cm="1">
        <f t="array" ref="X13">INDEX('890XXX'!$X$5:$X$125,_xlfn.XMATCH('OpCo Cash Flow'!X$3,'890XXX'!$G$5:$G$125))</f>
        <v>0</v>
      </c>
      <c r="Y13" s="65" cm="1">
        <f t="array" ref="Y13">INDEX('890XXX'!$X$5:$X$125,_xlfn.XMATCH('OpCo Cash Flow'!Y$3,'890XXX'!$G$5:$G$125))</f>
        <v>0</v>
      </c>
      <c r="Z13" s="65" cm="1">
        <f t="array" ref="Z13">INDEX('890XXX'!$X$5:$X$125,_xlfn.XMATCH('OpCo Cash Flow'!Z$3,'890XXX'!$G$5:$G$125))</f>
        <v>0</v>
      </c>
      <c r="AA13" s="65" cm="1">
        <f t="array" ref="AA13">INDEX('890XXX'!$X$5:$X$125,_xlfn.XMATCH('OpCo Cash Flow'!AA$3,'890XXX'!$G$5:$G$125))</f>
        <v>0</v>
      </c>
      <c r="AB13" s="65" cm="1">
        <f t="array" ref="AB13">INDEX('890XXX'!$X$5:$X$125,_xlfn.XMATCH('OpCo Cash Flow'!AB$3,'890XXX'!$G$5:$G$125))</f>
        <v>0</v>
      </c>
      <c r="AC13" s="65" cm="1">
        <f t="array" ref="AC13">INDEX('890XXX'!$X$5:$X$125,_xlfn.XMATCH('OpCo Cash Flow'!AC$3,'890XXX'!$G$5:$G$125))</f>
        <v>0</v>
      </c>
      <c r="AD13" s="65" cm="1">
        <f t="array" ref="AD13">INDEX('890XXX'!$X$5:$X$125,_xlfn.XMATCH('OpCo Cash Flow'!AD$3,'890XXX'!$G$5:$G$125))</f>
        <v>0</v>
      </c>
      <c r="AE13" s="65" cm="1">
        <f t="array" ref="AE13">INDEX('890XXX'!$X$5:$X$125,_xlfn.XMATCH('OpCo Cash Flow'!AE$3,'890XXX'!$G$5:$G$125))</f>
        <v>0</v>
      </c>
      <c r="AF13" s="65" cm="1">
        <f t="array" ref="AF13">INDEX('890XXX'!$X$5:$X$125,_xlfn.XMATCH('OpCo Cash Flow'!AF$3,'890XXX'!$G$5:$G$125))</f>
        <v>0</v>
      </c>
      <c r="AG13" s="65" cm="1">
        <f t="array" ref="AG13">INDEX('890XXX'!$X$5:$X$125,_xlfn.XMATCH('OpCo Cash Flow'!AG$3,'890XXX'!$G$5:$G$125))</f>
        <v>3000000</v>
      </c>
      <c r="AH13" s="65" cm="1">
        <f t="array" ref="AH13">INDEX('890XXX'!$X$5:$X$125,_xlfn.XMATCH('OpCo Cash Flow'!AH$3,'890XXX'!$G$5:$G$125))</f>
        <v>0</v>
      </c>
      <c r="AI13" s="65" cm="1">
        <f t="array" ref="AI13">INDEX('890XXX'!$X$5:$X$125,_xlfn.XMATCH('OpCo Cash Flow'!AI$3,'890XXX'!$G$5:$G$125))</f>
        <v>0</v>
      </c>
      <c r="AJ13" s="65" cm="1">
        <f t="array" ref="AJ13">INDEX('890XXX'!$X$5:$X$125,_xlfn.XMATCH('OpCo Cash Flow'!AJ$3,'890XXX'!$G$5:$G$125))</f>
        <v>0</v>
      </c>
      <c r="AK13" s="65" cm="1">
        <f t="array" ref="AK13">INDEX('890XXX'!$X$5:$X$125,_xlfn.XMATCH('OpCo Cash Flow'!AK$3,'890XXX'!$G$5:$G$125))</f>
        <v>0</v>
      </c>
      <c r="AL13" s="65" cm="1">
        <f t="array" ref="AL13">INDEX('890XXX'!$X$5:$X$125,_xlfn.XMATCH('OpCo Cash Flow'!AL$3,'890XXX'!$G$5:$G$125))</f>
        <v>0</v>
      </c>
      <c r="AM13" s="65" cm="1">
        <f t="array" ref="AM13">INDEX('890XXX'!$X$5:$X$125,_xlfn.XMATCH('OpCo Cash Flow'!AM$3,'890XXX'!$G$5:$G$125))</f>
        <v>0</v>
      </c>
      <c r="AN13" s="65" cm="1">
        <f t="array" ref="AN13">INDEX('890XXX'!$X$5:$X$125,_xlfn.XMATCH('OpCo Cash Flow'!AN$3,'890XXX'!$G$5:$G$125))</f>
        <v>0</v>
      </c>
      <c r="AO13" s="65" cm="1">
        <f t="array" ref="AO13">INDEX('890XXX'!$X$5:$X$125,_xlfn.XMATCH('OpCo Cash Flow'!AO$3,'890XXX'!$G$5:$G$125))</f>
        <v>0</v>
      </c>
      <c r="AP13" s="65" cm="1">
        <f t="array" ref="AP13">INDEX('890XXX'!$X$5:$X$125,_xlfn.XMATCH('OpCo Cash Flow'!AP$3,'890XXX'!$G$5:$G$125))</f>
        <v>0</v>
      </c>
      <c r="AQ13" s="65" cm="1">
        <f t="array" ref="AQ13">INDEX('890XXX'!$X$5:$X$125,_xlfn.XMATCH('OpCo Cash Flow'!AQ$3,'890XXX'!$G$5:$G$125))</f>
        <v>0</v>
      </c>
      <c r="AR13" s="65" cm="1">
        <f t="array" ref="AR13">INDEX('890XXX'!$X$5:$X$125,_xlfn.XMATCH('OpCo Cash Flow'!AR$3,'890XXX'!$G$5:$G$125))</f>
        <v>0</v>
      </c>
      <c r="AS13" s="65" cm="1">
        <f t="array" ref="AS13">INDEX('890XXX'!$X$5:$X$125,_xlfn.XMATCH('OpCo Cash Flow'!AS$3,'890XXX'!$G$5:$G$125))</f>
        <v>0</v>
      </c>
      <c r="AT13" s="65" cm="1">
        <f t="array" ref="AT13">INDEX('890XXX'!$X$5:$X$125,_xlfn.XMATCH('OpCo Cash Flow'!AT$3,'890XXX'!$G$5:$G$125))</f>
        <v>0</v>
      </c>
      <c r="AU13" s="65" cm="1">
        <f t="array" ref="AU13">INDEX('890XXX'!$X$5:$X$125,_xlfn.XMATCH('OpCo Cash Flow'!AU$3,'890XXX'!$G$5:$G$125))</f>
        <v>0</v>
      </c>
      <c r="AV13" s="65" cm="1">
        <f t="array" ref="AV13">INDEX('890XXX'!$X$5:$X$125,_xlfn.XMATCH('OpCo Cash Flow'!AV$3,'890XXX'!$G$5:$G$125))</f>
        <v>0</v>
      </c>
      <c r="AW13" s="65" cm="1">
        <f t="array" ref="AW13">INDEX('890XXX'!$X$5:$X$125,_xlfn.XMATCH('OpCo Cash Flow'!AW$3,'890XXX'!$G$5:$G$125))</f>
        <v>0</v>
      </c>
      <c r="AX13" s="65" cm="1">
        <f t="array" ref="AX13">INDEX('890XXX'!$X$5:$X$125,_xlfn.XMATCH('OpCo Cash Flow'!AX$3,'890XXX'!$G$5:$G$125))</f>
        <v>0</v>
      </c>
      <c r="AY13" s="65" cm="1">
        <f t="array" ref="AY13">INDEX('890XXX'!$X$5:$X$125,_xlfn.XMATCH('OpCo Cash Flow'!AY$3,'890XXX'!$G$5:$G$125))</f>
        <v>0</v>
      </c>
      <c r="AZ13" s="65" cm="1">
        <f t="array" ref="AZ13">INDEX('890XXX'!$X$5:$X$125,_xlfn.XMATCH('OpCo Cash Flow'!AZ$3,'890XXX'!$G$5:$G$125))</f>
        <v>0</v>
      </c>
      <c r="BA13" s="65" cm="1">
        <f t="array" ref="BA13">INDEX('890XXX'!$X$5:$X$125,_xlfn.XMATCH('OpCo Cash Flow'!BA$3,'890XXX'!$G$5:$G$125))</f>
        <v>0</v>
      </c>
      <c r="BB13" s="65" cm="1">
        <f t="array" ref="BB13">INDEX('890XXX'!$X$5:$X$125,_xlfn.XMATCH('OpCo Cash Flow'!BB$3,'890XXX'!$G$5:$G$125))</f>
        <v>0</v>
      </c>
      <c r="BC13" s="65" cm="1">
        <f t="array" ref="BC13">INDEX('890XXX'!$X$5:$X$125,_xlfn.XMATCH('OpCo Cash Flow'!BC$3,'890XXX'!$G$5:$G$125))</f>
        <v>0</v>
      </c>
      <c r="BD13" s="65" cm="1">
        <f t="array" ref="BD13">INDEX('890XXX'!$X$5:$X$125,_xlfn.XMATCH('OpCo Cash Flow'!BD$3,'890XXX'!$G$5:$G$125))</f>
        <v>0</v>
      </c>
      <c r="BE13" s="65" cm="1">
        <f t="array" ref="BE13">INDEX('890XXX'!$X$5:$X$125,_xlfn.XMATCH('OpCo Cash Flow'!BE$3,'890XXX'!$G$5:$G$125))</f>
        <v>0</v>
      </c>
      <c r="BF13" s="65" cm="1">
        <f t="array" ref="BF13">INDEX('890XXX'!$X$5:$X$125,_xlfn.XMATCH('OpCo Cash Flow'!BF$3,'890XXX'!$G$5:$G$125))</f>
        <v>0</v>
      </c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</row>
    <row r="14" spans="2:95" outlineLevel="1">
      <c r="B14" s="114"/>
      <c r="C14" s="2">
        <v>892584</v>
      </c>
      <c r="D14" s="10">
        <f t="shared" si="6"/>
        <v>0</v>
      </c>
      <c r="E14" s="10">
        <f t="shared" si="6"/>
        <v>0</v>
      </c>
      <c r="F14" s="10">
        <f t="shared" si="6"/>
        <v>0</v>
      </c>
      <c r="G14" s="10">
        <f t="shared" si="6"/>
        <v>3000000</v>
      </c>
      <c r="H14" s="10">
        <f t="shared" si="6"/>
        <v>0</v>
      </c>
      <c r="J14" s="65" cm="1">
        <f t="array" ref="J14">INDEX('892XXX'!$X$5:$X$125,_xlfn.XMATCH('OpCo Cash Flow'!J$3,'892XXX'!$G$5:$G$125))</f>
        <v>0</v>
      </c>
      <c r="K14" s="65" cm="1">
        <f t="array" ref="K14">INDEX('892XXX'!$X$5:$X$125,_xlfn.XMATCH('OpCo Cash Flow'!K$3,'892XXX'!$G$5:$G$125))</f>
        <v>0</v>
      </c>
      <c r="L14" s="65" cm="1">
        <f t="array" ref="L14">INDEX('892XXX'!$X$5:$X$125,_xlfn.XMATCH('OpCo Cash Flow'!L$3,'892XXX'!$G$5:$G$125))</f>
        <v>0</v>
      </c>
      <c r="M14" s="65" cm="1">
        <f t="array" ref="M14">INDEX('892XXX'!$X$5:$X$125,_xlfn.XMATCH('OpCo Cash Flow'!M$3,'892XXX'!$G$5:$G$125))</f>
        <v>0</v>
      </c>
      <c r="N14" s="65" cm="1">
        <f t="array" ref="N14">INDEX('892XXX'!$X$5:$X$125,_xlfn.XMATCH('OpCo Cash Flow'!N$3,'892XXX'!$G$5:$G$125))</f>
        <v>0</v>
      </c>
      <c r="O14" s="65" cm="1">
        <f t="array" ref="O14">INDEX('892XXX'!$X$5:$X$125,_xlfn.XMATCH('OpCo Cash Flow'!O$3,'892XXX'!$G$5:$G$125))</f>
        <v>0</v>
      </c>
      <c r="P14" s="65" cm="1">
        <f t="array" ref="P14">INDEX('892XXX'!$X$5:$X$125,_xlfn.XMATCH('OpCo Cash Flow'!P$3,'892XXX'!$G$5:$G$125))</f>
        <v>0</v>
      </c>
      <c r="Q14" s="65" cm="1">
        <f t="array" ref="Q14">INDEX('892XXX'!$X$5:$X$125,_xlfn.XMATCH('OpCo Cash Flow'!Q$3,'892XXX'!$G$5:$G$125))</f>
        <v>0</v>
      </c>
      <c r="R14" s="65" cm="1">
        <f t="array" ref="R14">INDEX('892XXX'!$X$5:$X$125,_xlfn.XMATCH('OpCo Cash Flow'!R$3,'892XXX'!$G$5:$G$125))</f>
        <v>0</v>
      </c>
      <c r="S14" s="65" cm="1">
        <f t="array" ref="S14">INDEX('892XXX'!$X$5:$X$125,_xlfn.XMATCH('OpCo Cash Flow'!S$3,'892XXX'!$G$5:$G$125))</f>
        <v>0</v>
      </c>
      <c r="T14" s="65" cm="1">
        <f t="array" ref="T14">INDEX('892XXX'!$X$5:$X$125,_xlfn.XMATCH('OpCo Cash Flow'!T$3,'892XXX'!$G$5:$G$125))</f>
        <v>0</v>
      </c>
      <c r="U14" s="65" cm="1">
        <f t="array" ref="U14">INDEX('892XXX'!$X$5:$X$125,_xlfn.XMATCH('OpCo Cash Flow'!U$3,'892XXX'!$G$5:$G$125))</f>
        <v>0</v>
      </c>
      <c r="V14" s="65" cm="1">
        <f t="array" ref="V14">INDEX('892XXX'!$X$5:$X$125,_xlfn.XMATCH('OpCo Cash Flow'!V$3,'892XXX'!$G$5:$G$125))</f>
        <v>0</v>
      </c>
      <c r="W14" s="65" cm="1">
        <f t="array" ref="W14">INDEX('892XXX'!$X$5:$X$125,_xlfn.XMATCH('OpCo Cash Flow'!W$3,'892XXX'!$G$5:$G$125))</f>
        <v>0</v>
      </c>
      <c r="X14" s="65" cm="1">
        <f t="array" ref="X14">INDEX('892XXX'!$X$5:$X$125,_xlfn.XMATCH('OpCo Cash Flow'!X$3,'892XXX'!$G$5:$G$125))</f>
        <v>0</v>
      </c>
      <c r="Y14" s="65" cm="1">
        <f t="array" ref="Y14">INDEX('892XXX'!$X$5:$X$125,_xlfn.XMATCH('OpCo Cash Flow'!Y$3,'892XXX'!$G$5:$G$125))</f>
        <v>0</v>
      </c>
      <c r="Z14" s="65" cm="1">
        <f t="array" ref="Z14">INDEX('892XXX'!$X$5:$X$125,_xlfn.XMATCH('OpCo Cash Flow'!Z$3,'892XXX'!$G$5:$G$125))</f>
        <v>0</v>
      </c>
      <c r="AA14" s="65" cm="1">
        <f t="array" ref="AA14">INDEX('892XXX'!$X$5:$X$125,_xlfn.XMATCH('OpCo Cash Flow'!AA$3,'892XXX'!$G$5:$G$125))</f>
        <v>0</v>
      </c>
      <c r="AB14" s="65" cm="1">
        <f t="array" ref="AB14">INDEX('892XXX'!$X$5:$X$125,_xlfn.XMATCH('OpCo Cash Flow'!AB$3,'892XXX'!$G$5:$G$125))</f>
        <v>0</v>
      </c>
      <c r="AC14" s="65" cm="1">
        <f t="array" ref="AC14">INDEX('892XXX'!$X$5:$X$125,_xlfn.XMATCH('OpCo Cash Flow'!AC$3,'892XXX'!$G$5:$G$125))</f>
        <v>0</v>
      </c>
      <c r="AD14" s="65" cm="1">
        <f t="array" ref="AD14">INDEX('892XXX'!$X$5:$X$125,_xlfn.XMATCH('OpCo Cash Flow'!AD$3,'892XXX'!$G$5:$G$125))</f>
        <v>0</v>
      </c>
      <c r="AE14" s="65" cm="1">
        <f t="array" ref="AE14">INDEX('892XXX'!$X$5:$X$125,_xlfn.XMATCH('OpCo Cash Flow'!AE$3,'892XXX'!$G$5:$G$125))</f>
        <v>0</v>
      </c>
      <c r="AF14" s="65" cm="1">
        <f t="array" ref="AF14">INDEX('892XXX'!$X$5:$X$125,_xlfn.XMATCH('OpCo Cash Flow'!AF$3,'892XXX'!$G$5:$G$125))</f>
        <v>0</v>
      </c>
      <c r="AG14" s="65" cm="1">
        <f t="array" ref="AG14">INDEX('892XXX'!$X$5:$X$125,_xlfn.XMATCH('OpCo Cash Flow'!AG$3,'892XXX'!$G$5:$G$125))</f>
        <v>0</v>
      </c>
      <c r="AH14" s="65" cm="1">
        <f t="array" ref="AH14">INDEX('892XXX'!$X$5:$X$125,_xlfn.XMATCH('OpCo Cash Flow'!AH$3,'892XXX'!$G$5:$G$125))</f>
        <v>0</v>
      </c>
      <c r="AI14" s="65" cm="1">
        <f t="array" ref="AI14">INDEX('892XXX'!$X$5:$X$125,_xlfn.XMATCH('OpCo Cash Flow'!AI$3,'892XXX'!$G$5:$G$125))</f>
        <v>3000000</v>
      </c>
      <c r="AJ14" s="65" cm="1">
        <f t="array" ref="AJ14">INDEX('892XXX'!$X$5:$X$125,_xlfn.XMATCH('OpCo Cash Flow'!AJ$3,'892XXX'!$G$5:$G$125))</f>
        <v>0</v>
      </c>
      <c r="AK14" s="65" cm="1">
        <f t="array" ref="AK14">INDEX('892XXX'!$X$5:$X$125,_xlfn.XMATCH('OpCo Cash Flow'!AK$3,'892XXX'!$G$5:$G$125))</f>
        <v>0</v>
      </c>
      <c r="AL14" s="65" cm="1">
        <f t="array" ref="AL14">INDEX('892XXX'!$X$5:$X$125,_xlfn.XMATCH('OpCo Cash Flow'!AL$3,'892XXX'!$G$5:$G$125))</f>
        <v>0</v>
      </c>
      <c r="AM14" s="65" cm="1">
        <f t="array" ref="AM14">INDEX('892XXX'!$X$5:$X$125,_xlfn.XMATCH('OpCo Cash Flow'!AM$3,'892XXX'!$G$5:$G$125))</f>
        <v>0</v>
      </c>
      <c r="AN14" s="65" cm="1">
        <f t="array" ref="AN14">INDEX('892XXX'!$X$5:$X$125,_xlfn.XMATCH('OpCo Cash Flow'!AN$3,'892XXX'!$G$5:$G$125))</f>
        <v>0</v>
      </c>
      <c r="AO14" s="65" cm="1">
        <f t="array" ref="AO14">INDEX('892XXX'!$X$5:$X$125,_xlfn.XMATCH('OpCo Cash Flow'!AO$3,'892XXX'!$G$5:$G$125))</f>
        <v>0</v>
      </c>
      <c r="AP14" s="65" cm="1">
        <f t="array" ref="AP14">INDEX('892XXX'!$X$5:$X$125,_xlfn.XMATCH('OpCo Cash Flow'!AP$3,'892XXX'!$G$5:$G$125))</f>
        <v>0</v>
      </c>
      <c r="AQ14" s="65" cm="1">
        <f t="array" ref="AQ14">INDEX('892XXX'!$X$5:$X$125,_xlfn.XMATCH('OpCo Cash Flow'!AQ$3,'892XXX'!$G$5:$G$125))</f>
        <v>0</v>
      </c>
      <c r="AR14" s="65" cm="1">
        <f t="array" ref="AR14">INDEX('892XXX'!$X$5:$X$125,_xlfn.XMATCH('OpCo Cash Flow'!AR$3,'892XXX'!$G$5:$G$125))</f>
        <v>0</v>
      </c>
      <c r="AS14" s="65" cm="1">
        <f t="array" ref="AS14">INDEX('892XXX'!$X$5:$X$125,_xlfn.XMATCH('OpCo Cash Flow'!AS$3,'892XXX'!$G$5:$G$125))</f>
        <v>0</v>
      </c>
      <c r="AT14" s="65" cm="1">
        <f t="array" ref="AT14">INDEX('892XXX'!$X$5:$X$125,_xlfn.XMATCH('OpCo Cash Flow'!AT$3,'892XXX'!$G$5:$G$125))</f>
        <v>0</v>
      </c>
      <c r="AU14" s="65" cm="1">
        <f t="array" ref="AU14">INDEX('892XXX'!$X$5:$X$125,_xlfn.XMATCH('OpCo Cash Flow'!AU$3,'892XXX'!$G$5:$G$125))</f>
        <v>0</v>
      </c>
      <c r="AV14" s="65" cm="1">
        <f t="array" ref="AV14">INDEX('892XXX'!$X$5:$X$125,_xlfn.XMATCH('OpCo Cash Flow'!AV$3,'892XXX'!$G$5:$G$125))</f>
        <v>0</v>
      </c>
      <c r="AW14" s="65" cm="1">
        <f t="array" ref="AW14">INDEX('892XXX'!$X$5:$X$125,_xlfn.XMATCH('OpCo Cash Flow'!AW$3,'892XXX'!$G$5:$G$125))</f>
        <v>0</v>
      </c>
      <c r="AX14" s="65" cm="1">
        <f t="array" ref="AX14">INDEX('892XXX'!$X$5:$X$125,_xlfn.XMATCH('OpCo Cash Flow'!AX$3,'892XXX'!$G$5:$G$125))</f>
        <v>0</v>
      </c>
      <c r="AY14" s="65" cm="1">
        <f t="array" ref="AY14">INDEX('892XXX'!$X$5:$X$125,_xlfn.XMATCH('OpCo Cash Flow'!AY$3,'892XXX'!$G$5:$G$125))</f>
        <v>0</v>
      </c>
      <c r="AZ14" s="65" cm="1">
        <f t="array" ref="AZ14">INDEX('892XXX'!$X$5:$X$125,_xlfn.XMATCH('OpCo Cash Flow'!AZ$3,'892XXX'!$G$5:$G$125))</f>
        <v>0</v>
      </c>
      <c r="BA14" s="65" cm="1">
        <f t="array" ref="BA14">INDEX('892XXX'!$X$5:$X$125,_xlfn.XMATCH('OpCo Cash Flow'!BA$3,'892XXX'!$G$5:$G$125))</f>
        <v>0</v>
      </c>
      <c r="BB14" s="65" cm="1">
        <f t="array" ref="BB14">INDEX('892XXX'!$X$5:$X$125,_xlfn.XMATCH('OpCo Cash Flow'!BB$3,'892XXX'!$G$5:$G$125))</f>
        <v>0</v>
      </c>
      <c r="BC14" s="65" cm="1">
        <f t="array" ref="BC14">INDEX('892XXX'!$X$5:$X$125,_xlfn.XMATCH('OpCo Cash Flow'!BC$3,'892XXX'!$G$5:$G$125))</f>
        <v>0</v>
      </c>
      <c r="BD14" s="65" cm="1">
        <f t="array" ref="BD14">INDEX('892XXX'!$X$5:$X$125,_xlfn.XMATCH('OpCo Cash Flow'!BD$3,'892XXX'!$G$5:$G$125))</f>
        <v>0</v>
      </c>
      <c r="BE14" s="65" cm="1">
        <f t="array" ref="BE14">INDEX('892XXX'!$X$5:$X$125,_xlfn.XMATCH('OpCo Cash Flow'!BE$3,'892XXX'!$G$5:$G$125))</f>
        <v>0</v>
      </c>
      <c r="BF14" s="65" cm="1">
        <f t="array" ref="BF14">INDEX('892XXX'!$X$5:$X$125,_xlfn.XMATCH('OpCo Cash Flow'!BF$3,'892XXX'!$G$5:$G$125))</f>
        <v>0</v>
      </c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</row>
    <row r="15" spans="2:95" outlineLevel="1">
      <c r="B15" s="113"/>
      <c r="C15" s="14"/>
      <c r="D15" s="15"/>
      <c r="E15" s="15"/>
      <c r="F15" s="15"/>
      <c r="G15" s="15"/>
      <c r="H15" s="15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</row>
    <row r="16" spans="2:95" ht="14.65" customHeight="1">
      <c r="B16" s="113"/>
      <c r="C16" s="184" t="s">
        <v>22</v>
      </c>
      <c r="D16" s="10">
        <f>SUM(D13:D15)</f>
        <v>0</v>
      </c>
      <c r="E16" s="10">
        <f t="shared" ref="E16:H16" si="7">SUM(E13:E15)</f>
        <v>0</v>
      </c>
      <c r="F16" s="10">
        <f t="shared" si="7"/>
        <v>3000000</v>
      </c>
      <c r="G16" s="10">
        <f t="shared" si="7"/>
        <v>3000000</v>
      </c>
      <c r="H16" s="10">
        <f t="shared" si="7"/>
        <v>0</v>
      </c>
      <c r="J16" s="65">
        <f>SUM(J13:J15)</f>
        <v>0</v>
      </c>
      <c r="K16" s="65">
        <f t="shared" ref="K16:BF16" si="8">SUM(K13:K15)</f>
        <v>0</v>
      </c>
      <c r="L16" s="65">
        <f t="shared" si="8"/>
        <v>0</v>
      </c>
      <c r="M16" s="65">
        <f t="shared" si="8"/>
        <v>0</v>
      </c>
      <c r="N16" s="65">
        <f t="shared" si="8"/>
        <v>0</v>
      </c>
      <c r="O16" s="65">
        <f t="shared" si="8"/>
        <v>0</v>
      </c>
      <c r="P16" s="65">
        <f t="shared" si="8"/>
        <v>0</v>
      </c>
      <c r="Q16" s="65">
        <f t="shared" si="8"/>
        <v>0</v>
      </c>
      <c r="R16" s="65">
        <f t="shared" si="8"/>
        <v>0</v>
      </c>
      <c r="S16" s="65">
        <f t="shared" si="8"/>
        <v>0</v>
      </c>
      <c r="T16" s="65">
        <f t="shared" si="8"/>
        <v>0</v>
      </c>
      <c r="U16" s="65">
        <f t="shared" si="8"/>
        <v>0</v>
      </c>
      <c r="V16" s="65">
        <f t="shared" si="8"/>
        <v>0</v>
      </c>
      <c r="W16" s="65">
        <f t="shared" si="8"/>
        <v>0</v>
      </c>
      <c r="X16" s="65">
        <f t="shared" si="8"/>
        <v>0</v>
      </c>
      <c r="Y16" s="65">
        <f t="shared" si="8"/>
        <v>0</v>
      </c>
      <c r="Z16" s="65">
        <f t="shared" si="8"/>
        <v>0</v>
      </c>
      <c r="AA16" s="65">
        <f t="shared" si="8"/>
        <v>0</v>
      </c>
      <c r="AB16" s="65">
        <f t="shared" si="8"/>
        <v>0</v>
      </c>
      <c r="AC16" s="65">
        <f t="shared" si="8"/>
        <v>0</v>
      </c>
      <c r="AD16" s="65">
        <f t="shared" si="8"/>
        <v>0</v>
      </c>
      <c r="AE16" s="65">
        <f t="shared" si="8"/>
        <v>0</v>
      </c>
      <c r="AF16" s="65">
        <f t="shared" si="8"/>
        <v>0</v>
      </c>
      <c r="AG16" s="65">
        <f t="shared" si="8"/>
        <v>3000000</v>
      </c>
      <c r="AH16" s="65">
        <f t="shared" si="8"/>
        <v>0</v>
      </c>
      <c r="AI16" s="65">
        <f t="shared" si="8"/>
        <v>3000000</v>
      </c>
      <c r="AJ16" s="65">
        <f t="shared" si="8"/>
        <v>0</v>
      </c>
      <c r="AK16" s="65">
        <f t="shared" si="8"/>
        <v>0</v>
      </c>
      <c r="AL16" s="65">
        <f t="shared" si="8"/>
        <v>0</v>
      </c>
      <c r="AM16" s="65">
        <f t="shared" si="8"/>
        <v>0</v>
      </c>
      <c r="AN16" s="65">
        <f t="shared" si="8"/>
        <v>0</v>
      </c>
      <c r="AO16" s="65">
        <f t="shared" si="8"/>
        <v>0</v>
      </c>
      <c r="AP16" s="65">
        <f t="shared" si="8"/>
        <v>0</v>
      </c>
      <c r="AQ16" s="65">
        <f t="shared" si="8"/>
        <v>0</v>
      </c>
      <c r="AR16" s="65">
        <f t="shared" si="8"/>
        <v>0</v>
      </c>
      <c r="AS16" s="65">
        <f t="shared" si="8"/>
        <v>0</v>
      </c>
      <c r="AT16" s="65">
        <f t="shared" si="8"/>
        <v>0</v>
      </c>
      <c r="AU16" s="65">
        <f t="shared" si="8"/>
        <v>0</v>
      </c>
      <c r="AV16" s="65">
        <f t="shared" si="8"/>
        <v>0</v>
      </c>
      <c r="AW16" s="65">
        <f t="shared" si="8"/>
        <v>0</v>
      </c>
      <c r="AX16" s="65">
        <f t="shared" si="8"/>
        <v>0</v>
      </c>
      <c r="AY16" s="65">
        <f t="shared" si="8"/>
        <v>0</v>
      </c>
      <c r="AZ16" s="65">
        <f t="shared" si="8"/>
        <v>0</v>
      </c>
      <c r="BA16" s="65">
        <f t="shared" si="8"/>
        <v>0</v>
      </c>
      <c r="BB16" s="65">
        <f t="shared" si="8"/>
        <v>0</v>
      </c>
      <c r="BC16" s="65">
        <f t="shared" si="8"/>
        <v>0</v>
      </c>
      <c r="BD16" s="65">
        <f t="shared" si="8"/>
        <v>0</v>
      </c>
      <c r="BE16" s="65">
        <f t="shared" si="8"/>
        <v>0</v>
      </c>
      <c r="BF16" s="65">
        <f t="shared" si="8"/>
        <v>0</v>
      </c>
    </row>
    <row r="17" spans="2:92" ht="14.65" customHeight="1">
      <c r="B17" s="113"/>
      <c r="C17" s="182"/>
    </row>
    <row r="18" spans="2:92" outlineLevel="1">
      <c r="B18" s="114" t="s">
        <v>4</v>
      </c>
      <c r="C18" s="182"/>
    </row>
    <row r="19" spans="2:92" outlineLevel="1">
      <c r="B19" s="115" t="s">
        <v>23</v>
      </c>
      <c r="C19" s="184"/>
    </row>
    <row r="20" spans="2:92" outlineLevel="1">
      <c r="B20" s="116"/>
      <c r="C20" s="184" t="s">
        <v>24</v>
      </c>
      <c r="D20" s="10">
        <f t="shared" ref="D20:H22" si="9">SUMIFS($J20:$BF20,$J$3:$BF$3,"&lt;="&amp;D$3,$J$3:$BF$3,"&gt;"&amp;EOMONTH(D$3,-12))</f>
        <v>0</v>
      </c>
      <c r="E20" s="10">
        <f t="shared" si="9"/>
        <v>990000</v>
      </c>
      <c r="F20" s="10">
        <f t="shared" si="9"/>
        <v>900000</v>
      </c>
      <c r="G20" s="10">
        <f t="shared" si="9"/>
        <v>0</v>
      </c>
      <c r="H20" s="10">
        <f t="shared" si="9"/>
        <v>0</v>
      </c>
      <c r="I20">
        <v>1</v>
      </c>
      <c r="J20" s="65"/>
      <c r="K20" s="65" cm="1">
        <f t="array" ref="K20">INDEX('890XXX'!$S$5:$U$125,_xlfn.XMATCH('OpCo Cash Flow'!K$3,'890XXX'!$G$5:$G$125),'OpCo Cash Flow'!$I20)</f>
        <v>90000</v>
      </c>
      <c r="L20" s="65" cm="1">
        <f t="array" ref="L20">INDEX('890XXX'!$S$5:$U$125,_xlfn.XMATCH('OpCo Cash Flow'!L$3,'890XXX'!$G$5:$G$125),'OpCo Cash Flow'!$I20)</f>
        <v>90000</v>
      </c>
      <c r="M20" s="65" cm="1">
        <f t="array" ref="M20">INDEX('890XXX'!$S$5:$U$125,_xlfn.XMATCH('OpCo Cash Flow'!M$3,'890XXX'!$G$5:$G$125),'OpCo Cash Flow'!$I20)</f>
        <v>90000</v>
      </c>
      <c r="N20" s="65" cm="1">
        <f t="array" ref="N20">INDEX('890XXX'!$S$5:$U$125,_xlfn.XMATCH('OpCo Cash Flow'!N$3,'890XXX'!$G$5:$G$125),'OpCo Cash Flow'!$I20)</f>
        <v>90000</v>
      </c>
      <c r="O20" s="65" cm="1">
        <f t="array" ref="O20">INDEX('890XXX'!$S$5:$U$125,_xlfn.XMATCH('OpCo Cash Flow'!O$3,'890XXX'!$G$5:$G$125),'OpCo Cash Flow'!$I20)</f>
        <v>90000</v>
      </c>
      <c r="P20" s="65" cm="1">
        <f t="array" ref="P20">INDEX('890XXX'!$S$5:$U$125,_xlfn.XMATCH('OpCo Cash Flow'!P$3,'890XXX'!$G$5:$G$125),'OpCo Cash Flow'!$I20)</f>
        <v>90000</v>
      </c>
      <c r="Q20" s="65" cm="1">
        <f t="array" ref="Q20">INDEX('890XXX'!$S$5:$U$125,_xlfn.XMATCH('OpCo Cash Flow'!Q$3,'890XXX'!$G$5:$G$125),'OpCo Cash Flow'!$I20)</f>
        <v>90000</v>
      </c>
      <c r="R20" s="65" cm="1">
        <f t="array" ref="R20">INDEX('890XXX'!$S$5:$U$125,_xlfn.XMATCH('OpCo Cash Flow'!R$3,'890XXX'!$G$5:$G$125),'OpCo Cash Flow'!$I20)</f>
        <v>90000</v>
      </c>
      <c r="S20" s="65" cm="1">
        <f t="array" ref="S20">INDEX('890XXX'!$S$5:$U$125,_xlfn.XMATCH('OpCo Cash Flow'!S$3,'890XXX'!$G$5:$G$125),'OpCo Cash Flow'!$I20)</f>
        <v>90000</v>
      </c>
      <c r="T20" s="65" cm="1">
        <f t="array" ref="T20">INDEX('890XXX'!$S$5:$U$125,_xlfn.XMATCH('OpCo Cash Flow'!T$3,'890XXX'!$G$5:$G$125),'OpCo Cash Flow'!$I20)</f>
        <v>90000</v>
      </c>
      <c r="U20" s="65" cm="1">
        <f t="array" ref="U20">INDEX('890XXX'!$S$5:$U$125,_xlfn.XMATCH('OpCo Cash Flow'!U$3,'890XXX'!$G$5:$G$125),'OpCo Cash Flow'!$I20)</f>
        <v>90000</v>
      </c>
      <c r="V20" s="65" cm="1">
        <f t="array" ref="V20">INDEX('890XXX'!$S$5:$U$125,_xlfn.XMATCH('OpCo Cash Flow'!V$3,'890XXX'!$G$5:$G$125),'OpCo Cash Flow'!$I20)</f>
        <v>90000</v>
      </c>
      <c r="W20" s="65" cm="1">
        <f t="array" ref="W20">INDEX('890XXX'!$S$5:$U$125,_xlfn.XMATCH('OpCo Cash Flow'!W$3,'890XXX'!$G$5:$G$125),'OpCo Cash Flow'!$I20)</f>
        <v>90000</v>
      </c>
      <c r="X20" s="65" cm="1">
        <f t="array" ref="X20">INDEX('890XXX'!$S$5:$U$125,_xlfn.XMATCH('OpCo Cash Flow'!X$3,'890XXX'!$G$5:$G$125),'OpCo Cash Flow'!$I20)</f>
        <v>90000</v>
      </c>
      <c r="Y20" s="65" cm="1">
        <f t="array" ref="Y20">INDEX('890XXX'!$S$5:$U$125,_xlfn.XMATCH('OpCo Cash Flow'!Y$3,'890XXX'!$G$5:$G$125),'OpCo Cash Flow'!$I20)</f>
        <v>90000</v>
      </c>
      <c r="Z20" s="65" cm="1">
        <f t="array" ref="Z20">INDEX('890XXX'!$S$5:$U$125,_xlfn.XMATCH('OpCo Cash Flow'!Z$3,'890XXX'!$G$5:$G$125),'OpCo Cash Flow'!$I20)</f>
        <v>90000</v>
      </c>
      <c r="AA20" s="65" cm="1">
        <f t="array" ref="AA20">INDEX('890XXX'!$S$5:$U$125,_xlfn.XMATCH('OpCo Cash Flow'!AA$3,'890XXX'!$G$5:$G$125),'OpCo Cash Flow'!$I20)</f>
        <v>90000</v>
      </c>
      <c r="AB20" s="65" cm="1">
        <f t="array" ref="AB20">INDEX('890XXX'!$S$5:$U$125,_xlfn.XMATCH('OpCo Cash Flow'!AB$3,'890XXX'!$G$5:$G$125),'OpCo Cash Flow'!$I20)</f>
        <v>90000</v>
      </c>
      <c r="AC20" s="65" cm="1">
        <f t="array" ref="AC20">INDEX('890XXX'!$S$5:$U$125,_xlfn.XMATCH('OpCo Cash Flow'!AC$3,'890XXX'!$G$5:$G$125),'OpCo Cash Flow'!$I20)</f>
        <v>90000</v>
      </c>
      <c r="AD20" s="65" cm="1">
        <f t="array" ref="AD20">INDEX('890XXX'!$S$5:$U$125,_xlfn.XMATCH('OpCo Cash Flow'!AD$3,'890XXX'!$G$5:$G$125),'OpCo Cash Flow'!$I20)</f>
        <v>90000</v>
      </c>
      <c r="AE20" s="65" cm="1">
        <f t="array" ref="AE20">INDEX('890XXX'!$S$5:$U$125,_xlfn.XMATCH('OpCo Cash Flow'!AE$3,'890XXX'!$G$5:$G$125),'OpCo Cash Flow'!$I20)</f>
        <v>90000</v>
      </c>
      <c r="AF20" s="65" cm="1">
        <f t="array" ref="AF20">INDEX('890XXX'!$S$5:$U$125,_xlfn.XMATCH('OpCo Cash Flow'!AF$3,'890XXX'!$G$5:$G$125),'OpCo Cash Flow'!$I20)</f>
        <v>0</v>
      </c>
      <c r="AG20" s="65" cm="1">
        <f t="array" ref="AG20">INDEX('890XXX'!$S$5:$U$125,_xlfn.XMATCH('OpCo Cash Flow'!AG$3,'890XXX'!$G$5:$G$125),'OpCo Cash Flow'!$I20)</f>
        <v>0</v>
      </c>
      <c r="AH20" s="65" cm="1">
        <f t="array" ref="AH20">INDEX('890XXX'!$S$5:$U$125,_xlfn.XMATCH('OpCo Cash Flow'!AH$3,'890XXX'!$G$5:$G$125),'OpCo Cash Flow'!$I20)</f>
        <v>0</v>
      </c>
      <c r="AI20" s="65" cm="1">
        <f t="array" ref="AI20">INDEX('890XXX'!$S$5:$U$125,_xlfn.XMATCH('OpCo Cash Flow'!AI$3,'890XXX'!$G$5:$G$125),'OpCo Cash Flow'!$I20)</f>
        <v>0</v>
      </c>
      <c r="AJ20" s="65" cm="1">
        <f t="array" ref="AJ20">INDEX('890XXX'!$S$5:$U$125,_xlfn.XMATCH('OpCo Cash Flow'!AJ$3,'890XXX'!$G$5:$G$125),'OpCo Cash Flow'!$I20)</f>
        <v>0</v>
      </c>
      <c r="AK20" s="65" cm="1">
        <f t="array" ref="AK20">INDEX('890XXX'!$S$5:$U$125,_xlfn.XMATCH('OpCo Cash Flow'!AK$3,'890XXX'!$G$5:$G$125),'OpCo Cash Flow'!$I20)</f>
        <v>0</v>
      </c>
      <c r="AL20" s="65" cm="1">
        <f t="array" ref="AL20">INDEX('890XXX'!$S$5:$U$125,_xlfn.XMATCH('OpCo Cash Flow'!AL$3,'890XXX'!$G$5:$G$125),'OpCo Cash Flow'!$I20)</f>
        <v>0</v>
      </c>
      <c r="AM20" s="65" cm="1">
        <f t="array" ref="AM20">INDEX('890XXX'!$S$5:$U$125,_xlfn.XMATCH('OpCo Cash Flow'!AM$3,'890XXX'!$G$5:$G$125),'OpCo Cash Flow'!$I20)</f>
        <v>0</v>
      </c>
      <c r="AN20" s="65" cm="1">
        <f t="array" ref="AN20">INDEX('890XXX'!$S$5:$U$125,_xlfn.XMATCH('OpCo Cash Flow'!AN$3,'890XXX'!$G$5:$G$125),'OpCo Cash Flow'!$I20)</f>
        <v>0</v>
      </c>
      <c r="AO20" s="65" cm="1">
        <f t="array" ref="AO20">INDEX('890XXX'!$S$5:$U$125,_xlfn.XMATCH('OpCo Cash Flow'!AO$3,'890XXX'!$G$5:$G$125),'OpCo Cash Flow'!$I20)</f>
        <v>0</v>
      </c>
      <c r="AP20" s="65" cm="1">
        <f t="array" ref="AP20">INDEX('890XXX'!$S$5:$U$125,_xlfn.XMATCH('OpCo Cash Flow'!AP$3,'890XXX'!$G$5:$G$125),'OpCo Cash Flow'!$I20)</f>
        <v>0</v>
      </c>
      <c r="AQ20" s="65" cm="1">
        <f t="array" ref="AQ20">INDEX('890XXX'!$S$5:$U$125,_xlfn.XMATCH('OpCo Cash Flow'!AQ$3,'890XXX'!$G$5:$G$125),'OpCo Cash Flow'!$I20)</f>
        <v>0</v>
      </c>
      <c r="AR20" s="65" cm="1">
        <f t="array" ref="AR20">INDEX('890XXX'!$S$5:$U$125,_xlfn.XMATCH('OpCo Cash Flow'!AR$3,'890XXX'!$G$5:$G$125),'OpCo Cash Flow'!$I20)</f>
        <v>0</v>
      </c>
      <c r="AS20" s="65" cm="1">
        <f t="array" ref="AS20">INDEX('890XXX'!$S$5:$U$125,_xlfn.XMATCH('OpCo Cash Flow'!AS$3,'890XXX'!$G$5:$G$125),'OpCo Cash Flow'!$I20)</f>
        <v>0</v>
      </c>
      <c r="AT20" s="65" cm="1">
        <f t="array" ref="AT20">INDEX('890XXX'!$S$5:$U$125,_xlfn.XMATCH('OpCo Cash Flow'!AT$3,'890XXX'!$G$5:$G$125),'OpCo Cash Flow'!$I20)</f>
        <v>0</v>
      </c>
      <c r="AU20" s="65" cm="1">
        <f t="array" ref="AU20">INDEX('890XXX'!$S$5:$U$125,_xlfn.XMATCH('OpCo Cash Flow'!AU$3,'890XXX'!$G$5:$G$125),'OpCo Cash Flow'!$I20)</f>
        <v>0</v>
      </c>
      <c r="AV20" s="65" cm="1">
        <f t="array" ref="AV20">INDEX('890XXX'!$S$5:$U$125,_xlfn.XMATCH('OpCo Cash Flow'!AV$3,'890XXX'!$G$5:$G$125),'OpCo Cash Flow'!$I20)</f>
        <v>0</v>
      </c>
      <c r="AW20" s="65" cm="1">
        <f t="array" ref="AW20">INDEX('890XXX'!$S$5:$U$125,_xlfn.XMATCH('OpCo Cash Flow'!AW$3,'890XXX'!$G$5:$G$125),'OpCo Cash Flow'!$I20)</f>
        <v>0</v>
      </c>
      <c r="AX20" s="65" cm="1">
        <f t="array" ref="AX20">INDEX('890XXX'!$S$5:$U$125,_xlfn.XMATCH('OpCo Cash Flow'!AX$3,'890XXX'!$G$5:$G$125),'OpCo Cash Flow'!$I20)</f>
        <v>0</v>
      </c>
      <c r="AY20" s="65" cm="1">
        <f t="array" ref="AY20">INDEX('890XXX'!$S$5:$U$125,_xlfn.XMATCH('OpCo Cash Flow'!AY$3,'890XXX'!$G$5:$G$125),'OpCo Cash Flow'!$I20)</f>
        <v>0</v>
      </c>
      <c r="AZ20" s="65" cm="1">
        <f t="array" ref="AZ20">INDEX('890XXX'!$S$5:$U$125,_xlfn.XMATCH('OpCo Cash Flow'!AZ$3,'890XXX'!$G$5:$G$125),'OpCo Cash Flow'!$I20)</f>
        <v>0</v>
      </c>
      <c r="BA20" s="65" cm="1">
        <f t="array" ref="BA20">INDEX('890XXX'!$S$5:$U$125,_xlfn.XMATCH('OpCo Cash Flow'!BA$3,'890XXX'!$G$5:$G$125),'OpCo Cash Flow'!$I20)</f>
        <v>0</v>
      </c>
      <c r="BB20" s="65" cm="1">
        <f t="array" ref="BB20">INDEX('890XXX'!$S$5:$U$125,_xlfn.XMATCH('OpCo Cash Flow'!BB$3,'890XXX'!$G$5:$G$125),'OpCo Cash Flow'!$I20)</f>
        <v>0</v>
      </c>
      <c r="BC20" s="65" cm="1">
        <f t="array" ref="BC20">INDEX('890XXX'!$S$5:$U$125,_xlfn.XMATCH('OpCo Cash Flow'!BC$3,'890XXX'!$G$5:$G$125),'OpCo Cash Flow'!$I20)</f>
        <v>0</v>
      </c>
      <c r="BD20" s="65" cm="1">
        <f t="array" ref="BD20">INDEX('890XXX'!$S$5:$U$125,_xlfn.XMATCH('OpCo Cash Flow'!BD$3,'890XXX'!$G$5:$G$125),'OpCo Cash Flow'!$I20)</f>
        <v>0</v>
      </c>
      <c r="BE20" s="65" cm="1">
        <f t="array" ref="BE20">INDEX('890XXX'!$S$5:$U$125,_xlfn.XMATCH('OpCo Cash Flow'!BE$3,'890XXX'!$G$5:$G$125),'OpCo Cash Flow'!$I20)</f>
        <v>0</v>
      </c>
      <c r="BF20" s="65" cm="1">
        <f t="array" ref="BF20">INDEX('890XXX'!$S$5:$U$125,_xlfn.XMATCH('OpCo Cash Flow'!BF$3,'890XXX'!$G$5:$G$125),'OpCo Cash Flow'!$I20)</f>
        <v>0</v>
      </c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</row>
    <row r="21" spans="2:92" outlineLevel="1">
      <c r="B21" s="116"/>
      <c r="C21" s="184" t="s">
        <v>25</v>
      </c>
      <c r="D21" s="10">
        <f t="shared" si="9"/>
        <v>0</v>
      </c>
      <c r="E21" s="10">
        <f t="shared" si="9"/>
        <v>352689.33333333331</v>
      </c>
      <c r="F21" s="10">
        <f t="shared" si="9"/>
        <v>308858</v>
      </c>
      <c r="G21" s="10">
        <f t="shared" si="9"/>
        <v>0</v>
      </c>
      <c r="H21" s="10">
        <f t="shared" si="9"/>
        <v>0</v>
      </c>
      <c r="I21">
        <v>2</v>
      </c>
      <c r="J21" s="65"/>
      <c r="K21" s="65" cm="1">
        <f t="array" ref="K21">INDEX('890XXX'!$S$5:$U$125,_xlfn.XMATCH('OpCo Cash Flow'!K$3,'890XXX'!$G$5:$G$125),'OpCo Cash Flow'!$I21)</f>
        <v>32062.666666666664</v>
      </c>
      <c r="L21" s="65" cm="1">
        <f t="array" ref="L21">INDEX('890XXX'!$S$5:$U$125,_xlfn.XMATCH('OpCo Cash Flow'!L$3,'890XXX'!$G$5:$G$125),'OpCo Cash Flow'!$I21)</f>
        <v>32062.666666666664</v>
      </c>
      <c r="M21" s="65" cm="1">
        <f t="array" ref="M21">INDEX('890XXX'!$S$5:$U$125,_xlfn.XMATCH('OpCo Cash Flow'!M$3,'890XXX'!$G$5:$G$125),'OpCo Cash Flow'!$I21)</f>
        <v>32062.666666666664</v>
      </c>
      <c r="N21" s="65" cm="1">
        <f t="array" ref="N21">INDEX('890XXX'!$S$5:$U$125,_xlfn.XMATCH('OpCo Cash Flow'!N$3,'890XXX'!$G$5:$G$125),'OpCo Cash Flow'!$I21)</f>
        <v>32062.666666666664</v>
      </c>
      <c r="O21" s="65" cm="1">
        <f t="array" ref="O21">INDEX('890XXX'!$S$5:$U$125,_xlfn.XMATCH('OpCo Cash Flow'!O$3,'890XXX'!$G$5:$G$125),'OpCo Cash Flow'!$I21)</f>
        <v>32062.666666666664</v>
      </c>
      <c r="P21" s="65" cm="1">
        <f t="array" ref="P21">INDEX('890XXX'!$S$5:$U$125,_xlfn.XMATCH('OpCo Cash Flow'!P$3,'890XXX'!$G$5:$G$125),'OpCo Cash Flow'!$I21)</f>
        <v>32062.666666666664</v>
      </c>
      <c r="Q21" s="65" cm="1">
        <f t="array" ref="Q21">INDEX('890XXX'!$S$5:$U$125,_xlfn.XMATCH('OpCo Cash Flow'!Q$3,'890XXX'!$G$5:$G$125),'OpCo Cash Flow'!$I21)</f>
        <v>32062.666666666664</v>
      </c>
      <c r="R21" s="65" cm="1">
        <f t="array" ref="R21">INDEX('890XXX'!$S$5:$U$125,_xlfn.XMATCH('OpCo Cash Flow'!R$3,'890XXX'!$G$5:$G$125),'OpCo Cash Flow'!$I21)</f>
        <v>32062.666666666664</v>
      </c>
      <c r="S21" s="65" cm="1">
        <f t="array" ref="S21">INDEX('890XXX'!$S$5:$U$125,_xlfn.XMATCH('OpCo Cash Flow'!S$3,'890XXX'!$G$5:$G$125),'OpCo Cash Flow'!$I21)</f>
        <v>32062.666666666664</v>
      </c>
      <c r="T21" s="65" cm="1">
        <f t="array" ref="T21">INDEX('890XXX'!$S$5:$U$125,_xlfn.XMATCH('OpCo Cash Flow'!T$3,'890XXX'!$G$5:$G$125),'OpCo Cash Flow'!$I21)</f>
        <v>32062.666666666664</v>
      </c>
      <c r="U21" s="65" cm="1">
        <f t="array" ref="U21">INDEX('890XXX'!$S$5:$U$125,_xlfn.XMATCH('OpCo Cash Flow'!U$3,'890XXX'!$G$5:$G$125),'OpCo Cash Flow'!$I21)</f>
        <v>32062.666666666664</v>
      </c>
      <c r="V21" s="65" cm="1">
        <f t="array" ref="V21">INDEX('890XXX'!$S$5:$U$125,_xlfn.XMATCH('OpCo Cash Flow'!V$3,'890XXX'!$G$5:$G$125),'OpCo Cash Flow'!$I21)</f>
        <v>32062.666666666664</v>
      </c>
      <c r="W21" s="65" cm="1">
        <f t="array" ref="W21">INDEX('890XXX'!$S$5:$U$125,_xlfn.XMATCH('OpCo Cash Flow'!W$3,'890XXX'!$G$5:$G$125),'OpCo Cash Flow'!$I21)</f>
        <v>32062.666666666664</v>
      </c>
      <c r="X21" s="65" cm="1">
        <f t="array" ref="X21">INDEX('890XXX'!$S$5:$U$125,_xlfn.XMATCH('OpCo Cash Flow'!X$3,'890XXX'!$G$5:$G$125),'OpCo Cash Flow'!$I21)</f>
        <v>32062.666666666664</v>
      </c>
      <c r="Y21" s="65" cm="1">
        <f t="array" ref="Y21">INDEX('890XXX'!$S$5:$U$125,_xlfn.XMATCH('OpCo Cash Flow'!Y$3,'890XXX'!$G$5:$G$125),'OpCo Cash Flow'!$I21)</f>
        <v>32062.666666666664</v>
      </c>
      <c r="Z21" s="65" cm="1">
        <f t="array" ref="Z21">INDEX('890XXX'!$S$5:$U$125,_xlfn.XMATCH('OpCo Cash Flow'!Z$3,'890XXX'!$G$5:$G$125),'OpCo Cash Flow'!$I21)</f>
        <v>32062.666666666664</v>
      </c>
      <c r="AA21" s="65" cm="1">
        <f t="array" ref="AA21">INDEX('890XXX'!$S$5:$U$125,_xlfn.XMATCH('OpCo Cash Flow'!AA$3,'890XXX'!$G$5:$G$125),'OpCo Cash Flow'!$I21)</f>
        <v>32062.666666666664</v>
      </c>
      <c r="AB21" s="65" cm="1">
        <f t="array" ref="AB21">INDEX('890XXX'!$S$5:$U$125,_xlfn.XMATCH('OpCo Cash Flow'!AB$3,'890XXX'!$G$5:$G$125),'OpCo Cash Flow'!$I21)</f>
        <v>32062.666666666664</v>
      </c>
      <c r="AC21" s="65" cm="1">
        <f t="array" ref="AC21">INDEX('890XXX'!$S$5:$U$125,_xlfn.XMATCH('OpCo Cash Flow'!AC$3,'890XXX'!$G$5:$G$125),'OpCo Cash Flow'!$I21)</f>
        <v>32062.666666666664</v>
      </c>
      <c r="AD21" s="65" cm="1">
        <f t="array" ref="AD21">INDEX('890XXX'!$S$5:$U$125,_xlfn.XMATCH('OpCo Cash Flow'!AD$3,'890XXX'!$G$5:$G$125),'OpCo Cash Flow'!$I21)</f>
        <v>32062.666666666664</v>
      </c>
      <c r="AE21" s="65" cm="1">
        <f t="array" ref="AE21">INDEX('890XXX'!$S$5:$U$125,_xlfn.XMATCH('OpCo Cash Flow'!AE$3,'890XXX'!$G$5:$G$125),'OpCo Cash Flow'!$I21)</f>
        <v>20294.000000000029</v>
      </c>
      <c r="AF21" s="65" cm="1">
        <f t="array" ref="AF21">INDEX('890XXX'!$S$5:$U$125,_xlfn.XMATCH('OpCo Cash Flow'!AF$3,'890XXX'!$G$5:$G$125),'OpCo Cash Flow'!$I21)</f>
        <v>0</v>
      </c>
      <c r="AG21" s="65" cm="1">
        <f t="array" ref="AG21">INDEX('890XXX'!$S$5:$U$125,_xlfn.XMATCH('OpCo Cash Flow'!AG$3,'890XXX'!$G$5:$G$125),'OpCo Cash Flow'!$I21)</f>
        <v>0</v>
      </c>
      <c r="AH21" s="65" cm="1">
        <f t="array" ref="AH21">INDEX('890XXX'!$S$5:$U$125,_xlfn.XMATCH('OpCo Cash Flow'!AH$3,'890XXX'!$G$5:$G$125),'OpCo Cash Flow'!$I21)</f>
        <v>0</v>
      </c>
      <c r="AI21" s="65" cm="1">
        <f t="array" ref="AI21">INDEX('890XXX'!$S$5:$U$125,_xlfn.XMATCH('OpCo Cash Flow'!AI$3,'890XXX'!$G$5:$G$125),'OpCo Cash Flow'!$I21)</f>
        <v>0</v>
      </c>
      <c r="AJ21" s="65" cm="1">
        <f t="array" ref="AJ21">INDEX('890XXX'!$S$5:$U$125,_xlfn.XMATCH('OpCo Cash Flow'!AJ$3,'890XXX'!$G$5:$G$125),'OpCo Cash Flow'!$I21)</f>
        <v>0</v>
      </c>
      <c r="AK21" s="65" cm="1">
        <f t="array" ref="AK21">INDEX('890XXX'!$S$5:$U$125,_xlfn.XMATCH('OpCo Cash Flow'!AK$3,'890XXX'!$G$5:$G$125),'OpCo Cash Flow'!$I21)</f>
        <v>0</v>
      </c>
      <c r="AL21" s="65" cm="1">
        <f t="array" ref="AL21">INDEX('890XXX'!$S$5:$U$125,_xlfn.XMATCH('OpCo Cash Flow'!AL$3,'890XXX'!$G$5:$G$125),'OpCo Cash Flow'!$I21)</f>
        <v>0</v>
      </c>
      <c r="AM21" s="65" cm="1">
        <f t="array" ref="AM21">INDEX('890XXX'!$S$5:$U$125,_xlfn.XMATCH('OpCo Cash Flow'!AM$3,'890XXX'!$G$5:$G$125),'OpCo Cash Flow'!$I21)</f>
        <v>0</v>
      </c>
      <c r="AN21" s="65" cm="1">
        <f t="array" ref="AN21">INDEX('890XXX'!$S$5:$U$125,_xlfn.XMATCH('OpCo Cash Flow'!AN$3,'890XXX'!$G$5:$G$125),'OpCo Cash Flow'!$I21)</f>
        <v>0</v>
      </c>
      <c r="AO21" s="65" cm="1">
        <f t="array" ref="AO21">INDEX('890XXX'!$S$5:$U$125,_xlfn.XMATCH('OpCo Cash Flow'!AO$3,'890XXX'!$G$5:$G$125),'OpCo Cash Flow'!$I21)</f>
        <v>0</v>
      </c>
      <c r="AP21" s="65" cm="1">
        <f t="array" ref="AP21">INDEX('890XXX'!$S$5:$U$125,_xlfn.XMATCH('OpCo Cash Flow'!AP$3,'890XXX'!$G$5:$G$125),'OpCo Cash Flow'!$I21)</f>
        <v>0</v>
      </c>
      <c r="AQ21" s="65" cm="1">
        <f t="array" ref="AQ21">INDEX('890XXX'!$S$5:$U$125,_xlfn.XMATCH('OpCo Cash Flow'!AQ$3,'890XXX'!$G$5:$G$125),'OpCo Cash Flow'!$I21)</f>
        <v>0</v>
      </c>
      <c r="AR21" s="65" cm="1">
        <f t="array" ref="AR21">INDEX('890XXX'!$S$5:$U$125,_xlfn.XMATCH('OpCo Cash Flow'!AR$3,'890XXX'!$G$5:$G$125),'OpCo Cash Flow'!$I21)</f>
        <v>0</v>
      </c>
      <c r="AS21" s="65" cm="1">
        <f t="array" ref="AS21">INDEX('890XXX'!$S$5:$U$125,_xlfn.XMATCH('OpCo Cash Flow'!AS$3,'890XXX'!$G$5:$G$125),'OpCo Cash Flow'!$I21)</f>
        <v>0</v>
      </c>
      <c r="AT21" s="65" cm="1">
        <f t="array" ref="AT21">INDEX('890XXX'!$S$5:$U$125,_xlfn.XMATCH('OpCo Cash Flow'!AT$3,'890XXX'!$G$5:$G$125),'OpCo Cash Flow'!$I21)</f>
        <v>0</v>
      </c>
      <c r="AU21" s="65" cm="1">
        <f t="array" ref="AU21">INDEX('890XXX'!$S$5:$U$125,_xlfn.XMATCH('OpCo Cash Flow'!AU$3,'890XXX'!$G$5:$G$125),'OpCo Cash Flow'!$I21)</f>
        <v>0</v>
      </c>
      <c r="AV21" s="65" cm="1">
        <f t="array" ref="AV21">INDEX('890XXX'!$S$5:$U$125,_xlfn.XMATCH('OpCo Cash Flow'!AV$3,'890XXX'!$G$5:$G$125),'OpCo Cash Flow'!$I21)</f>
        <v>0</v>
      </c>
      <c r="AW21" s="65" cm="1">
        <f t="array" ref="AW21">INDEX('890XXX'!$S$5:$U$125,_xlfn.XMATCH('OpCo Cash Flow'!AW$3,'890XXX'!$G$5:$G$125),'OpCo Cash Flow'!$I21)</f>
        <v>0</v>
      </c>
      <c r="AX21" s="65" cm="1">
        <f t="array" ref="AX21">INDEX('890XXX'!$S$5:$U$125,_xlfn.XMATCH('OpCo Cash Flow'!AX$3,'890XXX'!$G$5:$G$125),'OpCo Cash Flow'!$I21)</f>
        <v>0</v>
      </c>
      <c r="AY21" s="65" cm="1">
        <f t="array" ref="AY21">INDEX('890XXX'!$S$5:$U$125,_xlfn.XMATCH('OpCo Cash Flow'!AY$3,'890XXX'!$G$5:$G$125),'OpCo Cash Flow'!$I21)</f>
        <v>0</v>
      </c>
      <c r="AZ21" s="65" cm="1">
        <f t="array" ref="AZ21">INDEX('890XXX'!$S$5:$U$125,_xlfn.XMATCH('OpCo Cash Flow'!AZ$3,'890XXX'!$G$5:$G$125),'OpCo Cash Flow'!$I21)</f>
        <v>0</v>
      </c>
      <c r="BA21" s="65" cm="1">
        <f t="array" ref="BA21">INDEX('890XXX'!$S$5:$U$125,_xlfn.XMATCH('OpCo Cash Flow'!BA$3,'890XXX'!$G$5:$G$125),'OpCo Cash Flow'!$I21)</f>
        <v>0</v>
      </c>
      <c r="BB21" s="65" cm="1">
        <f t="array" ref="BB21">INDEX('890XXX'!$S$5:$U$125,_xlfn.XMATCH('OpCo Cash Flow'!BB$3,'890XXX'!$G$5:$G$125),'OpCo Cash Flow'!$I21)</f>
        <v>0</v>
      </c>
      <c r="BC21" s="65" cm="1">
        <f t="array" ref="BC21">INDEX('890XXX'!$S$5:$U$125,_xlfn.XMATCH('OpCo Cash Flow'!BC$3,'890XXX'!$G$5:$G$125),'OpCo Cash Flow'!$I21)</f>
        <v>0</v>
      </c>
      <c r="BD21" s="65" cm="1">
        <f t="array" ref="BD21">INDEX('890XXX'!$S$5:$U$125,_xlfn.XMATCH('OpCo Cash Flow'!BD$3,'890XXX'!$G$5:$G$125),'OpCo Cash Flow'!$I21)</f>
        <v>0</v>
      </c>
      <c r="BE21" s="65" cm="1">
        <f t="array" ref="BE21">INDEX('890XXX'!$S$5:$U$125,_xlfn.XMATCH('OpCo Cash Flow'!BE$3,'890XXX'!$G$5:$G$125),'OpCo Cash Flow'!$I21)</f>
        <v>0</v>
      </c>
      <c r="BF21" s="65" cm="1">
        <f t="array" ref="BF21">INDEX('890XXX'!$S$5:$U$125,_xlfn.XMATCH('OpCo Cash Flow'!BF$3,'890XXX'!$G$5:$G$125),'OpCo Cash Flow'!$I21)</f>
        <v>0</v>
      </c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</row>
    <row r="22" spans="2:92" outlineLevel="1">
      <c r="B22" s="116"/>
      <c r="C22" s="185" t="s">
        <v>26</v>
      </c>
      <c r="D22" s="15">
        <f t="shared" si="9"/>
        <v>0</v>
      </c>
      <c r="E22" s="15">
        <f t="shared" si="9"/>
        <v>687286.52666666673</v>
      </c>
      <c r="F22" s="15">
        <f t="shared" si="9"/>
        <v>601872.30514450872</v>
      </c>
      <c r="G22" s="15">
        <f t="shared" si="9"/>
        <v>0</v>
      </c>
      <c r="H22" s="15">
        <f t="shared" si="9"/>
        <v>0</v>
      </c>
      <c r="I22">
        <v>3</v>
      </c>
      <c r="J22" s="66"/>
      <c r="K22" s="66" cm="1">
        <f t="array" ref="K22">INDEX('890XXX'!$S$5:$U$125,_xlfn.XMATCH('OpCo Cash Flow'!K$3,'890XXX'!$G$5:$G$125),'OpCo Cash Flow'!$I22)</f>
        <v>62480.593333333338</v>
      </c>
      <c r="L22" s="66" cm="1">
        <f t="array" ref="L22">INDEX('890XXX'!$S$5:$U$125,_xlfn.XMATCH('OpCo Cash Flow'!L$3,'890XXX'!$G$5:$G$125),'OpCo Cash Flow'!$I22)</f>
        <v>62480.593333333338</v>
      </c>
      <c r="M22" s="66" cm="1">
        <f t="array" ref="M22">INDEX('890XXX'!$S$5:$U$125,_xlfn.XMATCH('OpCo Cash Flow'!M$3,'890XXX'!$G$5:$G$125),'OpCo Cash Flow'!$I22)</f>
        <v>62480.593333333338</v>
      </c>
      <c r="N22" s="66" cm="1">
        <f t="array" ref="N22">INDEX('890XXX'!$S$5:$U$125,_xlfn.XMATCH('OpCo Cash Flow'!N$3,'890XXX'!$G$5:$G$125),'OpCo Cash Flow'!$I22)</f>
        <v>62480.593333333338</v>
      </c>
      <c r="O22" s="66" cm="1">
        <f t="array" ref="O22">INDEX('890XXX'!$S$5:$U$125,_xlfn.XMATCH('OpCo Cash Flow'!O$3,'890XXX'!$G$5:$G$125),'OpCo Cash Flow'!$I22)</f>
        <v>62480.593333333338</v>
      </c>
      <c r="P22" s="66" cm="1">
        <f t="array" ref="P22">INDEX('890XXX'!$S$5:$U$125,_xlfn.XMATCH('OpCo Cash Flow'!P$3,'890XXX'!$G$5:$G$125),'OpCo Cash Flow'!$I22)</f>
        <v>62480.593333333338</v>
      </c>
      <c r="Q22" s="66" cm="1">
        <f t="array" ref="Q22">INDEX('890XXX'!$S$5:$U$125,_xlfn.XMATCH('OpCo Cash Flow'!Q$3,'890XXX'!$G$5:$G$125),'OpCo Cash Flow'!$I22)</f>
        <v>62480.593333333338</v>
      </c>
      <c r="R22" s="66" cm="1">
        <f t="array" ref="R22">INDEX('890XXX'!$S$5:$U$125,_xlfn.XMATCH('OpCo Cash Flow'!R$3,'890XXX'!$G$5:$G$125),'OpCo Cash Flow'!$I22)</f>
        <v>62480.593333333338</v>
      </c>
      <c r="S22" s="66" cm="1">
        <f t="array" ref="S22">INDEX('890XXX'!$S$5:$U$125,_xlfn.XMATCH('OpCo Cash Flow'!S$3,'890XXX'!$G$5:$G$125),'OpCo Cash Flow'!$I22)</f>
        <v>62480.593333333338</v>
      </c>
      <c r="T22" s="66" cm="1">
        <f t="array" ref="T22">INDEX('890XXX'!$S$5:$U$125,_xlfn.XMATCH('OpCo Cash Flow'!T$3,'890XXX'!$G$5:$G$125),'OpCo Cash Flow'!$I22)</f>
        <v>62480.593333333338</v>
      </c>
      <c r="U22" s="66" cm="1">
        <f t="array" ref="U22">INDEX('890XXX'!$S$5:$U$125,_xlfn.XMATCH('OpCo Cash Flow'!U$3,'890XXX'!$G$5:$G$125),'OpCo Cash Flow'!$I22)</f>
        <v>62480.593333333338</v>
      </c>
      <c r="V22" s="66" cm="1">
        <f t="array" ref="V22">INDEX('890XXX'!$S$5:$U$125,_xlfn.XMATCH('OpCo Cash Flow'!V$3,'890XXX'!$G$5:$G$125),'OpCo Cash Flow'!$I22)</f>
        <v>62480.593333333338</v>
      </c>
      <c r="W22" s="66" cm="1">
        <f t="array" ref="W22">INDEX('890XXX'!$S$5:$U$125,_xlfn.XMATCH('OpCo Cash Flow'!W$3,'890XXX'!$G$5:$G$125),'OpCo Cash Flow'!$I22)</f>
        <v>62480.593333333338</v>
      </c>
      <c r="X22" s="66" cm="1">
        <f t="array" ref="X22">INDEX('890XXX'!$S$5:$U$125,_xlfn.XMATCH('OpCo Cash Flow'!X$3,'890XXX'!$G$5:$G$125),'OpCo Cash Flow'!$I22)</f>
        <v>62480.593333333338</v>
      </c>
      <c r="Y22" s="66" cm="1">
        <f t="array" ref="Y22">INDEX('890XXX'!$S$5:$U$125,_xlfn.XMATCH('OpCo Cash Flow'!Y$3,'890XXX'!$G$5:$G$125),'OpCo Cash Flow'!$I22)</f>
        <v>62480.593333333338</v>
      </c>
      <c r="Z22" s="66" cm="1">
        <f t="array" ref="Z22">INDEX('890XXX'!$S$5:$U$125,_xlfn.XMATCH('OpCo Cash Flow'!Z$3,'890XXX'!$G$5:$G$125),'OpCo Cash Flow'!$I22)</f>
        <v>62480.593333333338</v>
      </c>
      <c r="AA22" s="66" cm="1">
        <f t="array" ref="AA22">INDEX('890XXX'!$S$5:$U$125,_xlfn.XMATCH('OpCo Cash Flow'!AA$3,'890XXX'!$G$5:$G$125),'OpCo Cash Flow'!$I22)</f>
        <v>62480.593333333338</v>
      </c>
      <c r="AB22" s="66" cm="1">
        <f t="array" ref="AB22">INDEX('890XXX'!$S$5:$U$125,_xlfn.XMATCH('OpCo Cash Flow'!AB$3,'890XXX'!$G$5:$G$125),'OpCo Cash Flow'!$I22)</f>
        <v>62480.593333333338</v>
      </c>
      <c r="AC22" s="66" cm="1">
        <f t="array" ref="AC22">INDEX('890XXX'!$S$5:$U$125,_xlfn.XMATCH('OpCo Cash Flow'!AC$3,'890XXX'!$G$5:$G$125),'OpCo Cash Flow'!$I22)</f>
        <v>62480.593333333338</v>
      </c>
      <c r="AD22" s="66" cm="1">
        <f t="array" ref="AD22">INDEX('890XXX'!$S$5:$U$125,_xlfn.XMATCH('OpCo Cash Flow'!AD$3,'890XXX'!$G$5:$G$125),'OpCo Cash Flow'!$I22)</f>
        <v>62480.593333333338</v>
      </c>
      <c r="AE22" s="66" cm="1">
        <f t="array" ref="AE22">INDEX('890XXX'!$S$5:$U$125,_xlfn.XMATCH('OpCo Cash Flow'!AE$3,'890XXX'!$G$5:$G$125),'OpCo Cash Flow'!$I22)</f>
        <v>39546.965144508729</v>
      </c>
      <c r="AF22" s="66" cm="1">
        <f t="array" ref="AF22">INDEX('890XXX'!$S$5:$U$125,_xlfn.XMATCH('OpCo Cash Flow'!AF$3,'890XXX'!$G$5:$G$125),'OpCo Cash Flow'!$I22)</f>
        <v>0</v>
      </c>
      <c r="AG22" s="66" cm="1">
        <f t="array" ref="AG22">INDEX('890XXX'!$S$5:$U$125,_xlfn.XMATCH('OpCo Cash Flow'!AG$3,'890XXX'!$G$5:$G$125),'OpCo Cash Flow'!$I22)</f>
        <v>0</v>
      </c>
      <c r="AH22" s="66" cm="1">
        <f t="array" ref="AH22">INDEX('890XXX'!$S$5:$U$125,_xlfn.XMATCH('OpCo Cash Flow'!AH$3,'890XXX'!$G$5:$G$125),'OpCo Cash Flow'!$I22)</f>
        <v>0</v>
      </c>
      <c r="AI22" s="66" cm="1">
        <f t="array" ref="AI22">INDEX('890XXX'!$S$5:$U$125,_xlfn.XMATCH('OpCo Cash Flow'!AI$3,'890XXX'!$G$5:$G$125),'OpCo Cash Flow'!$I22)</f>
        <v>0</v>
      </c>
      <c r="AJ22" s="66" cm="1">
        <f t="array" ref="AJ22">INDEX('890XXX'!$S$5:$U$125,_xlfn.XMATCH('OpCo Cash Flow'!AJ$3,'890XXX'!$G$5:$G$125),'OpCo Cash Flow'!$I22)</f>
        <v>0</v>
      </c>
      <c r="AK22" s="66" cm="1">
        <f t="array" ref="AK22">INDEX('890XXX'!$S$5:$U$125,_xlfn.XMATCH('OpCo Cash Flow'!AK$3,'890XXX'!$G$5:$G$125),'OpCo Cash Flow'!$I22)</f>
        <v>0</v>
      </c>
      <c r="AL22" s="66" cm="1">
        <f t="array" ref="AL22">INDEX('890XXX'!$S$5:$U$125,_xlfn.XMATCH('OpCo Cash Flow'!AL$3,'890XXX'!$G$5:$G$125),'OpCo Cash Flow'!$I22)</f>
        <v>0</v>
      </c>
      <c r="AM22" s="66" cm="1">
        <f t="array" ref="AM22">INDEX('890XXX'!$S$5:$U$125,_xlfn.XMATCH('OpCo Cash Flow'!AM$3,'890XXX'!$G$5:$G$125),'OpCo Cash Flow'!$I22)</f>
        <v>0</v>
      </c>
      <c r="AN22" s="66" cm="1">
        <f t="array" ref="AN22">INDEX('890XXX'!$S$5:$U$125,_xlfn.XMATCH('OpCo Cash Flow'!AN$3,'890XXX'!$G$5:$G$125),'OpCo Cash Flow'!$I22)</f>
        <v>0</v>
      </c>
      <c r="AO22" s="66" cm="1">
        <f t="array" ref="AO22">INDEX('890XXX'!$S$5:$U$125,_xlfn.XMATCH('OpCo Cash Flow'!AO$3,'890XXX'!$G$5:$G$125),'OpCo Cash Flow'!$I22)</f>
        <v>0</v>
      </c>
      <c r="AP22" s="66" cm="1">
        <f t="array" ref="AP22">INDEX('890XXX'!$S$5:$U$125,_xlfn.XMATCH('OpCo Cash Flow'!AP$3,'890XXX'!$G$5:$G$125),'OpCo Cash Flow'!$I22)</f>
        <v>0</v>
      </c>
      <c r="AQ22" s="66" cm="1">
        <f t="array" ref="AQ22">INDEX('890XXX'!$S$5:$U$125,_xlfn.XMATCH('OpCo Cash Flow'!AQ$3,'890XXX'!$G$5:$G$125),'OpCo Cash Flow'!$I22)</f>
        <v>0</v>
      </c>
      <c r="AR22" s="66" cm="1">
        <f t="array" ref="AR22">INDEX('890XXX'!$S$5:$U$125,_xlfn.XMATCH('OpCo Cash Flow'!AR$3,'890XXX'!$G$5:$G$125),'OpCo Cash Flow'!$I22)</f>
        <v>0</v>
      </c>
      <c r="AS22" s="66" cm="1">
        <f t="array" ref="AS22">INDEX('890XXX'!$S$5:$U$125,_xlfn.XMATCH('OpCo Cash Flow'!AS$3,'890XXX'!$G$5:$G$125),'OpCo Cash Flow'!$I22)</f>
        <v>0</v>
      </c>
      <c r="AT22" s="66" cm="1">
        <f t="array" ref="AT22">INDEX('890XXX'!$S$5:$U$125,_xlfn.XMATCH('OpCo Cash Flow'!AT$3,'890XXX'!$G$5:$G$125),'OpCo Cash Flow'!$I22)</f>
        <v>0</v>
      </c>
      <c r="AU22" s="66" cm="1">
        <f t="array" ref="AU22">INDEX('890XXX'!$S$5:$U$125,_xlfn.XMATCH('OpCo Cash Flow'!AU$3,'890XXX'!$G$5:$G$125),'OpCo Cash Flow'!$I22)</f>
        <v>0</v>
      </c>
      <c r="AV22" s="66" cm="1">
        <f t="array" ref="AV22">INDEX('890XXX'!$S$5:$U$125,_xlfn.XMATCH('OpCo Cash Flow'!AV$3,'890XXX'!$G$5:$G$125),'OpCo Cash Flow'!$I22)</f>
        <v>0</v>
      </c>
      <c r="AW22" s="66" cm="1">
        <f t="array" ref="AW22">INDEX('890XXX'!$S$5:$U$125,_xlfn.XMATCH('OpCo Cash Flow'!AW$3,'890XXX'!$G$5:$G$125),'OpCo Cash Flow'!$I22)</f>
        <v>0</v>
      </c>
      <c r="AX22" s="66" cm="1">
        <f t="array" ref="AX22">INDEX('890XXX'!$S$5:$U$125,_xlfn.XMATCH('OpCo Cash Flow'!AX$3,'890XXX'!$G$5:$G$125),'OpCo Cash Flow'!$I22)</f>
        <v>0</v>
      </c>
      <c r="AY22" s="66" cm="1">
        <f t="array" ref="AY22">INDEX('890XXX'!$S$5:$U$125,_xlfn.XMATCH('OpCo Cash Flow'!AY$3,'890XXX'!$G$5:$G$125),'OpCo Cash Flow'!$I22)</f>
        <v>0</v>
      </c>
      <c r="AZ22" s="66" cm="1">
        <f t="array" ref="AZ22">INDEX('890XXX'!$S$5:$U$125,_xlfn.XMATCH('OpCo Cash Flow'!AZ$3,'890XXX'!$G$5:$G$125),'OpCo Cash Flow'!$I22)</f>
        <v>0</v>
      </c>
      <c r="BA22" s="66" cm="1">
        <f t="array" ref="BA22">INDEX('890XXX'!$S$5:$U$125,_xlfn.XMATCH('OpCo Cash Flow'!BA$3,'890XXX'!$G$5:$G$125),'OpCo Cash Flow'!$I22)</f>
        <v>0</v>
      </c>
      <c r="BB22" s="66" cm="1">
        <f t="array" ref="BB22">INDEX('890XXX'!$S$5:$U$125,_xlfn.XMATCH('OpCo Cash Flow'!BB$3,'890XXX'!$G$5:$G$125),'OpCo Cash Flow'!$I22)</f>
        <v>0</v>
      </c>
      <c r="BC22" s="66" cm="1">
        <f t="array" ref="BC22">INDEX('890XXX'!$S$5:$U$125,_xlfn.XMATCH('OpCo Cash Flow'!BC$3,'890XXX'!$G$5:$G$125),'OpCo Cash Flow'!$I22)</f>
        <v>0</v>
      </c>
      <c r="BD22" s="66" cm="1">
        <f t="array" ref="BD22">INDEX('890XXX'!$S$5:$U$125,_xlfn.XMATCH('OpCo Cash Flow'!BD$3,'890XXX'!$G$5:$G$125),'OpCo Cash Flow'!$I22)</f>
        <v>0</v>
      </c>
      <c r="BE22" s="66" cm="1">
        <f t="array" ref="BE22">INDEX('890XXX'!$S$5:$U$125,_xlfn.XMATCH('OpCo Cash Flow'!BE$3,'890XXX'!$G$5:$G$125),'OpCo Cash Flow'!$I22)</f>
        <v>0</v>
      </c>
      <c r="BF22" s="66" cm="1">
        <f t="array" ref="BF22">INDEX('890XXX'!$S$5:$U$125,_xlfn.XMATCH('OpCo Cash Flow'!BF$3,'890XXX'!$G$5:$G$125),'OpCo Cash Flow'!$I22)</f>
        <v>0</v>
      </c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</row>
    <row r="23" spans="2:92" outlineLevel="1">
      <c r="B23" s="115"/>
      <c r="C23" s="186" t="s">
        <v>27</v>
      </c>
      <c r="D23" s="22">
        <f>SUM(D20:D22)</f>
        <v>0</v>
      </c>
      <c r="E23" s="22">
        <f t="shared" ref="E23:H23" si="10">SUM(E20:E22)</f>
        <v>2029975.8599999999</v>
      </c>
      <c r="F23" s="22">
        <f t="shared" si="10"/>
        <v>1810730.3051445088</v>
      </c>
      <c r="G23" s="22">
        <f t="shared" si="10"/>
        <v>0</v>
      </c>
      <c r="H23" s="22">
        <f t="shared" si="10"/>
        <v>0</v>
      </c>
      <c r="J23" s="67">
        <f t="shared" ref="J23:BF23" si="11">SUM(J20:J22)</f>
        <v>0</v>
      </c>
      <c r="K23" s="67">
        <f t="shared" si="11"/>
        <v>184543.26</v>
      </c>
      <c r="L23" s="67">
        <f t="shared" si="11"/>
        <v>184543.26</v>
      </c>
      <c r="M23" s="67">
        <f t="shared" si="11"/>
        <v>184543.26</v>
      </c>
      <c r="N23" s="67">
        <f t="shared" si="11"/>
        <v>184543.26</v>
      </c>
      <c r="O23" s="67">
        <f t="shared" si="11"/>
        <v>184543.26</v>
      </c>
      <c r="P23" s="67">
        <f t="shared" si="11"/>
        <v>184543.26</v>
      </c>
      <c r="Q23" s="67">
        <f t="shared" si="11"/>
        <v>184543.26</v>
      </c>
      <c r="R23" s="67">
        <f t="shared" si="11"/>
        <v>184543.26</v>
      </c>
      <c r="S23" s="67">
        <f t="shared" si="11"/>
        <v>184543.26</v>
      </c>
      <c r="T23" s="67">
        <f t="shared" si="11"/>
        <v>184543.26</v>
      </c>
      <c r="U23" s="67">
        <f t="shared" si="11"/>
        <v>184543.26</v>
      </c>
      <c r="V23" s="67">
        <f t="shared" si="11"/>
        <v>184543.26</v>
      </c>
      <c r="W23" s="67">
        <f t="shared" si="11"/>
        <v>184543.26</v>
      </c>
      <c r="X23" s="67">
        <f t="shared" si="11"/>
        <v>184543.26</v>
      </c>
      <c r="Y23" s="67">
        <f t="shared" si="11"/>
        <v>184543.26</v>
      </c>
      <c r="Z23" s="67">
        <f t="shared" si="11"/>
        <v>184543.26</v>
      </c>
      <c r="AA23" s="67">
        <f t="shared" si="11"/>
        <v>184543.26</v>
      </c>
      <c r="AB23" s="67">
        <f t="shared" si="11"/>
        <v>184543.26</v>
      </c>
      <c r="AC23" s="67">
        <f t="shared" si="11"/>
        <v>184543.26</v>
      </c>
      <c r="AD23" s="67">
        <f t="shared" si="11"/>
        <v>184543.26</v>
      </c>
      <c r="AE23" s="67">
        <f t="shared" si="11"/>
        <v>149840.96514450875</v>
      </c>
      <c r="AF23" s="67">
        <f t="shared" si="11"/>
        <v>0</v>
      </c>
      <c r="AG23" s="67">
        <f t="shared" si="11"/>
        <v>0</v>
      </c>
      <c r="AH23" s="67">
        <f t="shared" si="11"/>
        <v>0</v>
      </c>
      <c r="AI23" s="67">
        <f t="shared" si="11"/>
        <v>0</v>
      </c>
      <c r="AJ23" s="67">
        <f t="shared" si="11"/>
        <v>0</v>
      </c>
      <c r="AK23" s="67">
        <f t="shared" si="11"/>
        <v>0</v>
      </c>
      <c r="AL23" s="67">
        <f t="shared" si="11"/>
        <v>0</v>
      </c>
      <c r="AM23" s="67">
        <f t="shared" si="11"/>
        <v>0</v>
      </c>
      <c r="AN23" s="67">
        <f t="shared" si="11"/>
        <v>0</v>
      </c>
      <c r="AO23" s="67">
        <f t="shared" si="11"/>
        <v>0</v>
      </c>
      <c r="AP23" s="67">
        <f t="shared" si="11"/>
        <v>0</v>
      </c>
      <c r="AQ23" s="67">
        <f t="shared" si="11"/>
        <v>0</v>
      </c>
      <c r="AR23" s="67">
        <f t="shared" si="11"/>
        <v>0</v>
      </c>
      <c r="AS23" s="67">
        <f t="shared" si="11"/>
        <v>0</v>
      </c>
      <c r="AT23" s="67">
        <f t="shared" si="11"/>
        <v>0</v>
      </c>
      <c r="AU23" s="67">
        <f t="shared" si="11"/>
        <v>0</v>
      </c>
      <c r="AV23" s="67">
        <f t="shared" si="11"/>
        <v>0</v>
      </c>
      <c r="AW23" s="67">
        <f t="shared" si="11"/>
        <v>0</v>
      </c>
      <c r="AX23" s="67">
        <f t="shared" si="11"/>
        <v>0</v>
      </c>
      <c r="AY23" s="67">
        <f t="shared" si="11"/>
        <v>0</v>
      </c>
      <c r="AZ23" s="67">
        <f t="shared" si="11"/>
        <v>0</v>
      </c>
      <c r="BA23" s="67">
        <f t="shared" si="11"/>
        <v>0</v>
      </c>
      <c r="BB23" s="67">
        <f t="shared" si="11"/>
        <v>0</v>
      </c>
      <c r="BC23" s="67">
        <f t="shared" si="11"/>
        <v>0</v>
      </c>
      <c r="BD23" s="67">
        <f t="shared" si="11"/>
        <v>0</v>
      </c>
      <c r="BE23" s="67">
        <f t="shared" si="11"/>
        <v>0</v>
      </c>
      <c r="BF23" s="67">
        <f t="shared" si="11"/>
        <v>0</v>
      </c>
    </row>
    <row r="24" spans="2:92" outlineLevel="1">
      <c r="B24" s="115"/>
      <c r="C24" s="186"/>
      <c r="D24" s="22"/>
      <c r="E24" s="22"/>
      <c r="F24" s="22"/>
      <c r="G24" s="22"/>
      <c r="H24" s="22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</row>
    <row r="25" spans="2:92" outlineLevel="1">
      <c r="B25" s="115" t="s">
        <v>28</v>
      </c>
      <c r="C25" s="184"/>
    </row>
    <row r="26" spans="2:92" outlineLevel="1">
      <c r="B26" s="117"/>
      <c r="C26" s="184" t="s">
        <v>24</v>
      </c>
      <c r="D26" s="10">
        <f t="shared" ref="D26:H28" si="12">SUMIFS($J26:$BF26,$J$3:$BF$3,"&lt;="&amp;D$3,$J$3:$BF$3,"&gt;"&amp;EOMONTH(D$3,-12))</f>
        <v>0</v>
      </c>
      <c r="E26" s="10">
        <f t="shared" si="12"/>
        <v>990000</v>
      </c>
      <c r="F26" s="10">
        <f t="shared" si="12"/>
        <v>1080000</v>
      </c>
      <c r="G26" s="10">
        <f t="shared" si="12"/>
        <v>0</v>
      </c>
      <c r="H26" s="10">
        <f t="shared" si="12"/>
        <v>0</v>
      </c>
      <c r="I26">
        <v>1</v>
      </c>
      <c r="J26" s="65"/>
      <c r="K26" s="65" cm="1">
        <f t="array" ref="K26">INDEX('892XXX'!$S$5:$U$125,_xlfn.XMATCH('OpCo Cash Flow'!K$3,'892XXX'!$G$5:$G$125),'OpCo Cash Flow'!$I26)</f>
        <v>90000</v>
      </c>
      <c r="L26" s="65" cm="1">
        <f t="array" ref="L26">INDEX('892XXX'!$S$5:$U$125,_xlfn.XMATCH('OpCo Cash Flow'!L$3,'892XXX'!$G$5:$G$125),'OpCo Cash Flow'!$I26)</f>
        <v>90000</v>
      </c>
      <c r="M26" s="65" cm="1">
        <f t="array" ref="M26">INDEX('892XXX'!$S$5:$U$125,_xlfn.XMATCH('OpCo Cash Flow'!M$3,'892XXX'!$G$5:$G$125),'OpCo Cash Flow'!$I26)</f>
        <v>90000</v>
      </c>
      <c r="N26" s="65" cm="1">
        <f t="array" ref="N26">INDEX('892XXX'!$S$5:$U$125,_xlfn.XMATCH('OpCo Cash Flow'!N$3,'892XXX'!$G$5:$G$125),'OpCo Cash Flow'!$I26)</f>
        <v>90000</v>
      </c>
      <c r="O26" s="65" cm="1">
        <f t="array" ref="O26">INDEX('892XXX'!$S$5:$U$125,_xlfn.XMATCH('OpCo Cash Flow'!O$3,'892XXX'!$G$5:$G$125),'OpCo Cash Flow'!$I26)</f>
        <v>90000</v>
      </c>
      <c r="P26" s="65" cm="1">
        <f t="array" ref="P26">INDEX('892XXX'!$S$5:$U$125,_xlfn.XMATCH('OpCo Cash Flow'!P$3,'892XXX'!$G$5:$G$125),'OpCo Cash Flow'!$I26)</f>
        <v>90000</v>
      </c>
      <c r="Q26" s="65" cm="1">
        <f t="array" ref="Q26">INDEX('892XXX'!$S$5:$U$125,_xlfn.XMATCH('OpCo Cash Flow'!Q$3,'892XXX'!$G$5:$G$125),'OpCo Cash Flow'!$I26)</f>
        <v>90000</v>
      </c>
      <c r="R26" s="65" cm="1">
        <f t="array" ref="R26">INDEX('892XXX'!$S$5:$U$125,_xlfn.XMATCH('OpCo Cash Flow'!R$3,'892XXX'!$G$5:$G$125),'OpCo Cash Flow'!$I26)</f>
        <v>90000</v>
      </c>
      <c r="S26" s="65" cm="1">
        <f t="array" ref="S26">INDEX('892XXX'!$S$5:$U$125,_xlfn.XMATCH('OpCo Cash Flow'!S$3,'892XXX'!$G$5:$G$125),'OpCo Cash Flow'!$I26)</f>
        <v>90000</v>
      </c>
      <c r="T26" s="65" cm="1">
        <f t="array" ref="T26">INDEX('892XXX'!$S$5:$U$125,_xlfn.XMATCH('OpCo Cash Flow'!T$3,'892XXX'!$G$5:$G$125),'OpCo Cash Flow'!$I26)</f>
        <v>90000</v>
      </c>
      <c r="U26" s="65" cm="1">
        <f t="array" ref="U26">INDEX('892XXX'!$S$5:$U$125,_xlfn.XMATCH('OpCo Cash Flow'!U$3,'892XXX'!$G$5:$G$125),'OpCo Cash Flow'!$I26)</f>
        <v>90000</v>
      </c>
      <c r="V26" s="65" cm="1">
        <f t="array" ref="V26">INDEX('892XXX'!$S$5:$U$125,_xlfn.XMATCH('OpCo Cash Flow'!V$3,'892XXX'!$G$5:$G$125),'OpCo Cash Flow'!$I26)</f>
        <v>90000</v>
      </c>
      <c r="W26" s="65" cm="1">
        <f t="array" ref="W26">INDEX('892XXX'!$S$5:$U$125,_xlfn.XMATCH('OpCo Cash Flow'!W$3,'892XXX'!$G$5:$G$125),'OpCo Cash Flow'!$I26)</f>
        <v>90000</v>
      </c>
      <c r="X26" s="65" cm="1">
        <f t="array" ref="X26">INDEX('892XXX'!$S$5:$U$125,_xlfn.XMATCH('OpCo Cash Flow'!X$3,'892XXX'!$G$5:$G$125),'OpCo Cash Flow'!$I26)</f>
        <v>90000</v>
      </c>
      <c r="Y26" s="65" cm="1">
        <f t="array" ref="Y26">INDEX('892XXX'!$S$5:$U$125,_xlfn.XMATCH('OpCo Cash Flow'!Y$3,'892XXX'!$G$5:$G$125),'OpCo Cash Flow'!$I26)</f>
        <v>90000</v>
      </c>
      <c r="Z26" s="65" cm="1">
        <f t="array" ref="Z26">INDEX('892XXX'!$S$5:$U$125,_xlfn.XMATCH('OpCo Cash Flow'!Z$3,'892XXX'!$G$5:$G$125),'OpCo Cash Flow'!$I26)</f>
        <v>90000</v>
      </c>
      <c r="AA26" s="65" cm="1">
        <f t="array" ref="AA26">INDEX('892XXX'!$S$5:$U$125,_xlfn.XMATCH('OpCo Cash Flow'!AA$3,'892XXX'!$G$5:$G$125),'OpCo Cash Flow'!$I26)</f>
        <v>90000</v>
      </c>
      <c r="AB26" s="65" cm="1">
        <f t="array" ref="AB26">INDEX('892XXX'!$S$5:$U$125,_xlfn.XMATCH('OpCo Cash Flow'!AB$3,'892XXX'!$G$5:$G$125),'OpCo Cash Flow'!$I26)</f>
        <v>90000</v>
      </c>
      <c r="AC26" s="65" cm="1">
        <f t="array" ref="AC26">INDEX('892XXX'!$S$5:$U$125,_xlfn.XMATCH('OpCo Cash Flow'!AC$3,'892XXX'!$G$5:$G$125),'OpCo Cash Flow'!$I26)</f>
        <v>90000</v>
      </c>
      <c r="AD26" s="65" cm="1">
        <f t="array" ref="AD26">INDEX('892XXX'!$S$5:$U$125,_xlfn.XMATCH('OpCo Cash Flow'!AD$3,'892XXX'!$G$5:$G$125),'OpCo Cash Flow'!$I26)</f>
        <v>90000</v>
      </c>
      <c r="AE26" s="65" cm="1">
        <f t="array" ref="AE26">INDEX('892XXX'!$S$5:$U$125,_xlfn.XMATCH('OpCo Cash Flow'!AE$3,'892XXX'!$G$5:$G$125),'OpCo Cash Flow'!$I26)</f>
        <v>90000</v>
      </c>
      <c r="AF26" s="65" cm="1">
        <f t="array" ref="AF26">INDEX('892XXX'!$S$5:$U$125,_xlfn.XMATCH('OpCo Cash Flow'!AF$3,'892XXX'!$G$5:$G$125),'OpCo Cash Flow'!$I26)</f>
        <v>90000</v>
      </c>
      <c r="AG26" s="65" cm="1">
        <f t="array" ref="AG26">INDEX('892XXX'!$S$5:$U$125,_xlfn.XMATCH('OpCo Cash Flow'!AG$3,'892XXX'!$G$5:$G$125),'OpCo Cash Flow'!$I26)</f>
        <v>90000</v>
      </c>
      <c r="AH26" s="65" cm="1">
        <f t="array" ref="AH26">INDEX('892XXX'!$S$5:$U$125,_xlfn.XMATCH('OpCo Cash Flow'!AH$3,'892XXX'!$G$5:$G$125),'OpCo Cash Flow'!$I26)</f>
        <v>0</v>
      </c>
      <c r="AI26" s="65" cm="1">
        <f t="array" ref="AI26">INDEX('892XXX'!$S$5:$U$125,_xlfn.XMATCH('OpCo Cash Flow'!AI$3,'892XXX'!$G$5:$G$125),'OpCo Cash Flow'!$I26)</f>
        <v>0</v>
      </c>
      <c r="AJ26" s="65" cm="1">
        <f t="array" ref="AJ26">INDEX('892XXX'!$S$5:$U$125,_xlfn.XMATCH('OpCo Cash Flow'!AJ$3,'892XXX'!$G$5:$G$125),'OpCo Cash Flow'!$I26)</f>
        <v>0</v>
      </c>
      <c r="AK26" s="65" cm="1">
        <f t="array" ref="AK26">INDEX('892XXX'!$S$5:$U$125,_xlfn.XMATCH('OpCo Cash Flow'!AK$3,'892XXX'!$G$5:$G$125),'OpCo Cash Flow'!$I26)</f>
        <v>0</v>
      </c>
      <c r="AL26" s="65" cm="1">
        <f t="array" ref="AL26">INDEX('892XXX'!$S$5:$U$125,_xlfn.XMATCH('OpCo Cash Flow'!AL$3,'892XXX'!$G$5:$G$125),'OpCo Cash Flow'!$I26)</f>
        <v>0</v>
      </c>
      <c r="AM26" s="65" cm="1">
        <f t="array" ref="AM26">INDEX('892XXX'!$S$5:$U$125,_xlfn.XMATCH('OpCo Cash Flow'!AM$3,'892XXX'!$G$5:$G$125),'OpCo Cash Flow'!$I26)</f>
        <v>0</v>
      </c>
      <c r="AN26" s="65" cm="1">
        <f t="array" ref="AN26">INDEX('892XXX'!$S$5:$U$125,_xlfn.XMATCH('OpCo Cash Flow'!AN$3,'892XXX'!$G$5:$G$125),'OpCo Cash Flow'!$I26)</f>
        <v>0</v>
      </c>
      <c r="AO26" s="65" cm="1">
        <f t="array" ref="AO26">INDEX('892XXX'!$S$5:$U$125,_xlfn.XMATCH('OpCo Cash Flow'!AO$3,'892XXX'!$G$5:$G$125),'OpCo Cash Flow'!$I26)</f>
        <v>0</v>
      </c>
      <c r="AP26" s="65" cm="1">
        <f t="array" ref="AP26">INDEX('892XXX'!$S$5:$U$125,_xlfn.XMATCH('OpCo Cash Flow'!AP$3,'892XXX'!$G$5:$G$125),'OpCo Cash Flow'!$I26)</f>
        <v>0</v>
      </c>
      <c r="AQ26" s="65" cm="1">
        <f t="array" ref="AQ26">INDEX('892XXX'!$S$5:$U$125,_xlfn.XMATCH('OpCo Cash Flow'!AQ$3,'892XXX'!$G$5:$G$125),'OpCo Cash Flow'!$I26)</f>
        <v>0</v>
      </c>
      <c r="AR26" s="65" cm="1">
        <f t="array" ref="AR26">INDEX('892XXX'!$S$5:$U$125,_xlfn.XMATCH('OpCo Cash Flow'!AR$3,'892XXX'!$G$5:$G$125),'OpCo Cash Flow'!$I26)</f>
        <v>0</v>
      </c>
      <c r="AS26" s="65" cm="1">
        <f t="array" ref="AS26">INDEX('892XXX'!$S$5:$U$125,_xlfn.XMATCH('OpCo Cash Flow'!AS$3,'892XXX'!$G$5:$G$125),'OpCo Cash Flow'!$I26)</f>
        <v>0</v>
      </c>
      <c r="AT26" s="65" cm="1">
        <f t="array" ref="AT26">INDEX('892XXX'!$S$5:$U$125,_xlfn.XMATCH('OpCo Cash Flow'!AT$3,'892XXX'!$G$5:$G$125),'OpCo Cash Flow'!$I26)</f>
        <v>0</v>
      </c>
      <c r="AU26" s="65" cm="1">
        <f t="array" ref="AU26">INDEX('892XXX'!$S$5:$U$125,_xlfn.XMATCH('OpCo Cash Flow'!AU$3,'892XXX'!$G$5:$G$125),'OpCo Cash Flow'!$I26)</f>
        <v>0</v>
      </c>
      <c r="AV26" s="65" cm="1">
        <f t="array" ref="AV26">INDEX('892XXX'!$S$5:$U$125,_xlfn.XMATCH('OpCo Cash Flow'!AV$3,'892XXX'!$G$5:$G$125),'OpCo Cash Flow'!$I26)</f>
        <v>0</v>
      </c>
      <c r="AW26" s="65" cm="1">
        <f t="array" ref="AW26">INDEX('892XXX'!$S$5:$U$125,_xlfn.XMATCH('OpCo Cash Flow'!AW$3,'892XXX'!$G$5:$G$125),'OpCo Cash Flow'!$I26)</f>
        <v>0</v>
      </c>
      <c r="AX26" s="65" cm="1">
        <f t="array" ref="AX26">INDEX('892XXX'!$S$5:$U$125,_xlfn.XMATCH('OpCo Cash Flow'!AX$3,'892XXX'!$G$5:$G$125),'OpCo Cash Flow'!$I26)</f>
        <v>0</v>
      </c>
      <c r="AY26" s="65" cm="1">
        <f t="array" ref="AY26">INDEX('892XXX'!$S$5:$U$125,_xlfn.XMATCH('OpCo Cash Flow'!AY$3,'892XXX'!$G$5:$G$125),'OpCo Cash Flow'!$I26)</f>
        <v>0</v>
      </c>
      <c r="AZ26" s="65" cm="1">
        <f t="array" ref="AZ26">INDEX('892XXX'!$S$5:$U$125,_xlfn.XMATCH('OpCo Cash Flow'!AZ$3,'892XXX'!$G$5:$G$125),'OpCo Cash Flow'!$I26)</f>
        <v>0</v>
      </c>
      <c r="BA26" s="65" cm="1">
        <f t="array" ref="BA26">INDEX('892XXX'!$S$5:$U$125,_xlfn.XMATCH('OpCo Cash Flow'!BA$3,'892XXX'!$G$5:$G$125),'OpCo Cash Flow'!$I26)</f>
        <v>0</v>
      </c>
      <c r="BB26" s="65" cm="1">
        <f t="array" ref="BB26">INDEX('892XXX'!$S$5:$U$125,_xlfn.XMATCH('OpCo Cash Flow'!BB$3,'892XXX'!$G$5:$G$125),'OpCo Cash Flow'!$I26)</f>
        <v>0</v>
      </c>
      <c r="BC26" s="65" cm="1">
        <f t="array" ref="BC26">INDEX('892XXX'!$S$5:$U$125,_xlfn.XMATCH('OpCo Cash Flow'!BC$3,'892XXX'!$G$5:$G$125),'OpCo Cash Flow'!$I26)</f>
        <v>0</v>
      </c>
      <c r="BD26" s="65" cm="1">
        <f t="array" ref="BD26">INDEX('892XXX'!$S$5:$U$125,_xlfn.XMATCH('OpCo Cash Flow'!BD$3,'892XXX'!$G$5:$G$125),'OpCo Cash Flow'!$I26)</f>
        <v>0</v>
      </c>
      <c r="BE26" s="65" cm="1">
        <f t="array" ref="BE26">INDEX('892XXX'!$S$5:$U$125,_xlfn.XMATCH('OpCo Cash Flow'!BE$3,'892XXX'!$G$5:$G$125),'OpCo Cash Flow'!$I26)</f>
        <v>0</v>
      </c>
      <c r="BF26" s="65" cm="1">
        <f t="array" ref="BF26">INDEX('892XXX'!$S$5:$U$125,_xlfn.XMATCH('OpCo Cash Flow'!BF$3,'892XXX'!$G$5:$G$125),'OpCo Cash Flow'!$I26)</f>
        <v>0</v>
      </c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</row>
    <row r="27" spans="2:92" outlineLevel="1">
      <c r="B27" s="117"/>
      <c r="C27" s="184" t="s">
        <v>25</v>
      </c>
      <c r="D27" s="10">
        <f t="shared" si="12"/>
        <v>0</v>
      </c>
      <c r="E27" s="10">
        <f t="shared" si="12"/>
        <v>356766.66666666669</v>
      </c>
      <c r="F27" s="10">
        <f t="shared" si="12"/>
        <v>383918.00000000012</v>
      </c>
      <c r="G27" s="10">
        <f t="shared" si="12"/>
        <v>0</v>
      </c>
      <c r="H27" s="10">
        <f t="shared" si="12"/>
        <v>0</v>
      </c>
      <c r="I27">
        <v>2</v>
      </c>
      <c r="J27" s="65"/>
      <c r="K27" s="65" cm="1">
        <f t="array" ref="K27">INDEX('892XXX'!$S$5:$U$125,_xlfn.XMATCH('OpCo Cash Flow'!K$3,'892XXX'!$G$5:$G$125),'OpCo Cash Flow'!$I27)</f>
        <v>32433.333333333336</v>
      </c>
      <c r="L27" s="65" cm="1">
        <f t="array" ref="L27">INDEX('892XXX'!$S$5:$U$125,_xlfn.XMATCH('OpCo Cash Flow'!L$3,'892XXX'!$G$5:$G$125),'OpCo Cash Flow'!$I27)</f>
        <v>32433.333333333336</v>
      </c>
      <c r="M27" s="65" cm="1">
        <f t="array" ref="M27">INDEX('892XXX'!$S$5:$U$125,_xlfn.XMATCH('OpCo Cash Flow'!M$3,'892XXX'!$G$5:$G$125),'OpCo Cash Flow'!$I27)</f>
        <v>32433.333333333336</v>
      </c>
      <c r="N27" s="65" cm="1">
        <f t="array" ref="N27">INDEX('892XXX'!$S$5:$U$125,_xlfn.XMATCH('OpCo Cash Flow'!N$3,'892XXX'!$G$5:$G$125),'OpCo Cash Flow'!$I27)</f>
        <v>32433.333333333336</v>
      </c>
      <c r="O27" s="65" cm="1">
        <f t="array" ref="O27">INDEX('892XXX'!$S$5:$U$125,_xlfn.XMATCH('OpCo Cash Flow'!O$3,'892XXX'!$G$5:$G$125),'OpCo Cash Flow'!$I27)</f>
        <v>32433.333333333336</v>
      </c>
      <c r="P27" s="65" cm="1">
        <f t="array" ref="P27">INDEX('892XXX'!$S$5:$U$125,_xlfn.XMATCH('OpCo Cash Flow'!P$3,'892XXX'!$G$5:$G$125),'OpCo Cash Flow'!$I27)</f>
        <v>32433.333333333336</v>
      </c>
      <c r="Q27" s="65" cm="1">
        <f t="array" ref="Q27">INDEX('892XXX'!$S$5:$U$125,_xlfn.XMATCH('OpCo Cash Flow'!Q$3,'892XXX'!$G$5:$G$125),'OpCo Cash Flow'!$I27)</f>
        <v>32433.333333333336</v>
      </c>
      <c r="R27" s="65" cm="1">
        <f t="array" ref="R27">INDEX('892XXX'!$S$5:$U$125,_xlfn.XMATCH('OpCo Cash Flow'!R$3,'892XXX'!$G$5:$G$125),'OpCo Cash Flow'!$I27)</f>
        <v>32433.333333333336</v>
      </c>
      <c r="S27" s="65" cm="1">
        <f t="array" ref="S27">INDEX('892XXX'!$S$5:$U$125,_xlfn.XMATCH('OpCo Cash Flow'!S$3,'892XXX'!$G$5:$G$125),'OpCo Cash Flow'!$I27)</f>
        <v>32433.333333333336</v>
      </c>
      <c r="T27" s="65" cm="1">
        <f t="array" ref="T27">INDEX('892XXX'!$S$5:$U$125,_xlfn.XMATCH('OpCo Cash Flow'!T$3,'892XXX'!$G$5:$G$125),'OpCo Cash Flow'!$I27)</f>
        <v>32433.333333333336</v>
      </c>
      <c r="U27" s="65" cm="1">
        <f t="array" ref="U27">INDEX('892XXX'!$S$5:$U$125,_xlfn.XMATCH('OpCo Cash Flow'!U$3,'892XXX'!$G$5:$G$125),'OpCo Cash Flow'!$I27)</f>
        <v>32433.333333333336</v>
      </c>
      <c r="V27" s="65" cm="1">
        <f t="array" ref="V27">INDEX('892XXX'!$S$5:$U$125,_xlfn.XMATCH('OpCo Cash Flow'!V$3,'892XXX'!$G$5:$G$125),'OpCo Cash Flow'!$I27)</f>
        <v>32433.333333333336</v>
      </c>
      <c r="W27" s="65" cm="1">
        <f t="array" ref="W27">INDEX('892XXX'!$S$5:$U$125,_xlfn.XMATCH('OpCo Cash Flow'!W$3,'892XXX'!$G$5:$G$125),'OpCo Cash Flow'!$I27)</f>
        <v>32433.333333333336</v>
      </c>
      <c r="X27" s="65" cm="1">
        <f t="array" ref="X27">INDEX('892XXX'!$S$5:$U$125,_xlfn.XMATCH('OpCo Cash Flow'!X$3,'892XXX'!$G$5:$G$125),'OpCo Cash Flow'!$I27)</f>
        <v>32433.333333333336</v>
      </c>
      <c r="Y27" s="65" cm="1">
        <f t="array" ref="Y27">INDEX('892XXX'!$S$5:$U$125,_xlfn.XMATCH('OpCo Cash Flow'!Y$3,'892XXX'!$G$5:$G$125),'OpCo Cash Flow'!$I27)</f>
        <v>32433.333333333336</v>
      </c>
      <c r="Z27" s="65" cm="1">
        <f t="array" ref="Z27">INDEX('892XXX'!$S$5:$U$125,_xlfn.XMATCH('OpCo Cash Flow'!Z$3,'892XXX'!$G$5:$G$125),'OpCo Cash Flow'!$I27)</f>
        <v>32433.333333333336</v>
      </c>
      <c r="AA27" s="65" cm="1">
        <f t="array" ref="AA27">INDEX('892XXX'!$S$5:$U$125,_xlfn.XMATCH('OpCo Cash Flow'!AA$3,'892XXX'!$G$5:$G$125),'OpCo Cash Flow'!$I27)</f>
        <v>32433.333333333336</v>
      </c>
      <c r="AB27" s="65" cm="1">
        <f t="array" ref="AB27">INDEX('892XXX'!$S$5:$U$125,_xlfn.XMATCH('OpCo Cash Flow'!AB$3,'892XXX'!$G$5:$G$125),'OpCo Cash Flow'!$I27)</f>
        <v>32433.333333333336</v>
      </c>
      <c r="AC27" s="65" cm="1">
        <f t="array" ref="AC27">INDEX('892XXX'!$S$5:$U$125,_xlfn.XMATCH('OpCo Cash Flow'!AC$3,'892XXX'!$G$5:$G$125),'OpCo Cash Flow'!$I27)</f>
        <v>32433.333333333336</v>
      </c>
      <c r="AD27" s="65" cm="1">
        <f t="array" ref="AD27">INDEX('892XXX'!$S$5:$U$125,_xlfn.XMATCH('OpCo Cash Flow'!AD$3,'892XXX'!$G$5:$G$125),'OpCo Cash Flow'!$I27)</f>
        <v>32433.333333333336</v>
      </c>
      <c r="AE27" s="65" cm="1">
        <f t="array" ref="AE27">INDEX('892XXX'!$S$5:$U$125,_xlfn.XMATCH('OpCo Cash Flow'!AE$3,'892XXX'!$G$5:$G$125),'OpCo Cash Flow'!$I27)</f>
        <v>32433.333333333336</v>
      </c>
      <c r="AF27" s="65" cm="1">
        <f t="array" ref="AF27">INDEX('892XXX'!$S$5:$U$125,_xlfn.XMATCH('OpCo Cash Flow'!AF$3,'892XXX'!$G$5:$G$125),'OpCo Cash Flow'!$I27)</f>
        <v>32433.333333333336</v>
      </c>
      <c r="AG27" s="65" cm="1">
        <f t="array" ref="AG27">INDEX('892XXX'!$S$5:$U$125,_xlfn.XMATCH('OpCo Cash Flow'!AG$3,'892XXX'!$G$5:$G$125),'OpCo Cash Flow'!$I27)</f>
        <v>27151.333333333423</v>
      </c>
      <c r="AH27" s="65" cm="1">
        <f t="array" ref="AH27">INDEX('892XXX'!$S$5:$U$125,_xlfn.XMATCH('OpCo Cash Flow'!AH$3,'892XXX'!$G$5:$G$125),'OpCo Cash Flow'!$I27)</f>
        <v>0</v>
      </c>
      <c r="AI27" s="65" cm="1">
        <f t="array" ref="AI27">INDEX('892XXX'!$S$5:$U$125,_xlfn.XMATCH('OpCo Cash Flow'!AI$3,'892XXX'!$G$5:$G$125),'OpCo Cash Flow'!$I27)</f>
        <v>0</v>
      </c>
      <c r="AJ27" s="65" cm="1">
        <f t="array" ref="AJ27">INDEX('892XXX'!$S$5:$U$125,_xlfn.XMATCH('OpCo Cash Flow'!AJ$3,'892XXX'!$G$5:$G$125),'OpCo Cash Flow'!$I27)</f>
        <v>0</v>
      </c>
      <c r="AK27" s="65" cm="1">
        <f t="array" ref="AK27">INDEX('892XXX'!$S$5:$U$125,_xlfn.XMATCH('OpCo Cash Flow'!AK$3,'892XXX'!$G$5:$G$125),'OpCo Cash Flow'!$I27)</f>
        <v>0</v>
      </c>
      <c r="AL27" s="65" cm="1">
        <f t="array" ref="AL27">INDEX('892XXX'!$S$5:$U$125,_xlfn.XMATCH('OpCo Cash Flow'!AL$3,'892XXX'!$G$5:$G$125),'OpCo Cash Flow'!$I27)</f>
        <v>0</v>
      </c>
      <c r="AM27" s="65" cm="1">
        <f t="array" ref="AM27">INDEX('892XXX'!$S$5:$U$125,_xlfn.XMATCH('OpCo Cash Flow'!AM$3,'892XXX'!$G$5:$G$125),'OpCo Cash Flow'!$I27)</f>
        <v>0</v>
      </c>
      <c r="AN27" s="65" cm="1">
        <f t="array" ref="AN27">INDEX('892XXX'!$S$5:$U$125,_xlfn.XMATCH('OpCo Cash Flow'!AN$3,'892XXX'!$G$5:$G$125),'OpCo Cash Flow'!$I27)</f>
        <v>0</v>
      </c>
      <c r="AO27" s="65" cm="1">
        <f t="array" ref="AO27">INDEX('892XXX'!$S$5:$U$125,_xlfn.XMATCH('OpCo Cash Flow'!AO$3,'892XXX'!$G$5:$G$125),'OpCo Cash Flow'!$I27)</f>
        <v>0</v>
      </c>
      <c r="AP27" s="65" cm="1">
        <f t="array" ref="AP27">INDEX('892XXX'!$S$5:$U$125,_xlfn.XMATCH('OpCo Cash Flow'!AP$3,'892XXX'!$G$5:$G$125),'OpCo Cash Flow'!$I27)</f>
        <v>0</v>
      </c>
      <c r="AQ27" s="65" cm="1">
        <f t="array" ref="AQ27">INDEX('892XXX'!$S$5:$U$125,_xlfn.XMATCH('OpCo Cash Flow'!AQ$3,'892XXX'!$G$5:$G$125),'OpCo Cash Flow'!$I27)</f>
        <v>0</v>
      </c>
      <c r="AR27" s="65" cm="1">
        <f t="array" ref="AR27">INDEX('892XXX'!$S$5:$U$125,_xlfn.XMATCH('OpCo Cash Flow'!AR$3,'892XXX'!$G$5:$G$125),'OpCo Cash Flow'!$I27)</f>
        <v>0</v>
      </c>
      <c r="AS27" s="65" cm="1">
        <f t="array" ref="AS27">INDEX('892XXX'!$S$5:$U$125,_xlfn.XMATCH('OpCo Cash Flow'!AS$3,'892XXX'!$G$5:$G$125),'OpCo Cash Flow'!$I27)</f>
        <v>0</v>
      </c>
      <c r="AT27" s="65" cm="1">
        <f t="array" ref="AT27">INDEX('892XXX'!$S$5:$U$125,_xlfn.XMATCH('OpCo Cash Flow'!AT$3,'892XXX'!$G$5:$G$125),'OpCo Cash Flow'!$I27)</f>
        <v>0</v>
      </c>
      <c r="AU27" s="65" cm="1">
        <f t="array" ref="AU27">INDEX('892XXX'!$S$5:$U$125,_xlfn.XMATCH('OpCo Cash Flow'!AU$3,'892XXX'!$G$5:$G$125),'OpCo Cash Flow'!$I27)</f>
        <v>0</v>
      </c>
      <c r="AV27" s="65" cm="1">
        <f t="array" ref="AV27">INDEX('892XXX'!$S$5:$U$125,_xlfn.XMATCH('OpCo Cash Flow'!AV$3,'892XXX'!$G$5:$G$125),'OpCo Cash Flow'!$I27)</f>
        <v>0</v>
      </c>
      <c r="AW27" s="65" cm="1">
        <f t="array" ref="AW27">INDEX('892XXX'!$S$5:$U$125,_xlfn.XMATCH('OpCo Cash Flow'!AW$3,'892XXX'!$G$5:$G$125),'OpCo Cash Flow'!$I27)</f>
        <v>0</v>
      </c>
      <c r="AX27" s="65" cm="1">
        <f t="array" ref="AX27">INDEX('892XXX'!$S$5:$U$125,_xlfn.XMATCH('OpCo Cash Flow'!AX$3,'892XXX'!$G$5:$G$125),'OpCo Cash Flow'!$I27)</f>
        <v>0</v>
      </c>
      <c r="AY27" s="65" cm="1">
        <f t="array" ref="AY27">INDEX('892XXX'!$S$5:$U$125,_xlfn.XMATCH('OpCo Cash Flow'!AY$3,'892XXX'!$G$5:$G$125),'OpCo Cash Flow'!$I27)</f>
        <v>0</v>
      </c>
      <c r="AZ27" s="65" cm="1">
        <f t="array" ref="AZ27">INDEX('892XXX'!$S$5:$U$125,_xlfn.XMATCH('OpCo Cash Flow'!AZ$3,'892XXX'!$G$5:$G$125),'OpCo Cash Flow'!$I27)</f>
        <v>0</v>
      </c>
      <c r="BA27" s="65" cm="1">
        <f t="array" ref="BA27">INDEX('892XXX'!$S$5:$U$125,_xlfn.XMATCH('OpCo Cash Flow'!BA$3,'892XXX'!$G$5:$G$125),'OpCo Cash Flow'!$I27)</f>
        <v>0</v>
      </c>
      <c r="BB27" s="65" cm="1">
        <f t="array" ref="BB27">INDEX('892XXX'!$S$5:$U$125,_xlfn.XMATCH('OpCo Cash Flow'!BB$3,'892XXX'!$G$5:$G$125),'OpCo Cash Flow'!$I27)</f>
        <v>0</v>
      </c>
      <c r="BC27" s="65" cm="1">
        <f t="array" ref="BC27">INDEX('892XXX'!$S$5:$U$125,_xlfn.XMATCH('OpCo Cash Flow'!BC$3,'892XXX'!$G$5:$G$125),'OpCo Cash Flow'!$I27)</f>
        <v>0</v>
      </c>
      <c r="BD27" s="65" cm="1">
        <f t="array" ref="BD27">INDEX('892XXX'!$S$5:$U$125,_xlfn.XMATCH('OpCo Cash Flow'!BD$3,'892XXX'!$G$5:$G$125),'OpCo Cash Flow'!$I27)</f>
        <v>0</v>
      </c>
      <c r="BE27" s="65" cm="1">
        <f t="array" ref="BE27">INDEX('892XXX'!$S$5:$U$125,_xlfn.XMATCH('OpCo Cash Flow'!BE$3,'892XXX'!$G$5:$G$125),'OpCo Cash Flow'!$I27)</f>
        <v>0</v>
      </c>
      <c r="BF27" s="65" cm="1">
        <f t="array" ref="BF27">INDEX('892XXX'!$S$5:$U$125,_xlfn.XMATCH('OpCo Cash Flow'!BF$3,'892XXX'!$G$5:$G$125),'OpCo Cash Flow'!$I27)</f>
        <v>0</v>
      </c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</row>
    <row r="28" spans="2:92" outlineLevel="1">
      <c r="B28" s="117"/>
      <c r="C28" s="185" t="s">
        <v>26</v>
      </c>
      <c r="D28" s="15">
        <f t="shared" si="12"/>
        <v>0</v>
      </c>
      <c r="E28" s="15">
        <f t="shared" si="12"/>
        <v>705113.38333333342</v>
      </c>
      <c r="F28" s="15">
        <f t="shared" si="12"/>
        <v>758775.25900000031</v>
      </c>
      <c r="G28" s="15">
        <f t="shared" si="12"/>
        <v>0</v>
      </c>
      <c r="H28" s="15">
        <f t="shared" si="12"/>
        <v>0</v>
      </c>
      <c r="I28">
        <v>3</v>
      </c>
      <c r="J28" s="66"/>
      <c r="K28" s="66" cm="1">
        <f t="array" ref="K28">INDEX('892XXX'!$S$5:$U$125,_xlfn.XMATCH('OpCo Cash Flow'!K$3,'892XXX'!$G$5:$G$125),'OpCo Cash Flow'!$I28)</f>
        <v>64101.216666666674</v>
      </c>
      <c r="L28" s="66" cm="1">
        <f t="array" ref="L28">INDEX('892XXX'!$S$5:$U$125,_xlfn.XMATCH('OpCo Cash Flow'!L$3,'892XXX'!$G$5:$G$125),'OpCo Cash Flow'!$I28)</f>
        <v>64101.216666666674</v>
      </c>
      <c r="M28" s="66" cm="1">
        <f t="array" ref="M28">INDEX('892XXX'!$S$5:$U$125,_xlfn.XMATCH('OpCo Cash Flow'!M$3,'892XXX'!$G$5:$G$125),'OpCo Cash Flow'!$I28)</f>
        <v>64101.216666666674</v>
      </c>
      <c r="N28" s="66" cm="1">
        <f t="array" ref="N28">INDEX('892XXX'!$S$5:$U$125,_xlfn.XMATCH('OpCo Cash Flow'!N$3,'892XXX'!$G$5:$G$125),'OpCo Cash Flow'!$I28)</f>
        <v>64101.216666666674</v>
      </c>
      <c r="O28" s="66" cm="1">
        <f t="array" ref="O28">INDEX('892XXX'!$S$5:$U$125,_xlfn.XMATCH('OpCo Cash Flow'!O$3,'892XXX'!$G$5:$G$125),'OpCo Cash Flow'!$I28)</f>
        <v>64101.216666666674</v>
      </c>
      <c r="P28" s="66" cm="1">
        <f t="array" ref="P28">INDEX('892XXX'!$S$5:$U$125,_xlfn.XMATCH('OpCo Cash Flow'!P$3,'892XXX'!$G$5:$G$125),'OpCo Cash Flow'!$I28)</f>
        <v>64101.216666666674</v>
      </c>
      <c r="Q28" s="66" cm="1">
        <f t="array" ref="Q28">INDEX('892XXX'!$S$5:$U$125,_xlfn.XMATCH('OpCo Cash Flow'!Q$3,'892XXX'!$G$5:$G$125),'OpCo Cash Flow'!$I28)</f>
        <v>64101.216666666674</v>
      </c>
      <c r="R28" s="66" cm="1">
        <f t="array" ref="R28">INDEX('892XXX'!$S$5:$U$125,_xlfn.XMATCH('OpCo Cash Flow'!R$3,'892XXX'!$G$5:$G$125),'OpCo Cash Flow'!$I28)</f>
        <v>64101.216666666674</v>
      </c>
      <c r="S28" s="66" cm="1">
        <f t="array" ref="S28">INDEX('892XXX'!$S$5:$U$125,_xlfn.XMATCH('OpCo Cash Flow'!S$3,'892XXX'!$G$5:$G$125),'OpCo Cash Flow'!$I28)</f>
        <v>64101.216666666674</v>
      </c>
      <c r="T28" s="66" cm="1">
        <f t="array" ref="T28">INDEX('892XXX'!$S$5:$U$125,_xlfn.XMATCH('OpCo Cash Flow'!T$3,'892XXX'!$G$5:$G$125),'OpCo Cash Flow'!$I28)</f>
        <v>64101.216666666674</v>
      </c>
      <c r="U28" s="66" cm="1">
        <f t="array" ref="U28">INDEX('892XXX'!$S$5:$U$125,_xlfn.XMATCH('OpCo Cash Flow'!U$3,'892XXX'!$G$5:$G$125),'OpCo Cash Flow'!$I28)</f>
        <v>64101.216666666674</v>
      </c>
      <c r="V28" s="66" cm="1">
        <f t="array" ref="V28">INDEX('892XXX'!$S$5:$U$125,_xlfn.XMATCH('OpCo Cash Flow'!V$3,'892XXX'!$G$5:$G$125),'OpCo Cash Flow'!$I28)</f>
        <v>64101.216666666674</v>
      </c>
      <c r="W28" s="66" cm="1">
        <f t="array" ref="W28">INDEX('892XXX'!$S$5:$U$125,_xlfn.XMATCH('OpCo Cash Flow'!W$3,'892XXX'!$G$5:$G$125),'OpCo Cash Flow'!$I28)</f>
        <v>64101.216666666674</v>
      </c>
      <c r="X28" s="66" cm="1">
        <f t="array" ref="X28">INDEX('892XXX'!$S$5:$U$125,_xlfn.XMATCH('OpCo Cash Flow'!X$3,'892XXX'!$G$5:$G$125),'OpCo Cash Flow'!$I28)</f>
        <v>64101.216666666674</v>
      </c>
      <c r="Y28" s="66" cm="1">
        <f t="array" ref="Y28">INDEX('892XXX'!$S$5:$U$125,_xlfn.XMATCH('OpCo Cash Flow'!Y$3,'892XXX'!$G$5:$G$125),'OpCo Cash Flow'!$I28)</f>
        <v>64101.216666666674</v>
      </c>
      <c r="Z28" s="66" cm="1">
        <f t="array" ref="Z28">INDEX('892XXX'!$S$5:$U$125,_xlfn.XMATCH('OpCo Cash Flow'!Z$3,'892XXX'!$G$5:$G$125),'OpCo Cash Flow'!$I28)</f>
        <v>64101.216666666674</v>
      </c>
      <c r="AA28" s="66" cm="1">
        <f t="array" ref="AA28">INDEX('892XXX'!$S$5:$U$125,_xlfn.XMATCH('OpCo Cash Flow'!AA$3,'892XXX'!$G$5:$G$125),'OpCo Cash Flow'!$I28)</f>
        <v>64101.216666666674</v>
      </c>
      <c r="AB28" s="66" cm="1">
        <f t="array" ref="AB28">INDEX('892XXX'!$S$5:$U$125,_xlfn.XMATCH('OpCo Cash Flow'!AB$3,'892XXX'!$G$5:$G$125),'OpCo Cash Flow'!$I28)</f>
        <v>64101.216666666674</v>
      </c>
      <c r="AC28" s="66" cm="1">
        <f t="array" ref="AC28">INDEX('892XXX'!$S$5:$U$125,_xlfn.XMATCH('OpCo Cash Flow'!AC$3,'892XXX'!$G$5:$G$125),'OpCo Cash Flow'!$I28)</f>
        <v>64101.216666666674</v>
      </c>
      <c r="AD28" s="66" cm="1">
        <f t="array" ref="AD28">INDEX('892XXX'!$S$5:$U$125,_xlfn.XMATCH('OpCo Cash Flow'!AD$3,'892XXX'!$G$5:$G$125),'OpCo Cash Flow'!$I28)</f>
        <v>64101.216666666674</v>
      </c>
      <c r="AE28" s="66" cm="1">
        <f t="array" ref="AE28">INDEX('892XXX'!$S$5:$U$125,_xlfn.XMATCH('OpCo Cash Flow'!AE$3,'892XXX'!$G$5:$G$125),'OpCo Cash Flow'!$I28)</f>
        <v>64101.216666666674</v>
      </c>
      <c r="AF28" s="66" cm="1">
        <f t="array" ref="AF28">INDEX('892XXX'!$S$5:$U$125,_xlfn.XMATCH('OpCo Cash Flow'!AF$3,'892XXX'!$G$5:$G$125),'OpCo Cash Flow'!$I28)</f>
        <v>64101.216666666674</v>
      </c>
      <c r="AG28" s="66" cm="1">
        <f t="array" ref="AG28">INDEX('892XXX'!$S$5:$U$125,_xlfn.XMATCH('OpCo Cash Flow'!AG$3,'892XXX'!$G$5:$G$125),'OpCo Cash Flow'!$I28)</f>
        <v>53661.875666666841</v>
      </c>
      <c r="AH28" s="66" cm="1">
        <f t="array" ref="AH28">INDEX('892XXX'!$S$5:$U$125,_xlfn.XMATCH('OpCo Cash Flow'!AH$3,'892XXX'!$G$5:$G$125),'OpCo Cash Flow'!$I28)</f>
        <v>0</v>
      </c>
      <c r="AI28" s="66" cm="1">
        <f t="array" ref="AI28">INDEX('892XXX'!$S$5:$U$125,_xlfn.XMATCH('OpCo Cash Flow'!AI$3,'892XXX'!$G$5:$G$125),'OpCo Cash Flow'!$I28)</f>
        <v>0</v>
      </c>
      <c r="AJ28" s="66" cm="1">
        <f t="array" ref="AJ28">INDEX('892XXX'!$S$5:$U$125,_xlfn.XMATCH('OpCo Cash Flow'!AJ$3,'892XXX'!$G$5:$G$125),'OpCo Cash Flow'!$I28)</f>
        <v>0</v>
      </c>
      <c r="AK28" s="66" cm="1">
        <f t="array" ref="AK28">INDEX('892XXX'!$S$5:$U$125,_xlfn.XMATCH('OpCo Cash Flow'!AK$3,'892XXX'!$G$5:$G$125),'OpCo Cash Flow'!$I28)</f>
        <v>0</v>
      </c>
      <c r="AL28" s="66" cm="1">
        <f t="array" ref="AL28">INDEX('892XXX'!$S$5:$U$125,_xlfn.XMATCH('OpCo Cash Flow'!AL$3,'892XXX'!$G$5:$G$125),'OpCo Cash Flow'!$I28)</f>
        <v>0</v>
      </c>
      <c r="AM28" s="66" cm="1">
        <f t="array" ref="AM28">INDEX('892XXX'!$S$5:$U$125,_xlfn.XMATCH('OpCo Cash Flow'!AM$3,'892XXX'!$G$5:$G$125),'OpCo Cash Flow'!$I28)</f>
        <v>0</v>
      </c>
      <c r="AN28" s="66" cm="1">
        <f t="array" ref="AN28">INDEX('892XXX'!$S$5:$U$125,_xlfn.XMATCH('OpCo Cash Flow'!AN$3,'892XXX'!$G$5:$G$125),'OpCo Cash Flow'!$I28)</f>
        <v>0</v>
      </c>
      <c r="AO28" s="66" cm="1">
        <f t="array" ref="AO28">INDEX('892XXX'!$S$5:$U$125,_xlfn.XMATCH('OpCo Cash Flow'!AO$3,'892XXX'!$G$5:$G$125),'OpCo Cash Flow'!$I28)</f>
        <v>0</v>
      </c>
      <c r="AP28" s="66" cm="1">
        <f t="array" ref="AP28">INDEX('892XXX'!$S$5:$U$125,_xlfn.XMATCH('OpCo Cash Flow'!AP$3,'892XXX'!$G$5:$G$125),'OpCo Cash Flow'!$I28)</f>
        <v>0</v>
      </c>
      <c r="AQ28" s="66" cm="1">
        <f t="array" ref="AQ28">INDEX('892XXX'!$S$5:$U$125,_xlfn.XMATCH('OpCo Cash Flow'!AQ$3,'892XXX'!$G$5:$G$125),'OpCo Cash Flow'!$I28)</f>
        <v>0</v>
      </c>
      <c r="AR28" s="66" cm="1">
        <f t="array" ref="AR28">INDEX('892XXX'!$S$5:$U$125,_xlfn.XMATCH('OpCo Cash Flow'!AR$3,'892XXX'!$G$5:$G$125),'OpCo Cash Flow'!$I28)</f>
        <v>0</v>
      </c>
      <c r="AS28" s="66" cm="1">
        <f t="array" ref="AS28">INDEX('892XXX'!$S$5:$U$125,_xlfn.XMATCH('OpCo Cash Flow'!AS$3,'892XXX'!$G$5:$G$125),'OpCo Cash Flow'!$I28)</f>
        <v>0</v>
      </c>
      <c r="AT28" s="66" cm="1">
        <f t="array" ref="AT28">INDEX('892XXX'!$S$5:$U$125,_xlfn.XMATCH('OpCo Cash Flow'!AT$3,'892XXX'!$G$5:$G$125),'OpCo Cash Flow'!$I28)</f>
        <v>0</v>
      </c>
      <c r="AU28" s="66" cm="1">
        <f t="array" ref="AU28">INDEX('892XXX'!$S$5:$U$125,_xlfn.XMATCH('OpCo Cash Flow'!AU$3,'892XXX'!$G$5:$G$125),'OpCo Cash Flow'!$I28)</f>
        <v>0</v>
      </c>
      <c r="AV28" s="66" cm="1">
        <f t="array" ref="AV28">INDEX('892XXX'!$S$5:$U$125,_xlfn.XMATCH('OpCo Cash Flow'!AV$3,'892XXX'!$G$5:$G$125),'OpCo Cash Flow'!$I28)</f>
        <v>0</v>
      </c>
      <c r="AW28" s="66" cm="1">
        <f t="array" ref="AW28">INDEX('892XXX'!$S$5:$U$125,_xlfn.XMATCH('OpCo Cash Flow'!AW$3,'892XXX'!$G$5:$G$125),'OpCo Cash Flow'!$I28)</f>
        <v>0</v>
      </c>
      <c r="AX28" s="66" cm="1">
        <f t="array" ref="AX28">INDEX('892XXX'!$S$5:$U$125,_xlfn.XMATCH('OpCo Cash Flow'!AX$3,'892XXX'!$G$5:$G$125),'OpCo Cash Flow'!$I28)</f>
        <v>0</v>
      </c>
      <c r="AY28" s="66" cm="1">
        <f t="array" ref="AY28">INDEX('892XXX'!$S$5:$U$125,_xlfn.XMATCH('OpCo Cash Flow'!AY$3,'892XXX'!$G$5:$G$125),'OpCo Cash Flow'!$I28)</f>
        <v>0</v>
      </c>
      <c r="AZ28" s="66" cm="1">
        <f t="array" ref="AZ28">INDEX('892XXX'!$S$5:$U$125,_xlfn.XMATCH('OpCo Cash Flow'!AZ$3,'892XXX'!$G$5:$G$125),'OpCo Cash Flow'!$I28)</f>
        <v>0</v>
      </c>
      <c r="BA28" s="66" cm="1">
        <f t="array" ref="BA28">INDEX('892XXX'!$S$5:$U$125,_xlfn.XMATCH('OpCo Cash Flow'!BA$3,'892XXX'!$G$5:$G$125),'OpCo Cash Flow'!$I28)</f>
        <v>0</v>
      </c>
      <c r="BB28" s="66" cm="1">
        <f t="array" ref="BB28">INDEX('892XXX'!$S$5:$U$125,_xlfn.XMATCH('OpCo Cash Flow'!BB$3,'892XXX'!$G$5:$G$125),'OpCo Cash Flow'!$I28)</f>
        <v>0</v>
      </c>
      <c r="BC28" s="66" cm="1">
        <f t="array" ref="BC28">INDEX('892XXX'!$S$5:$U$125,_xlfn.XMATCH('OpCo Cash Flow'!BC$3,'892XXX'!$G$5:$G$125),'OpCo Cash Flow'!$I28)</f>
        <v>0</v>
      </c>
      <c r="BD28" s="66" cm="1">
        <f t="array" ref="BD28">INDEX('892XXX'!$S$5:$U$125,_xlfn.XMATCH('OpCo Cash Flow'!BD$3,'892XXX'!$G$5:$G$125),'OpCo Cash Flow'!$I28)</f>
        <v>0</v>
      </c>
      <c r="BE28" s="66" cm="1">
        <f t="array" ref="BE28">INDEX('892XXX'!$S$5:$U$125,_xlfn.XMATCH('OpCo Cash Flow'!BE$3,'892XXX'!$G$5:$G$125),'OpCo Cash Flow'!$I28)</f>
        <v>0</v>
      </c>
      <c r="BF28" s="66" cm="1">
        <f t="array" ref="BF28">INDEX('892XXX'!$S$5:$U$125,_xlfn.XMATCH('OpCo Cash Flow'!BF$3,'892XXX'!$G$5:$G$125),'OpCo Cash Flow'!$I28)</f>
        <v>0</v>
      </c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</row>
    <row r="29" spans="2:92" outlineLevel="1">
      <c r="B29" s="115"/>
      <c r="C29" s="186" t="s">
        <v>29</v>
      </c>
      <c r="D29" s="22">
        <f>SUM(D26:D28)</f>
        <v>0</v>
      </c>
      <c r="E29" s="22">
        <f t="shared" ref="E29" si="13">SUM(E26:E28)</f>
        <v>2051880.0500000003</v>
      </c>
      <c r="F29" s="22">
        <f t="shared" ref="F29" si="14">SUM(F26:F28)</f>
        <v>2222693.2590000005</v>
      </c>
      <c r="G29" s="22">
        <f t="shared" ref="G29" si="15">SUM(G26:G28)</f>
        <v>0</v>
      </c>
      <c r="H29" s="22">
        <f t="shared" ref="H29" si="16">SUM(H26:H28)</f>
        <v>0</v>
      </c>
      <c r="J29" s="67">
        <f t="shared" ref="J29" si="17">SUM(J26:J28)</f>
        <v>0</v>
      </c>
      <c r="K29" s="67">
        <f t="shared" ref="K29" si="18">SUM(K26:K28)</f>
        <v>186534.55000000002</v>
      </c>
      <c r="L29" s="67">
        <f t="shared" ref="L29" si="19">SUM(L26:L28)</f>
        <v>186534.55000000002</v>
      </c>
      <c r="M29" s="67">
        <f t="shared" ref="M29" si="20">SUM(M26:M28)</f>
        <v>186534.55000000002</v>
      </c>
      <c r="N29" s="67">
        <f t="shared" ref="N29" si="21">SUM(N26:N28)</f>
        <v>186534.55000000002</v>
      </c>
      <c r="O29" s="67">
        <f t="shared" ref="O29" si="22">SUM(O26:O28)</f>
        <v>186534.55000000002</v>
      </c>
      <c r="P29" s="67">
        <f t="shared" ref="P29" si="23">SUM(P26:P28)</f>
        <v>186534.55000000002</v>
      </c>
      <c r="Q29" s="67">
        <f t="shared" ref="Q29" si="24">SUM(Q26:Q28)</f>
        <v>186534.55000000002</v>
      </c>
      <c r="R29" s="67">
        <f t="shared" ref="R29" si="25">SUM(R26:R28)</f>
        <v>186534.55000000002</v>
      </c>
      <c r="S29" s="67">
        <f t="shared" ref="S29" si="26">SUM(S26:S28)</f>
        <v>186534.55000000002</v>
      </c>
      <c r="T29" s="67">
        <f t="shared" ref="T29" si="27">SUM(T26:T28)</f>
        <v>186534.55000000002</v>
      </c>
      <c r="U29" s="67">
        <f t="shared" ref="U29" si="28">SUM(U26:U28)</f>
        <v>186534.55000000002</v>
      </c>
      <c r="V29" s="67">
        <f t="shared" ref="V29" si="29">SUM(V26:V28)</f>
        <v>186534.55000000002</v>
      </c>
      <c r="W29" s="67">
        <f t="shared" ref="W29" si="30">SUM(W26:W28)</f>
        <v>186534.55000000002</v>
      </c>
      <c r="X29" s="67">
        <f t="shared" ref="X29" si="31">SUM(X26:X28)</f>
        <v>186534.55000000002</v>
      </c>
      <c r="Y29" s="67">
        <f t="shared" ref="Y29" si="32">SUM(Y26:Y28)</f>
        <v>186534.55000000002</v>
      </c>
      <c r="Z29" s="67">
        <f t="shared" ref="Z29" si="33">SUM(Z26:Z28)</f>
        <v>186534.55000000002</v>
      </c>
      <c r="AA29" s="67">
        <f t="shared" ref="AA29" si="34">SUM(AA26:AA28)</f>
        <v>186534.55000000002</v>
      </c>
      <c r="AB29" s="67">
        <f t="shared" ref="AB29" si="35">SUM(AB26:AB28)</f>
        <v>186534.55000000002</v>
      </c>
      <c r="AC29" s="67">
        <f t="shared" ref="AC29" si="36">SUM(AC26:AC28)</f>
        <v>186534.55000000002</v>
      </c>
      <c r="AD29" s="67">
        <f t="shared" ref="AD29" si="37">SUM(AD26:AD28)</f>
        <v>186534.55000000002</v>
      </c>
      <c r="AE29" s="67">
        <f t="shared" ref="AE29" si="38">SUM(AE26:AE28)</f>
        <v>186534.55000000002</v>
      </c>
      <c r="AF29" s="67">
        <f t="shared" ref="AF29" si="39">SUM(AF26:AF28)</f>
        <v>186534.55000000002</v>
      </c>
      <c r="AG29" s="67">
        <f t="shared" ref="AG29" si="40">SUM(AG26:AG28)</f>
        <v>170813.20900000026</v>
      </c>
      <c r="AH29" s="67">
        <f t="shared" ref="AH29" si="41">SUM(AH26:AH28)</f>
        <v>0</v>
      </c>
      <c r="AI29" s="67">
        <f t="shared" ref="AI29" si="42">SUM(AI26:AI28)</f>
        <v>0</v>
      </c>
      <c r="AJ29" s="67">
        <f t="shared" ref="AJ29" si="43">SUM(AJ26:AJ28)</f>
        <v>0</v>
      </c>
      <c r="AK29" s="67">
        <f t="shared" ref="AK29" si="44">SUM(AK26:AK28)</f>
        <v>0</v>
      </c>
      <c r="AL29" s="67">
        <f t="shared" ref="AL29" si="45">SUM(AL26:AL28)</f>
        <v>0</v>
      </c>
      <c r="AM29" s="67">
        <f t="shared" ref="AM29" si="46">SUM(AM26:AM28)</f>
        <v>0</v>
      </c>
      <c r="AN29" s="67">
        <f t="shared" ref="AN29" si="47">SUM(AN26:AN28)</f>
        <v>0</v>
      </c>
      <c r="AO29" s="67">
        <f t="shared" ref="AO29" si="48">SUM(AO26:AO28)</f>
        <v>0</v>
      </c>
      <c r="AP29" s="67">
        <f t="shared" ref="AP29" si="49">SUM(AP26:AP28)</f>
        <v>0</v>
      </c>
      <c r="AQ29" s="67">
        <f t="shared" ref="AQ29" si="50">SUM(AQ26:AQ28)</f>
        <v>0</v>
      </c>
      <c r="AR29" s="67">
        <f t="shared" ref="AR29" si="51">SUM(AR26:AR28)</f>
        <v>0</v>
      </c>
      <c r="AS29" s="67">
        <f t="shared" ref="AS29" si="52">SUM(AS26:AS28)</f>
        <v>0</v>
      </c>
      <c r="AT29" s="67">
        <f t="shared" ref="AT29" si="53">SUM(AT26:AT28)</f>
        <v>0</v>
      </c>
      <c r="AU29" s="67">
        <f t="shared" ref="AU29" si="54">SUM(AU26:AU28)</f>
        <v>0</v>
      </c>
      <c r="AV29" s="67">
        <f t="shared" ref="AV29" si="55">SUM(AV26:AV28)</f>
        <v>0</v>
      </c>
      <c r="AW29" s="67">
        <f t="shared" ref="AW29" si="56">SUM(AW26:AW28)</f>
        <v>0</v>
      </c>
      <c r="AX29" s="67">
        <f t="shared" ref="AX29" si="57">SUM(AX26:AX28)</f>
        <v>0</v>
      </c>
      <c r="AY29" s="67">
        <f t="shared" ref="AY29" si="58">SUM(AY26:AY28)</f>
        <v>0</v>
      </c>
      <c r="AZ29" s="67">
        <f t="shared" ref="AZ29" si="59">SUM(AZ26:AZ28)</f>
        <v>0</v>
      </c>
      <c r="BA29" s="67">
        <f t="shared" ref="BA29" si="60">SUM(BA26:BA28)</f>
        <v>0</v>
      </c>
      <c r="BB29" s="67">
        <f t="shared" ref="BB29" si="61">SUM(BB26:BB28)</f>
        <v>0</v>
      </c>
      <c r="BC29" s="67">
        <f t="shared" ref="BC29" si="62">SUM(BC26:BC28)</f>
        <v>0</v>
      </c>
      <c r="BD29" s="67">
        <f t="shared" ref="BD29" si="63">SUM(BD26:BD28)</f>
        <v>0</v>
      </c>
      <c r="BE29" s="67">
        <f t="shared" ref="BE29" si="64">SUM(BE26:BE28)</f>
        <v>0</v>
      </c>
      <c r="BF29" s="67">
        <f t="shared" ref="BF29" si="65">SUM(BF26:BF28)</f>
        <v>0</v>
      </c>
    </row>
    <row r="30" spans="2:92" outlineLevel="1">
      <c r="B30" s="114"/>
      <c r="C30" s="184"/>
      <c r="D30" s="22"/>
      <c r="E30" s="22"/>
      <c r="F30" s="22"/>
      <c r="G30" s="22"/>
      <c r="H30" s="22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</row>
    <row r="31" spans="2:92" ht="14.65" customHeight="1">
      <c r="B31" s="118" t="s">
        <v>30</v>
      </c>
      <c r="C31" s="184"/>
      <c r="D31" s="22"/>
      <c r="E31" s="22"/>
      <c r="F31" s="22"/>
      <c r="G31" s="22"/>
      <c r="H31" s="22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</row>
    <row r="32" spans="2:92" ht="14.65" customHeight="1">
      <c r="B32" s="114"/>
      <c r="C32" s="183" t="s">
        <v>24</v>
      </c>
      <c r="D32" s="25">
        <f>+D26+D20</f>
        <v>0</v>
      </c>
      <c r="E32" s="25">
        <f t="shared" ref="E32:BF32" si="66">+E26+E20</f>
        <v>1980000</v>
      </c>
      <c r="F32" s="25">
        <f t="shared" si="66"/>
        <v>1980000</v>
      </c>
      <c r="G32" s="25">
        <f t="shared" si="66"/>
        <v>0</v>
      </c>
      <c r="H32" s="25">
        <f t="shared" si="66"/>
        <v>0</v>
      </c>
      <c r="J32" s="68"/>
      <c r="K32" s="68">
        <f t="shared" si="66"/>
        <v>180000</v>
      </c>
      <c r="L32" s="68">
        <f t="shared" si="66"/>
        <v>180000</v>
      </c>
      <c r="M32" s="68">
        <f t="shared" si="66"/>
        <v>180000</v>
      </c>
      <c r="N32" s="68">
        <f t="shared" si="66"/>
        <v>180000</v>
      </c>
      <c r="O32" s="68">
        <f t="shared" si="66"/>
        <v>180000</v>
      </c>
      <c r="P32" s="68">
        <f t="shared" si="66"/>
        <v>180000</v>
      </c>
      <c r="Q32" s="68">
        <f t="shared" si="66"/>
        <v>180000</v>
      </c>
      <c r="R32" s="68">
        <f t="shared" si="66"/>
        <v>180000</v>
      </c>
      <c r="S32" s="68">
        <f t="shared" si="66"/>
        <v>180000</v>
      </c>
      <c r="T32" s="68">
        <f t="shared" si="66"/>
        <v>180000</v>
      </c>
      <c r="U32" s="68">
        <f t="shared" si="66"/>
        <v>180000</v>
      </c>
      <c r="V32" s="68">
        <f t="shared" si="66"/>
        <v>180000</v>
      </c>
      <c r="W32" s="68">
        <f t="shared" si="66"/>
        <v>180000</v>
      </c>
      <c r="X32" s="68">
        <f t="shared" si="66"/>
        <v>180000</v>
      </c>
      <c r="Y32" s="68">
        <f t="shared" si="66"/>
        <v>180000</v>
      </c>
      <c r="Z32" s="68">
        <f t="shared" si="66"/>
        <v>180000</v>
      </c>
      <c r="AA32" s="68">
        <f t="shared" si="66"/>
        <v>180000</v>
      </c>
      <c r="AB32" s="68">
        <f t="shared" si="66"/>
        <v>180000</v>
      </c>
      <c r="AC32" s="68">
        <f t="shared" si="66"/>
        <v>180000</v>
      </c>
      <c r="AD32" s="68">
        <f t="shared" si="66"/>
        <v>180000</v>
      </c>
      <c r="AE32" s="68">
        <f t="shared" si="66"/>
        <v>180000</v>
      </c>
      <c r="AF32" s="68">
        <f t="shared" si="66"/>
        <v>90000</v>
      </c>
      <c r="AG32" s="68">
        <f t="shared" si="66"/>
        <v>90000</v>
      </c>
      <c r="AH32" s="68">
        <f t="shared" si="66"/>
        <v>0</v>
      </c>
      <c r="AI32" s="68">
        <f t="shared" si="66"/>
        <v>0</v>
      </c>
      <c r="AJ32" s="68">
        <f t="shared" si="66"/>
        <v>0</v>
      </c>
      <c r="AK32" s="68">
        <f t="shared" si="66"/>
        <v>0</v>
      </c>
      <c r="AL32" s="68">
        <f t="shared" si="66"/>
        <v>0</v>
      </c>
      <c r="AM32" s="68">
        <f t="shared" si="66"/>
        <v>0</v>
      </c>
      <c r="AN32" s="68">
        <f t="shared" si="66"/>
        <v>0</v>
      </c>
      <c r="AO32" s="68">
        <f t="shared" si="66"/>
        <v>0</v>
      </c>
      <c r="AP32" s="68">
        <f t="shared" si="66"/>
        <v>0</v>
      </c>
      <c r="AQ32" s="68">
        <f t="shared" si="66"/>
        <v>0</v>
      </c>
      <c r="AR32" s="68">
        <f t="shared" si="66"/>
        <v>0</v>
      </c>
      <c r="AS32" s="68">
        <f t="shared" si="66"/>
        <v>0</v>
      </c>
      <c r="AT32" s="68">
        <f t="shared" si="66"/>
        <v>0</v>
      </c>
      <c r="AU32" s="68">
        <f t="shared" si="66"/>
        <v>0</v>
      </c>
      <c r="AV32" s="68">
        <f t="shared" si="66"/>
        <v>0</v>
      </c>
      <c r="AW32" s="68">
        <f t="shared" si="66"/>
        <v>0</v>
      </c>
      <c r="AX32" s="68">
        <f t="shared" si="66"/>
        <v>0</v>
      </c>
      <c r="AY32" s="68">
        <f t="shared" si="66"/>
        <v>0</v>
      </c>
      <c r="AZ32" s="68">
        <f t="shared" si="66"/>
        <v>0</v>
      </c>
      <c r="BA32" s="68">
        <f t="shared" si="66"/>
        <v>0</v>
      </c>
      <c r="BB32" s="68">
        <f t="shared" si="66"/>
        <v>0</v>
      </c>
      <c r="BC32" s="68">
        <f t="shared" si="66"/>
        <v>0</v>
      </c>
      <c r="BD32" s="68">
        <f t="shared" si="66"/>
        <v>0</v>
      </c>
      <c r="BE32" s="68">
        <f t="shared" si="66"/>
        <v>0</v>
      </c>
      <c r="BF32" s="68">
        <f t="shared" si="66"/>
        <v>0</v>
      </c>
    </row>
    <row r="33" spans="2:58" ht="14.65" customHeight="1">
      <c r="B33" s="114"/>
      <c r="C33" s="183" t="s">
        <v>25</v>
      </c>
      <c r="D33" s="25">
        <f t="shared" ref="D33:H33" si="67">+D27+D21</f>
        <v>0</v>
      </c>
      <c r="E33" s="25">
        <f t="shared" si="67"/>
        <v>709456</v>
      </c>
      <c r="F33" s="25">
        <f t="shared" si="67"/>
        <v>692776.00000000012</v>
      </c>
      <c r="G33" s="25">
        <f t="shared" si="67"/>
        <v>0</v>
      </c>
      <c r="H33" s="25">
        <f t="shared" si="67"/>
        <v>0</v>
      </c>
      <c r="J33" s="68"/>
      <c r="K33" s="68">
        <f t="shared" ref="K33:BF33" si="68">+K27+K21</f>
        <v>64496</v>
      </c>
      <c r="L33" s="68">
        <f t="shared" si="68"/>
        <v>64496</v>
      </c>
      <c r="M33" s="68">
        <f t="shared" si="68"/>
        <v>64496</v>
      </c>
      <c r="N33" s="68">
        <f t="shared" si="68"/>
        <v>64496</v>
      </c>
      <c r="O33" s="68">
        <f t="shared" si="68"/>
        <v>64496</v>
      </c>
      <c r="P33" s="68">
        <f t="shared" si="68"/>
        <v>64496</v>
      </c>
      <c r="Q33" s="68">
        <f t="shared" si="68"/>
        <v>64496</v>
      </c>
      <c r="R33" s="68">
        <f t="shared" si="68"/>
        <v>64496</v>
      </c>
      <c r="S33" s="68">
        <f t="shared" si="68"/>
        <v>64496</v>
      </c>
      <c r="T33" s="68">
        <f t="shared" si="68"/>
        <v>64496</v>
      </c>
      <c r="U33" s="68">
        <f t="shared" si="68"/>
        <v>64496</v>
      </c>
      <c r="V33" s="68">
        <f t="shared" si="68"/>
        <v>64496</v>
      </c>
      <c r="W33" s="68">
        <f t="shared" si="68"/>
        <v>64496</v>
      </c>
      <c r="X33" s="68">
        <f t="shared" si="68"/>
        <v>64496</v>
      </c>
      <c r="Y33" s="68">
        <f t="shared" si="68"/>
        <v>64496</v>
      </c>
      <c r="Z33" s="68">
        <f t="shared" si="68"/>
        <v>64496</v>
      </c>
      <c r="AA33" s="68">
        <f t="shared" si="68"/>
        <v>64496</v>
      </c>
      <c r="AB33" s="68">
        <f t="shared" si="68"/>
        <v>64496</v>
      </c>
      <c r="AC33" s="68">
        <f t="shared" si="68"/>
        <v>64496</v>
      </c>
      <c r="AD33" s="68">
        <f t="shared" si="68"/>
        <v>64496</v>
      </c>
      <c r="AE33" s="68">
        <f t="shared" si="68"/>
        <v>52727.333333333365</v>
      </c>
      <c r="AF33" s="68">
        <f t="shared" si="68"/>
        <v>32433.333333333336</v>
      </c>
      <c r="AG33" s="68">
        <f t="shared" si="68"/>
        <v>27151.333333333423</v>
      </c>
      <c r="AH33" s="68">
        <f t="shared" si="68"/>
        <v>0</v>
      </c>
      <c r="AI33" s="68">
        <f t="shared" si="68"/>
        <v>0</v>
      </c>
      <c r="AJ33" s="68">
        <f t="shared" si="68"/>
        <v>0</v>
      </c>
      <c r="AK33" s="68">
        <f t="shared" si="68"/>
        <v>0</v>
      </c>
      <c r="AL33" s="68">
        <f t="shared" si="68"/>
        <v>0</v>
      </c>
      <c r="AM33" s="68">
        <f t="shared" si="68"/>
        <v>0</v>
      </c>
      <c r="AN33" s="68">
        <f t="shared" si="68"/>
        <v>0</v>
      </c>
      <c r="AO33" s="68">
        <f t="shared" si="68"/>
        <v>0</v>
      </c>
      <c r="AP33" s="68">
        <f t="shared" si="68"/>
        <v>0</v>
      </c>
      <c r="AQ33" s="68">
        <f t="shared" si="68"/>
        <v>0</v>
      </c>
      <c r="AR33" s="68">
        <f t="shared" si="68"/>
        <v>0</v>
      </c>
      <c r="AS33" s="68">
        <f t="shared" si="68"/>
        <v>0</v>
      </c>
      <c r="AT33" s="68">
        <f t="shared" si="68"/>
        <v>0</v>
      </c>
      <c r="AU33" s="68">
        <f t="shared" si="68"/>
        <v>0</v>
      </c>
      <c r="AV33" s="68">
        <f t="shared" si="68"/>
        <v>0</v>
      </c>
      <c r="AW33" s="68">
        <f t="shared" si="68"/>
        <v>0</v>
      </c>
      <c r="AX33" s="68">
        <f t="shared" si="68"/>
        <v>0</v>
      </c>
      <c r="AY33" s="68">
        <f t="shared" si="68"/>
        <v>0</v>
      </c>
      <c r="AZ33" s="68">
        <f t="shared" si="68"/>
        <v>0</v>
      </c>
      <c r="BA33" s="68">
        <f t="shared" si="68"/>
        <v>0</v>
      </c>
      <c r="BB33" s="68">
        <f t="shared" si="68"/>
        <v>0</v>
      </c>
      <c r="BC33" s="68">
        <f t="shared" si="68"/>
        <v>0</v>
      </c>
      <c r="BD33" s="68">
        <f t="shared" si="68"/>
        <v>0</v>
      </c>
      <c r="BE33" s="68">
        <f t="shared" si="68"/>
        <v>0</v>
      </c>
      <c r="BF33" s="68">
        <f t="shared" si="68"/>
        <v>0</v>
      </c>
    </row>
    <row r="34" spans="2:58" ht="14.65" customHeight="1">
      <c r="B34" s="114"/>
      <c r="C34" s="187" t="s">
        <v>26</v>
      </c>
      <c r="D34" s="25">
        <f t="shared" ref="D34:H34" si="69">+D28+D22</f>
        <v>0</v>
      </c>
      <c r="E34" s="25">
        <f t="shared" si="69"/>
        <v>1392399.9100000001</v>
      </c>
      <c r="F34" s="25">
        <f t="shared" si="69"/>
        <v>1360647.5641445089</v>
      </c>
      <c r="G34" s="25">
        <f t="shared" si="69"/>
        <v>0</v>
      </c>
      <c r="H34" s="25">
        <f t="shared" si="69"/>
        <v>0</v>
      </c>
      <c r="J34" s="68"/>
      <c r="K34" s="68">
        <f t="shared" ref="K34:BF34" si="70">+K28+K22</f>
        <v>126581.81000000001</v>
      </c>
      <c r="L34" s="68">
        <f t="shared" si="70"/>
        <v>126581.81000000001</v>
      </c>
      <c r="M34" s="68">
        <f t="shared" si="70"/>
        <v>126581.81000000001</v>
      </c>
      <c r="N34" s="68">
        <f t="shared" si="70"/>
        <v>126581.81000000001</v>
      </c>
      <c r="O34" s="68">
        <f t="shared" si="70"/>
        <v>126581.81000000001</v>
      </c>
      <c r="P34" s="68">
        <f t="shared" si="70"/>
        <v>126581.81000000001</v>
      </c>
      <c r="Q34" s="68">
        <f t="shared" si="70"/>
        <v>126581.81000000001</v>
      </c>
      <c r="R34" s="68">
        <f t="shared" si="70"/>
        <v>126581.81000000001</v>
      </c>
      <c r="S34" s="68">
        <f t="shared" si="70"/>
        <v>126581.81000000001</v>
      </c>
      <c r="T34" s="68">
        <f t="shared" si="70"/>
        <v>126581.81000000001</v>
      </c>
      <c r="U34" s="68">
        <f t="shared" si="70"/>
        <v>126581.81000000001</v>
      </c>
      <c r="V34" s="68">
        <f t="shared" si="70"/>
        <v>126581.81000000001</v>
      </c>
      <c r="W34" s="68">
        <f t="shared" si="70"/>
        <v>126581.81000000001</v>
      </c>
      <c r="X34" s="68">
        <f t="shared" si="70"/>
        <v>126581.81000000001</v>
      </c>
      <c r="Y34" s="68">
        <f t="shared" si="70"/>
        <v>126581.81000000001</v>
      </c>
      <c r="Z34" s="68">
        <f t="shared" si="70"/>
        <v>126581.81000000001</v>
      </c>
      <c r="AA34" s="68">
        <f t="shared" si="70"/>
        <v>126581.81000000001</v>
      </c>
      <c r="AB34" s="68">
        <f t="shared" si="70"/>
        <v>126581.81000000001</v>
      </c>
      <c r="AC34" s="68">
        <f t="shared" si="70"/>
        <v>126581.81000000001</v>
      </c>
      <c r="AD34" s="68">
        <f t="shared" si="70"/>
        <v>126581.81000000001</v>
      </c>
      <c r="AE34" s="68">
        <f t="shared" si="70"/>
        <v>103648.1818111754</v>
      </c>
      <c r="AF34" s="68">
        <f t="shared" si="70"/>
        <v>64101.216666666674</v>
      </c>
      <c r="AG34" s="68">
        <f t="shared" si="70"/>
        <v>53661.875666666841</v>
      </c>
      <c r="AH34" s="68">
        <f t="shared" si="70"/>
        <v>0</v>
      </c>
      <c r="AI34" s="68">
        <f t="shared" si="70"/>
        <v>0</v>
      </c>
      <c r="AJ34" s="68">
        <f t="shared" si="70"/>
        <v>0</v>
      </c>
      <c r="AK34" s="68">
        <f t="shared" si="70"/>
        <v>0</v>
      </c>
      <c r="AL34" s="68">
        <f t="shared" si="70"/>
        <v>0</v>
      </c>
      <c r="AM34" s="68">
        <f t="shared" si="70"/>
        <v>0</v>
      </c>
      <c r="AN34" s="68">
        <f t="shared" si="70"/>
        <v>0</v>
      </c>
      <c r="AO34" s="68">
        <f t="shared" si="70"/>
        <v>0</v>
      </c>
      <c r="AP34" s="68">
        <f t="shared" si="70"/>
        <v>0</v>
      </c>
      <c r="AQ34" s="68">
        <f t="shared" si="70"/>
        <v>0</v>
      </c>
      <c r="AR34" s="68">
        <f t="shared" si="70"/>
        <v>0</v>
      </c>
      <c r="AS34" s="68">
        <f t="shared" si="70"/>
        <v>0</v>
      </c>
      <c r="AT34" s="68">
        <f t="shared" si="70"/>
        <v>0</v>
      </c>
      <c r="AU34" s="68">
        <f t="shared" si="70"/>
        <v>0</v>
      </c>
      <c r="AV34" s="68">
        <f t="shared" si="70"/>
        <v>0</v>
      </c>
      <c r="AW34" s="68">
        <f t="shared" si="70"/>
        <v>0</v>
      </c>
      <c r="AX34" s="68">
        <f t="shared" si="70"/>
        <v>0</v>
      </c>
      <c r="AY34" s="68">
        <f t="shared" si="70"/>
        <v>0</v>
      </c>
      <c r="AZ34" s="68">
        <f t="shared" si="70"/>
        <v>0</v>
      </c>
      <c r="BA34" s="68">
        <f t="shared" si="70"/>
        <v>0</v>
      </c>
      <c r="BB34" s="68">
        <f t="shared" si="70"/>
        <v>0</v>
      </c>
      <c r="BC34" s="68">
        <f t="shared" si="70"/>
        <v>0</v>
      </c>
      <c r="BD34" s="68">
        <f t="shared" si="70"/>
        <v>0</v>
      </c>
      <c r="BE34" s="68">
        <f t="shared" si="70"/>
        <v>0</v>
      </c>
      <c r="BF34" s="68">
        <f t="shared" si="70"/>
        <v>0</v>
      </c>
    </row>
    <row r="35" spans="2:58" ht="14.65" customHeight="1">
      <c r="B35" s="114"/>
      <c r="C35" s="76" t="s">
        <v>31</v>
      </c>
      <c r="D35" s="26">
        <f>D23+D29</f>
        <v>0</v>
      </c>
      <c r="E35" s="26">
        <f t="shared" ref="E35:H35" si="71">E23+E29</f>
        <v>4081855.91</v>
      </c>
      <c r="F35" s="26">
        <f t="shared" si="71"/>
        <v>4033423.5641445094</v>
      </c>
      <c r="G35" s="26">
        <f t="shared" si="71"/>
        <v>0</v>
      </c>
      <c r="H35" s="26">
        <f t="shared" si="71"/>
        <v>0</v>
      </c>
      <c r="I35" s="20"/>
      <c r="J35" s="69"/>
      <c r="K35" s="69">
        <f t="shared" ref="K35:BF35" si="72">K23+K29</f>
        <v>371077.81000000006</v>
      </c>
      <c r="L35" s="69">
        <f t="shared" si="72"/>
        <v>371077.81000000006</v>
      </c>
      <c r="M35" s="69">
        <f t="shared" si="72"/>
        <v>371077.81000000006</v>
      </c>
      <c r="N35" s="69">
        <f t="shared" si="72"/>
        <v>371077.81000000006</v>
      </c>
      <c r="O35" s="69">
        <f t="shared" si="72"/>
        <v>371077.81000000006</v>
      </c>
      <c r="P35" s="69">
        <f t="shared" si="72"/>
        <v>371077.81000000006</v>
      </c>
      <c r="Q35" s="69">
        <f t="shared" si="72"/>
        <v>371077.81000000006</v>
      </c>
      <c r="R35" s="69">
        <f t="shared" si="72"/>
        <v>371077.81000000006</v>
      </c>
      <c r="S35" s="69">
        <f t="shared" si="72"/>
        <v>371077.81000000006</v>
      </c>
      <c r="T35" s="69">
        <f t="shared" si="72"/>
        <v>371077.81000000006</v>
      </c>
      <c r="U35" s="69">
        <f t="shared" si="72"/>
        <v>371077.81000000006</v>
      </c>
      <c r="V35" s="69">
        <f t="shared" si="72"/>
        <v>371077.81000000006</v>
      </c>
      <c r="W35" s="69">
        <f t="shared" si="72"/>
        <v>371077.81000000006</v>
      </c>
      <c r="X35" s="69">
        <f t="shared" si="72"/>
        <v>371077.81000000006</v>
      </c>
      <c r="Y35" s="69">
        <f t="shared" si="72"/>
        <v>371077.81000000006</v>
      </c>
      <c r="Z35" s="69">
        <f t="shared" si="72"/>
        <v>371077.81000000006</v>
      </c>
      <c r="AA35" s="69">
        <f t="shared" si="72"/>
        <v>371077.81000000006</v>
      </c>
      <c r="AB35" s="69">
        <f t="shared" si="72"/>
        <v>371077.81000000006</v>
      </c>
      <c r="AC35" s="69">
        <f t="shared" si="72"/>
        <v>371077.81000000006</v>
      </c>
      <c r="AD35" s="69">
        <f t="shared" si="72"/>
        <v>371077.81000000006</v>
      </c>
      <c r="AE35" s="69">
        <f t="shared" si="72"/>
        <v>336375.5151445088</v>
      </c>
      <c r="AF35" s="69">
        <f t="shared" si="72"/>
        <v>186534.55000000002</v>
      </c>
      <c r="AG35" s="69">
        <f t="shared" si="72"/>
        <v>170813.20900000026</v>
      </c>
      <c r="AH35" s="69">
        <f t="shared" si="72"/>
        <v>0</v>
      </c>
      <c r="AI35" s="69">
        <f t="shared" si="72"/>
        <v>0</v>
      </c>
      <c r="AJ35" s="69">
        <f t="shared" si="72"/>
        <v>0</v>
      </c>
      <c r="AK35" s="69">
        <f t="shared" si="72"/>
        <v>0</v>
      </c>
      <c r="AL35" s="69">
        <f t="shared" si="72"/>
        <v>0</v>
      </c>
      <c r="AM35" s="69">
        <f t="shared" si="72"/>
        <v>0</v>
      </c>
      <c r="AN35" s="69">
        <f t="shared" si="72"/>
        <v>0</v>
      </c>
      <c r="AO35" s="69">
        <f t="shared" si="72"/>
        <v>0</v>
      </c>
      <c r="AP35" s="69">
        <f t="shared" si="72"/>
        <v>0</v>
      </c>
      <c r="AQ35" s="69">
        <f t="shared" si="72"/>
        <v>0</v>
      </c>
      <c r="AR35" s="69">
        <f t="shared" si="72"/>
        <v>0</v>
      </c>
      <c r="AS35" s="69">
        <f t="shared" si="72"/>
        <v>0</v>
      </c>
      <c r="AT35" s="69">
        <f t="shared" si="72"/>
        <v>0</v>
      </c>
      <c r="AU35" s="69">
        <f t="shared" si="72"/>
        <v>0</v>
      </c>
      <c r="AV35" s="69">
        <f t="shared" si="72"/>
        <v>0</v>
      </c>
      <c r="AW35" s="69">
        <f t="shared" si="72"/>
        <v>0</v>
      </c>
      <c r="AX35" s="69">
        <f t="shared" si="72"/>
        <v>0</v>
      </c>
      <c r="AY35" s="69">
        <f t="shared" si="72"/>
        <v>0</v>
      </c>
      <c r="AZ35" s="69">
        <f t="shared" si="72"/>
        <v>0</v>
      </c>
      <c r="BA35" s="69">
        <f t="shared" si="72"/>
        <v>0</v>
      </c>
      <c r="BB35" s="69">
        <f t="shared" si="72"/>
        <v>0</v>
      </c>
      <c r="BC35" s="69">
        <f t="shared" si="72"/>
        <v>0</v>
      </c>
      <c r="BD35" s="69">
        <f t="shared" si="72"/>
        <v>0</v>
      </c>
      <c r="BE35" s="69">
        <f t="shared" si="72"/>
        <v>0</v>
      </c>
      <c r="BF35" s="69">
        <f t="shared" si="72"/>
        <v>0</v>
      </c>
    </row>
    <row r="36" spans="2:58" ht="14.65" customHeight="1">
      <c r="B36" s="113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</row>
    <row r="37" spans="2:58" ht="14.65" customHeight="1">
      <c r="B37" s="119" t="s">
        <v>32</v>
      </c>
      <c r="C37" s="182"/>
      <c r="K37" s="149">
        <v>0.03</v>
      </c>
      <c r="L37" s="188">
        <f t="shared" ref="L37:BF37" si="73">+K37</f>
        <v>0.03</v>
      </c>
      <c r="M37" s="188">
        <f t="shared" si="73"/>
        <v>0.03</v>
      </c>
      <c r="N37" s="188">
        <f t="shared" si="73"/>
        <v>0.03</v>
      </c>
      <c r="O37" s="188">
        <f t="shared" si="73"/>
        <v>0.03</v>
      </c>
      <c r="P37" s="188">
        <f t="shared" si="73"/>
        <v>0.03</v>
      </c>
      <c r="Q37" s="188">
        <f t="shared" si="73"/>
        <v>0.03</v>
      </c>
      <c r="R37" s="188">
        <f t="shared" si="73"/>
        <v>0.03</v>
      </c>
      <c r="S37" s="188">
        <f t="shared" si="73"/>
        <v>0.03</v>
      </c>
      <c r="T37" s="188">
        <f t="shared" si="73"/>
        <v>0.03</v>
      </c>
      <c r="U37" s="188">
        <f t="shared" si="73"/>
        <v>0.03</v>
      </c>
      <c r="V37" s="188">
        <f t="shared" si="73"/>
        <v>0.03</v>
      </c>
      <c r="W37" s="188">
        <f t="shared" si="73"/>
        <v>0.03</v>
      </c>
      <c r="X37" s="188">
        <f t="shared" si="73"/>
        <v>0.03</v>
      </c>
      <c r="Y37" s="188">
        <f t="shared" si="73"/>
        <v>0.03</v>
      </c>
      <c r="Z37" s="188">
        <f t="shared" si="73"/>
        <v>0.03</v>
      </c>
      <c r="AA37" s="188">
        <f t="shared" si="73"/>
        <v>0.03</v>
      </c>
      <c r="AB37" s="188">
        <f t="shared" si="73"/>
        <v>0.03</v>
      </c>
      <c r="AC37" s="188">
        <f t="shared" si="73"/>
        <v>0.03</v>
      </c>
      <c r="AD37" s="188">
        <f t="shared" si="73"/>
        <v>0.03</v>
      </c>
      <c r="AE37" s="188">
        <f t="shared" si="73"/>
        <v>0.03</v>
      </c>
      <c r="AF37" s="188">
        <f t="shared" si="73"/>
        <v>0.03</v>
      </c>
      <c r="AG37" s="188">
        <f t="shared" si="73"/>
        <v>0.03</v>
      </c>
      <c r="AH37" s="188">
        <f t="shared" si="73"/>
        <v>0.03</v>
      </c>
      <c r="AI37" s="188">
        <f t="shared" si="73"/>
        <v>0.03</v>
      </c>
      <c r="AJ37" s="188">
        <f t="shared" si="73"/>
        <v>0.03</v>
      </c>
      <c r="AK37" s="188">
        <f t="shared" si="73"/>
        <v>0.03</v>
      </c>
      <c r="AL37" s="188">
        <f t="shared" si="73"/>
        <v>0.03</v>
      </c>
      <c r="AM37" s="188">
        <f t="shared" si="73"/>
        <v>0.03</v>
      </c>
      <c r="AN37" s="188">
        <f t="shared" si="73"/>
        <v>0.03</v>
      </c>
      <c r="AO37" s="188">
        <f t="shared" si="73"/>
        <v>0.03</v>
      </c>
      <c r="AP37" s="188">
        <f t="shared" si="73"/>
        <v>0.03</v>
      </c>
      <c r="AQ37" s="188">
        <f t="shared" si="73"/>
        <v>0.03</v>
      </c>
      <c r="AR37" s="188">
        <f t="shared" si="73"/>
        <v>0.03</v>
      </c>
      <c r="AS37" s="188">
        <f t="shared" si="73"/>
        <v>0.03</v>
      </c>
      <c r="AT37" s="188">
        <f t="shared" si="73"/>
        <v>0.03</v>
      </c>
      <c r="AU37" s="188">
        <f t="shared" si="73"/>
        <v>0.03</v>
      </c>
      <c r="AV37" s="188">
        <f t="shared" si="73"/>
        <v>0.03</v>
      </c>
      <c r="AW37" s="188">
        <f t="shared" si="73"/>
        <v>0.03</v>
      </c>
      <c r="AX37" s="188">
        <f t="shared" si="73"/>
        <v>0.03</v>
      </c>
      <c r="AY37" s="188">
        <f t="shared" si="73"/>
        <v>0.03</v>
      </c>
      <c r="AZ37" s="188">
        <f t="shared" si="73"/>
        <v>0.03</v>
      </c>
      <c r="BA37" s="188">
        <f t="shared" si="73"/>
        <v>0.03</v>
      </c>
      <c r="BB37" s="188">
        <f t="shared" si="73"/>
        <v>0.03</v>
      </c>
      <c r="BC37" s="188">
        <f t="shared" si="73"/>
        <v>0.03</v>
      </c>
      <c r="BD37" s="188">
        <f t="shared" si="73"/>
        <v>0.03</v>
      </c>
      <c r="BE37" s="188">
        <f t="shared" si="73"/>
        <v>0.03</v>
      </c>
      <c r="BF37" s="188">
        <f t="shared" si="73"/>
        <v>0.03</v>
      </c>
    </row>
    <row r="38" spans="2:58" ht="14.65" customHeight="1">
      <c r="B38" s="113"/>
      <c r="C38" s="182" t="s">
        <v>33</v>
      </c>
      <c r="D38" s="10">
        <f t="shared" ref="D38:H40" si="74">SUMIFS($J38:$BF38,$J$3:$BF$3,"&lt;="&amp;D$3,$J$3:$BF$3,"&gt;"&amp;EOMONTH(D$3,-12))</f>
        <v>0</v>
      </c>
      <c r="E38" s="10">
        <f t="shared" si="74"/>
        <v>-122455.67730000001</v>
      </c>
      <c r="F38" s="10">
        <f t="shared" si="74"/>
        <v>-121002.70692433529</v>
      </c>
      <c r="G38" s="10">
        <f t="shared" si="74"/>
        <v>0</v>
      </c>
      <c r="H38" s="10">
        <f t="shared" si="74"/>
        <v>0</v>
      </c>
      <c r="K38" s="11">
        <f t="shared" ref="K38:BF38" si="75">K35*-K$37</f>
        <v>-11132.3343</v>
      </c>
      <c r="L38" s="11">
        <f t="shared" si="75"/>
        <v>-11132.3343</v>
      </c>
      <c r="M38" s="11">
        <f t="shared" si="75"/>
        <v>-11132.3343</v>
      </c>
      <c r="N38" s="11">
        <f t="shared" si="75"/>
        <v>-11132.3343</v>
      </c>
      <c r="O38" s="11">
        <f t="shared" si="75"/>
        <v>-11132.3343</v>
      </c>
      <c r="P38" s="11">
        <f t="shared" si="75"/>
        <v>-11132.3343</v>
      </c>
      <c r="Q38" s="11">
        <f t="shared" si="75"/>
        <v>-11132.3343</v>
      </c>
      <c r="R38" s="11">
        <f t="shared" si="75"/>
        <v>-11132.3343</v>
      </c>
      <c r="S38" s="11">
        <f t="shared" si="75"/>
        <v>-11132.3343</v>
      </c>
      <c r="T38" s="11">
        <f t="shared" si="75"/>
        <v>-11132.3343</v>
      </c>
      <c r="U38" s="11">
        <f t="shared" si="75"/>
        <v>-11132.3343</v>
      </c>
      <c r="V38" s="11">
        <f t="shared" si="75"/>
        <v>-11132.3343</v>
      </c>
      <c r="W38" s="11">
        <f t="shared" si="75"/>
        <v>-11132.3343</v>
      </c>
      <c r="X38" s="11">
        <f t="shared" si="75"/>
        <v>-11132.3343</v>
      </c>
      <c r="Y38" s="11">
        <f t="shared" si="75"/>
        <v>-11132.3343</v>
      </c>
      <c r="Z38" s="11">
        <f t="shared" si="75"/>
        <v>-11132.3343</v>
      </c>
      <c r="AA38" s="11">
        <f t="shared" si="75"/>
        <v>-11132.3343</v>
      </c>
      <c r="AB38" s="11">
        <f t="shared" si="75"/>
        <v>-11132.3343</v>
      </c>
      <c r="AC38" s="11">
        <f t="shared" si="75"/>
        <v>-11132.3343</v>
      </c>
      <c r="AD38" s="11">
        <f t="shared" si="75"/>
        <v>-11132.3343</v>
      </c>
      <c r="AE38" s="11">
        <f t="shared" si="75"/>
        <v>-10091.265454335264</v>
      </c>
      <c r="AF38" s="11">
        <f t="shared" si="75"/>
        <v>-5596.0365000000002</v>
      </c>
      <c r="AG38" s="11">
        <f t="shared" si="75"/>
        <v>-5124.3962700000075</v>
      </c>
      <c r="AH38" s="11">
        <f t="shared" si="75"/>
        <v>0</v>
      </c>
      <c r="AI38" s="11">
        <f t="shared" si="75"/>
        <v>0</v>
      </c>
      <c r="AJ38" s="11">
        <f t="shared" si="75"/>
        <v>0</v>
      </c>
      <c r="AK38" s="11">
        <f t="shared" si="75"/>
        <v>0</v>
      </c>
      <c r="AL38" s="11">
        <f t="shared" si="75"/>
        <v>0</v>
      </c>
      <c r="AM38" s="11">
        <f t="shared" si="75"/>
        <v>0</v>
      </c>
      <c r="AN38" s="11">
        <f t="shared" si="75"/>
        <v>0</v>
      </c>
      <c r="AO38" s="11">
        <f t="shared" si="75"/>
        <v>0</v>
      </c>
      <c r="AP38" s="11">
        <f t="shared" si="75"/>
        <v>0</v>
      </c>
      <c r="AQ38" s="11">
        <f t="shared" si="75"/>
        <v>0</v>
      </c>
      <c r="AR38" s="11">
        <f t="shared" si="75"/>
        <v>0</v>
      </c>
      <c r="AS38" s="11">
        <f t="shared" si="75"/>
        <v>0</v>
      </c>
      <c r="AT38" s="11">
        <f t="shared" si="75"/>
        <v>0</v>
      </c>
      <c r="AU38" s="11">
        <f t="shared" si="75"/>
        <v>0</v>
      </c>
      <c r="AV38" s="11">
        <f t="shared" si="75"/>
        <v>0</v>
      </c>
      <c r="AW38" s="11">
        <f t="shared" si="75"/>
        <v>0</v>
      </c>
      <c r="AX38" s="11">
        <f t="shared" si="75"/>
        <v>0</v>
      </c>
      <c r="AY38" s="11">
        <f t="shared" si="75"/>
        <v>0</v>
      </c>
      <c r="AZ38" s="11">
        <f t="shared" si="75"/>
        <v>0</v>
      </c>
      <c r="BA38" s="11">
        <f t="shared" si="75"/>
        <v>0</v>
      </c>
      <c r="BB38" s="11">
        <f t="shared" si="75"/>
        <v>0</v>
      </c>
      <c r="BC38" s="11">
        <f t="shared" si="75"/>
        <v>0</v>
      </c>
      <c r="BD38" s="11">
        <f t="shared" si="75"/>
        <v>0</v>
      </c>
      <c r="BE38" s="11">
        <f t="shared" si="75"/>
        <v>0</v>
      </c>
      <c r="BF38" s="11">
        <f t="shared" si="75"/>
        <v>0</v>
      </c>
    </row>
    <row r="39" spans="2:58" ht="14.65" customHeight="1">
      <c r="B39" s="113"/>
      <c r="C39" s="182" t="s">
        <v>34</v>
      </c>
      <c r="D39" s="10">
        <f t="shared" si="74"/>
        <v>0</v>
      </c>
      <c r="E39" s="10">
        <f t="shared" si="74"/>
        <v>-67375</v>
      </c>
      <c r="F39" s="10">
        <f t="shared" si="74"/>
        <v>-73500</v>
      </c>
      <c r="G39" s="10">
        <f t="shared" si="74"/>
        <v>0</v>
      </c>
      <c r="H39" s="10">
        <f t="shared" si="74"/>
        <v>0</v>
      </c>
      <c r="K39" s="153">
        <v>-6125</v>
      </c>
      <c r="L39" s="11">
        <f t="shared" ref="L39:BF39" si="76">IF(L35&gt;0,K39,0)</f>
        <v>-6125</v>
      </c>
      <c r="M39" s="11">
        <f t="shared" si="76"/>
        <v>-6125</v>
      </c>
      <c r="N39" s="11">
        <f t="shared" si="76"/>
        <v>-6125</v>
      </c>
      <c r="O39" s="11">
        <f t="shared" si="76"/>
        <v>-6125</v>
      </c>
      <c r="P39" s="11">
        <f t="shared" si="76"/>
        <v>-6125</v>
      </c>
      <c r="Q39" s="11">
        <f t="shared" si="76"/>
        <v>-6125</v>
      </c>
      <c r="R39" s="11">
        <f t="shared" si="76"/>
        <v>-6125</v>
      </c>
      <c r="S39" s="11">
        <f t="shared" si="76"/>
        <v>-6125</v>
      </c>
      <c r="T39" s="11">
        <f t="shared" si="76"/>
        <v>-6125</v>
      </c>
      <c r="U39" s="11">
        <f t="shared" si="76"/>
        <v>-6125</v>
      </c>
      <c r="V39" s="11">
        <f t="shared" si="76"/>
        <v>-6125</v>
      </c>
      <c r="W39" s="11">
        <f t="shared" si="76"/>
        <v>-6125</v>
      </c>
      <c r="X39" s="11">
        <f t="shared" si="76"/>
        <v>-6125</v>
      </c>
      <c r="Y39" s="11">
        <f t="shared" si="76"/>
        <v>-6125</v>
      </c>
      <c r="Z39" s="11">
        <f t="shared" si="76"/>
        <v>-6125</v>
      </c>
      <c r="AA39" s="11">
        <f t="shared" si="76"/>
        <v>-6125</v>
      </c>
      <c r="AB39" s="11">
        <f t="shared" si="76"/>
        <v>-6125</v>
      </c>
      <c r="AC39" s="11">
        <f t="shared" si="76"/>
        <v>-6125</v>
      </c>
      <c r="AD39" s="11">
        <f t="shared" si="76"/>
        <v>-6125</v>
      </c>
      <c r="AE39" s="11">
        <f t="shared" si="76"/>
        <v>-6125</v>
      </c>
      <c r="AF39" s="11">
        <f t="shared" si="76"/>
        <v>-6125</v>
      </c>
      <c r="AG39" s="11">
        <f t="shared" si="76"/>
        <v>-6125</v>
      </c>
      <c r="AH39" s="11">
        <f t="shared" si="76"/>
        <v>0</v>
      </c>
      <c r="AI39" s="11">
        <f t="shared" si="76"/>
        <v>0</v>
      </c>
      <c r="AJ39" s="11">
        <f t="shared" si="76"/>
        <v>0</v>
      </c>
      <c r="AK39" s="11">
        <f t="shared" si="76"/>
        <v>0</v>
      </c>
      <c r="AL39" s="11">
        <f t="shared" si="76"/>
        <v>0</v>
      </c>
      <c r="AM39" s="11">
        <f t="shared" si="76"/>
        <v>0</v>
      </c>
      <c r="AN39" s="11">
        <f t="shared" si="76"/>
        <v>0</v>
      </c>
      <c r="AO39" s="11">
        <f t="shared" si="76"/>
        <v>0</v>
      </c>
      <c r="AP39" s="11">
        <f t="shared" si="76"/>
        <v>0</v>
      </c>
      <c r="AQ39" s="11">
        <f t="shared" si="76"/>
        <v>0</v>
      </c>
      <c r="AR39" s="11">
        <f t="shared" si="76"/>
        <v>0</v>
      </c>
      <c r="AS39" s="11">
        <f t="shared" si="76"/>
        <v>0</v>
      </c>
      <c r="AT39" s="11">
        <f t="shared" si="76"/>
        <v>0</v>
      </c>
      <c r="AU39" s="11">
        <f t="shared" si="76"/>
        <v>0</v>
      </c>
      <c r="AV39" s="11">
        <f t="shared" si="76"/>
        <v>0</v>
      </c>
      <c r="AW39" s="11">
        <f t="shared" si="76"/>
        <v>0</v>
      </c>
      <c r="AX39" s="11">
        <f t="shared" si="76"/>
        <v>0</v>
      </c>
      <c r="AY39" s="11">
        <f t="shared" si="76"/>
        <v>0</v>
      </c>
      <c r="AZ39" s="11">
        <f t="shared" si="76"/>
        <v>0</v>
      </c>
      <c r="BA39" s="11">
        <f t="shared" si="76"/>
        <v>0</v>
      </c>
      <c r="BB39" s="11">
        <f t="shared" si="76"/>
        <v>0</v>
      </c>
      <c r="BC39" s="11">
        <f t="shared" si="76"/>
        <v>0</v>
      </c>
      <c r="BD39" s="11">
        <f t="shared" si="76"/>
        <v>0</v>
      </c>
      <c r="BE39" s="11">
        <f t="shared" si="76"/>
        <v>0</v>
      </c>
      <c r="BF39" s="11">
        <f t="shared" si="76"/>
        <v>0</v>
      </c>
    </row>
    <row r="40" spans="2:58" ht="14.65" customHeight="1">
      <c r="B40" s="113"/>
      <c r="C40" s="182" t="s">
        <v>35</v>
      </c>
      <c r="D40" s="10">
        <f t="shared" si="74"/>
        <v>0</v>
      </c>
      <c r="E40" s="10">
        <f t="shared" si="74"/>
        <v>-40333.333333333256</v>
      </c>
      <c r="F40" s="10">
        <f t="shared" si="74"/>
        <v>-40333.333333333256</v>
      </c>
      <c r="G40" s="10">
        <f t="shared" si="74"/>
        <v>0</v>
      </c>
      <c r="H40" s="10">
        <f t="shared" si="74"/>
        <v>0</v>
      </c>
      <c r="K40" s="148">
        <f>-IF(K35&gt;0,1833.33333333333*K48,0)</f>
        <v>-3666.6666666666601</v>
      </c>
      <c r="L40" s="11">
        <f t="shared" ref="L40:BF40" si="77">-IF(L35&gt;0,1833.33333333333*L48,0)</f>
        <v>-3666.6666666666601</v>
      </c>
      <c r="M40" s="11">
        <f t="shared" si="77"/>
        <v>-3666.6666666666601</v>
      </c>
      <c r="N40" s="11">
        <f t="shared" si="77"/>
        <v>-3666.6666666666601</v>
      </c>
      <c r="O40" s="11">
        <f t="shared" si="77"/>
        <v>-3666.6666666666601</v>
      </c>
      <c r="P40" s="11">
        <f t="shared" si="77"/>
        <v>-3666.6666666666601</v>
      </c>
      <c r="Q40" s="11">
        <f t="shared" si="77"/>
        <v>-3666.6666666666601</v>
      </c>
      <c r="R40" s="11">
        <f t="shared" si="77"/>
        <v>-3666.6666666666601</v>
      </c>
      <c r="S40" s="11">
        <f t="shared" si="77"/>
        <v>-3666.6666666666601</v>
      </c>
      <c r="T40" s="11">
        <f t="shared" si="77"/>
        <v>-3666.6666666666601</v>
      </c>
      <c r="U40" s="11">
        <f t="shared" si="77"/>
        <v>-3666.6666666666601</v>
      </c>
      <c r="V40" s="11">
        <f t="shared" si="77"/>
        <v>-3666.6666666666601</v>
      </c>
      <c r="W40" s="11">
        <f t="shared" si="77"/>
        <v>-3666.6666666666601</v>
      </c>
      <c r="X40" s="11">
        <f t="shared" si="77"/>
        <v>-3666.6666666666601</v>
      </c>
      <c r="Y40" s="11">
        <f t="shared" si="77"/>
        <v>-3666.6666666666601</v>
      </c>
      <c r="Z40" s="11">
        <f t="shared" si="77"/>
        <v>-3666.6666666666601</v>
      </c>
      <c r="AA40" s="11">
        <f t="shared" si="77"/>
        <v>-3666.6666666666601</v>
      </c>
      <c r="AB40" s="11">
        <f t="shared" si="77"/>
        <v>-3666.6666666666601</v>
      </c>
      <c r="AC40" s="11">
        <f t="shared" si="77"/>
        <v>-3666.6666666666601</v>
      </c>
      <c r="AD40" s="11">
        <f t="shared" si="77"/>
        <v>-3666.6666666666601</v>
      </c>
      <c r="AE40" s="11">
        <f t="shared" si="77"/>
        <v>-3666.6666666666601</v>
      </c>
      <c r="AF40" s="11">
        <f t="shared" si="77"/>
        <v>-1833.3333333333301</v>
      </c>
      <c r="AG40" s="11">
        <f t="shared" si="77"/>
        <v>-1833.3333333333301</v>
      </c>
      <c r="AH40" s="11">
        <f t="shared" si="77"/>
        <v>0</v>
      </c>
      <c r="AI40" s="11">
        <f t="shared" si="77"/>
        <v>0</v>
      </c>
      <c r="AJ40" s="11">
        <f t="shared" si="77"/>
        <v>0</v>
      </c>
      <c r="AK40" s="11">
        <f t="shared" si="77"/>
        <v>0</v>
      </c>
      <c r="AL40" s="11">
        <f t="shared" si="77"/>
        <v>0</v>
      </c>
      <c r="AM40" s="11">
        <f t="shared" si="77"/>
        <v>0</v>
      </c>
      <c r="AN40" s="11">
        <f t="shared" si="77"/>
        <v>0</v>
      </c>
      <c r="AO40" s="11">
        <f t="shared" si="77"/>
        <v>0</v>
      </c>
      <c r="AP40" s="11">
        <f t="shared" si="77"/>
        <v>0</v>
      </c>
      <c r="AQ40" s="11">
        <f t="shared" si="77"/>
        <v>0</v>
      </c>
      <c r="AR40" s="11">
        <f t="shared" si="77"/>
        <v>0</v>
      </c>
      <c r="AS40" s="11">
        <f t="shared" si="77"/>
        <v>0</v>
      </c>
      <c r="AT40" s="11">
        <f t="shared" si="77"/>
        <v>0</v>
      </c>
      <c r="AU40" s="11">
        <f t="shared" si="77"/>
        <v>0</v>
      </c>
      <c r="AV40" s="11">
        <f t="shared" si="77"/>
        <v>0</v>
      </c>
      <c r="AW40" s="11">
        <f t="shared" si="77"/>
        <v>0</v>
      </c>
      <c r="AX40" s="11">
        <f t="shared" si="77"/>
        <v>0</v>
      </c>
      <c r="AY40" s="11">
        <f t="shared" si="77"/>
        <v>0</v>
      </c>
      <c r="AZ40" s="11">
        <f t="shared" si="77"/>
        <v>0</v>
      </c>
      <c r="BA40" s="11">
        <f t="shared" si="77"/>
        <v>0</v>
      </c>
      <c r="BB40" s="11">
        <f t="shared" si="77"/>
        <v>0</v>
      </c>
      <c r="BC40" s="11">
        <f t="shared" si="77"/>
        <v>0</v>
      </c>
      <c r="BD40" s="11">
        <f t="shared" si="77"/>
        <v>0</v>
      </c>
      <c r="BE40" s="11">
        <f t="shared" si="77"/>
        <v>0</v>
      </c>
      <c r="BF40" s="11">
        <f t="shared" si="77"/>
        <v>0</v>
      </c>
    </row>
    <row r="41" spans="2:58" ht="14.65" customHeight="1">
      <c r="B41" s="114"/>
    </row>
    <row r="42" spans="2:58" ht="14.65" customHeight="1">
      <c r="B42" s="114" t="s">
        <v>36</v>
      </c>
      <c r="C42" s="18"/>
      <c r="D42" s="26">
        <f>D16+D35+SUM(D38:D41)</f>
        <v>0</v>
      </c>
      <c r="E42" s="26">
        <f>E16+E35+SUM(E38:E41)</f>
        <v>3851691.899366667</v>
      </c>
      <c r="F42" s="26">
        <f>F16+F35+SUM(F38:F41)</f>
        <v>6798587.5238868408</v>
      </c>
      <c r="G42" s="26">
        <f>G16+G35+SUM(G38:G41)</f>
        <v>3000000</v>
      </c>
      <c r="H42" s="26">
        <f>H16+H35+SUM(H38:H41)</f>
        <v>0</v>
      </c>
      <c r="J42" s="189">
        <f>J16+J35+SUM(J38:J41)+J10</f>
        <v>-20000</v>
      </c>
      <c r="K42" s="189">
        <f t="shared" ref="K42:BF42" si="78">K16+K35+SUM(K38:K41)+K10</f>
        <v>350153.80903333338</v>
      </c>
      <c r="L42" s="189">
        <f t="shared" si="78"/>
        <v>350153.80903333338</v>
      </c>
      <c r="M42" s="189">
        <f t="shared" si="78"/>
        <v>350153.80903333338</v>
      </c>
      <c r="N42" s="189">
        <f t="shared" si="78"/>
        <v>350153.80903333338</v>
      </c>
      <c r="O42" s="189">
        <f t="shared" si="78"/>
        <v>350153.80903333338</v>
      </c>
      <c r="P42" s="189">
        <f t="shared" si="78"/>
        <v>350153.80903333338</v>
      </c>
      <c r="Q42" s="189">
        <f t="shared" si="78"/>
        <v>350153.80903333338</v>
      </c>
      <c r="R42" s="189">
        <f t="shared" si="78"/>
        <v>350153.80903333338</v>
      </c>
      <c r="S42" s="189">
        <f t="shared" si="78"/>
        <v>350153.80903333338</v>
      </c>
      <c r="T42" s="189">
        <f t="shared" si="78"/>
        <v>350153.80903333338</v>
      </c>
      <c r="U42" s="189">
        <f t="shared" si="78"/>
        <v>350153.80903333338</v>
      </c>
      <c r="V42" s="189">
        <f t="shared" si="78"/>
        <v>350153.80903333338</v>
      </c>
      <c r="W42" s="189">
        <f t="shared" si="78"/>
        <v>350153.80903333338</v>
      </c>
      <c r="X42" s="189">
        <f t="shared" si="78"/>
        <v>350153.80903333338</v>
      </c>
      <c r="Y42" s="189">
        <f t="shared" si="78"/>
        <v>350153.80903333338</v>
      </c>
      <c r="Z42" s="189">
        <f t="shared" si="78"/>
        <v>350153.80903333338</v>
      </c>
      <c r="AA42" s="189">
        <f t="shared" si="78"/>
        <v>350153.80903333338</v>
      </c>
      <c r="AB42" s="189">
        <f t="shared" si="78"/>
        <v>350153.80903333338</v>
      </c>
      <c r="AC42" s="189">
        <f t="shared" si="78"/>
        <v>350153.80903333338</v>
      </c>
      <c r="AD42" s="189">
        <f t="shared" si="78"/>
        <v>350153.80903333338</v>
      </c>
      <c r="AE42" s="189">
        <f t="shared" si="78"/>
        <v>316492.58302350686</v>
      </c>
      <c r="AF42" s="189">
        <f t="shared" si="78"/>
        <v>172980.18016666669</v>
      </c>
      <c r="AG42" s="189">
        <f t="shared" si="78"/>
        <v>3157730.4793966669</v>
      </c>
      <c r="AH42" s="189">
        <f t="shared" si="78"/>
        <v>0</v>
      </c>
      <c r="AI42" s="189">
        <f t="shared" si="78"/>
        <v>3000000</v>
      </c>
      <c r="AJ42" s="189">
        <f t="shared" si="78"/>
        <v>0</v>
      </c>
      <c r="AK42" s="189">
        <f t="shared" si="78"/>
        <v>0</v>
      </c>
      <c r="AL42" s="189">
        <f t="shared" si="78"/>
        <v>0</v>
      </c>
      <c r="AM42" s="189">
        <f t="shared" si="78"/>
        <v>0</v>
      </c>
      <c r="AN42" s="189">
        <f t="shared" si="78"/>
        <v>0</v>
      </c>
      <c r="AO42" s="189">
        <f t="shared" si="78"/>
        <v>0</v>
      </c>
      <c r="AP42" s="189">
        <f t="shared" si="78"/>
        <v>0</v>
      </c>
      <c r="AQ42" s="189">
        <f t="shared" si="78"/>
        <v>0</v>
      </c>
      <c r="AR42" s="189">
        <f t="shared" si="78"/>
        <v>0</v>
      </c>
      <c r="AS42" s="189">
        <f t="shared" si="78"/>
        <v>0</v>
      </c>
      <c r="AT42" s="189">
        <f t="shared" si="78"/>
        <v>0</v>
      </c>
      <c r="AU42" s="189">
        <f t="shared" si="78"/>
        <v>0</v>
      </c>
      <c r="AV42" s="189">
        <f t="shared" si="78"/>
        <v>0</v>
      </c>
      <c r="AW42" s="189">
        <f t="shared" si="78"/>
        <v>0</v>
      </c>
      <c r="AX42" s="189">
        <f t="shared" si="78"/>
        <v>0</v>
      </c>
      <c r="AY42" s="189">
        <f t="shared" si="78"/>
        <v>0</v>
      </c>
      <c r="AZ42" s="189">
        <f t="shared" si="78"/>
        <v>0</v>
      </c>
      <c r="BA42" s="189">
        <f t="shared" si="78"/>
        <v>0</v>
      </c>
      <c r="BB42" s="189">
        <f t="shared" si="78"/>
        <v>0</v>
      </c>
      <c r="BC42" s="189">
        <f t="shared" si="78"/>
        <v>0</v>
      </c>
      <c r="BD42" s="189">
        <f t="shared" si="78"/>
        <v>0</v>
      </c>
      <c r="BE42" s="189">
        <f t="shared" si="78"/>
        <v>0</v>
      </c>
      <c r="BF42" s="189">
        <f t="shared" si="78"/>
        <v>0</v>
      </c>
    </row>
    <row r="43" spans="2:58" outlineLevel="1">
      <c r="B43" s="113"/>
      <c r="C43" s="16"/>
      <c r="D43" s="17"/>
      <c r="E43" s="17"/>
      <c r="F43" s="17"/>
      <c r="G43" s="17"/>
      <c r="H43" s="17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</row>
    <row r="44" spans="2:58" outlineLevel="1">
      <c r="B44" s="113" t="s">
        <v>37</v>
      </c>
      <c r="D44" s="10"/>
      <c r="E44" s="10"/>
      <c r="F44" s="10"/>
      <c r="G44" s="10"/>
      <c r="H44" s="10"/>
      <c r="J44" s="161">
        <v>150000</v>
      </c>
      <c r="K44" s="75">
        <f>+J44</f>
        <v>150000</v>
      </c>
      <c r="L44" s="75">
        <f t="shared" ref="L44:BF44" si="79">+K44</f>
        <v>150000</v>
      </c>
      <c r="M44" s="75">
        <f t="shared" si="79"/>
        <v>150000</v>
      </c>
      <c r="N44" s="75">
        <f t="shared" si="79"/>
        <v>150000</v>
      </c>
      <c r="O44" s="75">
        <f t="shared" si="79"/>
        <v>150000</v>
      </c>
      <c r="P44" s="75">
        <f t="shared" si="79"/>
        <v>150000</v>
      </c>
      <c r="Q44" s="75">
        <f t="shared" si="79"/>
        <v>150000</v>
      </c>
      <c r="R44" s="75">
        <f t="shared" si="79"/>
        <v>150000</v>
      </c>
      <c r="S44" s="75">
        <f t="shared" si="79"/>
        <v>150000</v>
      </c>
      <c r="T44" s="75">
        <f t="shared" si="79"/>
        <v>150000</v>
      </c>
      <c r="U44" s="75">
        <f t="shared" si="79"/>
        <v>150000</v>
      </c>
      <c r="V44" s="75">
        <f t="shared" si="79"/>
        <v>150000</v>
      </c>
      <c r="W44" s="75">
        <f t="shared" si="79"/>
        <v>150000</v>
      </c>
      <c r="X44" s="75">
        <f t="shared" si="79"/>
        <v>150000</v>
      </c>
      <c r="Y44" s="75">
        <f t="shared" si="79"/>
        <v>150000</v>
      </c>
      <c r="Z44" s="75">
        <f t="shared" si="79"/>
        <v>150000</v>
      </c>
      <c r="AA44" s="75">
        <f t="shared" si="79"/>
        <v>150000</v>
      </c>
      <c r="AB44" s="75">
        <f t="shared" si="79"/>
        <v>150000</v>
      </c>
      <c r="AC44" s="75">
        <f t="shared" si="79"/>
        <v>150000</v>
      </c>
      <c r="AD44" s="75">
        <f t="shared" si="79"/>
        <v>150000</v>
      </c>
      <c r="AE44" s="75">
        <f t="shared" si="79"/>
        <v>150000</v>
      </c>
      <c r="AF44" s="75">
        <f t="shared" si="79"/>
        <v>150000</v>
      </c>
      <c r="AG44" s="75">
        <f t="shared" si="79"/>
        <v>150000</v>
      </c>
      <c r="AH44" s="75">
        <f t="shared" si="79"/>
        <v>150000</v>
      </c>
      <c r="AI44" s="75">
        <f t="shared" si="79"/>
        <v>150000</v>
      </c>
      <c r="AJ44" s="75">
        <f t="shared" si="79"/>
        <v>150000</v>
      </c>
      <c r="AK44" s="75">
        <f t="shared" si="79"/>
        <v>150000</v>
      </c>
      <c r="AL44" s="75">
        <f t="shared" si="79"/>
        <v>150000</v>
      </c>
      <c r="AM44" s="75">
        <f t="shared" si="79"/>
        <v>150000</v>
      </c>
      <c r="AN44" s="75">
        <f t="shared" si="79"/>
        <v>150000</v>
      </c>
      <c r="AO44" s="75">
        <f t="shared" si="79"/>
        <v>150000</v>
      </c>
      <c r="AP44" s="75">
        <f t="shared" si="79"/>
        <v>150000</v>
      </c>
      <c r="AQ44" s="75">
        <f t="shared" si="79"/>
        <v>150000</v>
      </c>
      <c r="AR44" s="75">
        <f t="shared" si="79"/>
        <v>150000</v>
      </c>
      <c r="AS44" s="75">
        <f t="shared" si="79"/>
        <v>150000</v>
      </c>
      <c r="AT44" s="75">
        <f t="shared" si="79"/>
        <v>150000</v>
      </c>
      <c r="AU44" s="75">
        <f t="shared" si="79"/>
        <v>150000</v>
      </c>
      <c r="AV44" s="75">
        <f t="shared" si="79"/>
        <v>150000</v>
      </c>
      <c r="AW44" s="75">
        <f t="shared" si="79"/>
        <v>150000</v>
      </c>
      <c r="AX44" s="75">
        <f t="shared" si="79"/>
        <v>150000</v>
      </c>
      <c r="AY44" s="75">
        <f t="shared" si="79"/>
        <v>150000</v>
      </c>
      <c r="AZ44" s="75">
        <f t="shared" si="79"/>
        <v>150000</v>
      </c>
      <c r="BA44" s="75">
        <f t="shared" si="79"/>
        <v>150000</v>
      </c>
      <c r="BB44" s="75">
        <f t="shared" si="79"/>
        <v>150000</v>
      </c>
      <c r="BC44" s="75">
        <f t="shared" si="79"/>
        <v>150000</v>
      </c>
      <c r="BD44" s="75">
        <f t="shared" si="79"/>
        <v>150000</v>
      </c>
      <c r="BE44" s="75">
        <f t="shared" si="79"/>
        <v>150000</v>
      </c>
      <c r="BF44" s="75">
        <f t="shared" si="79"/>
        <v>150000</v>
      </c>
    </row>
    <row r="45" spans="2:58" outlineLevel="1">
      <c r="B45" s="113" t="s">
        <v>38</v>
      </c>
      <c r="D45" s="10"/>
      <c r="E45" s="10"/>
      <c r="F45" s="10"/>
      <c r="G45" s="10"/>
      <c r="H45" s="1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D45" s="190"/>
      <c r="AE45" s="190"/>
      <c r="AF45" s="190"/>
      <c r="AG45" s="190"/>
      <c r="AH45" s="190"/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90"/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</row>
    <row r="46" spans="2:58" outlineLevel="1">
      <c r="B46" s="113"/>
      <c r="C46" s="182" t="s">
        <v>39</v>
      </c>
      <c r="D46" s="10">
        <f t="shared" ref="D46:H47" si="80">SUMIFS($J46:$BF46,$J$3:$BF$3,D$3)</f>
        <v>0</v>
      </c>
      <c r="E46" s="10">
        <f t="shared" si="80"/>
        <v>1</v>
      </c>
      <c r="F46" s="10">
        <f t="shared" si="80"/>
        <v>0</v>
      </c>
      <c r="G46" s="10">
        <f t="shared" si="80"/>
        <v>0</v>
      </c>
      <c r="H46" s="10">
        <f t="shared" si="80"/>
        <v>0</v>
      </c>
      <c r="J46" s="71"/>
      <c r="K46" s="71">
        <f t="shared" ref="K46:BF46" si="81">IF(K23&gt;0,1,0)</f>
        <v>1</v>
      </c>
      <c r="L46" s="71">
        <f t="shared" si="81"/>
        <v>1</v>
      </c>
      <c r="M46" s="71">
        <f t="shared" si="81"/>
        <v>1</v>
      </c>
      <c r="N46" s="71">
        <f t="shared" si="81"/>
        <v>1</v>
      </c>
      <c r="O46" s="71">
        <f t="shared" si="81"/>
        <v>1</v>
      </c>
      <c r="P46" s="71">
        <f t="shared" si="81"/>
        <v>1</v>
      </c>
      <c r="Q46" s="71">
        <f t="shared" si="81"/>
        <v>1</v>
      </c>
      <c r="R46" s="71">
        <f t="shared" si="81"/>
        <v>1</v>
      </c>
      <c r="S46" s="71">
        <f t="shared" si="81"/>
        <v>1</v>
      </c>
      <c r="T46" s="71">
        <f t="shared" si="81"/>
        <v>1</v>
      </c>
      <c r="U46" s="71">
        <f t="shared" si="81"/>
        <v>1</v>
      </c>
      <c r="V46" s="71">
        <f t="shared" si="81"/>
        <v>1</v>
      </c>
      <c r="W46" s="71">
        <f t="shared" si="81"/>
        <v>1</v>
      </c>
      <c r="X46" s="71">
        <f t="shared" si="81"/>
        <v>1</v>
      </c>
      <c r="Y46" s="71">
        <f t="shared" si="81"/>
        <v>1</v>
      </c>
      <c r="Z46" s="71">
        <f t="shared" si="81"/>
        <v>1</v>
      </c>
      <c r="AA46" s="71">
        <f t="shared" si="81"/>
        <v>1</v>
      </c>
      <c r="AB46" s="71">
        <f t="shared" si="81"/>
        <v>1</v>
      </c>
      <c r="AC46" s="71">
        <f t="shared" si="81"/>
        <v>1</v>
      </c>
      <c r="AD46" s="71">
        <f t="shared" si="81"/>
        <v>1</v>
      </c>
      <c r="AE46" s="71">
        <f t="shared" si="81"/>
        <v>1</v>
      </c>
      <c r="AF46" s="71">
        <f t="shared" si="81"/>
        <v>0</v>
      </c>
      <c r="AG46" s="71">
        <f t="shared" si="81"/>
        <v>0</v>
      </c>
      <c r="AH46" s="71">
        <f t="shared" si="81"/>
        <v>0</v>
      </c>
      <c r="AI46" s="71">
        <f t="shared" si="81"/>
        <v>0</v>
      </c>
      <c r="AJ46" s="71">
        <f t="shared" si="81"/>
        <v>0</v>
      </c>
      <c r="AK46" s="71">
        <f t="shared" si="81"/>
        <v>0</v>
      </c>
      <c r="AL46" s="71">
        <f t="shared" si="81"/>
        <v>0</v>
      </c>
      <c r="AM46" s="71">
        <f t="shared" si="81"/>
        <v>0</v>
      </c>
      <c r="AN46" s="71">
        <f t="shared" si="81"/>
        <v>0</v>
      </c>
      <c r="AO46" s="71">
        <f t="shared" si="81"/>
        <v>0</v>
      </c>
      <c r="AP46" s="71">
        <f t="shared" si="81"/>
        <v>0</v>
      </c>
      <c r="AQ46" s="71">
        <f t="shared" si="81"/>
        <v>0</v>
      </c>
      <c r="AR46" s="71">
        <f t="shared" si="81"/>
        <v>0</v>
      </c>
      <c r="AS46" s="71">
        <f t="shared" si="81"/>
        <v>0</v>
      </c>
      <c r="AT46" s="71">
        <f t="shared" si="81"/>
        <v>0</v>
      </c>
      <c r="AU46" s="71">
        <f t="shared" si="81"/>
        <v>0</v>
      </c>
      <c r="AV46" s="71">
        <f t="shared" si="81"/>
        <v>0</v>
      </c>
      <c r="AW46" s="71">
        <f t="shared" si="81"/>
        <v>0</v>
      </c>
      <c r="AX46" s="71">
        <f t="shared" si="81"/>
        <v>0</v>
      </c>
      <c r="AY46" s="71">
        <f t="shared" si="81"/>
        <v>0</v>
      </c>
      <c r="AZ46" s="71">
        <f t="shared" si="81"/>
        <v>0</v>
      </c>
      <c r="BA46" s="71">
        <f t="shared" si="81"/>
        <v>0</v>
      </c>
      <c r="BB46" s="71">
        <f t="shared" si="81"/>
        <v>0</v>
      </c>
      <c r="BC46" s="71">
        <f t="shared" si="81"/>
        <v>0</v>
      </c>
      <c r="BD46" s="71">
        <f t="shared" si="81"/>
        <v>0</v>
      </c>
      <c r="BE46" s="71">
        <f t="shared" si="81"/>
        <v>0</v>
      </c>
      <c r="BF46" s="71">
        <f t="shared" si="81"/>
        <v>0</v>
      </c>
    </row>
    <row r="47" spans="2:58" outlineLevel="1">
      <c r="B47" s="113"/>
      <c r="C47" s="191" t="s">
        <v>40</v>
      </c>
      <c r="D47" s="15">
        <f t="shared" si="80"/>
        <v>0</v>
      </c>
      <c r="E47" s="15">
        <f t="shared" si="80"/>
        <v>1</v>
      </c>
      <c r="F47" s="15">
        <f t="shared" si="80"/>
        <v>1</v>
      </c>
      <c r="G47" s="15">
        <f t="shared" si="80"/>
        <v>0</v>
      </c>
      <c r="H47" s="15">
        <f t="shared" si="80"/>
        <v>0</v>
      </c>
      <c r="J47" s="72"/>
      <c r="K47" s="72">
        <f t="shared" ref="K47:BF47" si="82">IF(K29&gt;0,1,0)</f>
        <v>1</v>
      </c>
      <c r="L47" s="72">
        <f t="shared" si="82"/>
        <v>1</v>
      </c>
      <c r="M47" s="72">
        <f t="shared" si="82"/>
        <v>1</v>
      </c>
      <c r="N47" s="72">
        <f t="shared" si="82"/>
        <v>1</v>
      </c>
      <c r="O47" s="72">
        <f t="shared" si="82"/>
        <v>1</v>
      </c>
      <c r="P47" s="72">
        <f t="shared" si="82"/>
        <v>1</v>
      </c>
      <c r="Q47" s="72">
        <f t="shared" si="82"/>
        <v>1</v>
      </c>
      <c r="R47" s="72">
        <f t="shared" si="82"/>
        <v>1</v>
      </c>
      <c r="S47" s="72">
        <f t="shared" si="82"/>
        <v>1</v>
      </c>
      <c r="T47" s="72">
        <f t="shared" si="82"/>
        <v>1</v>
      </c>
      <c r="U47" s="72">
        <f t="shared" si="82"/>
        <v>1</v>
      </c>
      <c r="V47" s="72">
        <f t="shared" si="82"/>
        <v>1</v>
      </c>
      <c r="W47" s="72">
        <f t="shared" si="82"/>
        <v>1</v>
      </c>
      <c r="X47" s="72">
        <f t="shared" si="82"/>
        <v>1</v>
      </c>
      <c r="Y47" s="72">
        <f t="shared" si="82"/>
        <v>1</v>
      </c>
      <c r="Z47" s="72">
        <f t="shared" si="82"/>
        <v>1</v>
      </c>
      <c r="AA47" s="72">
        <f t="shared" si="82"/>
        <v>1</v>
      </c>
      <c r="AB47" s="72">
        <f t="shared" si="82"/>
        <v>1</v>
      </c>
      <c r="AC47" s="72">
        <f t="shared" si="82"/>
        <v>1</v>
      </c>
      <c r="AD47" s="72">
        <f t="shared" si="82"/>
        <v>1</v>
      </c>
      <c r="AE47" s="72">
        <f t="shared" si="82"/>
        <v>1</v>
      </c>
      <c r="AF47" s="72">
        <f t="shared" si="82"/>
        <v>1</v>
      </c>
      <c r="AG47" s="72">
        <f t="shared" si="82"/>
        <v>1</v>
      </c>
      <c r="AH47" s="72">
        <f t="shared" si="82"/>
        <v>0</v>
      </c>
      <c r="AI47" s="72">
        <f t="shared" si="82"/>
        <v>0</v>
      </c>
      <c r="AJ47" s="72">
        <f t="shared" si="82"/>
        <v>0</v>
      </c>
      <c r="AK47" s="72">
        <f t="shared" si="82"/>
        <v>0</v>
      </c>
      <c r="AL47" s="72">
        <f t="shared" si="82"/>
        <v>0</v>
      </c>
      <c r="AM47" s="72">
        <f t="shared" si="82"/>
        <v>0</v>
      </c>
      <c r="AN47" s="72">
        <f t="shared" si="82"/>
        <v>0</v>
      </c>
      <c r="AO47" s="72">
        <f t="shared" si="82"/>
        <v>0</v>
      </c>
      <c r="AP47" s="72">
        <f t="shared" si="82"/>
        <v>0</v>
      </c>
      <c r="AQ47" s="72">
        <f t="shared" si="82"/>
        <v>0</v>
      </c>
      <c r="AR47" s="72">
        <f t="shared" si="82"/>
        <v>0</v>
      </c>
      <c r="AS47" s="72">
        <f t="shared" si="82"/>
        <v>0</v>
      </c>
      <c r="AT47" s="72">
        <f t="shared" si="82"/>
        <v>0</v>
      </c>
      <c r="AU47" s="72">
        <f t="shared" si="82"/>
        <v>0</v>
      </c>
      <c r="AV47" s="72">
        <f t="shared" si="82"/>
        <v>0</v>
      </c>
      <c r="AW47" s="72">
        <f t="shared" si="82"/>
        <v>0</v>
      </c>
      <c r="AX47" s="72">
        <f t="shared" si="82"/>
        <v>0</v>
      </c>
      <c r="AY47" s="72">
        <f t="shared" si="82"/>
        <v>0</v>
      </c>
      <c r="AZ47" s="72">
        <f t="shared" si="82"/>
        <v>0</v>
      </c>
      <c r="BA47" s="72">
        <f t="shared" si="82"/>
        <v>0</v>
      </c>
      <c r="BB47" s="72">
        <f t="shared" si="82"/>
        <v>0</v>
      </c>
      <c r="BC47" s="72">
        <f t="shared" si="82"/>
        <v>0</v>
      </c>
      <c r="BD47" s="72">
        <f t="shared" si="82"/>
        <v>0</v>
      </c>
      <c r="BE47" s="72">
        <f t="shared" si="82"/>
        <v>0</v>
      </c>
      <c r="BF47" s="72">
        <f t="shared" si="82"/>
        <v>0</v>
      </c>
    </row>
    <row r="48" spans="2:58" outlineLevel="1">
      <c r="B48" s="113" t="s">
        <v>38</v>
      </c>
      <c r="D48" s="10">
        <f>SUM(D46:D47)</f>
        <v>0</v>
      </c>
      <c r="E48" s="10">
        <f t="shared" ref="E48:H48" si="83">SUM(E46:E47)</f>
        <v>2</v>
      </c>
      <c r="F48" s="10">
        <f t="shared" si="83"/>
        <v>1</v>
      </c>
      <c r="G48" s="10">
        <f t="shared" si="83"/>
        <v>0</v>
      </c>
      <c r="H48" s="10">
        <f t="shared" si="83"/>
        <v>0</v>
      </c>
      <c r="J48" s="71"/>
      <c r="K48" s="71">
        <f t="shared" ref="K48:BF48" si="84">SUM(K46:K47)</f>
        <v>2</v>
      </c>
      <c r="L48" s="71">
        <f t="shared" si="84"/>
        <v>2</v>
      </c>
      <c r="M48" s="71">
        <f t="shared" si="84"/>
        <v>2</v>
      </c>
      <c r="N48" s="71">
        <f t="shared" si="84"/>
        <v>2</v>
      </c>
      <c r="O48" s="71">
        <f t="shared" si="84"/>
        <v>2</v>
      </c>
      <c r="P48" s="71">
        <f t="shared" si="84"/>
        <v>2</v>
      </c>
      <c r="Q48" s="71">
        <f t="shared" si="84"/>
        <v>2</v>
      </c>
      <c r="R48" s="71">
        <f t="shared" si="84"/>
        <v>2</v>
      </c>
      <c r="S48" s="71">
        <f t="shared" si="84"/>
        <v>2</v>
      </c>
      <c r="T48" s="71">
        <f t="shared" si="84"/>
        <v>2</v>
      </c>
      <c r="U48" s="71">
        <f t="shared" si="84"/>
        <v>2</v>
      </c>
      <c r="V48" s="71">
        <f t="shared" si="84"/>
        <v>2</v>
      </c>
      <c r="W48" s="71">
        <f t="shared" si="84"/>
        <v>2</v>
      </c>
      <c r="X48" s="71">
        <f t="shared" si="84"/>
        <v>2</v>
      </c>
      <c r="Y48" s="71">
        <f t="shared" si="84"/>
        <v>2</v>
      </c>
      <c r="Z48" s="71">
        <f t="shared" si="84"/>
        <v>2</v>
      </c>
      <c r="AA48" s="71">
        <f t="shared" si="84"/>
        <v>2</v>
      </c>
      <c r="AB48" s="71">
        <f t="shared" si="84"/>
        <v>2</v>
      </c>
      <c r="AC48" s="71">
        <f t="shared" si="84"/>
        <v>2</v>
      </c>
      <c r="AD48" s="71">
        <f t="shared" si="84"/>
        <v>2</v>
      </c>
      <c r="AE48" s="71">
        <f t="shared" si="84"/>
        <v>2</v>
      </c>
      <c r="AF48" s="71">
        <f t="shared" si="84"/>
        <v>1</v>
      </c>
      <c r="AG48" s="71">
        <f t="shared" si="84"/>
        <v>1</v>
      </c>
      <c r="AH48" s="71">
        <f t="shared" si="84"/>
        <v>0</v>
      </c>
      <c r="AI48" s="71">
        <f t="shared" si="84"/>
        <v>0</v>
      </c>
      <c r="AJ48" s="71">
        <f t="shared" si="84"/>
        <v>0</v>
      </c>
      <c r="AK48" s="71">
        <f t="shared" si="84"/>
        <v>0</v>
      </c>
      <c r="AL48" s="71">
        <f t="shared" si="84"/>
        <v>0</v>
      </c>
      <c r="AM48" s="71">
        <f t="shared" si="84"/>
        <v>0</v>
      </c>
      <c r="AN48" s="71">
        <f t="shared" si="84"/>
        <v>0</v>
      </c>
      <c r="AO48" s="71">
        <f t="shared" si="84"/>
        <v>0</v>
      </c>
      <c r="AP48" s="71">
        <f t="shared" si="84"/>
        <v>0</v>
      </c>
      <c r="AQ48" s="71">
        <f t="shared" si="84"/>
        <v>0</v>
      </c>
      <c r="AR48" s="71">
        <f t="shared" si="84"/>
        <v>0</v>
      </c>
      <c r="AS48" s="71">
        <f t="shared" si="84"/>
        <v>0</v>
      </c>
      <c r="AT48" s="71">
        <f t="shared" si="84"/>
        <v>0</v>
      </c>
      <c r="AU48" s="71">
        <f t="shared" si="84"/>
        <v>0</v>
      </c>
      <c r="AV48" s="71">
        <f t="shared" si="84"/>
        <v>0</v>
      </c>
      <c r="AW48" s="71">
        <f t="shared" si="84"/>
        <v>0</v>
      </c>
      <c r="AX48" s="71">
        <f t="shared" si="84"/>
        <v>0</v>
      </c>
      <c r="AY48" s="71">
        <f t="shared" si="84"/>
        <v>0</v>
      </c>
      <c r="AZ48" s="71">
        <f t="shared" si="84"/>
        <v>0</v>
      </c>
      <c r="BA48" s="71">
        <f t="shared" si="84"/>
        <v>0</v>
      </c>
      <c r="BB48" s="71">
        <f t="shared" si="84"/>
        <v>0</v>
      </c>
      <c r="BC48" s="71">
        <f t="shared" si="84"/>
        <v>0</v>
      </c>
      <c r="BD48" s="71">
        <f t="shared" si="84"/>
        <v>0</v>
      </c>
      <c r="BE48" s="71">
        <f t="shared" si="84"/>
        <v>0</v>
      </c>
      <c r="BF48" s="71">
        <f t="shared" si="84"/>
        <v>0</v>
      </c>
    </row>
    <row r="49" spans="2:58" outlineLevel="1">
      <c r="B49" s="113" t="s">
        <v>41</v>
      </c>
      <c r="D49" s="10">
        <f>SUMIFS($J49:$BF49,$J$3:$BF$3,D$3)</f>
        <v>0</v>
      </c>
      <c r="E49" s="10">
        <f>SUMIFS($J49:$BF49,$J$3:$BF$3,E$3)</f>
        <v>300000</v>
      </c>
      <c r="F49" s="10">
        <f>SUMIFS($J49:$BF49,$J$3:$BF$3,F$3)</f>
        <v>150000</v>
      </c>
      <c r="G49" s="10">
        <f>SUMIFS($J49:$BF49,$J$3:$BF$3,G$3)</f>
        <v>0</v>
      </c>
      <c r="H49" s="10">
        <f>SUMIFS($J49:$BF49,$J$3:$BF$3,H$3)</f>
        <v>0</v>
      </c>
      <c r="J49" s="71"/>
      <c r="K49" s="71">
        <f>K44*K48</f>
        <v>300000</v>
      </c>
      <c r="L49" s="71">
        <f t="shared" ref="L49:BF49" si="85">L44*L48</f>
        <v>300000</v>
      </c>
      <c r="M49" s="71">
        <f t="shared" si="85"/>
        <v>300000</v>
      </c>
      <c r="N49" s="71">
        <f t="shared" si="85"/>
        <v>300000</v>
      </c>
      <c r="O49" s="71">
        <f t="shared" si="85"/>
        <v>300000</v>
      </c>
      <c r="P49" s="71">
        <f t="shared" si="85"/>
        <v>300000</v>
      </c>
      <c r="Q49" s="71">
        <f t="shared" si="85"/>
        <v>300000</v>
      </c>
      <c r="R49" s="71">
        <f t="shared" si="85"/>
        <v>300000</v>
      </c>
      <c r="S49" s="71">
        <f t="shared" si="85"/>
        <v>300000</v>
      </c>
      <c r="T49" s="71">
        <f t="shared" si="85"/>
        <v>300000</v>
      </c>
      <c r="U49" s="71">
        <f t="shared" si="85"/>
        <v>300000</v>
      </c>
      <c r="V49" s="71">
        <f t="shared" si="85"/>
        <v>300000</v>
      </c>
      <c r="W49" s="71">
        <f t="shared" si="85"/>
        <v>300000</v>
      </c>
      <c r="X49" s="71">
        <f t="shared" si="85"/>
        <v>300000</v>
      </c>
      <c r="Y49" s="71">
        <f t="shared" si="85"/>
        <v>300000</v>
      </c>
      <c r="Z49" s="71">
        <f t="shared" si="85"/>
        <v>300000</v>
      </c>
      <c r="AA49" s="71">
        <f t="shared" si="85"/>
        <v>300000</v>
      </c>
      <c r="AB49" s="71">
        <f t="shared" si="85"/>
        <v>300000</v>
      </c>
      <c r="AC49" s="71">
        <f t="shared" si="85"/>
        <v>300000</v>
      </c>
      <c r="AD49" s="71">
        <f t="shared" si="85"/>
        <v>300000</v>
      </c>
      <c r="AE49" s="71">
        <f t="shared" si="85"/>
        <v>300000</v>
      </c>
      <c r="AF49" s="71">
        <f t="shared" si="85"/>
        <v>150000</v>
      </c>
      <c r="AG49" s="71">
        <f t="shared" si="85"/>
        <v>150000</v>
      </c>
      <c r="AH49" s="71">
        <f t="shared" si="85"/>
        <v>0</v>
      </c>
      <c r="AI49" s="71">
        <f t="shared" si="85"/>
        <v>0</v>
      </c>
      <c r="AJ49" s="71">
        <f t="shared" si="85"/>
        <v>0</v>
      </c>
      <c r="AK49" s="71">
        <f t="shared" si="85"/>
        <v>0</v>
      </c>
      <c r="AL49" s="71">
        <f t="shared" si="85"/>
        <v>0</v>
      </c>
      <c r="AM49" s="71">
        <f t="shared" si="85"/>
        <v>0</v>
      </c>
      <c r="AN49" s="71">
        <f t="shared" si="85"/>
        <v>0</v>
      </c>
      <c r="AO49" s="71">
        <f t="shared" si="85"/>
        <v>0</v>
      </c>
      <c r="AP49" s="71">
        <f t="shared" si="85"/>
        <v>0</v>
      </c>
      <c r="AQ49" s="71">
        <f t="shared" si="85"/>
        <v>0</v>
      </c>
      <c r="AR49" s="71">
        <f t="shared" si="85"/>
        <v>0</v>
      </c>
      <c r="AS49" s="71">
        <f t="shared" si="85"/>
        <v>0</v>
      </c>
      <c r="AT49" s="71">
        <f t="shared" si="85"/>
        <v>0</v>
      </c>
      <c r="AU49" s="71">
        <f t="shared" si="85"/>
        <v>0</v>
      </c>
      <c r="AV49" s="71">
        <f t="shared" si="85"/>
        <v>0</v>
      </c>
      <c r="AW49" s="71">
        <f t="shared" si="85"/>
        <v>0</v>
      </c>
      <c r="AX49" s="71">
        <f t="shared" si="85"/>
        <v>0</v>
      </c>
      <c r="AY49" s="71">
        <f t="shared" si="85"/>
        <v>0</v>
      </c>
      <c r="AZ49" s="71">
        <f t="shared" si="85"/>
        <v>0</v>
      </c>
      <c r="BA49" s="71">
        <f t="shared" si="85"/>
        <v>0</v>
      </c>
      <c r="BB49" s="71">
        <f t="shared" si="85"/>
        <v>0</v>
      </c>
      <c r="BC49" s="71">
        <f t="shared" si="85"/>
        <v>0</v>
      </c>
      <c r="BD49" s="71">
        <f t="shared" si="85"/>
        <v>0</v>
      </c>
      <c r="BE49" s="71">
        <f t="shared" si="85"/>
        <v>0</v>
      </c>
      <c r="BF49" s="71">
        <f t="shared" si="85"/>
        <v>0</v>
      </c>
    </row>
    <row r="50" spans="2:58" ht="14.65" customHeight="1">
      <c r="B50" s="113"/>
      <c r="D50" s="10"/>
      <c r="E50" s="10"/>
      <c r="F50" s="10"/>
      <c r="G50" s="10"/>
      <c r="H50" s="10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</row>
    <row r="51" spans="2:58" ht="14.65" customHeight="1">
      <c r="B51" s="114" t="s">
        <v>42</v>
      </c>
      <c r="J51" s="162">
        <v>0.5</v>
      </c>
      <c r="K51" s="188">
        <f>+J51</f>
        <v>0.5</v>
      </c>
      <c r="L51" s="188">
        <f t="shared" ref="L51:BF51" si="86">+K51</f>
        <v>0.5</v>
      </c>
      <c r="M51" s="188">
        <f t="shared" si="86"/>
        <v>0.5</v>
      </c>
      <c r="N51" s="188">
        <f t="shared" si="86"/>
        <v>0.5</v>
      </c>
      <c r="O51" s="188">
        <f t="shared" si="86"/>
        <v>0.5</v>
      </c>
      <c r="P51" s="188">
        <f t="shared" si="86"/>
        <v>0.5</v>
      </c>
      <c r="Q51" s="188">
        <f t="shared" si="86"/>
        <v>0.5</v>
      </c>
      <c r="R51" s="188">
        <f t="shared" si="86"/>
        <v>0.5</v>
      </c>
      <c r="S51" s="188">
        <f t="shared" si="86"/>
        <v>0.5</v>
      </c>
      <c r="T51" s="188">
        <f t="shared" si="86"/>
        <v>0.5</v>
      </c>
      <c r="U51" s="188">
        <f t="shared" si="86"/>
        <v>0.5</v>
      </c>
      <c r="V51" s="188">
        <f t="shared" si="86"/>
        <v>0.5</v>
      </c>
      <c r="W51" s="188">
        <f t="shared" si="86"/>
        <v>0.5</v>
      </c>
      <c r="X51" s="188">
        <f t="shared" si="86"/>
        <v>0.5</v>
      </c>
      <c r="Y51" s="188">
        <f t="shared" si="86"/>
        <v>0.5</v>
      </c>
      <c r="Z51" s="188">
        <f t="shared" si="86"/>
        <v>0.5</v>
      </c>
      <c r="AA51" s="188">
        <f t="shared" si="86"/>
        <v>0.5</v>
      </c>
      <c r="AB51" s="188">
        <f t="shared" si="86"/>
        <v>0.5</v>
      </c>
      <c r="AC51" s="188">
        <f t="shared" si="86"/>
        <v>0.5</v>
      </c>
      <c r="AD51" s="188">
        <f t="shared" si="86"/>
        <v>0.5</v>
      </c>
      <c r="AE51" s="188">
        <f t="shared" si="86"/>
        <v>0.5</v>
      </c>
      <c r="AF51" s="188">
        <f t="shared" si="86"/>
        <v>0.5</v>
      </c>
      <c r="AG51" s="188">
        <f t="shared" si="86"/>
        <v>0.5</v>
      </c>
      <c r="AH51" s="188">
        <f t="shared" si="86"/>
        <v>0.5</v>
      </c>
      <c r="AI51" s="188">
        <f t="shared" si="86"/>
        <v>0.5</v>
      </c>
      <c r="AJ51" s="188">
        <f t="shared" si="86"/>
        <v>0.5</v>
      </c>
      <c r="AK51" s="188">
        <f t="shared" si="86"/>
        <v>0.5</v>
      </c>
      <c r="AL51" s="188">
        <f t="shared" si="86"/>
        <v>0.5</v>
      </c>
      <c r="AM51" s="188">
        <f t="shared" si="86"/>
        <v>0.5</v>
      </c>
      <c r="AN51" s="188">
        <f t="shared" si="86"/>
        <v>0.5</v>
      </c>
      <c r="AO51" s="188">
        <f t="shared" si="86"/>
        <v>0.5</v>
      </c>
      <c r="AP51" s="188">
        <f t="shared" si="86"/>
        <v>0.5</v>
      </c>
      <c r="AQ51" s="188">
        <f t="shared" si="86"/>
        <v>0.5</v>
      </c>
      <c r="AR51" s="188">
        <f t="shared" si="86"/>
        <v>0.5</v>
      </c>
      <c r="AS51" s="188">
        <f t="shared" si="86"/>
        <v>0.5</v>
      </c>
      <c r="AT51" s="188">
        <f t="shared" si="86"/>
        <v>0.5</v>
      </c>
      <c r="AU51" s="188">
        <f t="shared" si="86"/>
        <v>0.5</v>
      </c>
      <c r="AV51" s="188">
        <f t="shared" si="86"/>
        <v>0.5</v>
      </c>
      <c r="AW51" s="188">
        <f t="shared" si="86"/>
        <v>0.5</v>
      </c>
      <c r="AX51" s="188">
        <f t="shared" si="86"/>
        <v>0.5</v>
      </c>
      <c r="AY51" s="188">
        <f t="shared" si="86"/>
        <v>0.5</v>
      </c>
      <c r="AZ51" s="188">
        <f t="shared" si="86"/>
        <v>0.5</v>
      </c>
      <c r="BA51" s="188">
        <f t="shared" si="86"/>
        <v>0.5</v>
      </c>
      <c r="BB51" s="188">
        <f t="shared" si="86"/>
        <v>0.5</v>
      </c>
      <c r="BC51" s="188">
        <f t="shared" si="86"/>
        <v>0.5</v>
      </c>
      <c r="BD51" s="188">
        <f t="shared" si="86"/>
        <v>0.5</v>
      </c>
      <c r="BE51" s="188">
        <f t="shared" si="86"/>
        <v>0.5</v>
      </c>
      <c r="BF51" s="188">
        <f t="shared" si="86"/>
        <v>0.5</v>
      </c>
    </row>
    <row r="52" spans="2:58" ht="14.65" customHeight="1">
      <c r="B52" s="113"/>
      <c r="C52" s="182" t="s">
        <v>43</v>
      </c>
      <c r="D52" s="10">
        <f>J52</f>
        <v>0</v>
      </c>
      <c r="E52" s="10">
        <f>SUMIFS($J52:$BF52,$J$3:$BF$3,"="&amp;EOMONTH(E$3,-11))</f>
        <v>0</v>
      </c>
      <c r="F52" s="10">
        <f>SUMIFS($J52:$BF52,$J$3:$BF$3,"="&amp;EOMONTH(F$3,-11))</f>
        <v>300000</v>
      </c>
      <c r="G52" s="10">
        <f>SUMIFS($J52:$BF52,$J$3:$BF$3,"="&amp;EOMONTH(G$3,-11))</f>
        <v>150000</v>
      </c>
      <c r="H52" s="10">
        <f>SUMIFS($J52:$BF52,$J$3:$BF$3,"="&amp;EOMONTH(H$3,-11))</f>
        <v>0</v>
      </c>
      <c r="J52" s="73">
        <v>0</v>
      </c>
      <c r="K52" s="160">
        <v>300000</v>
      </c>
      <c r="L52" s="11">
        <f t="shared" ref="L52:AJ52" si="87">K56</f>
        <v>300000</v>
      </c>
      <c r="M52" s="11">
        <f t="shared" si="87"/>
        <v>300000</v>
      </c>
      <c r="N52" s="11">
        <f t="shared" si="87"/>
        <v>300000</v>
      </c>
      <c r="O52" s="11">
        <f t="shared" si="87"/>
        <v>300000</v>
      </c>
      <c r="P52" s="11">
        <f t="shared" si="87"/>
        <v>300000</v>
      </c>
      <c r="Q52" s="11">
        <f t="shared" si="87"/>
        <v>300000</v>
      </c>
      <c r="R52" s="11">
        <f t="shared" si="87"/>
        <v>300000</v>
      </c>
      <c r="S52" s="11">
        <f t="shared" si="87"/>
        <v>300000</v>
      </c>
      <c r="T52" s="11">
        <f t="shared" si="87"/>
        <v>300000</v>
      </c>
      <c r="U52" s="11">
        <f t="shared" si="87"/>
        <v>300000</v>
      </c>
      <c r="V52" s="11">
        <f t="shared" si="87"/>
        <v>300000</v>
      </c>
      <c r="W52" s="11">
        <f t="shared" si="87"/>
        <v>300000</v>
      </c>
      <c r="X52" s="11">
        <f t="shared" si="87"/>
        <v>300000</v>
      </c>
      <c r="Y52" s="11">
        <f t="shared" si="87"/>
        <v>300000</v>
      </c>
      <c r="Z52" s="11">
        <f t="shared" si="87"/>
        <v>300000</v>
      </c>
      <c r="AA52" s="11">
        <f t="shared" si="87"/>
        <v>300000</v>
      </c>
      <c r="AB52" s="11">
        <f t="shared" si="87"/>
        <v>300000</v>
      </c>
      <c r="AC52" s="11">
        <f t="shared" si="87"/>
        <v>300000</v>
      </c>
      <c r="AD52" s="11">
        <f t="shared" si="87"/>
        <v>300000</v>
      </c>
      <c r="AE52" s="11">
        <f t="shared" si="87"/>
        <v>300000</v>
      </c>
      <c r="AF52" s="11">
        <f t="shared" si="87"/>
        <v>300000</v>
      </c>
      <c r="AG52" s="11">
        <f t="shared" si="87"/>
        <v>150000</v>
      </c>
      <c r="AH52" s="11">
        <f t="shared" si="87"/>
        <v>150000</v>
      </c>
      <c r="AI52" s="11">
        <f t="shared" si="87"/>
        <v>0</v>
      </c>
      <c r="AJ52" s="11">
        <f t="shared" si="87"/>
        <v>0</v>
      </c>
      <c r="AK52" s="11">
        <f>AJ56</f>
        <v>0</v>
      </c>
      <c r="AL52" s="11">
        <f t="shared" ref="AL52:BF52" si="88">AK56</f>
        <v>0</v>
      </c>
      <c r="AM52" s="11">
        <f t="shared" si="88"/>
        <v>0</v>
      </c>
      <c r="AN52" s="11">
        <f t="shared" si="88"/>
        <v>0</v>
      </c>
      <c r="AO52" s="11">
        <f t="shared" si="88"/>
        <v>0</v>
      </c>
      <c r="AP52" s="11">
        <f t="shared" si="88"/>
        <v>0</v>
      </c>
      <c r="AQ52" s="11">
        <f t="shared" si="88"/>
        <v>0</v>
      </c>
      <c r="AR52" s="11">
        <f t="shared" si="88"/>
        <v>0</v>
      </c>
      <c r="AS52" s="11">
        <f t="shared" si="88"/>
        <v>0</v>
      </c>
      <c r="AT52" s="11">
        <f t="shared" si="88"/>
        <v>0</v>
      </c>
      <c r="AU52" s="11">
        <f t="shared" si="88"/>
        <v>0</v>
      </c>
      <c r="AV52" s="11">
        <f t="shared" si="88"/>
        <v>0</v>
      </c>
      <c r="AW52" s="11">
        <f t="shared" si="88"/>
        <v>0</v>
      </c>
      <c r="AX52" s="11">
        <f t="shared" si="88"/>
        <v>0</v>
      </c>
      <c r="AY52" s="11">
        <f t="shared" si="88"/>
        <v>0</v>
      </c>
      <c r="AZ52" s="11">
        <f t="shared" si="88"/>
        <v>0</v>
      </c>
      <c r="BA52" s="11">
        <f t="shared" si="88"/>
        <v>0</v>
      </c>
      <c r="BB52" s="11">
        <f t="shared" si="88"/>
        <v>0</v>
      </c>
      <c r="BC52" s="11">
        <f t="shared" si="88"/>
        <v>0</v>
      </c>
      <c r="BD52" s="11">
        <f t="shared" si="88"/>
        <v>0</v>
      </c>
      <c r="BE52" s="11">
        <f t="shared" si="88"/>
        <v>0</v>
      </c>
      <c r="BF52" s="11">
        <f t="shared" si="88"/>
        <v>0</v>
      </c>
    </row>
    <row r="53" spans="2:58" ht="14.65" customHeight="1">
      <c r="B53" s="113"/>
      <c r="C53" s="184" t="s">
        <v>44</v>
      </c>
      <c r="D53" s="10">
        <f>SUMIFS($J53:$BF53,$J$3:$BF$3,"&lt;="&amp;D$3,$J$3:$BF$3,"&gt;"&amp;EOMONTH(D$3,-12))</f>
        <v>0</v>
      </c>
      <c r="E53" s="10">
        <f>SUMIFS($J53:$BF53,$J$3:$BF$3,"&lt;="&amp;E$3,$J$3:$BF$3,"&gt;"&amp;EOMONTH(E$3,-12))</f>
        <v>0</v>
      </c>
      <c r="F53" s="10">
        <f>SUMIFS($J53:$BF53,$J$3:$BF$3,"&lt;="&amp;F$3,$J$3:$BF$3,"&gt;"&amp;EOMONTH(F$3,-12))</f>
        <v>0</v>
      </c>
      <c r="G53" s="10">
        <f>SUMIFS($J53:$BF53,$J$3:$BF$3,"&lt;="&amp;G$3,$J$3:$BF$3,"&gt;"&amp;EOMONTH(G$3,-12))</f>
        <v>0</v>
      </c>
      <c r="H53" s="10">
        <f>SUMIFS($J53:$BF53,$J$3:$BF$3,"&lt;="&amp;H$3,$J$3:$BF$3,"&gt;"&amp;EOMONTH(H$3,-12))</f>
        <v>0</v>
      </c>
      <c r="J53" s="192">
        <f>IF(J52&lt;J49,MIN(J$51*J42,J49-J52),0)</f>
        <v>0</v>
      </c>
      <c r="K53" s="192">
        <f t="shared" ref="K53:BF53" si="89">IF(K5&gt;0,K42-K16,IF(K52&lt;K49,MIN(K$51*K42,K49-K52),0))</f>
        <v>0</v>
      </c>
      <c r="L53" s="192">
        <f t="shared" si="89"/>
        <v>0</v>
      </c>
      <c r="M53" s="192">
        <f t="shared" si="89"/>
        <v>0</v>
      </c>
      <c r="N53" s="192">
        <f t="shared" si="89"/>
        <v>0</v>
      </c>
      <c r="O53" s="192">
        <f t="shared" si="89"/>
        <v>0</v>
      </c>
      <c r="P53" s="192">
        <f t="shared" si="89"/>
        <v>0</v>
      </c>
      <c r="Q53" s="192">
        <f t="shared" si="89"/>
        <v>0</v>
      </c>
      <c r="R53" s="192">
        <f t="shared" si="89"/>
        <v>0</v>
      </c>
      <c r="S53" s="192">
        <f t="shared" si="89"/>
        <v>0</v>
      </c>
      <c r="T53" s="192">
        <f t="shared" si="89"/>
        <v>0</v>
      </c>
      <c r="U53" s="192">
        <f t="shared" si="89"/>
        <v>0</v>
      </c>
      <c r="V53" s="192">
        <f t="shared" si="89"/>
        <v>0</v>
      </c>
      <c r="W53" s="192">
        <f t="shared" si="89"/>
        <v>0</v>
      </c>
      <c r="X53" s="192">
        <f t="shared" si="89"/>
        <v>0</v>
      </c>
      <c r="Y53" s="192">
        <f t="shared" si="89"/>
        <v>0</v>
      </c>
      <c r="Z53" s="192">
        <f t="shared" si="89"/>
        <v>0</v>
      </c>
      <c r="AA53" s="192">
        <f t="shared" si="89"/>
        <v>0</v>
      </c>
      <c r="AB53" s="192">
        <f t="shared" si="89"/>
        <v>0</v>
      </c>
      <c r="AC53" s="192">
        <f t="shared" si="89"/>
        <v>0</v>
      </c>
      <c r="AD53" s="192">
        <f t="shared" si="89"/>
        <v>0</v>
      </c>
      <c r="AE53" s="192">
        <f t="shared" si="89"/>
        <v>0</v>
      </c>
      <c r="AF53" s="192">
        <f t="shared" si="89"/>
        <v>0</v>
      </c>
      <c r="AG53" s="192">
        <f t="shared" si="89"/>
        <v>0</v>
      </c>
      <c r="AH53" s="192">
        <f t="shared" si="89"/>
        <v>0</v>
      </c>
      <c r="AI53" s="192">
        <f t="shared" si="89"/>
        <v>0</v>
      </c>
      <c r="AJ53" s="192">
        <f t="shared" si="89"/>
        <v>0</v>
      </c>
      <c r="AK53" s="192">
        <f t="shared" si="89"/>
        <v>0</v>
      </c>
      <c r="AL53" s="192">
        <f t="shared" si="89"/>
        <v>0</v>
      </c>
      <c r="AM53" s="192">
        <f t="shared" si="89"/>
        <v>0</v>
      </c>
      <c r="AN53" s="192">
        <f t="shared" si="89"/>
        <v>0</v>
      </c>
      <c r="AO53" s="192">
        <f t="shared" si="89"/>
        <v>0</v>
      </c>
      <c r="AP53" s="192">
        <f t="shared" si="89"/>
        <v>0</v>
      </c>
      <c r="AQ53" s="192">
        <f t="shared" si="89"/>
        <v>0</v>
      </c>
      <c r="AR53" s="192">
        <f t="shared" si="89"/>
        <v>0</v>
      </c>
      <c r="AS53" s="192">
        <f t="shared" si="89"/>
        <v>0</v>
      </c>
      <c r="AT53" s="192">
        <f t="shared" si="89"/>
        <v>0</v>
      </c>
      <c r="AU53" s="192">
        <f t="shared" si="89"/>
        <v>0</v>
      </c>
      <c r="AV53" s="192">
        <f t="shared" si="89"/>
        <v>0</v>
      </c>
      <c r="AW53" s="192">
        <f t="shared" si="89"/>
        <v>0</v>
      </c>
      <c r="AX53" s="192">
        <f t="shared" si="89"/>
        <v>0</v>
      </c>
      <c r="AY53" s="192">
        <f t="shared" si="89"/>
        <v>0</v>
      </c>
      <c r="AZ53" s="192">
        <f t="shared" si="89"/>
        <v>0</v>
      </c>
      <c r="BA53" s="192">
        <f t="shared" si="89"/>
        <v>0</v>
      </c>
      <c r="BB53" s="192">
        <f t="shared" si="89"/>
        <v>0</v>
      </c>
      <c r="BC53" s="192">
        <f t="shared" si="89"/>
        <v>0</v>
      </c>
      <c r="BD53" s="192">
        <f t="shared" si="89"/>
        <v>0</v>
      </c>
      <c r="BE53" s="192">
        <f t="shared" si="89"/>
        <v>0</v>
      </c>
      <c r="BF53" s="192">
        <f t="shared" si="89"/>
        <v>0</v>
      </c>
    </row>
    <row r="54" spans="2:58" ht="14.65" customHeight="1">
      <c r="B54" s="113"/>
      <c r="C54" s="193" t="s">
        <v>45</v>
      </c>
      <c r="D54" s="194">
        <f t="shared" ref="D54:G54" si="90">SUM(D52:D53)</f>
        <v>0</v>
      </c>
      <c r="E54" s="194">
        <f t="shared" si="90"/>
        <v>0</v>
      </c>
      <c r="F54" s="194">
        <f t="shared" si="90"/>
        <v>300000</v>
      </c>
      <c r="G54" s="194">
        <f t="shared" si="90"/>
        <v>150000</v>
      </c>
      <c r="H54" s="194">
        <f t="shared" ref="H54" si="91">SUM(H52:H53)</f>
        <v>0</v>
      </c>
      <c r="J54" s="194">
        <f>SUM(J52:J53)</f>
        <v>0</v>
      </c>
      <c r="K54" s="194">
        <f>SUM(K52:K53)</f>
        <v>300000</v>
      </c>
      <c r="L54" s="194">
        <f t="shared" ref="L54:BF54" si="92">SUM(L52:L53)</f>
        <v>300000</v>
      </c>
      <c r="M54" s="194">
        <f t="shared" si="92"/>
        <v>300000</v>
      </c>
      <c r="N54" s="194">
        <f t="shared" si="92"/>
        <v>300000</v>
      </c>
      <c r="O54" s="194">
        <f t="shared" si="92"/>
        <v>300000</v>
      </c>
      <c r="P54" s="194">
        <f t="shared" si="92"/>
        <v>300000</v>
      </c>
      <c r="Q54" s="194">
        <f t="shared" si="92"/>
        <v>300000</v>
      </c>
      <c r="R54" s="194">
        <f t="shared" si="92"/>
        <v>300000</v>
      </c>
      <c r="S54" s="194">
        <f t="shared" si="92"/>
        <v>300000</v>
      </c>
      <c r="T54" s="194">
        <f t="shared" si="92"/>
        <v>300000</v>
      </c>
      <c r="U54" s="194">
        <f t="shared" si="92"/>
        <v>300000</v>
      </c>
      <c r="V54" s="194">
        <f t="shared" si="92"/>
        <v>300000</v>
      </c>
      <c r="W54" s="194">
        <f t="shared" si="92"/>
        <v>300000</v>
      </c>
      <c r="X54" s="194">
        <f t="shared" si="92"/>
        <v>300000</v>
      </c>
      <c r="Y54" s="194">
        <f t="shared" si="92"/>
        <v>300000</v>
      </c>
      <c r="Z54" s="194">
        <f t="shared" si="92"/>
        <v>300000</v>
      </c>
      <c r="AA54" s="194">
        <f t="shared" si="92"/>
        <v>300000</v>
      </c>
      <c r="AB54" s="194">
        <f t="shared" si="92"/>
        <v>300000</v>
      </c>
      <c r="AC54" s="194">
        <f t="shared" si="92"/>
        <v>300000</v>
      </c>
      <c r="AD54" s="194">
        <f t="shared" si="92"/>
        <v>300000</v>
      </c>
      <c r="AE54" s="194">
        <f t="shared" si="92"/>
        <v>300000</v>
      </c>
      <c r="AF54" s="194">
        <f t="shared" si="92"/>
        <v>300000</v>
      </c>
      <c r="AG54" s="194">
        <f t="shared" si="92"/>
        <v>150000</v>
      </c>
      <c r="AH54" s="194">
        <f t="shared" si="92"/>
        <v>150000</v>
      </c>
      <c r="AI54" s="194">
        <f t="shared" si="92"/>
        <v>0</v>
      </c>
      <c r="AJ54" s="194">
        <f t="shared" si="92"/>
        <v>0</v>
      </c>
      <c r="AK54" s="194">
        <f t="shared" si="92"/>
        <v>0</v>
      </c>
      <c r="AL54" s="194">
        <f t="shared" si="92"/>
        <v>0</v>
      </c>
      <c r="AM54" s="194">
        <f t="shared" si="92"/>
        <v>0</v>
      </c>
      <c r="AN54" s="194">
        <f t="shared" si="92"/>
        <v>0</v>
      </c>
      <c r="AO54" s="194">
        <f t="shared" si="92"/>
        <v>0</v>
      </c>
      <c r="AP54" s="194">
        <f t="shared" si="92"/>
        <v>0</v>
      </c>
      <c r="AQ54" s="194">
        <f t="shared" si="92"/>
        <v>0</v>
      </c>
      <c r="AR54" s="194">
        <f t="shared" si="92"/>
        <v>0</v>
      </c>
      <c r="AS54" s="194">
        <f t="shared" si="92"/>
        <v>0</v>
      </c>
      <c r="AT54" s="194">
        <f t="shared" si="92"/>
        <v>0</v>
      </c>
      <c r="AU54" s="194">
        <f t="shared" si="92"/>
        <v>0</v>
      </c>
      <c r="AV54" s="194">
        <f t="shared" si="92"/>
        <v>0</v>
      </c>
      <c r="AW54" s="194">
        <f t="shared" si="92"/>
        <v>0</v>
      </c>
      <c r="AX54" s="194">
        <f t="shared" si="92"/>
        <v>0</v>
      </c>
      <c r="AY54" s="194">
        <f t="shared" si="92"/>
        <v>0</v>
      </c>
      <c r="AZ54" s="194">
        <f t="shared" si="92"/>
        <v>0</v>
      </c>
      <c r="BA54" s="194">
        <f t="shared" si="92"/>
        <v>0</v>
      </c>
      <c r="BB54" s="194">
        <f t="shared" si="92"/>
        <v>0</v>
      </c>
      <c r="BC54" s="194">
        <f t="shared" si="92"/>
        <v>0</v>
      </c>
      <c r="BD54" s="194">
        <f t="shared" si="92"/>
        <v>0</v>
      </c>
      <c r="BE54" s="194">
        <f t="shared" si="92"/>
        <v>0</v>
      </c>
      <c r="BF54" s="194">
        <f t="shared" si="92"/>
        <v>0</v>
      </c>
    </row>
    <row r="55" spans="2:58" ht="14.65" customHeight="1">
      <c r="B55" s="113"/>
      <c r="C55" s="184" t="s">
        <v>46</v>
      </c>
      <c r="D55" s="10">
        <f>SUMIFS($J55:$BF55,$J$3:$BF$3,"&lt;="&amp;D$3,$J$3:$BF$3,"&gt;"&amp;EOMONTH(D$3,-12))</f>
        <v>0</v>
      </c>
      <c r="E55" s="10">
        <f>SUMIFS($J55:$BF55,$J$3:$BF$3,"&lt;="&amp;E$3,$J$3:$BF$3,"&gt;"&amp;EOMONTH(E$3,-12))</f>
        <v>0</v>
      </c>
      <c r="F55" s="10">
        <f>SUMIFS($J55:$BF55,$J$3:$BF$3,"&lt;="&amp;F$3,$J$3:$BF$3,"&gt;"&amp;EOMONTH(F$3,-12))</f>
        <v>150000</v>
      </c>
      <c r="G55" s="10">
        <f>SUMIFS($J55:$BF55,$J$3:$BF$3,"&lt;="&amp;G$3,$J$3:$BF$3,"&gt;"&amp;EOMONTH(G$3,-12))</f>
        <v>150000</v>
      </c>
      <c r="H55" s="10">
        <f>SUMIFS($J55:$BF55,$J$3:$BF$3,"&lt;="&amp;H$3,$J$3:$BF$3,"&gt;"&amp;EOMONTH(H$3,-12))</f>
        <v>0</v>
      </c>
      <c r="J55" s="192">
        <f>IF(J54&lt;=J49,0,J54-J49)</f>
        <v>0</v>
      </c>
      <c r="K55" s="192">
        <f t="shared" ref="K55:BF55" si="93">IF(K54&lt;=K49,0,K54-K49)</f>
        <v>0</v>
      </c>
      <c r="L55" s="192">
        <f t="shared" si="93"/>
        <v>0</v>
      </c>
      <c r="M55" s="192">
        <f t="shared" si="93"/>
        <v>0</v>
      </c>
      <c r="N55" s="192">
        <f t="shared" si="93"/>
        <v>0</v>
      </c>
      <c r="O55" s="192">
        <f t="shared" si="93"/>
        <v>0</v>
      </c>
      <c r="P55" s="192">
        <f t="shared" si="93"/>
        <v>0</v>
      </c>
      <c r="Q55" s="192">
        <f t="shared" si="93"/>
        <v>0</v>
      </c>
      <c r="R55" s="192">
        <f t="shared" si="93"/>
        <v>0</v>
      </c>
      <c r="S55" s="192">
        <f t="shared" si="93"/>
        <v>0</v>
      </c>
      <c r="T55" s="192">
        <f t="shared" si="93"/>
        <v>0</v>
      </c>
      <c r="U55" s="192">
        <f t="shared" si="93"/>
        <v>0</v>
      </c>
      <c r="V55" s="192">
        <f t="shared" si="93"/>
        <v>0</v>
      </c>
      <c r="W55" s="192">
        <f t="shared" si="93"/>
        <v>0</v>
      </c>
      <c r="X55" s="192">
        <f t="shared" si="93"/>
        <v>0</v>
      </c>
      <c r="Y55" s="192">
        <f t="shared" si="93"/>
        <v>0</v>
      </c>
      <c r="Z55" s="192">
        <f t="shared" si="93"/>
        <v>0</v>
      </c>
      <c r="AA55" s="192">
        <f t="shared" si="93"/>
        <v>0</v>
      </c>
      <c r="AB55" s="192">
        <f t="shared" si="93"/>
        <v>0</v>
      </c>
      <c r="AC55" s="192">
        <f t="shared" si="93"/>
        <v>0</v>
      </c>
      <c r="AD55" s="192">
        <f t="shared" si="93"/>
        <v>0</v>
      </c>
      <c r="AE55" s="192">
        <f t="shared" si="93"/>
        <v>0</v>
      </c>
      <c r="AF55" s="192">
        <f t="shared" si="93"/>
        <v>150000</v>
      </c>
      <c r="AG55" s="192">
        <f t="shared" si="93"/>
        <v>0</v>
      </c>
      <c r="AH55" s="192">
        <f t="shared" si="93"/>
        <v>150000</v>
      </c>
      <c r="AI55" s="192">
        <f t="shared" si="93"/>
        <v>0</v>
      </c>
      <c r="AJ55" s="192">
        <f t="shared" si="93"/>
        <v>0</v>
      </c>
      <c r="AK55" s="192">
        <f t="shared" si="93"/>
        <v>0</v>
      </c>
      <c r="AL55" s="192">
        <f t="shared" si="93"/>
        <v>0</v>
      </c>
      <c r="AM55" s="192">
        <f t="shared" si="93"/>
        <v>0</v>
      </c>
      <c r="AN55" s="192">
        <f t="shared" si="93"/>
        <v>0</v>
      </c>
      <c r="AO55" s="192">
        <f t="shared" si="93"/>
        <v>0</v>
      </c>
      <c r="AP55" s="192">
        <f t="shared" si="93"/>
        <v>0</v>
      </c>
      <c r="AQ55" s="192">
        <f t="shared" si="93"/>
        <v>0</v>
      </c>
      <c r="AR55" s="192">
        <f t="shared" si="93"/>
        <v>0</v>
      </c>
      <c r="AS55" s="192">
        <f t="shared" si="93"/>
        <v>0</v>
      </c>
      <c r="AT55" s="192">
        <f t="shared" si="93"/>
        <v>0</v>
      </c>
      <c r="AU55" s="192">
        <f t="shared" si="93"/>
        <v>0</v>
      </c>
      <c r="AV55" s="192">
        <f t="shared" si="93"/>
        <v>0</v>
      </c>
      <c r="AW55" s="192">
        <f t="shared" si="93"/>
        <v>0</v>
      </c>
      <c r="AX55" s="192">
        <f t="shared" si="93"/>
        <v>0</v>
      </c>
      <c r="AY55" s="192">
        <f t="shared" si="93"/>
        <v>0</v>
      </c>
      <c r="AZ55" s="192">
        <f t="shared" si="93"/>
        <v>0</v>
      </c>
      <c r="BA55" s="192">
        <f t="shared" si="93"/>
        <v>0</v>
      </c>
      <c r="BB55" s="192">
        <f t="shared" si="93"/>
        <v>0</v>
      </c>
      <c r="BC55" s="192">
        <f t="shared" si="93"/>
        <v>0</v>
      </c>
      <c r="BD55" s="192">
        <f t="shared" si="93"/>
        <v>0</v>
      </c>
      <c r="BE55" s="192">
        <f t="shared" si="93"/>
        <v>0</v>
      </c>
      <c r="BF55" s="192">
        <f t="shared" si="93"/>
        <v>0</v>
      </c>
    </row>
    <row r="56" spans="2:58" ht="14.65" customHeight="1">
      <c r="B56" s="113"/>
      <c r="C56" s="193" t="s">
        <v>47</v>
      </c>
      <c r="D56" s="194">
        <f t="shared" ref="D56:G56" si="94">D54-D55</f>
        <v>0</v>
      </c>
      <c r="E56" s="194">
        <f t="shared" si="94"/>
        <v>0</v>
      </c>
      <c r="F56" s="194">
        <f t="shared" si="94"/>
        <v>150000</v>
      </c>
      <c r="G56" s="194">
        <f t="shared" si="94"/>
        <v>0</v>
      </c>
      <c r="H56" s="194">
        <f t="shared" ref="H56" si="95">H54-H55</f>
        <v>0</v>
      </c>
      <c r="J56" s="194">
        <f>J54-J55</f>
        <v>0</v>
      </c>
      <c r="K56" s="194">
        <f>K54-K55</f>
        <v>300000</v>
      </c>
      <c r="L56" s="194">
        <f t="shared" ref="L56:BF56" si="96">L54-L55</f>
        <v>300000</v>
      </c>
      <c r="M56" s="194">
        <f t="shared" si="96"/>
        <v>300000</v>
      </c>
      <c r="N56" s="194">
        <f t="shared" si="96"/>
        <v>300000</v>
      </c>
      <c r="O56" s="194">
        <f t="shared" si="96"/>
        <v>300000</v>
      </c>
      <c r="P56" s="194">
        <f t="shared" si="96"/>
        <v>300000</v>
      </c>
      <c r="Q56" s="194">
        <f t="shared" si="96"/>
        <v>300000</v>
      </c>
      <c r="R56" s="194">
        <f t="shared" si="96"/>
        <v>300000</v>
      </c>
      <c r="S56" s="194">
        <f t="shared" si="96"/>
        <v>300000</v>
      </c>
      <c r="T56" s="194">
        <f t="shared" si="96"/>
        <v>300000</v>
      </c>
      <c r="U56" s="194">
        <f t="shared" si="96"/>
        <v>300000</v>
      </c>
      <c r="V56" s="194">
        <f t="shared" si="96"/>
        <v>300000</v>
      </c>
      <c r="W56" s="194">
        <f t="shared" si="96"/>
        <v>300000</v>
      </c>
      <c r="X56" s="194">
        <f t="shared" si="96"/>
        <v>300000</v>
      </c>
      <c r="Y56" s="194">
        <f t="shared" si="96"/>
        <v>300000</v>
      </c>
      <c r="Z56" s="194">
        <f t="shared" si="96"/>
        <v>300000</v>
      </c>
      <c r="AA56" s="194">
        <f t="shared" si="96"/>
        <v>300000</v>
      </c>
      <c r="AB56" s="194">
        <f t="shared" si="96"/>
        <v>300000</v>
      </c>
      <c r="AC56" s="194">
        <f t="shared" si="96"/>
        <v>300000</v>
      </c>
      <c r="AD56" s="194">
        <f t="shared" si="96"/>
        <v>300000</v>
      </c>
      <c r="AE56" s="194">
        <f t="shared" si="96"/>
        <v>300000</v>
      </c>
      <c r="AF56" s="194">
        <f t="shared" si="96"/>
        <v>150000</v>
      </c>
      <c r="AG56" s="194">
        <f t="shared" si="96"/>
        <v>150000</v>
      </c>
      <c r="AH56" s="194">
        <f t="shared" si="96"/>
        <v>0</v>
      </c>
      <c r="AI56" s="194">
        <f t="shared" si="96"/>
        <v>0</v>
      </c>
      <c r="AJ56" s="194">
        <f t="shared" si="96"/>
        <v>0</v>
      </c>
      <c r="AK56" s="194">
        <f t="shared" si="96"/>
        <v>0</v>
      </c>
      <c r="AL56" s="194">
        <f t="shared" si="96"/>
        <v>0</v>
      </c>
      <c r="AM56" s="194">
        <f t="shared" si="96"/>
        <v>0</v>
      </c>
      <c r="AN56" s="194">
        <f t="shared" si="96"/>
        <v>0</v>
      </c>
      <c r="AO56" s="194">
        <f t="shared" si="96"/>
        <v>0</v>
      </c>
      <c r="AP56" s="194">
        <f t="shared" si="96"/>
        <v>0</v>
      </c>
      <c r="AQ56" s="194">
        <f t="shared" si="96"/>
        <v>0</v>
      </c>
      <c r="AR56" s="194">
        <f t="shared" si="96"/>
        <v>0</v>
      </c>
      <c r="AS56" s="194">
        <f t="shared" si="96"/>
        <v>0</v>
      </c>
      <c r="AT56" s="194">
        <f t="shared" si="96"/>
        <v>0</v>
      </c>
      <c r="AU56" s="194">
        <f t="shared" si="96"/>
        <v>0</v>
      </c>
      <c r="AV56" s="194">
        <f t="shared" si="96"/>
        <v>0</v>
      </c>
      <c r="AW56" s="194">
        <f t="shared" si="96"/>
        <v>0</v>
      </c>
      <c r="AX56" s="194">
        <f t="shared" si="96"/>
        <v>0</v>
      </c>
      <c r="AY56" s="194">
        <f t="shared" si="96"/>
        <v>0</v>
      </c>
      <c r="AZ56" s="194">
        <f t="shared" si="96"/>
        <v>0</v>
      </c>
      <c r="BA56" s="194">
        <f t="shared" si="96"/>
        <v>0</v>
      </c>
      <c r="BB56" s="194">
        <f t="shared" si="96"/>
        <v>0</v>
      </c>
      <c r="BC56" s="194">
        <f t="shared" si="96"/>
        <v>0</v>
      </c>
      <c r="BD56" s="194">
        <f t="shared" si="96"/>
        <v>0</v>
      </c>
      <c r="BE56" s="194">
        <f t="shared" si="96"/>
        <v>0</v>
      </c>
      <c r="BF56" s="194">
        <f t="shared" si="96"/>
        <v>0</v>
      </c>
    </row>
    <row r="57" spans="2:58" ht="14.65" customHeight="1">
      <c r="B57" s="113"/>
      <c r="C57" s="16"/>
      <c r="D57" s="10"/>
      <c r="E57" s="10"/>
      <c r="F57" s="10"/>
      <c r="G57" s="10"/>
      <c r="H57" s="10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X57" s="192"/>
      <c r="Y57" s="192"/>
      <c r="Z57" s="192"/>
      <c r="AA57" s="192"/>
      <c r="AB57" s="192"/>
      <c r="AC57" s="192"/>
      <c r="AD57" s="192"/>
      <c r="AE57" s="192"/>
      <c r="AF57" s="192"/>
      <c r="AG57" s="192"/>
      <c r="AH57" s="192"/>
      <c r="AI57" s="192"/>
      <c r="AJ57" s="192"/>
      <c r="AK57" s="192"/>
      <c r="AL57" s="192"/>
      <c r="AM57" s="192"/>
      <c r="AN57" s="192"/>
      <c r="AO57" s="192"/>
      <c r="AP57" s="192"/>
      <c r="AQ57" s="192"/>
      <c r="AR57" s="192"/>
      <c r="AS57" s="192"/>
      <c r="AT57" s="192"/>
      <c r="AU57" s="192"/>
      <c r="AV57" s="192"/>
      <c r="AW57" s="192"/>
      <c r="AX57" s="192"/>
      <c r="AY57" s="192"/>
      <c r="AZ57" s="192"/>
      <c r="BA57" s="192"/>
      <c r="BB57" s="192"/>
      <c r="BC57" s="192"/>
      <c r="BD57" s="192"/>
      <c r="BE57" s="192"/>
      <c r="BF57" s="192"/>
    </row>
    <row r="58" spans="2:58" ht="14.65" customHeight="1">
      <c r="B58" s="114" t="s">
        <v>48</v>
      </c>
      <c r="C58" s="18"/>
      <c r="D58" s="26">
        <f t="shared" ref="D58:H58" si="97">D42-D53+D55</f>
        <v>0</v>
      </c>
      <c r="E58" s="26">
        <f t="shared" si="97"/>
        <v>3851691.899366667</v>
      </c>
      <c r="F58" s="26">
        <f t="shared" si="97"/>
        <v>6948587.5238868408</v>
      </c>
      <c r="G58" s="26">
        <f t="shared" si="97"/>
        <v>3150000</v>
      </c>
      <c r="H58" s="26">
        <f t="shared" si="97"/>
        <v>0</v>
      </c>
      <c r="J58" s="189">
        <f t="shared" ref="J58:AO58" si="98">J42-J53+J55</f>
        <v>-20000</v>
      </c>
      <c r="K58" s="189">
        <f t="shared" si="98"/>
        <v>350153.80903333338</v>
      </c>
      <c r="L58" s="189">
        <f t="shared" si="98"/>
        <v>350153.80903333338</v>
      </c>
      <c r="M58" s="189">
        <f t="shared" si="98"/>
        <v>350153.80903333338</v>
      </c>
      <c r="N58" s="189">
        <f t="shared" si="98"/>
        <v>350153.80903333338</v>
      </c>
      <c r="O58" s="189">
        <f t="shared" si="98"/>
        <v>350153.80903333338</v>
      </c>
      <c r="P58" s="189">
        <f t="shared" si="98"/>
        <v>350153.80903333338</v>
      </c>
      <c r="Q58" s="189">
        <f t="shared" si="98"/>
        <v>350153.80903333338</v>
      </c>
      <c r="R58" s="189">
        <f t="shared" si="98"/>
        <v>350153.80903333338</v>
      </c>
      <c r="S58" s="189">
        <f t="shared" si="98"/>
        <v>350153.80903333338</v>
      </c>
      <c r="T58" s="189">
        <f t="shared" si="98"/>
        <v>350153.80903333338</v>
      </c>
      <c r="U58" s="189">
        <f t="shared" si="98"/>
        <v>350153.80903333338</v>
      </c>
      <c r="V58" s="189">
        <f t="shared" si="98"/>
        <v>350153.80903333338</v>
      </c>
      <c r="W58" s="189">
        <f t="shared" si="98"/>
        <v>350153.80903333338</v>
      </c>
      <c r="X58" s="189">
        <f t="shared" si="98"/>
        <v>350153.80903333338</v>
      </c>
      <c r="Y58" s="189">
        <f t="shared" si="98"/>
        <v>350153.80903333338</v>
      </c>
      <c r="Z58" s="189">
        <f t="shared" si="98"/>
        <v>350153.80903333338</v>
      </c>
      <c r="AA58" s="189">
        <f t="shared" si="98"/>
        <v>350153.80903333338</v>
      </c>
      <c r="AB58" s="189">
        <f t="shared" si="98"/>
        <v>350153.80903333338</v>
      </c>
      <c r="AC58" s="189">
        <f t="shared" si="98"/>
        <v>350153.80903333338</v>
      </c>
      <c r="AD58" s="189">
        <f t="shared" si="98"/>
        <v>350153.80903333338</v>
      </c>
      <c r="AE58" s="189">
        <f t="shared" si="98"/>
        <v>316492.58302350686</v>
      </c>
      <c r="AF58" s="189">
        <f t="shared" si="98"/>
        <v>322980.18016666669</v>
      </c>
      <c r="AG58" s="189">
        <f t="shared" si="98"/>
        <v>3157730.4793966669</v>
      </c>
      <c r="AH58" s="189">
        <f t="shared" si="98"/>
        <v>150000</v>
      </c>
      <c r="AI58" s="189">
        <f t="shared" si="98"/>
        <v>3000000</v>
      </c>
      <c r="AJ58" s="189">
        <f t="shared" si="98"/>
        <v>0</v>
      </c>
      <c r="AK58" s="189">
        <f t="shared" si="98"/>
        <v>0</v>
      </c>
      <c r="AL58" s="189">
        <f t="shared" si="98"/>
        <v>0</v>
      </c>
      <c r="AM58" s="189">
        <f t="shared" si="98"/>
        <v>0</v>
      </c>
      <c r="AN58" s="189">
        <f t="shared" si="98"/>
        <v>0</v>
      </c>
      <c r="AO58" s="189">
        <f t="shared" si="98"/>
        <v>0</v>
      </c>
      <c r="AP58" s="189">
        <f t="shared" ref="AP58:BF58" si="99">AP42-AP53+AP55</f>
        <v>0</v>
      </c>
      <c r="AQ58" s="189">
        <f t="shared" si="99"/>
        <v>0</v>
      </c>
      <c r="AR58" s="189">
        <f t="shared" si="99"/>
        <v>0</v>
      </c>
      <c r="AS58" s="189">
        <f t="shared" si="99"/>
        <v>0</v>
      </c>
      <c r="AT58" s="189">
        <f t="shared" si="99"/>
        <v>0</v>
      </c>
      <c r="AU58" s="189">
        <f t="shared" si="99"/>
        <v>0</v>
      </c>
      <c r="AV58" s="189">
        <f t="shared" si="99"/>
        <v>0</v>
      </c>
      <c r="AW58" s="189">
        <f t="shared" si="99"/>
        <v>0</v>
      </c>
      <c r="AX58" s="189">
        <f t="shared" si="99"/>
        <v>0</v>
      </c>
      <c r="AY58" s="189">
        <f t="shared" si="99"/>
        <v>0</v>
      </c>
      <c r="AZ58" s="189">
        <f t="shared" si="99"/>
        <v>0</v>
      </c>
      <c r="BA58" s="189">
        <f t="shared" si="99"/>
        <v>0</v>
      </c>
      <c r="BB58" s="189">
        <f t="shared" si="99"/>
        <v>0</v>
      </c>
      <c r="BC58" s="189">
        <f t="shared" si="99"/>
        <v>0</v>
      </c>
      <c r="BD58" s="189">
        <f t="shared" si="99"/>
        <v>0</v>
      </c>
      <c r="BE58" s="189">
        <f t="shared" si="99"/>
        <v>0</v>
      </c>
      <c r="BF58" s="189">
        <f t="shared" si="99"/>
        <v>0</v>
      </c>
    </row>
    <row r="59" spans="2:58" ht="14.65" customHeight="1">
      <c r="B59" s="113"/>
      <c r="C59" s="16"/>
      <c r="D59" s="12"/>
      <c r="E59" s="12"/>
      <c r="F59" s="12"/>
      <c r="G59" s="12"/>
      <c r="H59" s="12"/>
      <c r="J59" s="73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2"/>
      <c r="AG59" s="192"/>
      <c r="AH59" s="192"/>
      <c r="AI59" s="192"/>
      <c r="AJ59" s="192"/>
      <c r="AK59" s="192"/>
      <c r="AL59" s="192"/>
      <c r="AM59" s="192"/>
      <c r="AN59" s="192"/>
      <c r="AO59" s="192"/>
      <c r="AP59" s="192"/>
      <c r="AQ59" s="192"/>
      <c r="AR59" s="192"/>
      <c r="AS59" s="192"/>
      <c r="AT59" s="192"/>
      <c r="AU59" s="192"/>
      <c r="AV59" s="192"/>
      <c r="AW59" s="192"/>
      <c r="AX59" s="192"/>
      <c r="AY59" s="192"/>
      <c r="AZ59" s="192"/>
      <c r="BA59" s="192"/>
      <c r="BB59" s="192"/>
      <c r="BC59" s="192"/>
      <c r="BD59" s="192"/>
      <c r="BE59" s="192"/>
      <c r="BF59" s="192"/>
    </row>
    <row r="60" spans="2:58" ht="14.65" customHeight="1">
      <c r="B60" s="113"/>
      <c r="C60" s="182" t="s">
        <v>49</v>
      </c>
      <c r="D60" s="195" t="str">
        <f>IFERROR(D61/D58,"")</f>
        <v/>
      </c>
      <c r="E60" s="195">
        <f>IFERROR(E61/E58,"")</f>
        <v>2.0000000000000004E-2</v>
      </c>
      <c r="F60" s="195">
        <f>IFERROR(F61/F58,"")</f>
        <v>1.1365151580268547E-2</v>
      </c>
      <c r="G60" s="195">
        <f>IFERROR(G61/G58,"")</f>
        <v>9.5238095238095238E-4</v>
      </c>
      <c r="H60" s="195" t="str">
        <f>IFERROR(H61/H58,"")</f>
        <v/>
      </c>
      <c r="J60" s="163">
        <v>0.02</v>
      </c>
      <c r="K60" s="188">
        <f>+J60</f>
        <v>0.02</v>
      </c>
      <c r="L60" s="188">
        <f t="shared" ref="L60:BF60" si="100">+K60</f>
        <v>0.02</v>
      </c>
      <c r="M60" s="188">
        <f t="shared" si="100"/>
        <v>0.02</v>
      </c>
      <c r="N60" s="188">
        <f t="shared" si="100"/>
        <v>0.02</v>
      </c>
      <c r="O60" s="188">
        <f t="shared" si="100"/>
        <v>0.02</v>
      </c>
      <c r="P60" s="188">
        <f t="shared" si="100"/>
        <v>0.02</v>
      </c>
      <c r="Q60" s="188">
        <f t="shared" si="100"/>
        <v>0.02</v>
      </c>
      <c r="R60" s="188">
        <f t="shared" si="100"/>
        <v>0.02</v>
      </c>
      <c r="S60" s="188">
        <f t="shared" si="100"/>
        <v>0.02</v>
      </c>
      <c r="T60" s="188">
        <f t="shared" si="100"/>
        <v>0.02</v>
      </c>
      <c r="U60" s="188">
        <f t="shared" si="100"/>
        <v>0.02</v>
      </c>
      <c r="V60" s="188">
        <f t="shared" si="100"/>
        <v>0.02</v>
      </c>
      <c r="W60" s="188">
        <f t="shared" si="100"/>
        <v>0.02</v>
      </c>
      <c r="X60" s="188">
        <f t="shared" si="100"/>
        <v>0.02</v>
      </c>
      <c r="Y60" s="188">
        <f t="shared" si="100"/>
        <v>0.02</v>
      </c>
      <c r="Z60" s="188">
        <f t="shared" si="100"/>
        <v>0.02</v>
      </c>
      <c r="AA60" s="188">
        <f t="shared" si="100"/>
        <v>0.02</v>
      </c>
      <c r="AB60" s="188">
        <f t="shared" si="100"/>
        <v>0.02</v>
      </c>
      <c r="AC60" s="188">
        <f t="shared" si="100"/>
        <v>0.02</v>
      </c>
      <c r="AD60" s="188">
        <f t="shared" si="100"/>
        <v>0.02</v>
      </c>
      <c r="AE60" s="188">
        <f t="shared" si="100"/>
        <v>0.02</v>
      </c>
      <c r="AF60" s="188">
        <f t="shared" si="100"/>
        <v>0.02</v>
      </c>
      <c r="AG60" s="188">
        <f t="shared" si="100"/>
        <v>0.02</v>
      </c>
      <c r="AH60" s="188">
        <f t="shared" si="100"/>
        <v>0.02</v>
      </c>
      <c r="AI60" s="188">
        <f t="shared" si="100"/>
        <v>0.02</v>
      </c>
      <c r="AJ60" s="188">
        <f t="shared" si="100"/>
        <v>0.02</v>
      </c>
      <c r="AK60" s="188">
        <f t="shared" si="100"/>
        <v>0.02</v>
      </c>
      <c r="AL60" s="188">
        <f t="shared" si="100"/>
        <v>0.02</v>
      </c>
      <c r="AM60" s="188">
        <f t="shared" si="100"/>
        <v>0.02</v>
      </c>
      <c r="AN60" s="188">
        <f t="shared" si="100"/>
        <v>0.02</v>
      </c>
      <c r="AO60" s="188">
        <f t="shared" si="100"/>
        <v>0.02</v>
      </c>
      <c r="AP60" s="188">
        <f t="shared" si="100"/>
        <v>0.02</v>
      </c>
      <c r="AQ60" s="188">
        <f t="shared" si="100"/>
        <v>0.02</v>
      </c>
      <c r="AR60" s="188">
        <f t="shared" si="100"/>
        <v>0.02</v>
      </c>
      <c r="AS60" s="188">
        <f t="shared" si="100"/>
        <v>0.02</v>
      </c>
      <c r="AT60" s="188">
        <f t="shared" si="100"/>
        <v>0.02</v>
      </c>
      <c r="AU60" s="188">
        <f t="shared" si="100"/>
        <v>0.02</v>
      </c>
      <c r="AV60" s="188">
        <f t="shared" si="100"/>
        <v>0.02</v>
      </c>
      <c r="AW60" s="188">
        <f t="shared" si="100"/>
        <v>0.02</v>
      </c>
      <c r="AX60" s="188">
        <f t="shared" si="100"/>
        <v>0.02</v>
      </c>
      <c r="AY60" s="188">
        <f t="shared" si="100"/>
        <v>0.02</v>
      </c>
      <c r="AZ60" s="188">
        <f t="shared" si="100"/>
        <v>0.02</v>
      </c>
      <c r="BA60" s="188">
        <f t="shared" si="100"/>
        <v>0.02</v>
      </c>
      <c r="BB60" s="188">
        <f t="shared" si="100"/>
        <v>0.02</v>
      </c>
      <c r="BC60" s="188">
        <f t="shared" si="100"/>
        <v>0.02</v>
      </c>
      <c r="BD60" s="188">
        <f t="shared" si="100"/>
        <v>0.02</v>
      </c>
      <c r="BE60" s="188">
        <f t="shared" si="100"/>
        <v>0.02</v>
      </c>
      <c r="BF60" s="188">
        <f t="shared" si="100"/>
        <v>0.02</v>
      </c>
    </row>
    <row r="61" spans="2:58" ht="14.65" customHeight="1">
      <c r="B61" s="113"/>
      <c r="C61" s="182" t="s">
        <v>50</v>
      </c>
      <c r="D61" s="11">
        <f>SUMIFS($J61:$BF61,$J$3:$BF$3,"&lt;="&amp;D$3,$J$3:$BF$3,"&gt;"&amp;EOMONTH(D$3,-12))</f>
        <v>0</v>
      </c>
      <c r="E61" s="11">
        <f>SUMIFS($J61:$BF61,$J$3:$BF$3,"&lt;="&amp;E$3,$J$3:$BF$3,"&gt;"&amp;EOMONTH(E$3,-12))</f>
        <v>77033.837987333362</v>
      </c>
      <c r="F61" s="11">
        <f>SUMIFS($J61:$BF61,$J$3:$BF$3,"&lt;="&amp;F$3,$J$3:$BF$3,"&gt;"&amp;EOMONTH(F$3,-12))</f>
        <v>78971.750477736845</v>
      </c>
      <c r="G61" s="11">
        <f>SUMIFS($J61:$BF61,$J$3:$BF$3,"&lt;="&amp;G$3,$J$3:$BF$3,"&gt;"&amp;EOMONTH(G$3,-12))</f>
        <v>3000</v>
      </c>
      <c r="H61" s="11">
        <f>SUMIFS($J61:$BF61,$J$3:$BF$3,"&lt;="&amp;H$3,$J$3:$BF$3,"&gt;"&amp;EOMONTH(H$3,-12))</f>
        <v>0</v>
      </c>
      <c r="J61" s="11">
        <f>IF(J58&gt;0,J60*(J35+SUM(J38:J40,J53*-1,J55)),0)</f>
        <v>0</v>
      </c>
      <c r="K61" s="11">
        <f t="shared" ref="K61:BF61" si="101">IF(K58&gt;0,K60*(K35+SUM(K38:K40,K53*-1,K55)),0)</f>
        <v>7003.0761806666678</v>
      </c>
      <c r="L61" s="11">
        <f t="shared" si="101"/>
        <v>7003.0761806666678</v>
      </c>
      <c r="M61" s="11">
        <f t="shared" si="101"/>
        <v>7003.0761806666678</v>
      </c>
      <c r="N61" s="11">
        <f t="shared" si="101"/>
        <v>7003.0761806666678</v>
      </c>
      <c r="O61" s="11">
        <f t="shared" si="101"/>
        <v>7003.0761806666678</v>
      </c>
      <c r="P61" s="11">
        <f t="shared" si="101"/>
        <v>7003.0761806666678</v>
      </c>
      <c r="Q61" s="11">
        <f t="shared" si="101"/>
        <v>7003.0761806666678</v>
      </c>
      <c r="R61" s="11">
        <f t="shared" si="101"/>
        <v>7003.0761806666678</v>
      </c>
      <c r="S61" s="11">
        <f t="shared" si="101"/>
        <v>7003.0761806666678</v>
      </c>
      <c r="T61" s="11">
        <f t="shared" si="101"/>
        <v>7003.0761806666678</v>
      </c>
      <c r="U61" s="11">
        <f t="shared" si="101"/>
        <v>7003.0761806666678</v>
      </c>
      <c r="V61" s="11">
        <f t="shared" si="101"/>
        <v>7003.0761806666678</v>
      </c>
      <c r="W61" s="11">
        <f t="shared" si="101"/>
        <v>7003.0761806666678</v>
      </c>
      <c r="X61" s="11">
        <f t="shared" si="101"/>
        <v>7003.0761806666678</v>
      </c>
      <c r="Y61" s="11">
        <f t="shared" si="101"/>
        <v>7003.0761806666678</v>
      </c>
      <c r="Z61" s="11">
        <f t="shared" si="101"/>
        <v>7003.0761806666678</v>
      </c>
      <c r="AA61" s="11">
        <f t="shared" si="101"/>
        <v>7003.0761806666678</v>
      </c>
      <c r="AB61" s="11">
        <f t="shared" si="101"/>
        <v>7003.0761806666678</v>
      </c>
      <c r="AC61" s="11">
        <f t="shared" si="101"/>
        <v>7003.0761806666678</v>
      </c>
      <c r="AD61" s="11">
        <f t="shared" si="101"/>
        <v>7003.0761806666678</v>
      </c>
      <c r="AE61" s="11">
        <f t="shared" si="101"/>
        <v>6329.8516604701372</v>
      </c>
      <c r="AF61" s="11">
        <f t="shared" si="101"/>
        <v>6459.6036033333339</v>
      </c>
      <c r="AG61" s="11">
        <f t="shared" si="101"/>
        <v>3154.6095879333384</v>
      </c>
      <c r="AH61" s="11">
        <f t="shared" si="101"/>
        <v>3000</v>
      </c>
      <c r="AI61" s="11">
        <f t="shared" si="101"/>
        <v>0</v>
      </c>
      <c r="AJ61" s="11">
        <f t="shared" si="101"/>
        <v>0</v>
      </c>
      <c r="AK61" s="11">
        <f t="shared" si="101"/>
        <v>0</v>
      </c>
      <c r="AL61" s="11">
        <f t="shared" si="101"/>
        <v>0</v>
      </c>
      <c r="AM61" s="11">
        <f t="shared" si="101"/>
        <v>0</v>
      </c>
      <c r="AN61" s="11">
        <f t="shared" si="101"/>
        <v>0</v>
      </c>
      <c r="AO61" s="11">
        <f t="shared" si="101"/>
        <v>0</v>
      </c>
      <c r="AP61" s="11">
        <f t="shared" si="101"/>
        <v>0</v>
      </c>
      <c r="AQ61" s="11">
        <f t="shared" si="101"/>
        <v>0</v>
      </c>
      <c r="AR61" s="11">
        <f t="shared" si="101"/>
        <v>0</v>
      </c>
      <c r="AS61" s="11">
        <f t="shared" si="101"/>
        <v>0</v>
      </c>
      <c r="AT61" s="11">
        <f t="shared" si="101"/>
        <v>0</v>
      </c>
      <c r="AU61" s="11">
        <f t="shared" si="101"/>
        <v>0</v>
      </c>
      <c r="AV61" s="11">
        <f t="shared" si="101"/>
        <v>0</v>
      </c>
      <c r="AW61" s="11">
        <f t="shared" si="101"/>
        <v>0</v>
      </c>
      <c r="AX61" s="11">
        <f t="shared" si="101"/>
        <v>0</v>
      </c>
      <c r="AY61" s="11">
        <f t="shared" si="101"/>
        <v>0</v>
      </c>
      <c r="AZ61" s="11">
        <f t="shared" si="101"/>
        <v>0</v>
      </c>
      <c r="BA61" s="11">
        <f t="shared" si="101"/>
        <v>0</v>
      </c>
      <c r="BB61" s="11">
        <f t="shared" si="101"/>
        <v>0</v>
      </c>
      <c r="BC61" s="11">
        <f t="shared" si="101"/>
        <v>0</v>
      </c>
      <c r="BD61" s="11">
        <f t="shared" si="101"/>
        <v>0</v>
      </c>
      <c r="BE61" s="11">
        <f t="shared" si="101"/>
        <v>0</v>
      </c>
      <c r="BF61" s="11">
        <f t="shared" si="101"/>
        <v>0</v>
      </c>
    </row>
    <row r="62" spans="2:58" ht="14.65" customHeight="1">
      <c r="B62" s="113"/>
    </row>
    <row r="63" spans="2:58" ht="14.65" customHeight="1">
      <c r="B63" s="120" t="s">
        <v>51</v>
      </c>
      <c r="C63" s="18"/>
      <c r="D63" s="26">
        <f>D58-D61</f>
        <v>0</v>
      </c>
      <c r="E63" s="26">
        <f>E58-E61</f>
        <v>3774658.0613793335</v>
      </c>
      <c r="F63" s="26">
        <f>F58-F61</f>
        <v>6869615.773409104</v>
      </c>
      <c r="G63" s="26">
        <f>G58-G61</f>
        <v>3147000</v>
      </c>
      <c r="H63" s="26">
        <f>H58-H61</f>
        <v>0</v>
      </c>
      <c r="J63" s="189">
        <f t="shared" ref="J63:AO63" si="102">IF(J58&gt;0,J58-J61,0)</f>
        <v>0</v>
      </c>
      <c r="K63" s="189">
        <f t="shared" si="102"/>
        <v>343150.7328526667</v>
      </c>
      <c r="L63" s="189">
        <f t="shared" si="102"/>
        <v>343150.7328526667</v>
      </c>
      <c r="M63" s="189">
        <f t="shared" si="102"/>
        <v>343150.7328526667</v>
      </c>
      <c r="N63" s="189">
        <f t="shared" si="102"/>
        <v>343150.7328526667</v>
      </c>
      <c r="O63" s="189">
        <f t="shared" si="102"/>
        <v>343150.7328526667</v>
      </c>
      <c r="P63" s="189">
        <f t="shared" si="102"/>
        <v>343150.7328526667</v>
      </c>
      <c r="Q63" s="189">
        <f t="shared" si="102"/>
        <v>343150.7328526667</v>
      </c>
      <c r="R63" s="189">
        <f t="shared" si="102"/>
        <v>343150.7328526667</v>
      </c>
      <c r="S63" s="189">
        <f t="shared" si="102"/>
        <v>343150.7328526667</v>
      </c>
      <c r="T63" s="189">
        <f t="shared" si="102"/>
        <v>343150.7328526667</v>
      </c>
      <c r="U63" s="189">
        <f t="shared" si="102"/>
        <v>343150.7328526667</v>
      </c>
      <c r="V63" s="189">
        <f t="shared" si="102"/>
        <v>343150.7328526667</v>
      </c>
      <c r="W63" s="189">
        <f t="shared" si="102"/>
        <v>343150.7328526667</v>
      </c>
      <c r="X63" s="189">
        <f t="shared" si="102"/>
        <v>343150.7328526667</v>
      </c>
      <c r="Y63" s="189">
        <f t="shared" si="102"/>
        <v>343150.7328526667</v>
      </c>
      <c r="Z63" s="189">
        <f t="shared" si="102"/>
        <v>343150.7328526667</v>
      </c>
      <c r="AA63" s="189">
        <f t="shared" si="102"/>
        <v>343150.7328526667</v>
      </c>
      <c r="AB63" s="189">
        <f t="shared" si="102"/>
        <v>343150.7328526667</v>
      </c>
      <c r="AC63" s="189">
        <f t="shared" si="102"/>
        <v>343150.7328526667</v>
      </c>
      <c r="AD63" s="189">
        <f t="shared" si="102"/>
        <v>343150.7328526667</v>
      </c>
      <c r="AE63" s="189">
        <f t="shared" si="102"/>
        <v>310162.73136303673</v>
      </c>
      <c r="AF63" s="189">
        <f t="shared" si="102"/>
        <v>316520.57656333334</v>
      </c>
      <c r="AG63" s="189">
        <f t="shared" si="102"/>
        <v>3154575.8698087335</v>
      </c>
      <c r="AH63" s="189">
        <f t="shared" si="102"/>
        <v>147000</v>
      </c>
      <c r="AI63" s="189">
        <f t="shared" si="102"/>
        <v>3000000</v>
      </c>
      <c r="AJ63" s="189">
        <f t="shared" si="102"/>
        <v>0</v>
      </c>
      <c r="AK63" s="189">
        <f t="shared" si="102"/>
        <v>0</v>
      </c>
      <c r="AL63" s="189">
        <f t="shared" si="102"/>
        <v>0</v>
      </c>
      <c r="AM63" s="189">
        <f t="shared" si="102"/>
        <v>0</v>
      </c>
      <c r="AN63" s="189">
        <f t="shared" si="102"/>
        <v>0</v>
      </c>
      <c r="AO63" s="189">
        <f t="shared" si="102"/>
        <v>0</v>
      </c>
      <c r="AP63" s="189">
        <f t="shared" ref="AP63:BF63" si="103">IF(AP58&gt;0,AP58-AP61,0)</f>
        <v>0</v>
      </c>
      <c r="AQ63" s="189">
        <f t="shared" si="103"/>
        <v>0</v>
      </c>
      <c r="AR63" s="189">
        <f t="shared" si="103"/>
        <v>0</v>
      </c>
      <c r="AS63" s="189">
        <f t="shared" si="103"/>
        <v>0</v>
      </c>
      <c r="AT63" s="189">
        <f t="shared" si="103"/>
        <v>0</v>
      </c>
      <c r="AU63" s="189">
        <f t="shared" si="103"/>
        <v>0</v>
      </c>
      <c r="AV63" s="189">
        <f t="shared" si="103"/>
        <v>0</v>
      </c>
      <c r="AW63" s="189">
        <f t="shared" si="103"/>
        <v>0</v>
      </c>
      <c r="AX63" s="189">
        <f t="shared" si="103"/>
        <v>0</v>
      </c>
      <c r="AY63" s="189">
        <f t="shared" si="103"/>
        <v>0</v>
      </c>
      <c r="AZ63" s="189">
        <f t="shared" si="103"/>
        <v>0</v>
      </c>
      <c r="BA63" s="189">
        <f t="shared" si="103"/>
        <v>0</v>
      </c>
      <c r="BB63" s="189">
        <f t="shared" si="103"/>
        <v>0</v>
      </c>
      <c r="BC63" s="189">
        <f t="shared" si="103"/>
        <v>0</v>
      </c>
      <c r="BD63" s="189">
        <f t="shared" si="103"/>
        <v>0</v>
      </c>
      <c r="BE63" s="189">
        <f t="shared" si="103"/>
        <v>0</v>
      </c>
      <c r="BF63" s="189">
        <f t="shared" si="103"/>
        <v>0</v>
      </c>
    </row>
    <row r="64" spans="2:58" ht="14.65" customHeight="1">
      <c r="B64" s="113"/>
      <c r="C64" s="16"/>
      <c r="D64" s="12"/>
      <c r="E64" s="12"/>
      <c r="F64" s="12"/>
      <c r="G64" s="12"/>
      <c r="H64" s="12"/>
      <c r="J64" s="73"/>
      <c r="K64" s="192"/>
      <c r="L64" s="192"/>
      <c r="M64" s="192"/>
      <c r="N64" s="192"/>
      <c r="O64" s="192"/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2"/>
      <c r="AA64" s="192"/>
      <c r="AB64" s="192"/>
      <c r="AC64" s="192"/>
      <c r="AD64" s="192"/>
      <c r="AE64" s="192"/>
      <c r="AF64" s="192"/>
      <c r="AG64" s="192"/>
      <c r="AH64" s="192"/>
      <c r="AI64" s="192"/>
      <c r="AJ64" s="192"/>
      <c r="AK64" s="192"/>
      <c r="AL64" s="192"/>
      <c r="AM64" s="192"/>
      <c r="AN64" s="192"/>
      <c r="AO64" s="192"/>
      <c r="AP64" s="192"/>
      <c r="AQ64" s="192"/>
      <c r="AR64" s="192"/>
      <c r="AS64" s="192"/>
      <c r="AT64" s="192"/>
      <c r="AU64" s="192"/>
      <c r="AV64" s="192"/>
      <c r="AW64" s="192"/>
      <c r="AX64" s="192"/>
      <c r="AY64" s="192"/>
      <c r="AZ64" s="192"/>
      <c r="BA64" s="192"/>
      <c r="BB64" s="192"/>
      <c r="BC64" s="192"/>
      <c r="BD64" s="192"/>
      <c r="BE64" s="192"/>
      <c r="BF64" s="192"/>
    </row>
    <row r="65" spans="2:58" ht="14.65" customHeight="1">
      <c r="B65" s="113" t="s">
        <v>52</v>
      </c>
      <c r="C65" s="182"/>
      <c r="D65" s="196" t="str">
        <f>IFERROR(D66/D$63,"")</f>
        <v/>
      </c>
      <c r="E65" s="196">
        <f t="shared" ref="E65:H65" si="104">IFERROR(E66/E$63,"")</f>
        <v>0.98314395520890518</v>
      </c>
      <c r="F65" s="196">
        <f t="shared" si="104"/>
        <v>0.98314395520890518</v>
      </c>
      <c r="G65" s="196">
        <f t="shared" si="104"/>
        <v>0.98314395520890541</v>
      </c>
      <c r="H65" s="196" t="str">
        <f t="shared" si="104"/>
        <v/>
      </c>
      <c r="J65" s="164">
        <v>0.9831439552089053</v>
      </c>
      <c r="K65" s="197">
        <f>+J65</f>
        <v>0.9831439552089053</v>
      </c>
      <c r="L65" s="197">
        <f t="shared" ref="L65:BF65" si="105">+K65</f>
        <v>0.9831439552089053</v>
      </c>
      <c r="M65" s="197">
        <f t="shared" si="105"/>
        <v>0.9831439552089053</v>
      </c>
      <c r="N65" s="197">
        <f t="shared" si="105"/>
        <v>0.9831439552089053</v>
      </c>
      <c r="O65" s="197">
        <f t="shared" si="105"/>
        <v>0.9831439552089053</v>
      </c>
      <c r="P65" s="197">
        <f t="shared" si="105"/>
        <v>0.9831439552089053</v>
      </c>
      <c r="Q65" s="197">
        <f t="shared" si="105"/>
        <v>0.9831439552089053</v>
      </c>
      <c r="R65" s="197">
        <f t="shared" si="105"/>
        <v>0.9831439552089053</v>
      </c>
      <c r="S65" s="197">
        <f t="shared" si="105"/>
        <v>0.9831439552089053</v>
      </c>
      <c r="T65" s="197">
        <f t="shared" si="105"/>
        <v>0.9831439552089053</v>
      </c>
      <c r="U65" s="197">
        <f t="shared" si="105"/>
        <v>0.9831439552089053</v>
      </c>
      <c r="V65" s="197">
        <f t="shared" si="105"/>
        <v>0.9831439552089053</v>
      </c>
      <c r="W65" s="197">
        <f t="shared" si="105"/>
        <v>0.9831439552089053</v>
      </c>
      <c r="X65" s="197">
        <f t="shared" si="105"/>
        <v>0.9831439552089053</v>
      </c>
      <c r="Y65" s="197">
        <f t="shared" si="105"/>
        <v>0.9831439552089053</v>
      </c>
      <c r="Z65" s="197">
        <f t="shared" si="105"/>
        <v>0.9831439552089053</v>
      </c>
      <c r="AA65" s="197">
        <f t="shared" si="105"/>
        <v>0.9831439552089053</v>
      </c>
      <c r="AB65" s="197">
        <f t="shared" si="105"/>
        <v>0.9831439552089053</v>
      </c>
      <c r="AC65" s="197">
        <f t="shared" si="105"/>
        <v>0.9831439552089053</v>
      </c>
      <c r="AD65" s="197">
        <f t="shared" si="105"/>
        <v>0.9831439552089053</v>
      </c>
      <c r="AE65" s="197">
        <f t="shared" si="105"/>
        <v>0.9831439552089053</v>
      </c>
      <c r="AF65" s="197">
        <f t="shared" si="105"/>
        <v>0.9831439552089053</v>
      </c>
      <c r="AG65" s="197">
        <f t="shared" si="105"/>
        <v>0.9831439552089053</v>
      </c>
      <c r="AH65" s="197">
        <f t="shared" si="105"/>
        <v>0.9831439552089053</v>
      </c>
      <c r="AI65" s="197">
        <f t="shared" si="105"/>
        <v>0.9831439552089053</v>
      </c>
      <c r="AJ65" s="197">
        <f t="shared" si="105"/>
        <v>0.9831439552089053</v>
      </c>
      <c r="AK65" s="197">
        <f t="shared" si="105"/>
        <v>0.9831439552089053</v>
      </c>
      <c r="AL65" s="197">
        <f t="shared" si="105"/>
        <v>0.9831439552089053</v>
      </c>
      <c r="AM65" s="197">
        <f t="shared" si="105"/>
        <v>0.9831439552089053</v>
      </c>
      <c r="AN65" s="197">
        <f t="shared" si="105"/>
        <v>0.9831439552089053</v>
      </c>
      <c r="AO65" s="197">
        <f t="shared" si="105"/>
        <v>0.9831439552089053</v>
      </c>
      <c r="AP65" s="197">
        <f t="shared" si="105"/>
        <v>0.9831439552089053</v>
      </c>
      <c r="AQ65" s="197">
        <f t="shared" si="105"/>
        <v>0.9831439552089053</v>
      </c>
      <c r="AR65" s="197">
        <f t="shared" si="105"/>
        <v>0.9831439552089053</v>
      </c>
      <c r="AS65" s="197">
        <f t="shared" si="105"/>
        <v>0.9831439552089053</v>
      </c>
      <c r="AT65" s="197">
        <f t="shared" si="105"/>
        <v>0.9831439552089053</v>
      </c>
      <c r="AU65" s="197">
        <f t="shared" si="105"/>
        <v>0.9831439552089053</v>
      </c>
      <c r="AV65" s="197">
        <f t="shared" si="105"/>
        <v>0.9831439552089053</v>
      </c>
      <c r="AW65" s="197">
        <f t="shared" si="105"/>
        <v>0.9831439552089053</v>
      </c>
      <c r="AX65" s="197">
        <f t="shared" si="105"/>
        <v>0.9831439552089053</v>
      </c>
      <c r="AY65" s="197">
        <f t="shared" si="105"/>
        <v>0.9831439552089053</v>
      </c>
      <c r="AZ65" s="197">
        <f t="shared" si="105"/>
        <v>0.9831439552089053</v>
      </c>
      <c r="BA65" s="197">
        <f t="shared" si="105"/>
        <v>0.9831439552089053</v>
      </c>
      <c r="BB65" s="197">
        <f t="shared" si="105"/>
        <v>0.9831439552089053</v>
      </c>
      <c r="BC65" s="197">
        <f t="shared" si="105"/>
        <v>0.9831439552089053</v>
      </c>
      <c r="BD65" s="197">
        <f t="shared" si="105"/>
        <v>0.9831439552089053</v>
      </c>
      <c r="BE65" s="197">
        <f t="shared" si="105"/>
        <v>0.9831439552089053</v>
      </c>
      <c r="BF65" s="197">
        <f t="shared" si="105"/>
        <v>0.9831439552089053</v>
      </c>
    </row>
    <row r="66" spans="2:58" ht="14.65" customHeight="1">
      <c r="B66" s="120" t="s">
        <v>53</v>
      </c>
      <c r="C66" s="18"/>
      <c r="D66" s="26">
        <f>SUMIFS($J66:$BF66,$J$3:$BF$3,"&lt;="&amp;D$3,$J$3:$BF$3,"&gt;"&amp;EOMONTH(D$3,-12))</f>
        <v>0</v>
      </c>
      <c r="E66" s="26">
        <f>SUMIFS($J66:$BF66,$J$3:$BF$3,"&lt;="&amp;E$3,$J$3:$BF$3,"&gt;"&amp;EOMONTH(E$3,-12))</f>
        <v>3711032.2560256561</v>
      </c>
      <c r="F66" s="26">
        <f>SUMIFS($J66:$BF66,$J$3:$BF$3,"&lt;="&amp;F$3,$J$3:$BF$3,"&gt;"&amp;EOMONTH(F$3,-12))</f>
        <v>6753821.2222349085</v>
      </c>
      <c r="G66" s="26">
        <f>SUMIFS($J66:$BF66,$J$3:$BF$3,"&lt;="&amp;G$3,$J$3:$BF$3,"&gt;"&amp;EOMONTH(G$3,-12))</f>
        <v>3093954.0270424252</v>
      </c>
      <c r="H66" s="26">
        <f>SUMIFS($J66:$BF66,$J$3:$BF$3,"&lt;="&amp;H$3,$J$3:$BF$3,"&gt;"&amp;EOMONTH(H$3,-12))</f>
        <v>0</v>
      </c>
      <c r="J66" s="198">
        <f t="shared" ref="J66:AO66" si="106">J63*J65</f>
        <v>0</v>
      </c>
      <c r="K66" s="189">
        <f t="shared" si="106"/>
        <v>337366.56872960518</v>
      </c>
      <c r="L66" s="189">
        <f t="shared" si="106"/>
        <v>337366.56872960518</v>
      </c>
      <c r="M66" s="189">
        <f t="shared" si="106"/>
        <v>337366.56872960518</v>
      </c>
      <c r="N66" s="189">
        <f t="shared" si="106"/>
        <v>337366.56872960518</v>
      </c>
      <c r="O66" s="189">
        <f t="shared" si="106"/>
        <v>337366.56872960518</v>
      </c>
      <c r="P66" s="189">
        <f t="shared" si="106"/>
        <v>337366.56872960518</v>
      </c>
      <c r="Q66" s="189">
        <f t="shared" si="106"/>
        <v>337366.56872960518</v>
      </c>
      <c r="R66" s="189">
        <f t="shared" si="106"/>
        <v>337366.56872960518</v>
      </c>
      <c r="S66" s="189">
        <f t="shared" si="106"/>
        <v>337366.56872960518</v>
      </c>
      <c r="T66" s="189">
        <f t="shared" si="106"/>
        <v>337366.56872960518</v>
      </c>
      <c r="U66" s="189">
        <f t="shared" si="106"/>
        <v>337366.56872960518</v>
      </c>
      <c r="V66" s="189">
        <f t="shared" si="106"/>
        <v>337366.56872960518</v>
      </c>
      <c r="W66" s="189">
        <f t="shared" si="106"/>
        <v>337366.56872960518</v>
      </c>
      <c r="X66" s="189">
        <f t="shared" si="106"/>
        <v>337366.56872960518</v>
      </c>
      <c r="Y66" s="189">
        <f t="shared" si="106"/>
        <v>337366.56872960518</v>
      </c>
      <c r="Z66" s="189">
        <f t="shared" si="106"/>
        <v>337366.56872960518</v>
      </c>
      <c r="AA66" s="189">
        <f t="shared" si="106"/>
        <v>337366.56872960518</v>
      </c>
      <c r="AB66" s="189">
        <f t="shared" si="106"/>
        <v>337366.56872960518</v>
      </c>
      <c r="AC66" s="189">
        <f t="shared" si="106"/>
        <v>337366.56872960518</v>
      </c>
      <c r="AD66" s="189">
        <f t="shared" si="106"/>
        <v>337366.56872960518</v>
      </c>
      <c r="AE66" s="189">
        <f t="shared" si="106"/>
        <v>304934.61447065312</v>
      </c>
      <c r="AF66" s="189">
        <f t="shared" si="106"/>
        <v>311185.29154747864</v>
      </c>
      <c r="AG66" s="189">
        <f t="shared" si="106"/>
        <v>3101402.1976503311</v>
      </c>
      <c r="AH66" s="189">
        <f t="shared" si="106"/>
        <v>144522.16141570907</v>
      </c>
      <c r="AI66" s="189">
        <f t="shared" si="106"/>
        <v>2949431.8656267161</v>
      </c>
      <c r="AJ66" s="189">
        <f t="shared" si="106"/>
        <v>0</v>
      </c>
      <c r="AK66" s="189">
        <f t="shared" si="106"/>
        <v>0</v>
      </c>
      <c r="AL66" s="189">
        <f t="shared" si="106"/>
        <v>0</v>
      </c>
      <c r="AM66" s="189">
        <f t="shared" si="106"/>
        <v>0</v>
      </c>
      <c r="AN66" s="189">
        <f t="shared" si="106"/>
        <v>0</v>
      </c>
      <c r="AO66" s="189">
        <f t="shared" si="106"/>
        <v>0</v>
      </c>
      <c r="AP66" s="189">
        <f t="shared" ref="AP66:BF66" si="107">AP63*AP65</f>
        <v>0</v>
      </c>
      <c r="AQ66" s="189">
        <f t="shared" si="107"/>
        <v>0</v>
      </c>
      <c r="AR66" s="189">
        <f t="shared" si="107"/>
        <v>0</v>
      </c>
      <c r="AS66" s="189">
        <f t="shared" si="107"/>
        <v>0</v>
      </c>
      <c r="AT66" s="189">
        <f t="shared" si="107"/>
        <v>0</v>
      </c>
      <c r="AU66" s="189">
        <f t="shared" si="107"/>
        <v>0</v>
      </c>
      <c r="AV66" s="189">
        <f t="shared" si="107"/>
        <v>0</v>
      </c>
      <c r="AW66" s="189">
        <f t="shared" si="107"/>
        <v>0</v>
      </c>
      <c r="AX66" s="189">
        <f t="shared" si="107"/>
        <v>0</v>
      </c>
      <c r="AY66" s="189">
        <f t="shared" si="107"/>
        <v>0</v>
      </c>
      <c r="AZ66" s="189">
        <f t="shared" si="107"/>
        <v>0</v>
      </c>
      <c r="BA66" s="189">
        <f t="shared" si="107"/>
        <v>0</v>
      </c>
      <c r="BB66" s="189">
        <f t="shared" si="107"/>
        <v>0</v>
      </c>
      <c r="BC66" s="189">
        <f t="shared" si="107"/>
        <v>0</v>
      </c>
      <c r="BD66" s="189">
        <f t="shared" si="107"/>
        <v>0</v>
      </c>
      <c r="BE66" s="189">
        <f t="shared" si="107"/>
        <v>0</v>
      </c>
      <c r="BF66" s="189">
        <f t="shared" si="107"/>
        <v>0</v>
      </c>
    </row>
    <row r="67" spans="2:58" ht="14.65" customHeight="1">
      <c r="B67" s="113"/>
      <c r="C67" s="182"/>
      <c r="J67" s="150"/>
    </row>
    <row r="68" spans="2:58" ht="14.65" customHeight="1">
      <c r="B68" s="113" t="s">
        <v>54</v>
      </c>
      <c r="C68" s="182"/>
      <c r="D68" s="196" t="str">
        <f>IFERROR(D69/D$63,"")</f>
        <v/>
      </c>
      <c r="E68" s="196">
        <f t="shared" ref="E68" si="108">IFERROR(E69/E$63,"")</f>
        <v>1.6856044791094732E-2</v>
      </c>
      <c r="F68" s="196">
        <f t="shared" ref="F68" si="109">IFERROR(F69/F$63,"")</f>
        <v>1.6856044791094729E-2</v>
      </c>
      <c r="G68" s="196">
        <f t="shared" ref="G68" si="110">IFERROR(G69/G$63,"")</f>
        <v>1.6856044791094729E-2</v>
      </c>
      <c r="H68" s="196" t="str">
        <f t="shared" ref="H68" si="111">IFERROR(H69/H$63,"")</f>
        <v/>
      </c>
      <c r="J68" s="164">
        <v>1.6856044791094729E-2</v>
      </c>
      <c r="K68" s="199">
        <f>+J68</f>
        <v>1.6856044791094729E-2</v>
      </c>
      <c r="L68" s="199">
        <f t="shared" ref="L68:BF68" si="112">+K68</f>
        <v>1.6856044791094729E-2</v>
      </c>
      <c r="M68" s="199">
        <f t="shared" si="112"/>
        <v>1.6856044791094729E-2</v>
      </c>
      <c r="N68" s="199">
        <f t="shared" si="112"/>
        <v>1.6856044791094729E-2</v>
      </c>
      <c r="O68" s="199">
        <f t="shared" si="112"/>
        <v>1.6856044791094729E-2</v>
      </c>
      <c r="P68" s="199">
        <f t="shared" si="112"/>
        <v>1.6856044791094729E-2</v>
      </c>
      <c r="Q68" s="199">
        <f t="shared" si="112"/>
        <v>1.6856044791094729E-2</v>
      </c>
      <c r="R68" s="199">
        <f t="shared" si="112"/>
        <v>1.6856044791094729E-2</v>
      </c>
      <c r="S68" s="199">
        <f t="shared" si="112"/>
        <v>1.6856044791094729E-2</v>
      </c>
      <c r="T68" s="199">
        <f t="shared" si="112"/>
        <v>1.6856044791094729E-2</v>
      </c>
      <c r="U68" s="199">
        <f t="shared" si="112"/>
        <v>1.6856044791094729E-2</v>
      </c>
      <c r="V68" s="199">
        <f t="shared" si="112"/>
        <v>1.6856044791094729E-2</v>
      </c>
      <c r="W68" s="199">
        <f t="shared" si="112"/>
        <v>1.6856044791094729E-2</v>
      </c>
      <c r="X68" s="199">
        <f t="shared" si="112"/>
        <v>1.6856044791094729E-2</v>
      </c>
      <c r="Y68" s="199">
        <f t="shared" si="112"/>
        <v>1.6856044791094729E-2</v>
      </c>
      <c r="Z68" s="199">
        <f t="shared" si="112"/>
        <v>1.6856044791094729E-2</v>
      </c>
      <c r="AA68" s="199">
        <f t="shared" si="112"/>
        <v>1.6856044791094729E-2</v>
      </c>
      <c r="AB68" s="199">
        <f t="shared" si="112"/>
        <v>1.6856044791094729E-2</v>
      </c>
      <c r="AC68" s="199">
        <f t="shared" si="112"/>
        <v>1.6856044791094729E-2</v>
      </c>
      <c r="AD68" s="199">
        <f t="shared" si="112"/>
        <v>1.6856044791094729E-2</v>
      </c>
      <c r="AE68" s="199">
        <f t="shared" si="112"/>
        <v>1.6856044791094729E-2</v>
      </c>
      <c r="AF68" s="199">
        <f t="shared" si="112"/>
        <v>1.6856044791094729E-2</v>
      </c>
      <c r="AG68" s="199">
        <f t="shared" si="112"/>
        <v>1.6856044791094729E-2</v>
      </c>
      <c r="AH68" s="199">
        <f t="shared" si="112"/>
        <v>1.6856044791094729E-2</v>
      </c>
      <c r="AI68" s="199">
        <f t="shared" si="112"/>
        <v>1.6856044791094729E-2</v>
      </c>
      <c r="AJ68" s="199">
        <f t="shared" si="112"/>
        <v>1.6856044791094729E-2</v>
      </c>
      <c r="AK68" s="199">
        <f t="shared" si="112"/>
        <v>1.6856044791094729E-2</v>
      </c>
      <c r="AL68" s="199">
        <f t="shared" si="112"/>
        <v>1.6856044791094729E-2</v>
      </c>
      <c r="AM68" s="199">
        <f t="shared" si="112"/>
        <v>1.6856044791094729E-2</v>
      </c>
      <c r="AN68" s="199">
        <f t="shared" si="112"/>
        <v>1.6856044791094729E-2</v>
      </c>
      <c r="AO68" s="199">
        <f t="shared" si="112"/>
        <v>1.6856044791094729E-2</v>
      </c>
      <c r="AP68" s="199">
        <f t="shared" si="112"/>
        <v>1.6856044791094729E-2</v>
      </c>
      <c r="AQ68" s="199">
        <f t="shared" si="112"/>
        <v>1.6856044791094729E-2</v>
      </c>
      <c r="AR68" s="199">
        <f t="shared" si="112"/>
        <v>1.6856044791094729E-2</v>
      </c>
      <c r="AS68" s="199">
        <f t="shared" si="112"/>
        <v>1.6856044791094729E-2</v>
      </c>
      <c r="AT68" s="199">
        <f t="shared" si="112"/>
        <v>1.6856044791094729E-2</v>
      </c>
      <c r="AU68" s="199">
        <f t="shared" si="112"/>
        <v>1.6856044791094729E-2</v>
      </c>
      <c r="AV68" s="199">
        <f t="shared" si="112"/>
        <v>1.6856044791094729E-2</v>
      </c>
      <c r="AW68" s="199">
        <f t="shared" si="112"/>
        <v>1.6856044791094729E-2</v>
      </c>
      <c r="AX68" s="199">
        <f t="shared" si="112"/>
        <v>1.6856044791094729E-2</v>
      </c>
      <c r="AY68" s="199">
        <f t="shared" si="112"/>
        <v>1.6856044791094729E-2</v>
      </c>
      <c r="AZ68" s="199">
        <f t="shared" si="112"/>
        <v>1.6856044791094729E-2</v>
      </c>
      <c r="BA68" s="199">
        <f t="shared" si="112"/>
        <v>1.6856044791094729E-2</v>
      </c>
      <c r="BB68" s="199">
        <f t="shared" si="112"/>
        <v>1.6856044791094729E-2</v>
      </c>
      <c r="BC68" s="199">
        <f t="shared" si="112"/>
        <v>1.6856044791094729E-2</v>
      </c>
      <c r="BD68" s="199">
        <f t="shared" si="112"/>
        <v>1.6856044791094729E-2</v>
      </c>
      <c r="BE68" s="199">
        <f t="shared" si="112"/>
        <v>1.6856044791094729E-2</v>
      </c>
      <c r="BF68" s="199">
        <f t="shared" si="112"/>
        <v>1.6856044791094729E-2</v>
      </c>
    </row>
    <row r="69" spans="2:58" ht="14.65" customHeight="1">
      <c r="B69" s="120" t="s">
        <v>55</v>
      </c>
      <c r="C69" s="18"/>
      <c r="D69" s="26">
        <f>SUMIFS($J69:$BF69,$J$3:$BF$3,"&lt;="&amp;D$3,$J$3:$BF$3,"&gt;"&amp;EOMONTH(D$3,-12))</f>
        <v>0</v>
      </c>
      <c r="E69" s="26">
        <f>SUMIFS($J69:$BF69,$J$3:$BF$3,"&lt;="&amp;E$3,$J$3:$BF$3,"&gt;"&amp;EOMONTH(E$3,-12))</f>
        <v>63625.805353676857</v>
      </c>
      <c r="F69" s="26">
        <f>SUMIFS($J69:$BF69,$J$3:$BF$3,"&lt;="&amp;F$3,$J$3:$BF$3,"&gt;"&amp;EOMONTH(F$3,-12))</f>
        <v>115794.55117419471</v>
      </c>
      <c r="G69" s="26">
        <f>SUMIFS($J69:$BF69,$J$3:$BF$3,"&lt;="&amp;G$3,$J$3:$BF$3,"&gt;"&amp;EOMONTH(G$3,-12))</f>
        <v>53045.972957575112</v>
      </c>
      <c r="H69" s="26">
        <f>SUMIFS($J69:$BF69,$J$3:$BF$3,"&lt;="&amp;H$3,$J$3:$BF$3,"&gt;"&amp;EOMONTH(H$3,-12))</f>
        <v>0</v>
      </c>
      <c r="J69" s="198">
        <f t="shared" ref="J69:AO69" si="113">J63*J68</f>
        <v>0</v>
      </c>
      <c r="K69" s="189">
        <f t="shared" si="113"/>
        <v>5784.1641230615314</v>
      </c>
      <c r="L69" s="189">
        <f t="shared" si="113"/>
        <v>5784.1641230615314</v>
      </c>
      <c r="M69" s="189">
        <f t="shared" si="113"/>
        <v>5784.1641230615314</v>
      </c>
      <c r="N69" s="189">
        <f t="shared" si="113"/>
        <v>5784.1641230615314</v>
      </c>
      <c r="O69" s="189">
        <f t="shared" si="113"/>
        <v>5784.1641230615314</v>
      </c>
      <c r="P69" s="189">
        <f t="shared" si="113"/>
        <v>5784.1641230615314</v>
      </c>
      <c r="Q69" s="189">
        <f t="shared" si="113"/>
        <v>5784.1641230615314</v>
      </c>
      <c r="R69" s="189">
        <f t="shared" si="113"/>
        <v>5784.1641230615314</v>
      </c>
      <c r="S69" s="189">
        <f t="shared" si="113"/>
        <v>5784.1641230615314</v>
      </c>
      <c r="T69" s="189">
        <f t="shared" si="113"/>
        <v>5784.1641230615314</v>
      </c>
      <c r="U69" s="189">
        <f t="shared" si="113"/>
        <v>5784.1641230615314</v>
      </c>
      <c r="V69" s="189">
        <f t="shared" si="113"/>
        <v>5784.1641230615314</v>
      </c>
      <c r="W69" s="189">
        <f t="shared" si="113"/>
        <v>5784.1641230615314</v>
      </c>
      <c r="X69" s="189">
        <f t="shared" si="113"/>
        <v>5784.1641230615314</v>
      </c>
      <c r="Y69" s="189">
        <f t="shared" si="113"/>
        <v>5784.1641230615314</v>
      </c>
      <c r="Z69" s="189">
        <f t="shared" si="113"/>
        <v>5784.1641230615314</v>
      </c>
      <c r="AA69" s="189">
        <f t="shared" si="113"/>
        <v>5784.1641230615314</v>
      </c>
      <c r="AB69" s="189">
        <f t="shared" si="113"/>
        <v>5784.1641230615314</v>
      </c>
      <c r="AC69" s="189">
        <f t="shared" si="113"/>
        <v>5784.1641230615314</v>
      </c>
      <c r="AD69" s="189">
        <f t="shared" si="113"/>
        <v>5784.1641230615314</v>
      </c>
      <c r="AE69" s="189">
        <f t="shared" si="113"/>
        <v>5228.1168923836285</v>
      </c>
      <c r="AF69" s="189">
        <f t="shared" si="113"/>
        <v>5335.2850158546753</v>
      </c>
      <c r="AG69" s="189">
        <f t="shared" si="113"/>
        <v>53173.672158402624</v>
      </c>
      <c r="AH69" s="189">
        <f t="shared" si="113"/>
        <v>2477.8385842909252</v>
      </c>
      <c r="AI69" s="189">
        <f t="shared" si="113"/>
        <v>50568.134373284185</v>
      </c>
      <c r="AJ69" s="189">
        <f t="shared" si="113"/>
        <v>0</v>
      </c>
      <c r="AK69" s="189">
        <f t="shared" si="113"/>
        <v>0</v>
      </c>
      <c r="AL69" s="189">
        <f t="shared" si="113"/>
        <v>0</v>
      </c>
      <c r="AM69" s="189">
        <f t="shared" si="113"/>
        <v>0</v>
      </c>
      <c r="AN69" s="189">
        <f t="shared" si="113"/>
        <v>0</v>
      </c>
      <c r="AO69" s="189">
        <f t="shared" si="113"/>
        <v>0</v>
      </c>
      <c r="AP69" s="189">
        <f t="shared" ref="AP69:BF69" si="114">AP63*AP68</f>
        <v>0</v>
      </c>
      <c r="AQ69" s="189">
        <f t="shared" si="114"/>
        <v>0</v>
      </c>
      <c r="AR69" s="189">
        <f t="shared" si="114"/>
        <v>0</v>
      </c>
      <c r="AS69" s="189">
        <f t="shared" si="114"/>
        <v>0</v>
      </c>
      <c r="AT69" s="189">
        <f t="shared" si="114"/>
        <v>0</v>
      </c>
      <c r="AU69" s="189">
        <f t="shared" si="114"/>
        <v>0</v>
      </c>
      <c r="AV69" s="189">
        <f t="shared" si="114"/>
        <v>0</v>
      </c>
      <c r="AW69" s="189">
        <f t="shared" si="114"/>
        <v>0</v>
      </c>
      <c r="AX69" s="189">
        <f t="shared" si="114"/>
        <v>0</v>
      </c>
      <c r="AY69" s="189">
        <f t="shared" si="114"/>
        <v>0</v>
      </c>
      <c r="AZ69" s="189">
        <f t="shared" si="114"/>
        <v>0</v>
      </c>
      <c r="BA69" s="189">
        <f t="shared" si="114"/>
        <v>0</v>
      </c>
      <c r="BB69" s="189">
        <f t="shared" si="114"/>
        <v>0</v>
      </c>
      <c r="BC69" s="189">
        <f t="shared" si="114"/>
        <v>0</v>
      </c>
      <c r="BD69" s="189">
        <f t="shared" si="114"/>
        <v>0</v>
      </c>
      <c r="BE69" s="189">
        <f t="shared" si="114"/>
        <v>0</v>
      </c>
      <c r="BF69" s="189">
        <f t="shared" si="114"/>
        <v>0</v>
      </c>
    </row>
    <row r="70" spans="2:58" ht="14.65" customHeight="1">
      <c r="B70" s="113"/>
      <c r="C70" s="182"/>
    </row>
    <row r="71" spans="2:58" ht="14.65" customHeight="1">
      <c r="B71" s="121"/>
      <c r="C71" s="121" t="s">
        <v>56</v>
      </c>
      <c r="D71" s="122">
        <f>SUMIFS($J71:$BF71,$J$3:$BF$3,"&lt;="&amp;D$3,$J$3:$BF$3,"&gt;"&amp;EOMONTH(D$3,-12))</f>
        <v>0</v>
      </c>
      <c r="E71" s="122">
        <f>SUMIFS($J71:$BF71,$J$3:$BF$3,"&lt;="&amp;E$3,$J$3:$BF$3,"&gt;"&amp;EOMONTH(E$3,-12))</f>
        <v>-7954147.4156410061</v>
      </c>
      <c r="F71" s="122">
        <f>SUMIFS($J71:$BF71,$J$3:$BF$3,"&lt;="&amp;F$3,$J$3:$BF$3,"&gt;"&amp;EOMONTH(F$3,-12))</f>
        <v>6753821.2222349085</v>
      </c>
      <c r="G71" s="122">
        <f>SUMIFS($J71:$BF71,$J$3:$BF$3,"&lt;="&amp;G$3,$J$3:$BF$3,"&gt;"&amp;EOMONTH(G$3,-12))</f>
        <v>3093954.0270424252</v>
      </c>
      <c r="H71" s="122">
        <f>SUMIFS($J71:$BF71,$J$3:$BF$3,"&lt;="&amp;H$3,$J$3:$BF$3,"&gt;"&amp;EOMONTH(H$3,-12))</f>
        <v>0</v>
      </c>
      <c r="I71" s="121"/>
      <c r="J71" s="123">
        <f>J66-J5</f>
        <v>-11665179.671666667</v>
      </c>
      <c r="K71" s="123">
        <f t="shared" ref="K71:BF71" si="115">K66-K5</f>
        <v>337366.56872960518</v>
      </c>
      <c r="L71" s="123">
        <f t="shared" si="115"/>
        <v>337366.56872960518</v>
      </c>
      <c r="M71" s="123">
        <f t="shared" si="115"/>
        <v>337366.56872960518</v>
      </c>
      <c r="N71" s="123">
        <f t="shared" si="115"/>
        <v>337366.56872960518</v>
      </c>
      <c r="O71" s="123">
        <f t="shared" si="115"/>
        <v>337366.56872960518</v>
      </c>
      <c r="P71" s="123">
        <f t="shared" si="115"/>
        <v>337366.56872960518</v>
      </c>
      <c r="Q71" s="123">
        <f t="shared" si="115"/>
        <v>337366.56872960518</v>
      </c>
      <c r="R71" s="123">
        <f t="shared" si="115"/>
        <v>337366.56872960518</v>
      </c>
      <c r="S71" s="123">
        <f t="shared" si="115"/>
        <v>337366.56872960518</v>
      </c>
      <c r="T71" s="123">
        <f t="shared" si="115"/>
        <v>337366.56872960518</v>
      </c>
      <c r="U71" s="123">
        <f t="shared" si="115"/>
        <v>337366.56872960518</v>
      </c>
      <c r="V71" s="123">
        <f t="shared" si="115"/>
        <v>337366.56872960518</v>
      </c>
      <c r="W71" s="123">
        <f t="shared" si="115"/>
        <v>337366.56872960518</v>
      </c>
      <c r="X71" s="123">
        <f t="shared" si="115"/>
        <v>337366.56872960518</v>
      </c>
      <c r="Y71" s="123">
        <f t="shared" si="115"/>
        <v>337366.56872960518</v>
      </c>
      <c r="Z71" s="123">
        <f t="shared" si="115"/>
        <v>337366.56872960518</v>
      </c>
      <c r="AA71" s="123">
        <f t="shared" si="115"/>
        <v>337366.56872960518</v>
      </c>
      <c r="AB71" s="123">
        <f t="shared" si="115"/>
        <v>337366.56872960518</v>
      </c>
      <c r="AC71" s="123">
        <f t="shared" si="115"/>
        <v>337366.56872960518</v>
      </c>
      <c r="AD71" s="123">
        <f t="shared" si="115"/>
        <v>337366.56872960518</v>
      </c>
      <c r="AE71" s="123">
        <f t="shared" si="115"/>
        <v>304934.61447065312</v>
      </c>
      <c r="AF71" s="123">
        <f t="shared" si="115"/>
        <v>311185.29154747864</v>
      </c>
      <c r="AG71" s="123">
        <f t="shared" si="115"/>
        <v>3101402.1976503311</v>
      </c>
      <c r="AH71" s="123">
        <f t="shared" si="115"/>
        <v>144522.16141570907</v>
      </c>
      <c r="AI71" s="123">
        <f t="shared" si="115"/>
        <v>2949431.8656267161</v>
      </c>
      <c r="AJ71" s="123">
        <f t="shared" si="115"/>
        <v>0</v>
      </c>
      <c r="AK71" s="123">
        <f t="shared" si="115"/>
        <v>0</v>
      </c>
      <c r="AL71" s="123">
        <f t="shared" si="115"/>
        <v>0</v>
      </c>
      <c r="AM71" s="123">
        <f t="shared" si="115"/>
        <v>0</v>
      </c>
      <c r="AN71" s="123">
        <f t="shared" si="115"/>
        <v>0</v>
      </c>
      <c r="AO71" s="123">
        <f t="shared" si="115"/>
        <v>0</v>
      </c>
      <c r="AP71" s="123">
        <f t="shared" si="115"/>
        <v>0</v>
      </c>
      <c r="AQ71" s="123">
        <f t="shared" si="115"/>
        <v>0</v>
      </c>
      <c r="AR71" s="123">
        <f t="shared" si="115"/>
        <v>0</v>
      </c>
      <c r="AS71" s="123">
        <f t="shared" si="115"/>
        <v>0</v>
      </c>
      <c r="AT71" s="123">
        <f t="shared" si="115"/>
        <v>0</v>
      </c>
      <c r="AU71" s="123">
        <f t="shared" si="115"/>
        <v>0</v>
      </c>
      <c r="AV71" s="123">
        <f t="shared" si="115"/>
        <v>0</v>
      </c>
      <c r="AW71" s="123">
        <f t="shared" si="115"/>
        <v>0</v>
      </c>
      <c r="AX71" s="123">
        <f t="shared" si="115"/>
        <v>0</v>
      </c>
      <c r="AY71" s="123">
        <f t="shared" si="115"/>
        <v>0</v>
      </c>
      <c r="AZ71" s="123">
        <f t="shared" si="115"/>
        <v>0</v>
      </c>
      <c r="BA71" s="123">
        <f t="shared" si="115"/>
        <v>0</v>
      </c>
      <c r="BB71" s="123">
        <f t="shared" si="115"/>
        <v>0</v>
      </c>
      <c r="BC71" s="123">
        <f t="shared" si="115"/>
        <v>0</v>
      </c>
      <c r="BD71" s="123">
        <f t="shared" si="115"/>
        <v>0</v>
      </c>
      <c r="BE71" s="123">
        <f t="shared" si="115"/>
        <v>0</v>
      </c>
      <c r="BF71" s="123">
        <f t="shared" si="115"/>
        <v>0</v>
      </c>
    </row>
    <row r="72" spans="2:58" ht="14.65" customHeight="1">
      <c r="B72" s="124"/>
      <c r="C72" s="125"/>
      <c r="D72" s="126"/>
      <c r="E72" s="127"/>
      <c r="F72" s="127"/>
      <c r="G72" s="127"/>
      <c r="H72" s="127"/>
      <c r="I72" s="127"/>
      <c r="J72" s="127"/>
      <c r="K72" s="128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</row>
    <row r="73" spans="2:58" ht="14.65" customHeight="1">
      <c r="B73" s="113"/>
      <c r="D73" s="21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47"/>
      <c r="AG73" s="147"/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</row>
    <row r="74" spans="2:58" ht="14.65" customHeight="1">
      <c r="B74" s="113"/>
      <c r="D74" s="21"/>
      <c r="K74" s="11"/>
    </row>
    <row r="75" spans="2:58" ht="14.65" customHeight="1">
      <c r="B75" s="113"/>
      <c r="G75" s="11"/>
      <c r="I75" s="21"/>
    </row>
  </sheetData>
  <pageMargins left="0.7" right="0.7" top="0.75" bottom="0.75" header="0.3" footer="0.3"/>
  <pageSetup orientation="portrait" r:id="rId1"/>
  <ignoredErrors>
    <ignoredError sqref="D54:H54" formula="1"/>
    <ignoredError sqref="J8:J9 J13:BF19 J23:BF25 K20:BF22 J29:BF29 K26:BF28" emptyCellReferenc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350DE-0408-4D50-A0CA-FBA4F71DFA8F}">
  <sheetPr codeName="Sheet3">
    <tabColor theme="9" tint="0.79998168889431442"/>
  </sheetPr>
  <dimension ref="B1:AA126"/>
  <sheetViews>
    <sheetView showGridLines="0" zoomScaleNormal="100" workbookViewId="0">
      <selection activeCell="E29" sqref="E29:E30"/>
    </sheetView>
  </sheetViews>
  <sheetFormatPr defaultColWidth="9.140625" defaultRowHeight="14.65" customHeight="1"/>
  <cols>
    <col min="1" max="1" width="6.140625" customWidth="1"/>
    <col min="2" max="2" width="5.28515625" customWidth="1"/>
    <col min="3" max="3" width="26.7109375" customWidth="1"/>
    <col min="4" max="4" width="5.140625" customWidth="1"/>
    <col min="5" max="5" width="12.5703125" style="10" customWidth="1"/>
    <col min="6" max="6" width="6.5703125" customWidth="1"/>
    <col min="7" max="7" width="10.5703125" customWidth="1"/>
    <col min="8" max="8" width="6.5703125" customWidth="1"/>
    <col min="9" max="9" width="7.42578125" customWidth="1"/>
    <col min="10" max="12" width="14.28515625" customWidth="1"/>
    <col min="13" max="24" width="14.28515625" style="10" customWidth="1"/>
    <col min="25" max="26" width="14.28515625" customWidth="1"/>
    <col min="27" max="27" width="2.5703125" customWidth="1"/>
  </cols>
  <sheetData>
    <row r="1" spans="2:27" ht="15" customHeight="1"/>
    <row r="2" spans="2:27" ht="18" customHeight="1">
      <c r="B2" s="1"/>
      <c r="C2" s="100" t="s">
        <v>57</v>
      </c>
      <c r="D2" s="96"/>
      <c r="E2" s="97"/>
      <c r="G2" s="64" t="s">
        <v>58</v>
      </c>
      <c r="H2" s="49"/>
      <c r="I2" s="50"/>
      <c r="J2" s="50"/>
      <c r="K2" s="50"/>
      <c r="L2" s="50"/>
      <c r="M2" s="51"/>
      <c r="N2" s="51"/>
      <c r="O2" s="51"/>
      <c r="P2" s="51"/>
      <c r="Q2" s="51"/>
      <c r="R2" s="51"/>
      <c r="S2" s="51"/>
      <c r="T2" s="51"/>
      <c r="U2" s="51"/>
      <c r="V2" s="52"/>
      <c r="W2" s="52"/>
      <c r="X2" s="51"/>
      <c r="Y2" s="49"/>
      <c r="Z2" s="49"/>
    </row>
    <row r="3" spans="2:27" s="3" customFormat="1" ht="29.25" customHeight="1">
      <c r="C3" s="98"/>
      <c r="D3" s="101"/>
      <c r="E3" s="99"/>
      <c r="G3" s="36"/>
      <c r="H3" s="36"/>
      <c r="I3" s="38" t="s">
        <v>59</v>
      </c>
      <c r="J3" s="39" t="s">
        <v>60</v>
      </c>
      <c r="K3" s="38" t="s">
        <v>61</v>
      </c>
      <c r="L3" s="38" t="s">
        <v>62</v>
      </c>
      <c r="M3" s="40" t="s">
        <v>63</v>
      </c>
      <c r="N3" s="40" t="s">
        <v>64</v>
      </c>
      <c r="O3" s="40" t="s">
        <v>65</v>
      </c>
      <c r="P3" s="40" t="s">
        <v>66</v>
      </c>
      <c r="Q3" s="40" t="s">
        <v>67</v>
      </c>
      <c r="R3" s="40" t="s">
        <v>68</v>
      </c>
      <c r="S3" s="40" t="s">
        <v>24</v>
      </c>
      <c r="T3" s="41" t="s">
        <v>25</v>
      </c>
      <c r="U3" s="41" t="s">
        <v>26</v>
      </c>
      <c r="V3" s="41" t="s">
        <v>33</v>
      </c>
      <c r="W3" s="41" t="s">
        <v>69</v>
      </c>
      <c r="X3" s="40" t="s">
        <v>70</v>
      </c>
      <c r="Y3" s="38" t="s">
        <v>71</v>
      </c>
      <c r="Z3" s="38" t="s">
        <v>72</v>
      </c>
      <c r="AA3"/>
    </row>
    <row r="4" spans="2:27" ht="15.75" customHeight="1">
      <c r="B4" s="4"/>
      <c r="C4" s="102"/>
      <c r="D4" s="27"/>
      <c r="E4" s="103"/>
      <c r="G4" s="27"/>
      <c r="H4" s="27"/>
      <c r="I4" s="47" t="s">
        <v>73</v>
      </c>
      <c r="J4" s="48"/>
      <c r="K4" s="47"/>
      <c r="L4" s="47"/>
      <c r="M4" s="37">
        <f t="shared" ref="M4:Z4" si="0">SUM(M5:M125)</f>
        <v>-5743852.9163888898</v>
      </c>
      <c r="N4" s="37">
        <f t="shared" si="0"/>
        <v>2495</v>
      </c>
      <c r="O4" s="37">
        <f>+E13</f>
        <v>2495</v>
      </c>
      <c r="P4" s="37">
        <f t="shared" si="0"/>
        <v>0</v>
      </c>
      <c r="Q4" s="37">
        <f t="shared" si="0"/>
        <v>-10000</v>
      </c>
      <c r="R4" s="37">
        <f t="shared" si="0"/>
        <v>5385.0176300578032</v>
      </c>
      <c r="S4" s="37">
        <f t="shared" si="0"/>
        <v>1980000</v>
      </c>
      <c r="T4" s="37">
        <f t="shared" si="0"/>
        <v>693609.99999999988</v>
      </c>
      <c r="U4" s="37">
        <f t="shared" si="0"/>
        <v>1351639.4251445087</v>
      </c>
      <c r="V4" s="37">
        <f t="shared" si="0"/>
        <v>-120757.48275433527</v>
      </c>
      <c r="W4" s="37">
        <f t="shared" si="0"/>
        <v>-78089.838847803476</v>
      </c>
      <c r="X4" s="37">
        <f t="shared" si="0"/>
        <v>3000000</v>
      </c>
      <c r="Y4" s="37">
        <f t="shared" si="0"/>
        <v>1072549.1871534837</v>
      </c>
      <c r="Z4" s="37">
        <f t="shared" si="0"/>
        <v>7025249.4251445066</v>
      </c>
    </row>
    <row r="5" spans="2:27" s="5" customFormat="1" ht="15.75" customHeight="1">
      <c r="C5" s="80" t="s">
        <v>74</v>
      </c>
      <c r="D5"/>
      <c r="E5" s="87"/>
      <c r="G5" s="45">
        <v>46053</v>
      </c>
      <c r="H5" s="5">
        <v>1</v>
      </c>
      <c r="I5" s="6">
        <v>0</v>
      </c>
      <c r="J5" s="42">
        <v>1</v>
      </c>
      <c r="K5" s="42">
        <v>1</v>
      </c>
      <c r="L5" s="46">
        <v>1</v>
      </c>
      <c r="M5" s="43">
        <f>-E6</f>
        <v>-5743852.9163888898</v>
      </c>
      <c r="N5" s="43">
        <f t="shared" ref="N5:N36" si="1">IF(L5,MIN(O4,$E$25),0)</f>
        <v>115.33333333333333</v>
      </c>
      <c r="O5" s="43">
        <f t="shared" ref="O5:O52" si="2">O4-N5</f>
        <v>2379.6666666666665</v>
      </c>
      <c r="P5" s="43">
        <f t="shared" ref="P5:P36" si="3">IF(I5=$E$8,-$E$7,0)-IF(L5="On",$E$15/12*K5,0)</f>
        <v>0</v>
      </c>
      <c r="Q5" s="43">
        <f>-E9</f>
        <v>-10000</v>
      </c>
      <c r="R5" s="44">
        <f t="shared" ref="R5:R36" si="4">N5*$E$22</f>
        <v>248.92666666666668</v>
      </c>
      <c r="S5" s="44">
        <f t="shared" ref="S5:S36" si="5">L5*$E$21</f>
        <v>90000</v>
      </c>
      <c r="T5" s="44">
        <f t="shared" ref="T5:T36" si="6">+N5*$E$23</f>
        <v>32062.666666666664</v>
      </c>
      <c r="U5" s="44">
        <f t="shared" ref="U5:U36" si="7">+$E$24*R5</f>
        <v>62480.593333333338</v>
      </c>
      <c r="V5" s="44">
        <f t="shared" ref="V5:V36" si="8">SUM(S5:U5)*-$E$29</f>
        <v>-5536.2978000000003</v>
      </c>
      <c r="W5" s="44">
        <f t="shared" ref="W5:W36" si="9">SUM(S5:V5)*-$E$30</f>
        <v>-3580.1392440000004</v>
      </c>
      <c r="X5" s="44">
        <f t="shared" ref="X5:X36" si="10">IF(I5=(COUNTIF($O$5:$O$53,"&lt;&gt;0")+$E$16),$E$14,0)</f>
        <v>0</v>
      </c>
      <c r="Y5" s="33">
        <f t="shared" ref="Y5:Y36" si="11">SUM(M5,P5:Q5,S5:X5)</f>
        <v>-5578426.0934328893</v>
      </c>
      <c r="Z5" s="33">
        <f t="shared" ref="Z5:Z52" si="12">S5+T5+U5+X5</f>
        <v>184543.26</v>
      </c>
      <c r="AA5"/>
    </row>
    <row r="6" spans="2:27" s="5" customFormat="1" ht="15.75" customHeight="1">
      <c r="C6" s="104" t="s">
        <v>75</v>
      </c>
      <c r="E6" s="88">
        <v>5743852.9163888898</v>
      </c>
      <c r="G6" s="35">
        <f>EOMONTH(G5,1)</f>
        <v>46081</v>
      </c>
      <c r="H6" s="5">
        <v>1</v>
      </c>
      <c r="I6" s="5">
        <v>1</v>
      </c>
      <c r="J6" s="8">
        <v>1</v>
      </c>
      <c r="K6" s="8">
        <v>1</v>
      </c>
      <c r="L6" s="30">
        <f t="shared" ref="L6:L53" si="13">IF(AND(G6&lt;=$E$20,O5&gt;0),1,0)</f>
        <v>1</v>
      </c>
      <c r="M6" s="7">
        <v>0</v>
      </c>
      <c r="N6" s="7">
        <f t="shared" si="1"/>
        <v>115.33333333333333</v>
      </c>
      <c r="O6" s="7">
        <f t="shared" si="2"/>
        <v>2264.333333333333</v>
      </c>
      <c r="P6" s="7">
        <f t="shared" si="3"/>
        <v>0</v>
      </c>
      <c r="Q6" s="7"/>
      <c r="R6" s="32">
        <f t="shared" si="4"/>
        <v>248.92666666666668</v>
      </c>
      <c r="S6" s="32">
        <f t="shared" si="5"/>
        <v>90000</v>
      </c>
      <c r="T6" s="32">
        <f t="shared" si="6"/>
        <v>32062.666666666664</v>
      </c>
      <c r="U6" s="32">
        <f t="shared" si="7"/>
        <v>62480.593333333338</v>
      </c>
      <c r="V6" s="32">
        <f t="shared" si="8"/>
        <v>-5536.2978000000003</v>
      </c>
      <c r="W6" s="32">
        <f t="shared" si="9"/>
        <v>-3580.1392440000004</v>
      </c>
      <c r="X6" s="32">
        <f t="shared" si="10"/>
        <v>0</v>
      </c>
      <c r="Y6" s="33">
        <f t="shared" si="11"/>
        <v>175426.82295600002</v>
      </c>
      <c r="Z6" s="33">
        <f t="shared" si="12"/>
        <v>184543.26</v>
      </c>
      <c r="AA6"/>
    </row>
    <row r="7" spans="2:27" s="5" customFormat="1" ht="15.75" customHeight="1">
      <c r="C7" s="104" t="s">
        <v>76</v>
      </c>
      <c r="E7" s="88">
        <v>0</v>
      </c>
      <c r="G7" s="35">
        <f>EOMONTH(G6,1)</f>
        <v>46112</v>
      </c>
      <c r="H7" s="5">
        <v>1</v>
      </c>
      <c r="I7" s="5">
        <v>2</v>
      </c>
      <c r="J7" s="8">
        <v>1</v>
      </c>
      <c r="K7" s="8">
        <v>1</v>
      </c>
      <c r="L7" s="30">
        <f t="shared" si="13"/>
        <v>1</v>
      </c>
      <c r="M7" s="7">
        <v>0</v>
      </c>
      <c r="N7" s="7">
        <f t="shared" si="1"/>
        <v>115.33333333333333</v>
      </c>
      <c r="O7" s="7">
        <f t="shared" si="2"/>
        <v>2148.9999999999995</v>
      </c>
      <c r="P7" s="7">
        <f t="shared" si="3"/>
        <v>0</v>
      </c>
      <c r="Q7" s="7"/>
      <c r="R7" s="32">
        <f t="shared" si="4"/>
        <v>248.92666666666668</v>
      </c>
      <c r="S7" s="32">
        <f t="shared" si="5"/>
        <v>90000</v>
      </c>
      <c r="T7" s="32">
        <f t="shared" si="6"/>
        <v>32062.666666666664</v>
      </c>
      <c r="U7" s="32">
        <f t="shared" si="7"/>
        <v>62480.593333333338</v>
      </c>
      <c r="V7" s="32">
        <f t="shared" si="8"/>
        <v>-5536.2978000000003</v>
      </c>
      <c r="W7" s="32">
        <f t="shared" si="9"/>
        <v>-3580.1392440000004</v>
      </c>
      <c r="X7" s="32">
        <f t="shared" si="10"/>
        <v>0</v>
      </c>
      <c r="Y7" s="33">
        <f t="shared" si="11"/>
        <v>175426.82295600002</v>
      </c>
      <c r="Z7" s="33">
        <f t="shared" si="12"/>
        <v>184543.26</v>
      </c>
      <c r="AA7"/>
    </row>
    <row r="8" spans="2:27" s="5" customFormat="1" ht="15.75" customHeight="1">
      <c r="C8" s="83" t="s">
        <v>77</v>
      </c>
      <c r="E8" s="88">
        <v>1</v>
      </c>
      <c r="G8" s="35">
        <f t="shared" ref="G8:G52" si="14">EOMONTH(G7,1)</f>
        <v>46142</v>
      </c>
      <c r="H8" s="5">
        <v>1</v>
      </c>
      <c r="I8" s="5">
        <v>3</v>
      </c>
      <c r="J8" s="8">
        <v>1</v>
      </c>
      <c r="K8" s="8">
        <v>1</v>
      </c>
      <c r="L8" s="30">
        <f t="shared" si="13"/>
        <v>1</v>
      </c>
      <c r="M8" s="7">
        <v>0</v>
      </c>
      <c r="N8" s="7">
        <f t="shared" si="1"/>
        <v>115.33333333333333</v>
      </c>
      <c r="O8" s="7">
        <f t="shared" si="2"/>
        <v>2033.6666666666663</v>
      </c>
      <c r="P8" s="7">
        <f t="shared" si="3"/>
        <v>0</v>
      </c>
      <c r="Q8" s="7"/>
      <c r="R8" s="32">
        <f t="shared" si="4"/>
        <v>248.92666666666668</v>
      </c>
      <c r="S8" s="32">
        <f t="shared" si="5"/>
        <v>90000</v>
      </c>
      <c r="T8" s="32">
        <f t="shared" si="6"/>
        <v>32062.666666666664</v>
      </c>
      <c r="U8" s="32">
        <f t="shared" si="7"/>
        <v>62480.593333333338</v>
      </c>
      <c r="V8" s="32">
        <f t="shared" si="8"/>
        <v>-5536.2978000000003</v>
      </c>
      <c r="W8" s="32">
        <f t="shared" si="9"/>
        <v>-3580.1392440000004</v>
      </c>
      <c r="X8" s="32">
        <f t="shared" si="10"/>
        <v>0</v>
      </c>
      <c r="Y8" s="33">
        <f t="shared" si="11"/>
        <v>175426.82295600002</v>
      </c>
      <c r="Z8" s="33">
        <f t="shared" si="12"/>
        <v>184543.26</v>
      </c>
      <c r="AA8"/>
    </row>
    <row r="9" spans="2:27" s="5" customFormat="1" ht="15.75" customHeight="1">
      <c r="C9" s="104" t="s">
        <v>18</v>
      </c>
      <c r="E9" s="168">
        <v>10000</v>
      </c>
      <c r="G9" s="35">
        <f t="shared" si="14"/>
        <v>46173</v>
      </c>
      <c r="H9" s="5">
        <v>1</v>
      </c>
      <c r="I9" s="6">
        <v>4</v>
      </c>
      <c r="J9" s="8">
        <v>1</v>
      </c>
      <c r="K9" s="8">
        <v>1</v>
      </c>
      <c r="L9" s="30">
        <f t="shared" si="13"/>
        <v>1</v>
      </c>
      <c r="M9" s="7">
        <v>0</v>
      </c>
      <c r="N9" s="7">
        <f t="shared" si="1"/>
        <v>115.33333333333333</v>
      </c>
      <c r="O9" s="7">
        <f t="shared" si="2"/>
        <v>1918.333333333333</v>
      </c>
      <c r="P9" s="7">
        <f t="shared" si="3"/>
        <v>0</v>
      </c>
      <c r="Q9" s="7"/>
      <c r="R9" s="32">
        <f t="shared" si="4"/>
        <v>248.92666666666668</v>
      </c>
      <c r="S9" s="32">
        <f t="shared" si="5"/>
        <v>90000</v>
      </c>
      <c r="T9" s="32">
        <f t="shared" si="6"/>
        <v>32062.666666666664</v>
      </c>
      <c r="U9" s="32">
        <f t="shared" si="7"/>
        <v>62480.593333333338</v>
      </c>
      <c r="V9" s="32">
        <f t="shared" si="8"/>
        <v>-5536.2978000000003</v>
      </c>
      <c r="W9" s="32">
        <f t="shared" si="9"/>
        <v>-3580.1392440000004</v>
      </c>
      <c r="X9" s="32">
        <f t="shared" si="10"/>
        <v>0</v>
      </c>
      <c r="Y9" s="33">
        <f t="shared" si="11"/>
        <v>175426.82295600002</v>
      </c>
      <c r="Z9" s="33">
        <f t="shared" si="12"/>
        <v>184543.26</v>
      </c>
      <c r="AA9"/>
    </row>
    <row r="10" spans="2:27" s="5" customFormat="1" ht="15.75" customHeight="1">
      <c r="C10" s="77" t="s">
        <v>78</v>
      </c>
      <c r="E10" s="89">
        <f>E6+E7+E9</f>
        <v>5753852.9163888898</v>
      </c>
      <c r="G10" s="35">
        <f t="shared" si="14"/>
        <v>46203</v>
      </c>
      <c r="H10" s="5">
        <v>1</v>
      </c>
      <c r="I10" s="5">
        <v>5</v>
      </c>
      <c r="J10" s="8">
        <v>1</v>
      </c>
      <c r="K10" s="8">
        <v>1</v>
      </c>
      <c r="L10" s="30">
        <f t="shared" si="13"/>
        <v>1</v>
      </c>
      <c r="M10" s="7">
        <v>0</v>
      </c>
      <c r="N10" s="7">
        <f t="shared" si="1"/>
        <v>115.33333333333333</v>
      </c>
      <c r="O10" s="7">
        <f t="shared" si="2"/>
        <v>1802.9999999999998</v>
      </c>
      <c r="P10" s="7">
        <f t="shared" si="3"/>
        <v>0</v>
      </c>
      <c r="Q10" s="7"/>
      <c r="R10" s="32">
        <f t="shared" si="4"/>
        <v>248.92666666666668</v>
      </c>
      <c r="S10" s="32">
        <f t="shared" si="5"/>
        <v>90000</v>
      </c>
      <c r="T10" s="32">
        <f t="shared" si="6"/>
        <v>32062.666666666664</v>
      </c>
      <c r="U10" s="32">
        <f t="shared" si="7"/>
        <v>62480.593333333338</v>
      </c>
      <c r="V10" s="32">
        <f t="shared" si="8"/>
        <v>-5536.2978000000003</v>
      </c>
      <c r="W10" s="32">
        <f t="shared" si="9"/>
        <v>-3580.1392440000004</v>
      </c>
      <c r="X10" s="32">
        <f t="shared" si="10"/>
        <v>0</v>
      </c>
      <c r="Y10" s="33">
        <f t="shared" si="11"/>
        <v>175426.82295600002</v>
      </c>
      <c r="Z10" s="33">
        <f t="shared" si="12"/>
        <v>184543.26</v>
      </c>
      <c r="AA10"/>
    </row>
    <row r="11" spans="2:27" s="5" customFormat="1" ht="15.75" customHeight="1">
      <c r="C11" s="77"/>
      <c r="E11" s="89"/>
      <c r="G11" s="35">
        <f t="shared" si="14"/>
        <v>46234</v>
      </c>
      <c r="H11" s="5">
        <v>1</v>
      </c>
      <c r="I11" s="5">
        <v>6</v>
      </c>
      <c r="J11" s="8">
        <v>1</v>
      </c>
      <c r="K11" s="8">
        <v>1</v>
      </c>
      <c r="L11" s="30">
        <f t="shared" si="13"/>
        <v>1</v>
      </c>
      <c r="M11" s="7">
        <v>0</v>
      </c>
      <c r="N11" s="7">
        <f t="shared" si="1"/>
        <v>115.33333333333333</v>
      </c>
      <c r="O11" s="7">
        <f t="shared" si="2"/>
        <v>1687.6666666666665</v>
      </c>
      <c r="P11" s="7">
        <f t="shared" si="3"/>
        <v>0</v>
      </c>
      <c r="Q11" s="7"/>
      <c r="R11" s="32">
        <f t="shared" si="4"/>
        <v>248.92666666666668</v>
      </c>
      <c r="S11" s="32">
        <f t="shared" si="5"/>
        <v>90000</v>
      </c>
      <c r="T11" s="32">
        <f t="shared" si="6"/>
        <v>32062.666666666664</v>
      </c>
      <c r="U11" s="32">
        <f t="shared" si="7"/>
        <v>62480.593333333338</v>
      </c>
      <c r="V11" s="32">
        <f t="shared" si="8"/>
        <v>-5536.2978000000003</v>
      </c>
      <c r="W11" s="32">
        <f t="shared" si="9"/>
        <v>-3580.1392440000004</v>
      </c>
      <c r="X11" s="32">
        <f t="shared" si="10"/>
        <v>0</v>
      </c>
      <c r="Y11" s="33">
        <f t="shared" si="11"/>
        <v>175426.82295600002</v>
      </c>
      <c r="Z11" s="33">
        <f t="shared" si="12"/>
        <v>184543.26</v>
      </c>
      <c r="AA11"/>
    </row>
    <row r="12" spans="2:27" s="5" customFormat="1" ht="15.75" customHeight="1">
      <c r="C12" s="82" t="s">
        <v>79</v>
      </c>
      <c r="E12" s="89"/>
      <c r="G12" s="35">
        <f t="shared" si="14"/>
        <v>46265</v>
      </c>
      <c r="H12" s="5">
        <v>1</v>
      </c>
      <c r="I12" s="5">
        <v>7</v>
      </c>
      <c r="J12" s="8">
        <v>1</v>
      </c>
      <c r="K12" s="8">
        <v>1</v>
      </c>
      <c r="L12" s="30">
        <f t="shared" si="13"/>
        <v>1</v>
      </c>
      <c r="M12" s="7">
        <v>0</v>
      </c>
      <c r="N12" s="7">
        <f t="shared" si="1"/>
        <v>115.33333333333333</v>
      </c>
      <c r="O12" s="7">
        <f t="shared" si="2"/>
        <v>1572.3333333333333</v>
      </c>
      <c r="P12" s="7">
        <f t="shared" si="3"/>
        <v>0</v>
      </c>
      <c r="Q12" s="7"/>
      <c r="R12" s="32">
        <f t="shared" si="4"/>
        <v>248.92666666666668</v>
      </c>
      <c r="S12" s="32">
        <f t="shared" si="5"/>
        <v>90000</v>
      </c>
      <c r="T12" s="32">
        <f t="shared" si="6"/>
        <v>32062.666666666664</v>
      </c>
      <c r="U12" s="32">
        <f t="shared" si="7"/>
        <v>62480.593333333338</v>
      </c>
      <c r="V12" s="32">
        <f t="shared" si="8"/>
        <v>-5536.2978000000003</v>
      </c>
      <c r="W12" s="32">
        <f t="shared" si="9"/>
        <v>-3580.1392440000004</v>
      </c>
      <c r="X12" s="32">
        <f t="shared" si="10"/>
        <v>0</v>
      </c>
      <c r="Y12" s="33">
        <f t="shared" si="11"/>
        <v>175426.82295600002</v>
      </c>
      <c r="Z12" s="33">
        <f t="shared" si="12"/>
        <v>184543.26</v>
      </c>
      <c r="AA12"/>
    </row>
    <row r="13" spans="2:27" s="5" customFormat="1" ht="15.75" customHeight="1">
      <c r="C13" s="77" t="s">
        <v>80</v>
      </c>
      <c r="E13" s="151">
        <v>2495</v>
      </c>
      <c r="G13" s="35">
        <f t="shared" si="14"/>
        <v>46295</v>
      </c>
      <c r="H13" s="5">
        <v>1</v>
      </c>
      <c r="I13" s="6">
        <v>8</v>
      </c>
      <c r="J13" s="8">
        <v>1</v>
      </c>
      <c r="K13" s="8">
        <v>1</v>
      </c>
      <c r="L13" s="30">
        <f t="shared" si="13"/>
        <v>1</v>
      </c>
      <c r="M13" s="7">
        <v>0</v>
      </c>
      <c r="N13" s="7">
        <f t="shared" si="1"/>
        <v>115.33333333333333</v>
      </c>
      <c r="O13" s="7">
        <f t="shared" si="2"/>
        <v>1457</v>
      </c>
      <c r="P13" s="7">
        <f t="shared" si="3"/>
        <v>0</v>
      </c>
      <c r="Q13" s="7"/>
      <c r="R13" s="32">
        <f t="shared" si="4"/>
        <v>248.92666666666668</v>
      </c>
      <c r="S13" s="32">
        <f t="shared" si="5"/>
        <v>90000</v>
      </c>
      <c r="T13" s="32">
        <f t="shared" si="6"/>
        <v>32062.666666666664</v>
      </c>
      <c r="U13" s="32">
        <f t="shared" si="7"/>
        <v>62480.593333333338</v>
      </c>
      <c r="V13" s="32">
        <f t="shared" si="8"/>
        <v>-5536.2978000000003</v>
      </c>
      <c r="W13" s="32">
        <f t="shared" si="9"/>
        <v>-3580.1392440000004</v>
      </c>
      <c r="X13" s="32">
        <f t="shared" si="10"/>
        <v>0</v>
      </c>
      <c r="Y13" s="33">
        <f t="shared" si="11"/>
        <v>175426.82295600002</v>
      </c>
      <c r="Z13" s="33">
        <f t="shared" si="12"/>
        <v>184543.26</v>
      </c>
      <c r="AA13"/>
    </row>
    <row r="14" spans="2:27" s="5" customFormat="1" ht="15.75" customHeight="1">
      <c r="C14" s="77" t="s">
        <v>81</v>
      </c>
      <c r="E14" s="151">
        <v>3000000</v>
      </c>
      <c r="G14" s="35">
        <f t="shared" si="14"/>
        <v>46326</v>
      </c>
      <c r="H14" s="5">
        <v>1</v>
      </c>
      <c r="I14" s="5">
        <v>9</v>
      </c>
      <c r="J14" s="8">
        <v>1</v>
      </c>
      <c r="K14" s="8">
        <v>1</v>
      </c>
      <c r="L14" s="30">
        <f t="shared" si="13"/>
        <v>1</v>
      </c>
      <c r="M14" s="7">
        <v>0</v>
      </c>
      <c r="N14" s="7">
        <f t="shared" si="1"/>
        <v>115.33333333333333</v>
      </c>
      <c r="O14" s="7">
        <f t="shared" si="2"/>
        <v>1341.6666666666667</v>
      </c>
      <c r="P14" s="7">
        <f t="shared" si="3"/>
        <v>0</v>
      </c>
      <c r="Q14" s="7"/>
      <c r="R14" s="32">
        <f t="shared" si="4"/>
        <v>248.92666666666668</v>
      </c>
      <c r="S14" s="32">
        <f t="shared" si="5"/>
        <v>90000</v>
      </c>
      <c r="T14" s="32">
        <f t="shared" si="6"/>
        <v>32062.666666666664</v>
      </c>
      <c r="U14" s="32">
        <f t="shared" si="7"/>
        <v>62480.593333333338</v>
      </c>
      <c r="V14" s="32">
        <f t="shared" si="8"/>
        <v>-5536.2978000000003</v>
      </c>
      <c r="W14" s="32">
        <f t="shared" si="9"/>
        <v>-3580.1392440000004</v>
      </c>
      <c r="X14" s="32">
        <f t="shared" si="10"/>
        <v>0</v>
      </c>
      <c r="Y14" s="33">
        <f t="shared" si="11"/>
        <v>175426.82295600002</v>
      </c>
      <c r="Z14" s="33">
        <f t="shared" si="12"/>
        <v>184543.26</v>
      </c>
      <c r="AA14"/>
    </row>
    <row r="15" spans="2:27" s="5" customFormat="1" ht="15.75" customHeight="1">
      <c r="C15" s="81" t="s">
        <v>82</v>
      </c>
      <c r="E15" s="88">
        <v>0</v>
      </c>
      <c r="G15" s="35">
        <f t="shared" si="14"/>
        <v>46356</v>
      </c>
      <c r="H15" s="5">
        <v>1</v>
      </c>
      <c r="I15" s="5">
        <v>10</v>
      </c>
      <c r="J15" s="8">
        <v>1</v>
      </c>
      <c r="K15" s="8">
        <v>1</v>
      </c>
      <c r="L15" s="30">
        <f t="shared" si="13"/>
        <v>1</v>
      </c>
      <c r="M15" s="7">
        <v>0</v>
      </c>
      <c r="N15" s="7">
        <f t="shared" si="1"/>
        <v>115.33333333333333</v>
      </c>
      <c r="O15" s="7">
        <f t="shared" si="2"/>
        <v>1226.3333333333335</v>
      </c>
      <c r="P15" s="7">
        <f t="shared" si="3"/>
        <v>0</v>
      </c>
      <c r="Q15" s="7"/>
      <c r="R15" s="32">
        <f t="shared" si="4"/>
        <v>248.92666666666668</v>
      </c>
      <c r="S15" s="32">
        <f t="shared" si="5"/>
        <v>90000</v>
      </c>
      <c r="T15" s="32">
        <f t="shared" si="6"/>
        <v>32062.666666666664</v>
      </c>
      <c r="U15" s="32">
        <f t="shared" si="7"/>
        <v>62480.593333333338</v>
      </c>
      <c r="V15" s="32">
        <f t="shared" si="8"/>
        <v>-5536.2978000000003</v>
      </c>
      <c r="W15" s="32">
        <f t="shared" si="9"/>
        <v>-3580.1392440000004</v>
      </c>
      <c r="X15" s="32">
        <f t="shared" si="10"/>
        <v>0</v>
      </c>
      <c r="Y15" s="33">
        <f t="shared" si="11"/>
        <v>175426.82295600002</v>
      </c>
      <c r="Z15" s="33">
        <f t="shared" si="12"/>
        <v>184543.26</v>
      </c>
      <c r="AA15"/>
    </row>
    <row r="16" spans="2:27" s="5" customFormat="1" ht="15.75" customHeight="1">
      <c r="C16" s="81" t="s">
        <v>83</v>
      </c>
      <c r="E16" s="88">
        <v>2</v>
      </c>
      <c r="G16" s="35">
        <f t="shared" si="14"/>
        <v>46387</v>
      </c>
      <c r="H16" s="5">
        <v>1</v>
      </c>
      <c r="I16" s="5">
        <v>11</v>
      </c>
      <c r="J16" s="8">
        <v>1</v>
      </c>
      <c r="K16" s="8">
        <v>1</v>
      </c>
      <c r="L16" s="30">
        <f t="shared" si="13"/>
        <v>1</v>
      </c>
      <c r="M16" s="7">
        <v>0</v>
      </c>
      <c r="N16" s="7">
        <f t="shared" si="1"/>
        <v>115.33333333333333</v>
      </c>
      <c r="O16" s="7">
        <f t="shared" si="2"/>
        <v>1111.0000000000002</v>
      </c>
      <c r="P16" s="7">
        <f t="shared" si="3"/>
        <v>0</v>
      </c>
      <c r="Q16" s="7"/>
      <c r="R16" s="32">
        <f t="shared" si="4"/>
        <v>248.92666666666668</v>
      </c>
      <c r="S16" s="32">
        <f t="shared" si="5"/>
        <v>90000</v>
      </c>
      <c r="T16" s="32">
        <f t="shared" si="6"/>
        <v>32062.666666666664</v>
      </c>
      <c r="U16" s="32">
        <f t="shared" si="7"/>
        <v>62480.593333333338</v>
      </c>
      <c r="V16" s="32">
        <f t="shared" si="8"/>
        <v>-5536.2978000000003</v>
      </c>
      <c r="W16" s="32">
        <f t="shared" si="9"/>
        <v>-3580.1392440000004</v>
      </c>
      <c r="X16" s="32">
        <f t="shared" si="10"/>
        <v>0</v>
      </c>
      <c r="Y16" s="33">
        <f t="shared" si="11"/>
        <v>175426.82295600002</v>
      </c>
      <c r="Z16" s="33">
        <f t="shared" si="12"/>
        <v>184543.26</v>
      </c>
      <c r="AA16"/>
    </row>
    <row r="17" spans="3:27" s="5" customFormat="1" ht="15.75" customHeight="1">
      <c r="C17" s="77"/>
      <c r="E17" s="89"/>
      <c r="G17" s="35">
        <f t="shared" si="14"/>
        <v>46418</v>
      </c>
      <c r="H17" s="5">
        <v>1</v>
      </c>
      <c r="I17" s="6">
        <v>12</v>
      </c>
      <c r="J17" s="8">
        <v>1</v>
      </c>
      <c r="K17" s="8">
        <v>1</v>
      </c>
      <c r="L17" s="30">
        <f t="shared" si="13"/>
        <v>1</v>
      </c>
      <c r="M17" s="7">
        <v>0</v>
      </c>
      <c r="N17" s="7">
        <f t="shared" si="1"/>
        <v>115.33333333333333</v>
      </c>
      <c r="O17" s="7">
        <f t="shared" si="2"/>
        <v>995.66666666666686</v>
      </c>
      <c r="P17" s="7">
        <f t="shared" si="3"/>
        <v>0</v>
      </c>
      <c r="Q17" s="7"/>
      <c r="R17" s="32">
        <f t="shared" si="4"/>
        <v>248.92666666666668</v>
      </c>
      <c r="S17" s="32">
        <f t="shared" si="5"/>
        <v>90000</v>
      </c>
      <c r="T17" s="32">
        <f t="shared" si="6"/>
        <v>32062.666666666664</v>
      </c>
      <c r="U17" s="32">
        <f t="shared" si="7"/>
        <v>62480.593333333338</v>
      </c>
      <c r="V17" s="32">
        <f t="shared" si="8"/>
        <v>-5536.2978000000003</v>
      </c>
      <c r="W17" s="32">
        <f t="shared" si="9"/>
        <v>-3580.1392440000004</v>
      </c>
      <c r="X17" s="32">
        <f t="shared" si="10"/>
        <v>0</v>
      </c>
      <c r="Y17" s="33">
        <f t="shared" si="11"/>
        <v>175426.82295600002</v>
      </c>
      <c r="Z17" s="33">
        <f t="shared" si="12"/>
        <v>184543.26</v>
      </c>
      <c r="AA17"/>
    </row>
    <row r="18" spans="3:27" s="5" customFormat="1" ht="15.75" customHeight="1">
      <c r="C18" s="82" t="s">
        <v>84</v>
      </c>
      <c r="E18" s="90">
        <v>45828</v>
      </c>
      <c r="G18" s="35">
        <f t="shared" si="14"/>
        <v>46446</v>
      </c>
      <c r="H18" s="5">
        <f t="shared" ref="H18:H52" si="15">H6+1</f>
        <v>2</v>
      </c>
      <c r="I18" s="5">
        <v>13</v>
      </c>
      <c r="J18" s="8">
        <f t="shared" ref="J18:J53" si="16">IF(MOD(I18,12)=1,1+$E$27,1)*J17</f>
        <v>1</v>
      </c>
      <c r="K18" s="8">
        <f t="shared" ref="K18:K53" si="17">IF(MOD(I18,12)=1,1+$E$26,1)*K17</f>
        <v>1</v>
      </c>
      <c r="L18" s="30">
        <f t="shared" si="13"/>
        <v>1</v>
      </c>
      <c r="M18" s="7">
        <v>0</v>
      </c>
      <c r="N18" s="7">
        <f t="shared" si="1"/>
        <v>115.33333333333333</v>
      </c>
      <c r="O18" s="7">
        <f t="shared" si="2"/>
        <v>880.33333333333348</v>
      </c>
      <c r="P18" s="7">
        <f t="shared" si="3"/>
        <v>0</v>
      </c>
      <c r="Q18" s="7"/>
      <c r="R18" s="32">
        <f t="shared" si="4"/>
        <v>248.92666666666668</v>
      </c>
      <c r="S18" s="32">
        <f t="shared" si="5"/>
        <v>90000</v>
      </c>
      <c r="T18" s="32">
        <f t="shared" si="6"/>
        <v>32062.666666666664</v>
      </c>
      <c r="U18" s="32">
        <f t="shared" si="7"/>
        <v>62480.593333333338</v>
      </c>
      <c r="V18" s="32">
        <f t="shared" si="8"/>
        <v>-5536.2978000000003</v>
      </c>
      <c r="W18" s="32">
        <f t="shared" si="9"/>
        <v>-3580.1392440000004</v>
      </c>
      <c r="X18" s="32">
        <f t="shared" si="10"/>
        <v>0</v>
      </c>
      <c r="Y18" s="33">
        <f t="shared" si="11"/>
        <v>175426.82295600002</v>
      </c>
      <c r="Z18" s="33">
        <f t="shared" si="12"/>
        <v>184543.26</v>
      </c>
      <c r="AA18"/>
    </row>
    <row r="19" spans="3:27" s="5" customFormat="1" ht="15.75" customHeight="1">
      <c r="C19" s="81" t="s">
        <v>85</v>
      </c>
      <c r="E19" s="105">
        <v>36</v>
      </c>
      <c r="G19" s="35">
        <f t="shared" si="14"/>
        <v>46477</v>
      </c>
      <c r="H19" s="5">
        <f t="shared" si="15"/>
        <v>2</v>
      </c>
      <c r="I19" s="5">
        <v>14</v>
      </c>
      <c r="J19" s="8">
        <f t="shared" si="16"/>
        <v>1</v>
      </c>
      <c r="K19" s="8">
        <f t="shared" si="17"/>
        <v>1</v>
      </c>
      <c r="L19" s="30">
        <f t="shared" si="13"/>
        <v>1</v>
      </c>
      <c r="M19" s="7">
        <v>0</v>
      </c>
      <c r="N19" s="7">
        <f t="shared" si="1"/>
        <v>115.33333333333333</v>
      </c>
      <c r="O19" s="7">
        <f t="shared" si="2"/>
        <v>765.00000000000011</v>
      </c>
      <c r="P19" s="7">
        <f t="shared" si="3"/>
        <v>0</v>
      </c>
      <c r="Q19" s="7"/>
      <c r="R19" s="32">
        <f t="shared" si="4"/>
        <v>248.92666666666668</v>
      </c>
      <c r="S19" s="32">
        <f t="shared" si="5"/>
        <v>90000</v>
      </c>
      <c r="T19" s="32">
        <f t="shared" si="6"/>
        <v>32062.666666666664</v>
      </c>
      <c r="U19" s="32">
        <f t="shared" si="7"/>
        <v>62480.593333333338</v>
      </c>
      <c r="V19" s="32">
        <f t="shared" si="8"/>
        <v>-5536.2978000000003</v>
      </c>
      <c r="W19" s="32">
        <f t="shared" si="9"/>
        <v>-3580.1392440000004</v>
      </c>
      <c r="X19" s="32">
        <f t="shared" si="10"/>
        <v>0</v>
      </c>
      <c r="Y19" s="33">
        <f t="shared" si="11"/>
        <v>175426.82295600002</v>
      </c>
      <c r="Z19" s="33">
        <f t="shared" si="12"/>
        <v>184543.26</v>
      </c>
      <c r="AA19"/>
    </row>
    <row r="20" spans="3:27" ht="15.75" customHeight="1">
      <c r="C20" s="83" t="s">
        <v>86</v>
      </c>
      <c r="D20" s="5"/>
      <c r="E20" s="106">
        <v>46924</v>
      </c>
      <c r="G20" s="35">
        <f t="shared" si="14"/>
        <v>46507</v>
      </c>
      <c r="H20">
        <f t="shared" si="15"/>
        <v>2</v>
      </c>
      <c r="I20">
        <v>15</v>
      </c>
      <c r="J20" s="9">
        <f t="shared" si="16"/>
        <v>1</v>
      </c>
      <c r="K20" s="9">
        <f t="shared" si="17"/>
        <v>1</v>
      </c>
      <c r="L20" s="31">
        <f t="shared" si="13"/>
        <v>1</v>
      </c>
      <c r="M20" s="10">
        <v>0</v>
      </c>
      <c r="N20" s="10">
        <f t="shared" si="1"/>
        <v>115.33333333333333</v>
      </c>
      <c r="O20" s="10">
        <f t="shared" si="2"/>
        <v>649.66666666666674</v>
      </c>
      <c r="P20" s="10">
        <f t="shared" si="3"/>
        <v>0</v>
      </c>
      <c r="R20" s="29">
        <f t="shared" si="4"/>
        <v>248.92666666666668</v>
      </c>
      <c r="S20" s="29">
        <f t="shared" si="5"/>
        <v>90000</v>
      </c>
      <c r="T20" s="29">
        <f t="shared" si="6"/>
        <v>32062.666666666664</v>
      </c>
      <c r="U20" s="29">
        <f t="shared" si="7"/>
        <v>62480.593333333338</v>
      </c>
      <c r="V20" s="32">
        <f t="shared" si="8"/>
        <v>-5536.2978000000003</v>
      </c>
      <c r="W20" s="32">
        <f t="shared" si="9"/>
        <v>-3580.1392440000004</v>
      </c>
      <c r="X20" s="29">
        <f t="shared" si="10"/>
        <v>0</v>
      </c>
      <c r="Y20" s="28">
        <f t="shared" si="11"/>
        <v>175426.82295600002</v>
      </c>
      <c r="Z20" s="28">
        <f t="shared" si="12"/>
        <v>184543.26</v>
      </c>
    </row>
    <row r="21" spans="3:27" ht="15.75" customHeight="1">
      <c r="C21" s="77" t="s">
        <v>87</v>
      </c>
      <c r="D21" s="5"/>
      <c r="E21" s="107">
        <v>90000</v>
      </c>
      <c r="G21" s="35">
        <f t="shared" si="14"/>
        <v>46538</v>
      </c>
      <c r="H21">
        <f t="shared" si="15"/>
        <v>2</v>
      </c>
      <c r="I21" s="3">
        <v>16</v>
      </c>
      <c r="J21" s="9">
        <f t="shared" si="16"/>
        <v>1</v>
      </c>
      <c r="K21" s="9">
        <f t="shared" si="17"/>
        <v>1</v>
      </c>
      <c r="L21" s="31">
        <f t="shared" si="13"/>
        <v>1</v>
      </c>
      <c r="M21" s="10">
        <v>0</v>
      </c>
      <c r="N21" s="10">
        <f t="shared" si="1"/>
        <v>115.33333333333333</v>
      </c>
      <c r="O21" s="10">
        <f t="shared" si="2"/>
        <v>534.33333333333337</v>
      </c>
      <c r="P21" s="10">
        <f t="shared" si="3"/>
        <v>0</v>
      </c>
      <c r="R21" s="29">
        <f t="shared" si="4"/>
        <v>248.92666666666668</v>
      </c>
      <c r="S21" s="29">
        <f t="shared" si="5"/>
        <v>90000</v>
      </c>
      <c r="T21" s="29">
        <f t="shared" si="6"/>
        <v>32062.666666666664</v>
      </c>
      <c r="U21" s="29">
        <f t="shared" si="7"/>
        <v>62480.593333333338</v>
      </c>
      <c r="V21" s="32">
        <f t="shared" si="8"/>
        <v>-5536.2978000000003</v>
      </c>
      <c r="W21" s="32">
        <f t="shared" si="9"/>
        <v>-3580.1392440000004</v>
      </c>
      <c r="X21" s="29">
        <f t="shared" si="10"/>
        <v>0</v>
      </c>
      <c r="Y21" s="28">
        <f t="shared" si="11"/>
        <v>175426.82295600002</v>
      </c>
      <c r="Z21" s="28">
        <f t="shared" si="12"/>
        <v>184543.26</v>
      </c>
    </row>
    <row r="22" spans="3:27" ht="15.75" customHeight="1">
      <c r="C22" s="84" t="s">
        <v>88</v>
      </c>
      <c r="E22" s="170">
        <v>2.1583236994219654</v>
      </c>
      <c r="G22" s="35">
        <f t="shared" si="14"/>
        <v>46568</v>
      </c>
      <c r="H22">
        <f t="shared" si="15"/>
        <v>2</v>
      </c>
      <c r="I22">
        <v>17</v>
      </c>
      <c r="J22" s="9">
        <f t="shared" si="16"/>
        <v>1</v>
      </c>
      <c r="K22" s="9">
        <f t="shared" si="17"/>
        <v>1</v>
      </c>
      <c r="L22" s="31">
        <f t="shared" si="13"/>
        <v>1</v>
      </c>
      <c r="M22" s="10">
        <v>0</v>
      </c>
      <c r="N22" s="10">
        <f t="shared" si="1"/>
        <v>115.33333333333333</v>
      </c>
      <c r="O22" s="10">
        <f t="shared" si="2"/>
        <v>419.00000000000006</v>
      </c>
      <c r="P22" s="10">
        <f t="shared" si="3"/>
        <v>0</v>
      </c>
      <c r="R22" s="29">
        <f t="shared" si="4"/>
        <v>248.92666666666668</v>
      </c>
      <c r="S22" s="29">
        <f t="shared" si="5"/>
        <v>90000</v>
      </c>
      <c r="T22" s="29">
        <f t="shared" si="6"/>
        <v>32062.666666666664</v>
      </c>
      <c r="U22" s="29">
        <f t="shared" si="7"/>
        <v>62480.593333333338</v>
      </c>
      <c r="V22" s="32">
        <f t="shared" si="8"/>
        <v>-5536.2978000000003</v>
      </c>
      <c r="W22" s="32">
        <f t="shared" si="9"/>
        <v>-3580.1392440000004</v>
      </c>
      <c r="X22" s="29">
        <f t="shared" si="10"/>
        <v>0</v>
      </c>
      <c r="Y22" s="28">
        <f t="shared" si="11"/>
        <v>175426.82295600002</v>
      </c>
      <c r="Z22" s="28">
        <f t="shared" si="12"/>
        <v>184543.26</v>
      </c>
    </row>
    <row r="23" spans="3:27" ht="15.75" customHeight="1">
      <c r="C23" s="84" t="s">
        <v>89</v>
      </c>
      <c r="E23" s="94">
        <v>278</v>
      </c>
      <c r="G23" s="35">
        <f t="shared" si="14"/>
        <v>46599</v>
      </c>
      <c r="H23">
        <f t="shared" si="15"/>
        <v>2</v>
      </c>
      <c r="I23">
        <v>18</v>
      </c>
      <c r="J23" s="9">
        <f t="shared" si="16"/>
        <v>1</v>
      </c>
      <c r="K23" s="9">
        <f t="shared" si="17"/>
        <v>1</v>
      </c>
      <c r="L23" s="31">
        <f t="shared" si="13"/>
        <v>1</v>
      </c>
      <c r="M23" s="10">
        <v>0</v>
      </c>
      <c r="N23" s="10">
        <f t="shared" si="1"/>
        <v>115.33333333333333</v>
      </c>
      <c r="O23" s="10">
        <f t="shared" si="2"/>
        <v>303.66666666666674</v>
      </c>
      <c r="P23" s="10">
        <f t="shared" si="3"/>
        <v>0</v>
      </c>
      <c r="R23" s="29">
        <f t="shared" si="4"/>
        <v>248.92666666666668</v>
      </c>
      <c r="S23" s="29">
        <f t="shared" si="5"/>
        <v>90000</v>
      </c>
      <c r="T23" s="29">
        <f t="shared" si="6"/>
        <v>32062.666666666664</v>
      </c>
      <c r="U23" s="29">
        <f t="shared" si="7"/>
        <v>62480.593333333338</v>
      </c>
      <c r="V23" s="32">
        <f t="shared" si="8"/>
        <v>-5536.2978000000003</v>
      </c>
      <c r="W23" s="32">
        <f t="shared" si="9"/>
        <v>-3580.1392440000004</v>
      </c>
      <c r="X23" s="29">
        <f t="shared" si="10"/>
        <v>0</v>
      </c>
      <c r="Y23" s="28">
        <f t="shared" si="11"/>
        <v>175426.82295600002</v>
      </c>
      <c r="Z23" s="28">
        <f t="shared" si="12"/>
        <v>184543.26</v>
      </c>
    </row>
    <row r="24" spans="3:27" ht="15.75" customHeight="1">
      <c r="C24" s="84" t="s">
        <v>90</v>
      </c>
      <c r="E24" s="94">
        <v>251</v>
      </c>
      <c r="G24" s="35">
        <f t="shared" si="14"/>
        <v>46630</v>
      </c>
      <c r="H24">
        <f t="shared" si="15"/>
        <v>2</v>
      </c>
      <c r="I24">
        <v>19</v>
      </c>
      <c r="J24" s="9">
        <f t="shared" si="16"/>
        <v>1</v>
      </c>
      <c r="K24" s="9">
        <f t="shared" si="17"/>
        <v>1</v>
      </c>
      <c r="L24" s="31">
        <f t="shared" si="13"/>
        <v>1</v>
      </c>
      <c r="M24" s="10">
        <v>0</v>
      </c>
      <c r="N24" s="10">
        <f t="shared" si="1"/>
        <v>115.33333333333333</v>
      </c>
      <c r="O24" s="10">
        <f t="shared" si="2"/>
        <v>188.33333333333343</v>
      </c>
      <c r="P24" s="10">
        <f t="shared" si="3"/>
        <v>0</v>
      </c>
      <c r="R24" s="29">
        <f t="shared" si="4"/>
        <v>248.92666666666668</v>
      </c>
      <c r="S24" s="29">
        <f t="shared" si="5"/>
        <v>90000</v>
      </c>
      <c r="T24" s="29">
        <f t="shared" si="6"/>
        <v>32062.666666666664</v>
      </c>
      <c r="U24" s="29">
        <f t="shared" si="7"/>
        <v>62480.593333333338</v>
      </c>
      <c r="V24" s="32">
        <f t="shared" si="8"/>
        <v>-5536.2978000000003</v>
      </c>
      <c r="W24" s="32">
        <f t="shared" si="9"/>
        <v>-3580.1392440000004</v>
      </c>
      <c r="X24" s="29">
        <f t="shared" si="10"/>
        <v>0</v>
      </c>
      <c r="Y24" s="28">
        <f t="shared" si="11"/>
        <v>175426.82295600002</v>
      </c>
      <c r="Z24" s="28">
        <f t="shared" si="12"/>
        <v>184543.26</v>
      </c>
    </row>
    <row r="25" spans="3:27" ht="15.75" customHeight="1">
      <c r="C25" s="84" t="s">
        <v>91</v>
      </c>
      <c r="E25" s="171">
        <v>115.33333333333333</v>
      </c>
      <c r="G25" s="35">
        <f t="shared" si="14"/>
        <v>46660</v>
      </c>
      <c r="H25">
        <f t="shared" si="15"/>
        <v>2</v>
      </c>
      <c r="I25" s="3">
        <v>20</v>
      </c>
      <c r="J25" s="9">
        <f t="shared" si="16"/>
        <v>1</v>
      </c>
      <c r="K25" s="9">
        <f t="shared" si="17"/>
        <v>1</v>
      </c>
      <c r="L25" s="31">
        <f t="shared" si="13"/>
        <v>1</v>
      </c>
      <c r="M25" s="10">
        <v>0</v>
      </c>
      <c r="N25" s="10">
        <f t="shared" si="1"/>
        <v>115.33333333333333</v>
      </c>
      <c r="O25" s="10">
        <f t="shared" si="2"/>
        <v>73.000000000000099</v>
      </c>
      <c r="P25" s="10">
        <f t="shared" si="3"/>
        <v>0</v>
      </c>
      <c r="R25" s="29">
        <f t="shared" si="4"/>
        <v>248.92666666666668</v>
      </c>
      <c r="S25" s="29">
        <f t="shared" si="5"/>
        <v>90000</v>
      </c>
      <c r="T25" s="29">
        <f t="shared" si="6"/>
        <v>32062.666666666664</v>
      </c>
      <c r="U25" s="29">
        <f t="shared" si="7"/>
        <v>62480.593333333338</v>
      </c>
      <c r="V25" s="32">
        <f t="shared" si="8"/>
        <v>-5536.2978000000003</v>
      </c>
      <c r="W25" s="32">
        <f t="shared" si="9"/>
        <v>-3580.1392440000004</v>
      </c>
      <c r="X25" s="29">
        <f t="shared" si="10"/>
        <v>0</v>
      </c>
      <c r="Y25" s="28">
        <f t="shared" si="11"/>
        <v>175426.82295600002</v>
      </c>
      <c r="Z25" s="28">
        <f t="shared" si="12"/>
        <v>184543.26</v>
      </c>
    </row>
    <row r="26" spans="3:27" ht="15.75" customHeight="1">
      <c r="C26" s="84" t="s">
        <v>92</v>
      </c>
      <c r="E26" s="95">
        <v>0</v>
      </c>
      <c r="G26" s="35">
        <f t="shared" si="14"/>
        <v>46691</v>
      </c>
      <c r="H26">
        <f t="shared" si="15"/>
        <v>2</v>
      </c>
      <c r="I26">
        <v>21</v>
      </c>
      <c r="J26" s="9">
        <f t="shared" si="16"/>
        <v>1</v>
      </c>
      <c r="K26" s="9">
        <f t="shared" si="17"/>
        <v>1</v>
      </c>
      <c r="L26" s="31">
        <f t="shared" si="13"/>
        <v>1</v>
      </c>
      <c r="M26" s="10">
        <v>0</v>
      </c>
      <c r="N26" s="10">
        <f t="shared" si="1"/>
        <v>73.000000000000099</v>
      </c>
      <c r="O26" s="10">
        <f t="shared" si="2"/>
        <v>0</v>
      </c>
      <c r="P26" s="10">
        <f t="shared" si="3"/>
        <v>0</v>
      </c>
      <c r="R26" s="29">
        <f t="shared" si="4"/>
        <v>157.55763005780369</v>
      </c>
      <c r="S26" s="29">
        <f t="shared" si="5"/>
        <v>90000</v>
      </c>
      <c r="T26" s="29">
        <f t="shared" si="6"/>
        <v>20294.000000000029</v>
      </c>
      <c r="U26" s="29">
        <f t="shared" si="7"/>
        <v>39546.965144508729</v>
      </c>
      <c r="V26" s="32">
        <f t="shared" si="8"/>
        <v>-4495.2289543352626</v>
      </c>
      <c r="W26" s="32">
        <f t="shared" si="9"/>
        <v>-2906.9147238034698</v>
      </c>
      <c r="X26" s="29">
        <f t="shared" si="10"/>
        <v>0</v>
      </c>
      <c r="Y26" s="28">
        <f t="shared" si="11"/>
        <v>142438.82146637002</v>
      </c>
      <c r="Z26" s="28">
        <f t="shared" si="12"/>
        <v>149840.96514450875</v>
      </c>
    </row>
    <row r="27" spans="3:27" ht="15.75" customHeight="1">
      <c r="C27" s="85" t="s">
        <v>93</v>
      </c>
      <c r="E27" s="95">
        <v>0</v>
      </c>
      <c r="G27" s="35">
        <f t="shared" si="14"/>
        <v>46721</v>
      </c>
      <c r="H27">
        <f t="shared" si="15"/>
        <v>2</v>
      </c>
      <c r="I27">
        <v>22</v>
      </c>
      <c r="J27" s="9">
        <f t="shared" si="16"/>
        <v>1</v>
      </c>
      <c r="K27" s="9">
        <f t="shared" si="17"/>
        <v>1</v>
      </c>
      <c r="L27" s="31">
        <f t="shared" si="13"/>
        <v>0</v>
      </c>
      <c r="M27" s="10">
        <v>0</v>
      </c>
      <c r="N27" s="10">
        <f t="shared" si="1"/>
        <v>0</v>
      </c>
      <c r="O27" s="10">
        <f t="shared" si="2"/>
        <v>0</v>
      </c>
      <c r="P27" s="10">
        <f t="shared" si="3"/>
        <v>0</v>
      </c>
      <c r="R27" s="29">
        <f t="shared" si="4"/>
        <v>0</v>
      </c>
      <c r="S27" s="29">
        <f t="shared" si="5"/>
        <v>0</v>
      </c>
      <c r="T27" s="29">
        <f t="shared" si="6"/>
        <v>0</v>
      </c>
      <c r="U27" s="29">
        <f t="shared" si="7"/>
        <v>0</v>
      </c>
      <c r="V27" s="32">
        <f t="shared" si="8"/>
        <v>0</v>
      </c>
      <c r="W27" s="32">
        <f t="shared" si="9"/>
        <v>0</v>
      </c>
      <c r="X27" s="29">
        <f t="shared" si="10"/>
        <v>0</v>
      </c>
      <c r="Y27" s="28">
        <f t="shared" si="11"/>
        <v>0</v>
      </c>
      <c r="Z27" s="28">
        <f t="shared" si="12"/>
        <v>0</v>
      </c>
    </row>
    <row r="28" spans="3:27" ht="15.75" customHeight="1">
      <c r="C28" s="84"/>
      <c r="E28" s="87"/>
      <c r="G28" s="35">
        <f t="shared" si="14"/>
        <v>46752</v>
      </c>
      <c r="H28">
        <f t="shared" si="15"/>
        <v>2</v>
      </c>
      <c r="I28">
        <v>23</v>
      </c>
      <c r="J28" s="9">
        <f t="shared" si="16"/>
        <v>1</v>
      </c>
      <c r="K28" s="9">
        <f t="shared" si="17"/>
        <v>1</v>
      </c>
      <c r="L28" s="31">
        <f t="shared" si="13"/>
        <v>0</v>
      </c>
      <c r="M28" s="10">
        <v>0</v>
      </c>
      <c r="N28" s="10">
        <f t="shared" si="1"/>
        <v>0</v>
      </c>
      <c r="O28" s="10">
        <f t="shared" si="2"/>
        <v>0</v>
      </c>
      <c r="P28" s="10">
        <f t="shared" si="3"/>
        <v>0</v>
      </c>
      <c r="R28" s="29">
        <f t="shared" si="4"/>
        <v>0</v>
      </c>
      <c r="S28" s="29">
        <f t="shared" si="5"/>
        <v>0</v>
      </c>
      <c r="T28" s="29">
        <f t="shared" si="6"/>
        <v>0</v>
      </c>
      <c r="U28" s="29">
        <f t="shared" si="7"/>
        <v>0</v>
      </c>
      <c r="V28" s="32">
        <f t="shared" si="8"/>
        <v>0</v>
      </c>
      <c r="W28" s="32">
        <f t="shared" si="9"/>
        <v>0</v>
      </c>
      <c r="X28" s="29">
        <f t="shared" si="10"/>
        <v>3000000</v>
      </c>
      <c r="Y28" s="28">
        <f t="shared" si="11"/>
        <v>3000000</v>
      </c>
      <c r="Z28" s="28">
        <f t="shared" si="12"/>
        <v>3000000</v>
      </c>
    </row>
    <row r="29" spans="3:27" ht="15.75" customHeight="1">
      <c r="C29" s="84" t="s">
        <v>94</v>
      </c>
      <c r="E29" s="166">
        <v>0.03</v>
      </c>
      <c r="G29" s="35">
        <f t="shared" si="14"/>
        <v>46783</v>
      </c>
      <c r="H29">
        <f t="shared" si="15"/>
        <v>2</v>
      </c>
      <c r="I29" s="3">
        <v>24</v>
      </c>
      <c r="J29" s="9">
        <f t="shared" si="16"/>
        <v>1</v>
      </c>
      <c r="K29" s="9">
        <f t="shared" si="17"/>
        <v>1</v>
      </c>
      <c r="L29" s="31">
        <f t="shared" si="13"/>
        <v>0</v>
      </c>
      <c r="M29" s="10">
        <v>0</v>
      </c>
      <c r="N29" s="10">
        <f t="shared" si="1"/>
        <v>0</v>
      </c>
      <c r="O29" s="10">
        <f t="shared" si="2"/>
        <v>0</v>
      </c>
      <c r="P29" s="10">
        <f t="shared" si="3"/>
        <v>0</v>
      </c>
      <c r="R29" s="29">
        <f t="shared" si="4"/>
        <v>0</v>
      </c>
      <c r="S29" s="29">
        <f t="shared" si="5"/>
        <v>0</v>
      </c>
      <c r="T29" s="29">
        <f t="shared" si="6"/>
        <v>0</v>
      </c>
      <c r="U29" s="29">
        <f t="shared" si="7"/>
        <v>0</v>
      </c>
      <c r="V29" s="32">
        <f t="shared" si="8"/>
        <v>0</v>
      </c>
      <c r="W29" s="32">
        <f t="shared" si="9"/>
        <v>0</v>
      </c>
      <c r="X29" s="29">
        <f t="shared" si="10"/>
        <v>0</v>
      </c>
      <c r="Y29" s="28">
        <f t="shared" si="11"/>
        <v>0</v>
      </c>
      <c r="Z29" s="28">
        <f t="shared" si="12"/>
        <v>0</v>
      </c>
    </row>
    <row r="30" spans="3:27" ht="15.75" customHeight="1">
      <c r="C30" s="86" t="s">
        <v>95</v>
      </c>
      <c r="D30" s="54"/>
      <c r="E30" s="167">
        <v>0.02</v>
      </c>
      <c r="G30" s="35">
        <f t="shared" si="14"/>
        <v>46812</v>
      </c>
      <c r="H30">
        <f t="shared" si="15"/>
        <v>3</v>
      </c>
      <c r="I30">
        <v>25</v>
      </c>
      <c r="J30" s="9">
        <f t="shared" si="16"/>
        <v>1</v>
      </c>
      <c r="K30" s="9">
        <f t="shared" si="17"/>
        <v>1</v>
      </c>
      <c r="L30" s="31">
        <f t="shared" si="13"/>
        <v>0</v>
      </c>
      <c r="M30" s="10">
        <v>0</v>
      </c>
      <c r="N30" s="10">
        <f t="shared" si="1"/>
        <v>0</v>
      </c>
      <c r="O30" s="10">
        <f t="shared" si="2"/>
        <v>0</v>
      </c>
      <c r="P30" s="10">
        <f t="shared" si="3"/>
        <v>0</v>
      </c>
      <c r="R30" s="29">
        <f t="shared" si="4"/>
        <v>0</v>
      </c>
      <c r="S30" s="29">
        <f t="shared" si="5"/>
        <v>0</v>
      </c>
      <c r="T30" s="29">
        <f t="shared" si="6"/>
        <v>0</v>
      </c>
      <c r="U30" s="29">
        <f t="shared" si="7"/>
        <v>0</v>
      </c>
      <c r="V30" s="32">
        <f t="shared" si="8"/>
        <v>0</v>
      </c>
      <c r="W30" s="32">
        <f t="shared" si="9"/>
        <v>0</v>
      </c>
      <c r="X30" s="29">
        <f t="shared" si="10"/>
        <v>0</v>
      </c>
      <c r="Y30" s="28">
        <f t="shared" si="11"/>
        <v>0</v>
      </c>
      <c r="Z30" s="28">
        <f t="shared" si="12"/>
        <v>0</v>
      </c>
    </row>
    <row r="31" spans="3:27" ht="15.75" customHeight="1">
      <c r="E31"/>
      <c r="G31" s="35">
        <f t="shared" si="14"/>
        <v>46843</v>
      </c>
      <c r="H31">
        <f t="shared" si="15"/>
        <v>3</v>
      </c>
      <c r="I31">
        <v>26</v>
      </c>
      <c r="J31" s="9">
        <f t="shared" si="16"/>
        <v>1</v>
      </c>
      <c r="K31" s="9">
        <f t="shared" si="17"/>
        <v>1</v>
      </c>
      <c r="L31" s="31">
        <f t="shared" si="13"/>
        <v>0</v>
      </c>
      <c r="M31" s="10">
        <v>0</v>
      </c>
      <c r="N31" s="10">
        <f t="shared" si="1"/>
        <v>0</v>
      </c>
      <c r="O31" s="10">
        <f t="shared" si="2"/>
        <v>0</v>
      </c>
      <c r="P31" s="10">
        <f t="shared" si="3"/>
        <v>0</v>
      </c>
      <c r="R31" s="29">
        <f t="shared" si="4"/>
        <v>0</v>
      </c>
      <c r="S31" s="29">
        <f t="shared" si="5"/>
        <v>0</v>
      </c>
      <c r="T31" s="29">
        <f t="shared" si="6"/>
        <v>0</v>
      </c>
      <c r="U31" s="29">
        <f t="shared" si="7"/>
        <v>0</v>
      </c>
      <c r="V31" s="32">
        <f t="shared" si="8"/>
        <v>0</v>
      </c>
      <c r="W31" s="32">
        <f t="shared" si="9"/>
        <v>0</v>
      </c>
      <c r="X31" s="29">
        <f t="shared" si="10"/>
        <v>0</v>
      </c>
      <c r="Y31" s="28">
        <f t="shared" si="11"/>
        <v>0</v>
      </c>
      <c r="Z31" s="28">
        <f t="shared" si="12"/>
        <v>0</v>
      </c>
    </row>
    <row r="32" spans="3:27" ht="15.75" customHeight="1">
      <c r="E32"/>
      <c r="G32" s="35">
        <f t="shared" si="14"/>
        <v>46873</v>
      </c>
      <c r="H32">
        <f t="shared" si="15"/>
        <v>3</v>
      </c>
      <c r="I32">
        <v>27</v>
      </c>
      <c r="J32" s="9">
        <f t="shared" si="16"/>
        <v>1</v>
      </c>
      <c r="K32" s="9">
        <f t="shared" si="17"/>
        <v>1</v>
      </c>
      <c r="L32" s="31">
        <f t="shared" si="13"/>
        <v>0</v>
      </c>
      <c r="M32" s="10">
        <v>0</v>
      </c>
      <c r="N32" s="10">
        <f t="shared" si="1"/>
        <v>0</v>
      </c>
      <c r="O32" s="10">
        <f t="shared" si="2"/>
        <v>0</v>
      </c>
      <c r="P32" s="10">
        <f t="shared" si="3"/>
        <v>0</v>
      </c>
      <c r="R32" s="29">
        <f t="shared" si="4"/>
        <v>0</v>
      </c>
      <c r="S32" s="29">
        <f t="shared" si="5"/>
        <v>0</v>
      </c>
      <c r="T32" s="29">
        <f t="shared" si="6"/>
        <v>0</v>
      </c>
      <c r="U32" s="29">
        <f t="shared" si="7"/>
        <v>0</v>
      </c>
      <c r="V32" s="32">
        <f t="shared" si="8"/>
        <v>0</v>
      </c>
      <c r="W32" s="32">
        <f t="shared" si="9"/>
        <v>0</v>
      </c>
      <c r="X32" s="29">
        <f t="shared" si="10"/>
        <v>0</v>
      </c>
      <c r="Y32" s="28">
        <f t="shared" si="11"/>
        <v>0</v>
      </c>
      <c r="Z32" s="28">
        <f t="shared" si="12"/>
        <v>0</v>
      </c>
    </row>
    <row r="33" spans="5:26" ht="15.75" customHeight="1">
      <c r="E33"/>
      <c r="G33" s="35">
        <f t="shared" si="14"/>
        <v>46904</v>
      </c>
      <c r="H33">
        <f t="shared" si="15"/>
        <v>3</v>
      </c>
      <c r="I33" s="3">
        <v>28</v>
      </c>
      <c r="J33" s="9">
        <f t="shared" si="16"/>
        <v>1</v>
      </c>
      <c r="K33" s="9">
        <f t="shared" si="17"/>
        <v>1</v>
      </c>
      <c r="L33" s="31">
        <f t="shared" si="13"/>
        <v>0</v>
      </c>
      <c r="M33" s="10">
        <v>0</v>
      </c>
      <c r="N33" s="10">
        <f t="shared" si="1"/>
        <v>0</v>
      </c>
      <c r="O33" s="10">
        <f t="shared" si="2"/>
        <v>0</v>
      </c>
      <c r="P33" s="10">
        <f t="shared" si="3"/>
        <v>0</v>
      </c>
      <c r="R33" s="29">
        <f t="shared" si="4"/>
        <v>0</v>
      </c>
      <c r="S33" s="29">
        <f t="shared" si="5"/>
        <v>0</v>
      </c>
      <c r="T33" s="29">
        <f t="shared" si="6"/>
        <v>0</v>
      </c>
      <c r="U33" s="29">
        <f t="shared" si="7"/>
        <v>0</v>
      </c>
      <c r="V33" s="32">
        <f t="shared" si="8"/>
        <v>0</v>
      </c>
      <c r="W33" s="32">
        <f t="shared" si="9"/>
        <v>0</v>
      </c>
      <c r="X33" s="29">
        <f t="shared" si="10"/>
        <v>0</v>
      </c>
      <c r="Y33" s="28">
        <f t="shared" si="11"/>
        <v>0</v>
      </c>
      <c r="Z33" s="28">
        <f t="shared" si="12"/>
        <v>0</v>
      </c>
    </row>
    <row r="34" spans="5:26" ht="15.75" customHeight="1">
      <c r="E34"/>
      <c r="G34" s="35">
        <f t="shared" si="14"/>
        <v>46934</v>
      </c>
      <c r="H34">
        <f t="shared" si="15"/>
        <v>3</v>
      </c>
      <c r="I34">
        <v>29</v>
      </c>
      <c r="J34" s="9">
        <f t="shared" si="16"/>
        <v>1</v>
      </c>
      <c r="K34" s="9">
        <f t="shared" si="17"/>
        <v>1</v>
      </c>
      <c r="L34" s="31">
        <f t="shared" si="13"/>
        <v>0</v>
      </c>
      <c r="M34" s="10">
        <v>0</v>
      </c>
      <c r="N34" s="10">
        <f t="shared" si="1"/>
        <v>0</v>
      </c>
      <c r="O34" s="10">
        <f t="shared" si="2"/>
        <v>0</v>
      </c>
      <c r="P34" s="10">
        <f t="shared" si="3"/>
        <v>0</v>
      </c>
      <c r="R34" s="29">
        <f t="shared" si="4"/>
        <v>0</v>
      </c>
      <c r="S34" s="29">
        <f t="shared" si="5"/>
        <v>0</v>
      </c>
      <c r="T34" s="29">
        <f t="shared" si="6"/>
        <v>0</v>
      </c>
      <c r="U34" s="29">
        <f t="shared" si="7"/>
        <v>0</v>
      </c>
      <c r="V34" s="32">
        <f t="shared" si="8"/>
        <v>0</v>
      </c>
      <c r="W34" s="32">
        <f t="shared" si="9"/>
        <v>0</v>
      </c>
      <c r="X34" s="29">
        <f t="shared" si="10"/>
        <v>0</v>
      </c>
      <c r="Y34" s="28">
        <f t="shared" si="11"/>
        <v>0</v>
      </c>
      <c r="Z34" s="28">
        <f t="shared" si="12"/>
        <v>0</v>
      </c>
    </row>
    <row r="35" spans="5:26" ht="15.75" customHeight="1">
      <c r="E35"/>
      <c r="G35" s="35">
        <f t="shared" si="14"/>
        <v>46965</v>
      </c>
      <c r="H35">
        <f t="shared" si="15"/>
        <v>3</v>
      </c>
      <c r="I35">
        <v>30</v>
      </c>
      <c r="J35" s="9">
        <f t="shared" si="16"/>
        <v>1</v>
      </c>
      <c r="K35" s="9">
        <f t="shared" si="17"/>
        <v>1</v>
      </c>
      <c r="L35" s="31">
        <f t="shared" si="13"/>
        <v>0</v>
      </c>
      <c r="M35" s="10">
        <v>0</v>
      </c>
      <c r="N35" s="10">
        <f t="shared" si="1"/>
        <v>0</v>
      </c>
      <c r="O35" s="10">
        <f t="shared" si="2"/>
        <v>0</v>
      </c>
      <c r="P35" s="10">
        <f t="shared" si="3"/>
        <v>0</v>
      </c>
      <c r="R35" s="29">
        <f t="shared" si="4"/>
        <v>0</v>
      </c>
      <c r="S35" s="29">
        <f t="shared" si="5"/>
        <v>0</v>
      </c>
      <c r="T35" s="29">
        <f t="shared" si="6"/>
        <v>0</v>
      </c>
      <c r="U35" s="29">
        <f t="shared" si="7"/>
        <v>0</v>
      </c>
      <c r="V35" s="32">
        <f t="shared" si="8"/>
        <v>0</v>
      </c>
      <c r="W35" s="32">
        <f t="shared" si="9"/>
        <v>0</v>
      </c>
      <c r="X35" s="29">
        <f t="shared" si="10"/>
        <v>0</v>
      </c>
      <c r="Y35" s="28">
        <f t="shared" si="11"/>
        <v>0</v>
      </c>
      <c r="Z35" s="28">
        <f t="shared" si="12"/>
        <v>0</v>
      </c>
    </row>
    <row r="36" spans="5:26" ht="15.75" customHeight="1">
      <c r="E36"/>
      <c r="G36" s="35">
        <f t="shared" si="14"/>
        <v>46996</v>
      </c>
      <c r="H36">
        <f t="shared" si="15"/>
        <v>3</v>
      </c>
      <c r="I36">
        <v>31</v>
      </c>
      <c r="J36" s="9">
        <f t="shared" si="16"/>
        <v>1</v>
      </c>
      <c r="K36" s="9">
        <f t="shared" si="17"/>
        <v>1</v>
      </c>
      <c r="L36" s="31">
        <f t="shared" si="13"/>
        <v>0</v>
      </c>
      <c r="M36" s="10">
        <v>0</v>
      </c>
      <c r="N36" s="10">
        <f t="shared" si="1"/>
        <v>0</v>
      </c>
      <c r="O36" s="10">
        <f t="shared" si="2"/>
        <v>0</v>
      </c>
      <c r="P36" s="10">
        <f t="shared" si="3"/>
        <v>0</v>
      </c>
      <c r="R36" s="29">
        <f t="shared" si="4"/>
        <v>0</v>
      </c>
      <c r="S36" s="29">
        <f t="shared" si="5"/>
        <v>0</v>
      </c>
      <c r="T36" s="29">
        <f t="shared" si="6"/>
        <v>0</v>
      </c>
      <c r="U36" s="29">
        <f t="shared" si="7"/>
        <v>0</v>
      </c>
      <c r="V36" s="32">
        <f t="shared" si="8"/>
        <v>0</v>
      </c>
      <c r="W36" s="32">
        <f t="shared" si="9"/>
        <v>0</v>
      </c>
      <c r="X36" s="29">
        <f t="shared" si="10"/>
        <v>0</v>
      </c>
      <c r="Y36" s="28">
        <f t="shared" si="11"/>
        <v>0</v>
      </c>
      <c r="Z36" s="28">
        <f t="shared" si="12"/>
        <v>0</v>
      </c>
    </row>
    <row r="37" spans="5:26" ht="15.75" customHeight="1">
      <c r="E37"/>
      <c r="G37" s="35">
        <f t="shared" si="14"/>
        <v>47026</v>
      </c>
      <c r="H37">
        <f t="shared" si="15"/>
        <v>3</v>
      </c>
      <c r="I37" s="3">
        <v>32</v>
      </c>
      <c r="J37" s="9">
        <f t="shared" si="16"/>
        <v>1</v>
      </c>
      <c r="K37" s="9">
        <f t="shared" si="17"/>
        <v>1</v>
      </c>
      <c r="L37" s="31">
        <f t="shared" si="13"/>
        <v>0</v>
      </c>
      <c r="M37" s="10">
        <v>0</v>
      </c>
      <c r="N37" s="10">
        <f t="shared" ref="N37:N53" si="18">IF(L37,MIN(O36,$E$25),0)</f>
        <v>0</v>
      </c>
      <c r="O37" s="10">
        <f t="shared" si="2"/>
        <v>0</v>
      </c>
      <c r="P37" s="10">
        <f t="shared" ref="P37:P53" si="19">IF(I37=$E$8,-$E$7,0)-IF(L37="On",$E$15/12*K37,0)</f>
        <v>0</v>
      </c>
      <c r="R37" s="29">
        <f t="shared" ref="R37:R53" si="20">N37*$E$22</f>
        <v>0</v>
      </c>
      <c r="S37" s="29">
        <f t="shared" ref="S37:S53" si="21">L37*$E$21</f>
        <v>0</v>
      </c>
      <c r="T37" s="29">
        <f t="shared" ref="T37:T53" si="22">+N37*$E$23</f>
        <v>0</v>
      </c>
      <c r="U37" s="29">
        <f t="shared" ref="U37:U53" si="23">+$E$24*R37</f>
        <v>0</v>
      </c>
      <c r="V37" s="32">
        <f t="shared" ref="V37:V53" si="24">SUM(S37:U37)*-$E$29</f>
        <v>0</v>
      </c>
      <c r="W37" s="32">
        <f t="shared" ref="W37:W53" si="25">SUM(S37:V37)*-$E$30</f>
        <v>0</v>
      </c>
      <c r="X37" s="29">
        <f t="shared" ref="X37:X53" si="26">IF(I37=(COUNTIF($O$5:$O$53,"&lt;&gt;0")+$E$16),$E$14,0)</f>
        <v>0</v>
      </c>
      <c r="Y37" s="28">
        <f t="shared" ref="Y37:Y53" si="27">SUM(M37,P37:Q37,S37:X37)</f>
        <v>0</v>
      </c>
      <c r="Z37" s="28">
        <f t="shared" si="12"/>
        <v>0</v>
      </c>
    </row>
    <row r="38" spans="5:26" ht="15.75" customHeight="1">
      <c r="E38"/>
      <c r="G38" s="35">
        <f t="shared" si="14"/>
        <v>47057</v>
      </c>
      <c r="H38">
        <f t="shared" si="15"/>
        <v>3</v>
      </c>
      <c r="I38">
        <v>33</v>
      </c>
      <c r="J38" s="9">
        <f t="shared" si="16"/>
        <v>1</v>
      </c>
      <c r="K38" s="9">
        <f t="shared" si="17"/>
        <v>1</v>
      </c>
      <c r="L38" s="31">
        <f t="shared" si="13"/>
        <v>0</v>
      </c>
      <c r="M38" s="10">
        <v>0</v>
      </c>
      <c r="N38" s="10">
        <f t="shared" si="18"/>
        <v>0</v>
      </c>
      <c r="O38" s="10">
        <f t="shared" si="2"/>
        <v>0</v>
      </c>
      <c r="P38" s="10">
        <f t="shared" si="19"/>
        <v>0</v>
      </c>
      <c r="R38" s="29">
        <f t="shared" si="20"/>
        <v>0</v>
      </c>
      <c r="S38" s="29">
        <f t="shared" si="21"/>
        <v>0</v>
      </c>
      <c r="T38" s="29">
        <f t="shared" si="22"/>
        <v>0</v>
      </c>
      <c r="U38" s="29">
        <f t="shared" si="23"/>
        <v>0</v>
      </c>
      <c r="V38" s="32">
        <f t="shared" si="24"/>
        <v>0</v>
      </c>
      <c r="W38" s="32">
        <f t="shared" si="25"/>
        <v>0</v>
      </c>
      <c r="X38" s="29">
        <f t="shared" si="26"/>
        <v>0</v>
      </c>
      <c r="Y38" s="28">
        <f t="shared" si="27"/>
        <v>0</v>
      </c>
      <c r="Z38" s="28">
        <f t="shared" si="12"/>
        <v>0</v>
      </c>
    </row>
    <row r="39" spans="5:26" ht="15.75" customHeight="1">
      <c r="E39"/>
      <c r="G39" s="35">
        <f t="shared" si="14"/>
        <v>47087</v>
      </c>
      <c r="H39">
        <f t="shared" si="15"/>
        <v>3</v>
      </c>
      <c r="I39">
        <v>34</v>
      </c>
      <c r="J39" s="9">
        <f t="shared" si="16"/>
        <v>1</v>
      </c>
      <c r="K39" s="9">
        <f t="shared" si="17"/>
        <v>1</v>
      </c>
      <c r="L39" s="31">
        <f t="shared" si="13"/>
        <v>0</v>
      </c>
      <c r="M39" s="10">
        <v>0</v>
      </c>
      <c r="N39" s="10">
        <f t="shared" si="18"/>
        <v>0</v>
      </c>
      <c r="O39" s="10">
        <f t="shared" si="2"/>
        <v>0</v>
      </c>
      <c r="P39" s="10">
        <f t="shared" si="19"/>
        <v>0</v>
      </c>
      <c r="R39" s="29">
        <f t="shared" si="20"/>
        <v>0</v>
      </c>
      <c r="S39" s="29">
        <f t="shared" si="21"/>
        <v>0</v>
      </c>
      <c r="T39" s="29">
        <f t="shared" si="22"/>
        <v>0</v>
      </c>
      <c r="U39" s="29">
        <f t="shared" si="23"/>
        <v>0</v>
      </c>
      <c r="V39" s="32">
        <f t="shared" si="24"/>
        <v>0</v>
      </c>
      <c r="W39" s="32">
        <f t="shared" si="25"/>
        <v>0</v>
      </c>
      <c r="X39" s="29">
        <f t="shared" si="26"/>
        <v>0</v>
      </c>
      <c r="Y39" s="28">
        <f t="shared" si="27"/>
        <v>0</v>
      </c>
      <c r="Z39" s="28">
        <f t="shared" si="12"/>
        <v>0</v>
      </c>
    </row>
    <row r="40" spans="5:26" ht="15.75" customHeight="1">
      <c r="E40"/>
      <c r="G40" s="35">
        <f t="shared" si="14"/>
        <v>47118</v>
      </c>
      <c r="H40">
        <f t="shared" si="15"/>
        <v>3</v>
      </c>
      <c r="I40">
        <v>35</v>
      </c>
      <c r="J40" s="9">
        <f t="shared" si="16"/>
        <v>1</v>
      </c>
      <c r="K40" s="9">
        <f t="shared" si="17"/>
        <v>1</v>
      </c>
      <c r="L40" s="31">
        <f t="shared" si="13"/>
        <v>0</v>
      </c>
      <c r="M40" s="10">
        <v>0</v>
      </c>
      <c r="N40" s="10">
        <f t="shared" si="18"/>
        <v>0</v>
      </c>
      <c r="O40" s="10">
        <f t="shared" si="2"/>
        <v>0</v>
      </c>
      <c r="P40" s="10">
        <f t="shared" si="19"/>
        <v>0</v>
      </c>
      <c r="R40" s="29">
        <f t="shared" si="20"/>
        <v>0</v>
      </c>
      <c r="S40" s="29">
        <f t="shared" si="21"/>
        <v>0</v>
      </c>
      <c r="T40" s="29">
        <f t="shared" si="22"/>
        <v>0</v>
      </c>
      <c r="U40" s="29">
        <f t="shared" si="23"/>
        <v>0</v>
      </c>
      <c r="V40" s="32">
        <f t="shared" si="24"/>
        <v>0</v>
      </c>
      <c r="W40" s="32">
        <f t="shared" si="25"/>
        <v>0</v>
      </c>
      <c r="X40" s="29">
        <f t="shared" si="26"/>
        <v>0</v>
      </c>
      <c r="Y40" s="28">
        <f t="shared" si="27"/>
        <v>0</v>
      </c>
      <c r="Z40" s="28">
        <f t="shared" si="12"/>
        <v>0</v>
      </c>
    </row>
    <row r="41" spans="5:26" ht="15.75" customHeight="1">
      <c r="E41"/>
      <c r="G41" s="35">
        <f t="shared" si="14"/>
        <v>47149</v>
      </c>
      <c r="H41">
        <f t="shared" si="15"/>
        <v>3</v>
      </c>
      <c r="I41" s="3">
        <v>36</v>
      </c>
      <c r="J41" s="9">
        <f t="shared" si="16"/>
        <v>1</v>
      </c>
      <c r="K41" s="9">
        <f t="shared" si="17"/>
        <v>1</v>
      </c>
      <c r="L41" s="31">
        <f t="shared" si="13"/>
        <v>0</v>
      </c>
      <c r="M41" s="10">
        <v>0</v>
      </c>
      <c r="N41" s="10">
        <f t="shared" si="18"/>
        <v>0</v>
      </c>
      <c r="O41" s="10">
        <f t="shared" si="2"/>
        <v>0</v>
      </c>
      <c r="P41" s="10">
        <f t="shared" si="19"/>
        <v>0</v>
      </c>
      <c r="R41" s="29">
        <f t="shared" si="20"/>
        <v>0</v>
      </c>
      <c r="S41" s="29">
        <f t="shared" si="21"/>
        <v>0</v>
      </c>
      <c r="T41" s="29">
        <f t="shared" si="22"/>
        <v>0</v>
      </c>
      <c r="U41" s="29">
        <f t="shared" si="23"/>
        <v>0</v>
      </c>
      <c r="V41" s="32">
        <f t="shared" si="24"/>
        <v>0</v>
      </c>
      <c r="W41" s="32">
        <f t="shared" si="25"/>
        <v>0</v>
      </c>
      <c r="X41" s="29">
        <f t="shared" si="26"/>
        <v>0</v>
      </c>
      <c r="Y41" s="28">
        <f t="shared" si="27"/>
        <v>0</v>
      </c>
      <c r="Z41" s="28">
        <f t="shared" si="12"/>
        <v>0</v>
      </c>
    </row>
    <row r="42" spans="5:26" ht="15.75" customHeight="1">
      <c r="E42"/>
      <c r="G42" s="35">
        <f t="shared" si="14"/>
        <v>47177</v>
      </c>
      <c r="H42">
        <f t="shared" si="15"/>
        <v>4</v>
      </c>
      <c r="I42">
        <v>37</v>
      </c>
      <c r="J42" s="9">
        <f t="shared" si="16"/>
        <v>1</v>
      </c>
      <c r="K42" s="9">
        <f t="shared" si="17"/>
        <v>1</v>
      </c>
      <c r="L42" s="31">
        <f t="shared" si="13"/>
        <v>0</v>
      </c>
      <c r="M42" s="10">
        <v>0</v>
      </c>
      <c r="N42" s="10">
        <f t="shared" si="18"/>
        <v>0</v>
      </c>
      <c r="O42" s="10">
        <f t="shared" si="2"/>
        <v>0</v>
      </c>
      <c r="P42" s="10">
        <f t="shared" si="19"/>
        <v>0</v>
      </c>
      <c r="R42" s="29">
        <f t="shared" si="20"/>
        <v>0</v>
      </c>
      <c r="S42" s="29">
        <f t="shared" si="21"/>
        <v>0</v>
      </c>
      <c r="T42" s="29">
        <f t="shared" si="22"/>
        <v>0</v>
      </c>
      <c r="U42" s="29">
        <f t="shared" si="23"/>
        <v>0</v>
      </c>
      <c r="V42" s="32">
        <f t="shared" si="24"/>
        <v>0</v>
      </c>
      <c r="W42" s="32">
        <f t="shared" si="25"/>
        <v>0</v>
      </c>
      <c r="X42" s="29">
        <f t="shared" si="26"/>
        <v>0</v>
      </c>
      <c r="Y42" s="28">
        <f t="shared" si="27"/>
        <v>0</v>
      </c>
      <c r="Z42" s="28">
        <f t="shared" si="12"/>
        <v>0</v>
      </c>
    </row>
    <row r="43" spans="5:26" ht="15.75" customHeight="1">
      <c r="E43"/>
      <c r="G43" s="35">
        <f t="shared" si="14"/>
        <v>47208</v>
      </c>
      <c r="H43">
        <f t="shared" si="15"/>
        <v>4</v>
      </c>
      <c r="I43">
        <v>38</v>
      </c>
      <c r="J43" s="9">
        <f t="shared" si="16"/>
        <v>1</v>
      </c>
      <c r="K43" s="9">
        <f t="shared" si="17"/>
        <v>1</v>
      </c>
      <c r="L43" s="31">
        <f t="shared" si="13"/>
        <v>0</v>
      </c>
      <c r="M43" s="10">
        <v>0</v>
      </c>
      <c r="N43" s="10">
        <f t="shared" si="18"/>
        <v>0</v>
      </c>
      <c r="O43" s="10">
        <f t="shared" si="2"/>
        <v>0</v>
      </c>
      <c r="P43" s="10">
        <f t="shared" si="19"/>
        <v>0</v>
      </c>
      <c r="R43" s="29">
        <f t="shared" si="20"/>
        <v>0</v>
      </c>
      <c r="S43" s="29">
        <f t="shared" si="21"/>
        <v>0</v>
      </c>
      <c r="T43" s="29">
        <f t="shared" si="22"/>
        <v>0</v>
      </c>
      <c r="U43" s="29">
        <f t="shared" si="23"/>
        <v>0</v>
      </c>
      <c r="V43" s="32">
        <f t="shared" si="24"/>
        <v>0</v>
      </c>
      <c r="W43" s="32">
        <f t="shared" si="25"/>
        <v>0</v>
      </c>
      <c r="X43" s="29">
        <f t="shared" si="26"/>
        <v>0</v>
      </c>
      <c r="Y43" s="28">
        <f t="shared" si="27"/>
        <v>0</v>
      </c>
      <c r="Z43" s="28">
        <f t="shared" si="12"/>
        <v>0</v>
      </c>
    </row>
    <row r="44" spans="5:26" ht="15.75" customHeight="1">
      <c r="E44"/>
      <c r="G44" s="35">
        <f t="shared" si="14"/>
        <v>47238</v>
      </c>
      <c r="H44">
        <f t="shared" si="15"/>
        <v>4</v>
      </c>
      <c r="I44">
        <v>39</v>
      </c>
      <c r="J44" s="9">
        <f t="shared" si="16"/>
        <v>1</v>
      </c>
      <c r="K44" s="9">
        <f t="shared" si="17"/>
        <v>1</v>
      </c>
      <c r="L44" s="31">
        <f t="shared" si="13"/>
        <v>0</v>
      </c>
      <c r="M44" s="10">
        <v>0</v>
      </c>
      <c r="N44" s="10">
        <f t="shared" si="18"/>
        <v>0</v>
      </c>
      <c r="O44" s="10">
        <f t="shared" si="2"/>
        <v>0</v>
      </c>
      <c r="P44" s="10">
        <f t="shared" si="19"/>
        <v>0</v>
      </c>
      <c r="R44" s="29">
        <f t="shared" si="20"/>
        <v>0</v>
      </c>
      <c r="S44" s="29">
        <f t="shared" si="21"/>
        <v>0</v>
      </c>
      <c r="T44" s="29">
        <f t="shared" si="22"/>
        <v>0</v>
      </c>
      <c r="U44" s="29">
        <f t="shared" si="23"/>
        <v>0</v>
      </c>
      <c r="V44" s="32">
        <f t="shared" si="24"/>
        <v>0</v>
      </c>
      <c r="W44" s="32">
        <f t="shared" si="25"/>
        <v>0</v>
      </c>
      <c r="X44" s="29">
        <f t="shared" si="26"/>
        <v>0</v>
      </c>
      <c r="Y44" s="28">
        <f t="shared" si="27"/>
        <v>0</v>
      </c>
      <c r="Z44" s="28">
        <f t="shared" si="12"/>
        <v>0</v>
      </c>
    </row>
    <row r="45" spans="5:26" ht="15.75" customHeight="1">
      <c r="E45"/>
      <c r="G45" s="35">
        <f t="shared" si="14"/>
        <v>47269</v>
      </c>
      <c r="H45">
        <f t="shared" si="15"/>
        <v>4</v>
      </c>
      <c r="I45" s="3">
        <v>40</v>
      </c>
      <c r="J45" s="9">
        <f t="shared" si="16"/>
        <v>1</v>
      </c>
      <c r="K45" s="9">
        <f t="shared" si="17"/>
        <v>1</v>
      </c>
      <c r="L45" s="31">
        <f t="shared" si="13"/>
        <v>0</v>
      </c>
      <c r="M45" s="10">
        <v>0</v>
      </c>
      <c r="N45" s="10">
        <f t="shared" si="18"/>
        <v>0</v>
      </c>
      <c r="O45" s="10">
        <f t="shared" si="2"/>
        <v>0</v>
      </c>
      <c r="P45" s="10">
        <f t="shared" si="19"/>
        <v>0</v>
      </c>
      <c r="R45" s="29">
        <f t="shared" si="20"/>
        <v>0</v>
      </c>
      <c r="S45" s="29">
        <f t="shared" si="21"/>
        <v>0</v>
      </c>
      <c r="T45" s="29">
        <f t="shared" si="22"/>
        <v>0</v>
      </c>
      <c r="U45" s="29">
        <f t="shared" si="23"/>
        <v>0</v>
      </c>
      <c r="V45" s="32">
        <f t="shared" si="24"/>
        <v>0</v>
      </c>
      <c r="W45" s="32">
        <f t="shared" si="25"/>
        <v>0</v>
      </c>
      <c r="X45" s="29">
        <f t="shared" si="26"/>
        <v>0</v>
      </c>
      <c r="Y45" s="28">
        <f t="shared" si="27"/>
        <v>0</v>
      </c>
      <c r="Z45" s="28">
        <f t="shared" si="12"/>
        <v>0</v>
      </c>
    </row>
    <row r="46" spans="5:26" ht="15.75" customHeight="1">
      <c r="E46"/>
      <c r="G46" s="35">
        <f t="shared" si="14"/>
        <v>47299</v>
      </c>
      <c r="H46">
        <f t="shared" si="15"/>
        <v>4</v>
      </c>
      <c r="I46">
        <v>41</v>
      </c>
      <c r="J46" s="9">
        <f t="shared" si="16"/>
        <v>1</v>
      </c>
      <c r="K46" s="9">
        <f t="shared" si="17"/>
        <v>1</v>
      </c>
      <c r="L46" s="31">
        <f t="shared" si="13"/>
        <v>0</v>
      </c>
      <c r="M46" s="10">
        <v>0</v>
      </c>
      <c r="N46" s="10">
        <f t="shared" si="18"/>
        <v>0</v>
      </c>
      <c r="O46" s="10">
        <f t="shared" si="2"/>
        <v>0</v>
      </c>
      <c r="P46" s="10">
        <f t="shared" si="19"/>
        <v>0</v>
      </c>
      <c r="R46" s="29">
        <f t="shared" si="20"/>
        <v>0</v>
      </c>
      <c r="S46" s="29">
        <f t="shared" si="21"/>
        <v>0</v>
      </c>
      <c r="T46" s="29">
        <f t="shared" si="22"/>
        <v>0</v>
      </c>
      <c r="U46" s="29">
        <f t="shared" si="23"/>
        <v>0</v>
      </c>
      <c r="V46" s="32">
        <f t="shared" si="24"/>
        <v>0</v>
      </c>
      <c r="W46" s="32">
        <f t="shared" si="25"/>
        <v>0</v>
      </c>
      <c r="X46" s="29">
        <f t="shared" si="26"/>
        <v>0</v>
      </c>
      <c r="Y46" s="28">
        <f t="shared" si="27"/>
        <v>0</v>
      </c>
      <c r="Z46" s="28">
        <f t="shared" si="12"/>
        <v>0</v>
      </c>
    </row>
    <row r="47" spans="5:26" ht="15.75" customHeight="1">
      <c r="E47"/>
      <c r="G47" s="35">
        <f t="shared" si="14"/>
        <v>47330</v>
      </c>
      <c r="H47">
        <f t="shared" si="15"/>
        <v>4</v>
      </c>
      <c r="I47">
        <v>42</v>
      </c>
      <c r="J47" s="9">
        <f t="shared" si="16"/>
        <v>1</v>
      </c>
      <c r="K47" s="9">
        <f t="shared" si="17"/>
        <v>1</v>
      </c>
      <c r="L47" s="31">
        <f t="shared" si="13"/>
        <v>0</v>
      </c>
      <c r="M47" s="10">
        <v>0</v>
      </c>
      <c r="N47" s="10">
        <f t="shared" si="18"/>
        <v>0</v>
      </c>
      <c r="O47" s="10">
        <f t="shared" si="2"/>
        <v>0</v>
      </c>
      <c r="P47" s="10">
        <f t="shared" si="19"/>
        <v>0</v>
      </c>
      <c r="R47" s="29">
        <f t="shared" si="20"/>
        <v>0</v>
      </c>
      <c r="S47" s="29">
        <f t="shared" si="21"/>
        <v>0</v>
      </c>
      <c r="T47" s="29">
        <f t="shared" si="22"/>
        <v>0</v>
      </c>
      <c r="U47" s="29">
        <f t="shared" si="23"/>
        <v>0</v>
      </c>
      <c r="V47" s="32">
        <f t="shared" si="24"/>
        <v>0</v>
      </c>
      <c r="W47" s="32">
        <f t="shared" si="25"/>
        <v>0</v>
      </c>
      <c r="X47" s="29">
        <f t="shared" si="26"/>
        <v>0</v>
      </c>
      <c r="Y47" s="28">
        <f t="shared" si="27"/>
        <v>0</v>
      </c>
      <c r="Z47" s="28">
        <f t="shared" si="12"/>
        <v>0</v>
      </c>
    </row>
    <row r="48" spans="5:26" ht="15.75" customHeight="1">
      <c r="G48" s="35">
        <f t="shared" si="14"/>
        <v>47361</v>
      </c>
      <c r="H48">
        <f t="shared" si="15"/>
        <v>4</v>
      </c>
      <c r="I48">
        <v>43</v>
      </c>
      <c r="J48" s="9">
        <f t="shared" si="16"/>
        <v>1</v>
      </c>
      <c r="K48" s="9">
        <f t="shared" si="17"/>
        <v>1</v>
      </c>
      <c r="L48" s="31">
        <f t="shared" si="13"/>
        <v>0</v>
      </c>
      <c r="M48" s="10">
        <v>0</v>
      </c>
      <c r="N48" s="10">
        <f t="shared" si="18"/>
        <v>0</v>
      </c>
      <c r="O48" s="10">
        <f t="shared" si="2"/>
        <v>0</v>
      </c>
      <c r="P48" s="10">
        <f t="shared" si="19"/>
        <v>0</v>
      </c>
      <c r="R48" s="29">
        <f t="shared" si="20"/>
        <v>0</v>
      </c>
      <c r="S48" s="29">
        <f t="shared" si="21"/>
        <v>0</v>
      </c>
      <c r="T48" s="29">
        <f t="shared" si="22"/>
        <v>0</v>
      </c>
      <c r="U48" s="29">
        <f t="shared" si="23"/>
        <v>0</v>
      </c>
      <c r="V48" s="32">
        <f t="shared" si="24"/>
        <v>0</v>
      </c>
      <c r="W48" s="32">
        <f t="shared" si="25"/>
        <v>0</v>
      </c>
      <c r="X48" s="29">
        <f t="shared" si="26"/>
        <v>0</v>
      </c>
      <c r="Y48" s="28">
        <f t="shared" si="27"/>
        <v>0</v>
      </c>
      <c r="Z48" s="28">
        <f t="shared" si="12"/>
        <v>0</v>
      </c>
    </row>
    <row r="49" spans="7:26" ht="15.75" customHeight="1">
      <c r="G49" s="35">
        <f t="shared" si="14"/>
        <v>47391</v>
      </c>
      <c r="H49">
        <f t="shared" si="15"/>
        <v>4</v>
      </c>
      <c r="I49" s="3">
        <v>44</v>
      </c>
      <c r="J49" s="9">
        <f t="shared" si="16"/>
        <v>1</v>
      </c>
      <c r="K49" s="9">
        <f t="shared" si="17"/>
        <v>1</v>
      </c>
      <c r="L49" s="31">
        <f t="shared" si="13"/>
        <v>0</v>
      </c>
      <c r="M49" s="10">
        <v>0</v>
      </c>
      <c r="N49" s="10">
        <f t="shared" si="18"/>
        <v>0</v>
      </c>
      <c r="O49" s="10">
        <f t="shared" si="2"/>
        <v>0</v>
      </c>
      <c r="P49" s="10">
        <f t="shared" si="19"/>
        <v>0</v>
      </c>
      <c r="R49" s="29">
        <f t="shared" si="20"/>
        <v>0</v>
      </c>
      <c r="S49" s="29">
        <f t="shared" si="21"/>
        <v>0</v>
      </c>
      <c r="T49" s="29">
        <f t="shared" si="22"/>
        <v>0</v>
      </c>
      <c r="U49" s="29">
        <f t="shared" si="23"/>
        <v>0</v>
      </c>
      <c r="V49" s="32">
        <f t="shared" si="24"/>
        <v>0</v>
      </c>
      <c r="W49" s="32">
        <f t="shared" si="25"/>
        <v>0</v>
      </c>
      <c r="X49" s="29">
        <f t="shared" si="26"/>
        <v>0</v>
      </c>
      <c r="Y49" s="28">
        <f t="shared" si="27"/>
        <v>0</v>
      </c>
      <c r="Z49" s="28">
        <f t="shared" si="12"/>
        <v>0</v>
      </c>
    </row>
    <row r="50" spans="7:26" ht="15.75" customHeight="1">
      <c r="G50" s="35">
        <f t="shared" si="14"/>
        <v>47422</v>
      </c>
      <c r="H50">
        <f t="shared" si="15"/>
        <v>4</v>
      </c>
      <c r="I50">
        <v>45</v>
      </c>
      <c r="J50" s="9">
        <f t="shared" si="16"/>
        <v>1</v>
      </c>
      <c r="K50" s="9">
        <f t="shared" si="17"/>
        <v>1</v>
      </c>
      <c r="L50" s="31">
        <f t="shared" si="13"/>
        <v>0</v>
      </c>
      <c r="M50" s="10">
        <v>0</v>
      </c>
      <c r="N50" s="10">
        <f t="shared" si="18"/>
        <v>0</v>
      </c>
      <c r="O50" s="10">
        <f t="shared" si="2"/>
        <v>0</v>
      </c>
      <c r="P50" s="10">
        <f t="shared" si="19"/>
        <v>0</v>
      </c>
      <c r="R50" s="29">
        <f t="shared" si="20"/>
        <v>0</v>
      </c>
      <c r="S50" s="29">
        <f t="shared" si="21"/>
        <v>0</v>
      </c>
      <c r="T50" s="29">
        <f t="shared" si="22"/>
        <v>0</v>
      </c>
      <c r="U50" s="29">
        <f t="shared" si="23"/>
        <v>0</v>
      </c>
      <c r="V50" s="32">
        <f t="shared" si="24"/>
        <v>0</v>
      </c>
      <c r="W50" s="32">
        <f t="shared" si="25"/>
        <v>0</v>
      </c>
      <c r="X50" s="29">
        <f t="shared" si="26"/>
        <v>0</v>
      </c>
      <c r="Y50" s="28">
        <f t="shared" si="27"/>
        <v>0</v>
      </c>
      <c r="Z50" s="28">
        <f t="shared" si="12"/>
        <v>0</v>
      </c>
    </row>
    <row r="51" spans="7:26" ht="15.75" customHeight="1">
      <c r="G51" s="35">
        <f t="shared" si="14"/>
        <v>47452</v>
      </c>
      <c r="H51">
        <f t="shared" si="15"/>
        <v>4</v>
      </c>
      <c r="I51">
        <v>46</v>
      </c>
      <c r="J51" s="9">
        <f t="shared" si="16"/>
        <v>1</v>
      </c>
      <c r="K51" s="9">
        <f t="shared" si="17"/>
        <v>1</v>
      </c>
      <c r="L51" s="31">
        <f t="shared" si="13"/>
        <v>0</v>
      </c>
      <c r="M51" s="10">
        <v>0</v>
      </c>
      <c r="N51" s="10">
        <f t="shared" si="18"/>
        <v>0</v>
      </c>
      <c r="O51" s="10">
        <f t="shared" si="2"/>
        <v>0</v>
      </c>
      <c r="P51" s="10">
        <f t="shared" si="19"/>
        <v>0</v>
      </c>
      <c r="R51" s="29">
        <f t="shared" si="20"/>
        <v>0</v>
      </c>
      <c r="S51" s="29">
        <f t="shared" si="21"/>
        <v>0</v>
      </c>
      <c r="T51" s="29">
        <f t="shared" si="22"/>
        <v>0</v>
      </c>
      <c r="U51" s="29">
        <f t="shared" si="23"/>
        <v>0</v>
      </c>
      <c r="V51" s="32">
        <f t="shared" si="24"/>
        <v>0</v>
      </c>
      <c r="W51" s="32">
        <f t="shared" si="25"/>
        <v>0</v>
      </c>
      <c r="X51" s="29">
        <f t="shared" si="26"/>
        <v>0</v>
      </c>
      <c r="Y51" s="28">
        <f t="shared" si="27"/>
        <v>0</v>
      </c>
      <c r="Z51" s="28">
        <f t="shared" si="12"/>
        <v>0</v>
      </c>
    </row>
    <row r="52" spans="7:26" ht="15.75" customHeight="1">
      <c r="G52" s="35">
        <f t="shared" si="14"/>
        <v>47483</v>
      </c>
      <c r="H52">
        <f t="shared" si="15"/>
        <v>4</v>
      </c>
      <c r="I52">
        <v>47</v>
      </c>
      <c r="J52" s="9">
        <f t="shared" si="16"/>
        <v>1</v>
      </c>
      <c r="K52" s="9">
        <f t="shared" si="17"/>
        <v>1</v>
      </c>
      <c r="L52" s="31">
        <f t="shared" si="13"/>
        <v>0</v>
      </c>
      <c r="M52" s="10">
        <v>0</v>
      </c>
      <c r="N52" s="10">
        <f t="shared" si="18"/>
        <v>0</v>
      </c>
      <c r="O52" s="10">
        <f t="shared" si="2"/>
        <v>0</v>
      </c>
      <c r="P52" s="10">
        <f t="shared" si="19"/>
        <v>0</v>
      </c>
      <c r="R52" s="29">
        <f t="shared" si="20"/>
        <v>0</v>
      </c>
      <c r="S52" s="29">
        <f t="shared" si="21"/>
        <v>0</v>
      </c>
      <c r="T52" s="29">
        <f t="shared" si="22"/>
        <v>0</v>
      </c>
      <c r="U52" s="29">
        <f t="shared" si="23"/>
        <v>0</v>
      </c>
      <c r="V52" s="32">
        <f t="shared" si="24"/>
        <v>0</v>
      </c>
      <c r="W52" s="32">
        <f t="shared" si="25"/>
        <v>0</v>
      </c>
      <c r="X52" s="29">
        <f t="shared" si="26"/>
        <v>0</v>
      </c>
      <c r="Y52" s="28">
        <f t="shared" si="27"/>
        <v>0</v>
      </c>
      <c r="Z52" s="28">
        <f t="shared" si="12"/>
        <v>0</v>
      </c>
    </row>
    <row r="53" spans="7:26" ht="15.75" customHeight="1">
      <c r="G53" s="63">
        <f>EOMONTH(G52,1)</f>
        <v>47514</v>
      </c>
      <c r="H53" s="55">
        <f>H41+1</f>
        <v>4</v>
      </c>
      <c r="I53" s="56">
        <v>48</v>
      </c>
      <c r="J53" s="57">
        <f t="shared" si="16"/>
        <v>1</v>
      </c>
      <c r="K53" s="57">
        <f t="shared" si="17"/>
        <v>1</v>
      </c>
      <c r="L53" s="58">
        <f t="shared" si="13"/>
        <v>0</v>
      </c>
      <c r="M53" s="59">
        <v>0</v>
      </c>
      <c r="N53" s="59">
        <f t="shared" si="18"/>
        <v>0</v>
      </c>
      <c r="O53" s="59">
        <f>O52-N53</f>
        <v>0</v>
      </c>
      <c r="P53" s="59">
        <f t="shared" si="19"/>
        <v>0</v>
      </c>
      <c r="Q53" s="59"/>
      <c r="R53" s="60">
        <f t="shared" si="20"/>
        <v>0</v>
      </c>
      <c r="S53" s="60">
        <f t="shared" si="21"/>
        <v>0</v>
      </c>
      <c r="T53" s="60">
        <f t="shared" si="22"/>
        <v>0</v>
      </c>
      <c r="U53" s="60">
        <f t="shared" si="23"/>
        <v>0</v>
      </c>
      <c r="V53" s="61">
        <f t="shared" si="24"/>
        <v>0</v>
      </c>
      <c r="W53" s="61">
        <f t="shared" si="25"/>
        <v>0</v>
      </c>
      <c r="X53" s="60">
        <f t="shared" si="26"/>
        <v>0</v>
      </c>
      <c r="Y53" s="62">
        <f t="shared" si="27"/>
        <v>0</v>
      </c>
      <c r="Z53" s="62">
        <f>S53+T53+U53+X53</f>
        <v>0</v>
      </c>
    </row>
    <row r="54" spans="7:26" ht="15.75" customHeight="1">
      <c r="M54"/>
      <c r="N54"/>
      <c r="O54"/>
      <c r="P54"/>
      <c r="Q54"/>
      <c r="R54"/>
      <c r="S54"/>
      <c r="T54"/>
      <c r="U54"/>
      <c r="V54"/>
      <c r="W54"/>
      <c r="X54"/>
    </row>
    <row r="55" spans="7:26" ht="15.75" customHeight="1">
      <c r="M55"/>
      <c r="N55"/>
      <c r="O55"/>
      <c r="P55"/>
      <c r="Q55"/>
      <c r="R55"/>
      <c r="S55"/>
      <c r="T55"/>
      <c r="U55"/>
      <c r="V55"/>
      <c r="W55"/>
      <c r="X55"/>
    </row>
    <row r="56" spans="7:26" ht="15.75" customHeight="1">
      <c r="M56"/>
      <c r="N56"/>
      <c r="O56"/>
      <c r="P56"/>
      <c r="Q56"/>
      <c r="R56"/>
      <c r="S56"/>
      <c r="T56"/>
      <c r="U56"/>
      <c r="V56"/>
      <c r="W56"/>
      <c r="X56"/>
    </row>
    <row r="57" spans="7:26" ht="15.75" customHeight="1">
      <c r="M57"/>
      <c r="N57"/>
      <c r="O57"/>
      <c r="P57"/>
      <c r="Q57"/>
      <c r="R57"/>
      <c r="S57"/>
      <c r="T57"/>
      <c r="U57"/>
      <c r="V57"/>
      <c r="W57"/>
      <c r="X57"/>
    </row>
    <row r="58" spans="7:26" ht="15.75" customHeight="1">
      <c r="M58"/>
      <c r="N58"/>
      <c r="O58"/>
      <c r="P58"/>
      <c r="Q58"/>
      <c r="R58"/>
      <c r="S58"/>
      <c r="T58"/>
      <c r="U58"/>
      <c r="V58"/>
      <c r="W58"/>
      <c r="X58"/>
    </row>
    <row r="59" spans="7:26" ht="15.75" customHeight="1">
      <c r="M59"/>
      <c r="N59"/>
      <c r="O59"/>
      <c r="P59"/>
      <c r="Q59"/>
      <c r="R59"/>
      <c r="S59"/>
      <c r="T59"/>
      <c r="U59"/>
      <c r="V59"/>
      <c r="W59"/>
      <c r="X59"/>
    </row>
    <row r="60" spans="7:26" ht="15.75" customHeight="1">
      <c r="M60"/>
      <c r="N60"/>
      <c r="O60"/>
      <c r="P60"/>
      <c r="Q60"/>
      <c r="R60"/>
      <c r="S60"/>
      <c r="T60"/>
      <c r="U60"/>
      <c r="V60"/>
      <c r="W60"/>
      <c r="X60"/>
    </row>
    <row r="61" spans="7:26" ht="15.75" customHeight="1">
      <c r="M61"/>
      <c r="N61"/>
      <c r="O61"/>
      <c r="P61"/>
      <c r="Q61"/>
      <c r="R61"/>
      <c r="S61"/>
      <c r="T61"/>
      <c r="U61"/>
      <c r="V61"/>
      <c r="W61"/>
      <c r="X61"/>
    </row>
    <row r="62" spans="7:26" ht="15.75" customHeight="1">
      <c r="M62"/>
      <c r="N62"/>
      <c r="O62"/>
      <c r="P62"/>
      <c r="Q62"/>
      <c r="R62"/>
      <c r="S62"/>
      <c r="T62"/>
      <c r="U62"/>
      <c r="V62"/>
      <c r="W62"/>
      <c r="X62"/>
    </row>
    <row r="63" spans="7:26" ht="15.75" customHeight="1">
      <c r="M63"/>
      <c r="N63"/>
      <c r="O63"/>
      <c r="P63"/>
      <c r="Q63"/>
      <c r="R63"/>
      <c r="S63"/>
      <c r="T63"/>
      <c r="U63"/>
      <c r="V63"/>
      <c r="W63"/>
      <c r="X63"/>
    </row>
    <row r="64" spans="7:26" ht="15.75" customHeight="1">
      <c r="M64"/>
      <c r="N64"/>
      <c r="O64"/>
      <c r="P64"/>
      <c r="Q64"/>
      <c r="R64"/>
      <c r="S64"/>
      <c r="T64"/>
      <c r="U64"/>
      <c r="V64"/>
      <c r="W64"/>
      <c r="X64"/>
    </row>
    <row r="65" spans="13:24" ht="15.75" customHeight="1">
      <c r="M65"/>
      <c r="N65"/>
      <c r="O65"/>
      <c r="P65"/>
      <c r="Q65"/>
      <c r="R65"/>
      <c r="S65"/>
      <c r="T65"/>
      <c r="U65"/>
      <c r="V65"/>
      <c r="W65"/>
      <c r="X65"/>
    </row>
    <row r="66" spans="13:24" ht="15.75" customHeight="1">
      <c r="M66"/>
      <c r="N66"/>
      <c r="O66"/>
      <c r="P66"/>
      <c r="Q66"/>
      <c r="R66"/>
      <c r="S66"/>
      <c r="T66"/>
      <c r="U66"/>
      <c r="V66"/>
      <c r="W66"/>
      <c r="X66"/>
    </row>
    <row r="67" spans="13:24" ht="15.75" customHeight="1">
      <c r="M67"/>
      <c r="N67"/>
      <c r="O67"/>
      <c r="P67"/>
      <c r="Q67"/>
      <c r="R67"/>
      <c r="S67"/>
      <c r="T67"/>
      <c r="U67"/>
      <c r="V67"/>
      <c r="W67"/>
      <c r="X67"/>
    </row>
    <row r="68" spans="13:24" ht="15.75" customHeight="1">
      <c r="M68"/>
      <c r="N68"/>
      <c r="O68"/>
      <c r="P68"/>
      <c r="Q68"/>
      <c r="R68"/>
      <c r="S68"/>
      <c r="T68"/>
      <c r="U68"/>
      <c r="V68"/>
      <c r="W68"/>
      <c r="X68"/>
    </row>
    <row r="69" spans="13:24" ht="15.75" customHeight="1">
      <c r="M69"/>
      <c r="N69"/>
      <c r="O69"/>
      <c r="P69"/>
      <c r="Q69"/>
      <c r="R69"/>
      <c r="S69"/>
      <c r="T69"/>
      <c r="U69"/>
      <c r="V69"/>
      <c r="W69"/>
      <c r="X69"/>
    </row>
    <row r="70" spans="13:24" ht="15.75" customHeight="1">
      <c r="M70"/>
      <c r="N70"/>
      <c r="O70"/>
      <c r="P70"/>
      <c r="Q70"/>
      <c r="R70"/>
      <c r="S70"/>
      <c r="T70"/>
      <c r="U70"/>
      <c r="V70"/>
      <c r="W70"/>
      <c r="X70"/>
    </row>
    <row r="71" spans="13:24" ht="15.75" customHeight="1">
      <c r="M71"/>
      <c r="N71"/>
      <c r="O71"/>
      <c r="P71"/>
      <c r="Q71"/>
      <c r="R71"/>
      <c r="S71"/>
      <c r="T71"/>
      <c r="U71"/>
      <c r="V71"/>
      <c r="W71"/>
      <c r="X71"/>
    </row>
    <row r="72" spans="13:24" ht="15.75" customHeight="1">
      <c r="M72"/>
      <c r="N72"/>
      <c r="O72"/>
      <c r="P72"/>
      <c r="Q72"/>
      <c r="R72"/>
      <c r="S72"/>
      <c r="T72"/>
      <c r="U72"/>
      <c r="V72"/>
      <c r="W72"/>
      <c r="X72"/>
    </row>
    <row r="73" spans="13:24" ht="15.75" customHeight="1">
      <c r="M73"/>
      <c r="N73"/>
      <c r="O73"/>
      <c r="P73"/>
      <c r="Q73"/>
      <c r="R73"/>
      <c r="S73"/>
      <c r="T73"/>
      <c r="U73"/>
      <c r="V73"/>
      <c r="W73"/>
      <c r="X73"/>
    </row>
    <row r="74" spans="13:24" ht="15.75" customHeight="1">
      <c r="M74"/>
      <c r="N74"/>
      <c r="O74"/>
      <c r="P74"/>
      <c r="Q74"/>
      <c r="R74"/>
      <c r="S74"/>
      <c r="T74"/>
      <c r="U74"/>
      <c r="V74"/>
      <c r="W74"/>
      <c r="X74"/>
    </row>
    <row r="75" spans="13:24" ht="15.75" customHeight="1">
      <c r="M75"/>
      <c r="N75"/>
      <c r="O75"/>
      <c r="P75"/>
      <c r="Q75"/>
      <c r="R75"/>
      <c r="S75"/>
      <c r="T75"/>
      <c r="U75"/>
      <c r="V75"/>
      <c r="W75"/>
      <c r="X75"/>
    </row>
    <row r="76" spans="13:24" ht="15.75" customHeight="1">
      <c r="M76"/>
      <c r="N76"/>
      <c r="O76"/>
      <c r="P76"/>
      <c r="Q76"/>
      <c r="R76"/>
      <c r="S76"/>
      <c r="T76"/>
      <c r="U76"/>
      <c r="V76"/>
      <c r="W76"/>
      <c r="X76"/>
    </row>
    <row r="77" spans="13:24" ht="15.75" customHeight="1">
      <c r="M77"/>
      <c r="N77"/>
      <c r="O77"/>
      <c r="P77"/>
      <c r="Q77"/>
      <c r="R77"/>
      <c r="S77"/>
      <c r="T77"/>
      <c r="U77"/>
      <c r="V77"/>
      <c r="W77"/>
      <c r="X77"/>
    </row>
    <row r="78" spans="13:24" ht="15.75" customHeight="1">
      <c r="M78"/>
      <c r="N78"/>
      <c r="O78"/>
      <c r="P78"/>
      <c r="Q78"/>
      <c r="R78"/>
      <c r="S78"/>
      <c r="T78"/>
      <c r="U78"/>
      <c r="V78"/>
      <c r="W78"/>
      <c r="X78"/>
    </row>
    <row r="79" spans="13:24" ht="15.75" customHeight="1">
      <c r="M79"/>
      <c r="N79"/>
      <c r="O79"/>
      <c r="P79"/>
      <c r="Q79"/>
      <c r="R79"/>
      <c r="S79"/>
      <c r="T79"/>
      <c r="U79"/>
      <c r="V79"/>
      <c r="W79"/>
      <c r="X79"/>
    </row>
    <row r="80" spans="13:24" ht="15.75" customHeight="1">
      <c r="M80"/>
      <c r="N80"/>
      <c r="O80"/>
      <c r="P80"/>
      <c r="Q80"/>
      <c r="R80"/>
      <c r="S80"/>
      <c r="T80"/>
      <c r="U80"/>
      <c r="V80"/>
      <c r="W80"/>
      <c r="X80"/>
    </row>
    <row r="81" spans="13:24" ht="15.75" customHeight="1">
      <c r="M81"/>
      <c r="N81"/>
      <c r="O81"/>
      <c r="P81"/>
      <c r="Q81"/>
      <c r="R81"/>
      <c r="S81"/>
      <c r="T81"/>
      <c r="U81"/>
      <c r="V81"/>
      <c r="W81"/>
      <c r="X81"/>
    </row>
    <row r="82" spans="13:24" ht="15.75" customHeight="1">
      <c r="M82"/>
      <c r="N82"/>
      <c r="O82"/>
      <c r="P82"/>
      <c r="Q82"/>
      <c r="R82"/>
      <c r="S82"/>
      <c r="T82"/>
      <c r="U82"/>
      <c r="V82"/>
      <c r="W82"/>
      <c r="X82"/>
    </row>
    <row r="83" spans="13:24" ht="15.75" customHeight="1">
      <c r="M83"/>
      <c r="N83"/>
      <c r="O83"/>
      <c r="P83"/>
      <c r="Q83"/>
      <c r="R83"/>
      <c r="S83"/>
      <c r="T83"/>
      <c r="U83"/>
      <c r="V83"/>
      <c r="W83"/>
      <c r="X83"/>
    </row>
    <row r="84" spans="13:24" ht="15.75" customHeight="1">
      <c r="M84"/>
      <c r="N84"/>
      <c r="O84"/>
      <c r="P84"/>
      <c r="Q84"/>
      <c r="R84"/>
      <c r="S84"/>
      <c r="T84"/>
      <c r="U84"/>
      <c r="V84"/>
      <c r="W84"/>
      <c r="X84"/>
    </row>
    <row r="85" spans="13:24" ht="15.75" customHeight="1">
      <c r="M85"/>
      <c r="N85"/>
      <c r="O85"/>
      <c r="P85"/>
      <c r="Q85"/>
      <c r="R85"/>
      <c r="S85"/>
      <c r="T85"/>
      <c r="U85"/>
      <c r="V85"/>
      <c r="W85"/>
      <c r="X85"/>
    </row>
    <row r="86" spans="13:24" ht="15.75" customHeight="1">
      <c r="M86"/>
      <c r="N86"/>
      <c r="O86"/>
      <c r="P86"/>
      <c r="Q86"/>
      <c r="R86"/>
      <c r="S86"/>
      <c r="T86"/>
      <c r="U86"/>
      <c r="V86"/>
      <c r="W86"/>
      <c r="X86"/>
    </row>
    <row r="87" spans="13:24" ht="15.75" customHeight="1">
      <c r="M87"/>
      <c r="N87"/>
      <c r="O87"/>
      <c r="P87"/>
      <c r="Q87"/>
      <c r="R87"/>
      <c r="S87"/>
      <c r="T87"/>
      <c r="U87"/>
      <c r="V87"/>
      <c r="W87"/>
      <c r="X87"/>
    </row>
    <row r="88" spans="13:24" ht="15.75" customHeight="1">
      <c r="M88"/>
      <c r="N88"/>
      <c r="O88"/>
      <c r="P88"/>
      <c r="Q88"/>
      <c r="R88"/>
      <c r="S88"/>
      <c r="T88"/>
      <c r="U88"/>
      <c r="V88"/>
      <c r="W88"/>
      <c r="X88"/>
    </row>
    <row r="89" spans="13:24" ht="15.75" customHeight="1">
      <c r="M89"/>
      <c r="N89"/>
      <c r="O89"/>
      <c r="P89"/>
      <c r="Q89"/>
      <c r="R89"/>
      <c r="S89"/>
      <c r="T89"/>
      <c r="U89"/>
      <c r="V89"/>
      <c r="W89"/>
      <c r="X89"/>
    </row>
    <row r="90" spans="13:24" ht="15.75" customHeight="1">
      <c r="M90"/>
      <c r="N90"/>
      <c r="O90"/>
      <c r="P90"/>
      <c r="Q90"/>
      <c r="R90"/>
      <c r="S90"/>
      <c r="T90"/>
      <c r="U90"/>
      <c r="V90"/>
      <c r="W90"/>
      <c r="X90"/>
    </row>
    <row r="91" spans="13:24" ht="15.75" customHeight="1">
      <c r="M91"/>
      <c r="N91"/>
      <c r="O91"/>
      <c r="P91"/>
      <c r="Q91"/>
      <c r="R91"/>
      <c r="S91"/>
      <c r="T91"/>
      <c r="U91"/>
      <c r="V91"/>
      <c r="W91"/>
      <c r="X91"/>
    </row>
    <row r="92" spans="13:24" ht="15.75" customHeight="1">
      <c r="M92"/>
      <c r="N92"/>
      <c r="O92"/>
      <c r="P92"/>
      <c r="Q92"/>
      <c r="R92"/>
      <c r="S92"/>
      <c r="T92"/>
      <c r="U92"/>
      <c r="V92"/>
      <c r="W92"/>
      <c r="X92"/>
    </row>
    <row r="93" spans="13:24" ht="15.75" customHeight="1">
      <c r="M93"/>
      <c r="N93"/>
      <c r="O93"/>
      <c r="P93"/>
      <c r="Q93"/>
      <c r="R93"/>
      <c r="S93"/>
      <c r="T93"/>
      <c r="U93"/>
      <c r="V93"/>
      <c r="W93"/>
      <c r="X93"/>
    </row>
    <row r="94" spans="13:24" ht="15.75" customHeight="1">
      <c r="M94"/>
      <c r="N94"/>
      <c r="O94"/>
      <c r="P94"/>
      <c r="Q94"/>
      <c r="R94"/>
      <c r="S94"/>
      <c r="T94"/>
      <c r="U94"/>
      <c r="V94"/>
      <c r="W94"/>
      <c r="X94"/>
    </row>
    <row r="95" spans="13:24" ht="15.75" customHeight="1">
      <c r="M95"/>
      <c r="N95"/>
      <c r="O95"/>
      <c r="P95"/>
      <c r="Q95"/>
      <c r="R95"/>
      <c r="S95"/>
      <c r="T95"/>
      <c r="U95"/>
      <c r="V95"/>
      <c r="W95"/>
      <c r="X95"/>
    </row>
    <row r="96" spans="13:24" ht="15.75" customHeight="1">
      <c r="M96"/>
      <c r="N96"/>
      <c r="O96"/>
      <c r="P96"/>
      <c r="Q96"/>
      <c r="R96"/>
      <c r="S96"/>
      <c r="T96"/>
      <c r="U96"/>
      <c r="V96"/>
      <c r="W96"/>
      <c r="X96"/>
    </row>
    <row r="97" spans="13:24" ht="15.75" customHeight="1">
      <c r="M97"/>
      <c r="N97"/>
      <c r="O97"/>
      <c r="P97"/>
      <c r="Q97"/>
      <c r="R97"/>
      <c r="S97"/>
      <c r="T97"/>
      <c r="U97"/>
      <c r="V97"/>
      <c r="W97"/>
      <c r="X97"/>
    </row>
    <row r="98" spans="13:24" ht="15.75" customHeight="1">
      <c r="M98"/>
      <c r="N98"/>
      <c r="O98"/>
      <c r="P98"/>
      <c r="Q98"/>
      <c r="R98"/>
      <c r="S98"/>
      <c r="T98"/>
      <c r="U98"/>
      <c r="V98"/>
      <c r="W98"/>
      <c r="X98"/>
    </row>
    <row r="99" spans="13:24" ht="15.75" customHeight="1">
      <c r="M99"/>
      <c r="N99"/>
      <c r="O99"/>
      <c r="P99"/>
      <c r="Q99"/>
      <c r="R99"/>
      <c r="S99"/>
      <c r="T99"/>
      <c r="U99"/>
      <c r="V99"/>
      <c r="W99"/>
      <c r="X99"/>
    </row>
    <row r="100" spans="13:24" ht="15.75" customHeight="1">
      <c r="M100"/>
      <c r="N100"/>
      <c r="O100"/>
      <c r="P100"/>
      <c r="Q100"/>
      <c r="R100"/>
      <c r="S100"/>
      <c r="T100"/>
      <c r="U100"/>
      <c r="V100"/>
      <c r="W100"/>
      <c r="X100"/>
    </row>
    <row r="101" spans="13:24" ht="15.75" customHeight="1">
      <c r="M101"/>
      <c r="N101"/>
      <c r="O101"/>
      <c r="P101"/>
      <c r="Q101"/>
      <c r="R101"/>
      <c r="S101"/>
      <c r="T101"/>
      <c r="U101"/>
      <c r="V101"/>
      <c r="W101"/>
      <c r="X101"/>
    </row>
    <row r="102" spans="13:24" ht="15.75" customHeight="1">
      <c r="M102"/>
      <c r="N102"/>
      <c r="O102"/>
      <c r="P102"/>
      <c r="Q102"/>
      <c r="R102"/>
      <c r="S102"/>
      <c r="T102"/>
      <c r="U102"/>
      <c r="V102"/>
      <c r="W102"/>
      <c r="X102"/>
    </row>
    <row r="103" spans="13:24" ht="15.75" customHeight="1">
      <c r="M103"/>
      <c r="N103"/>
      <c r="O103"/>
      <c r="P103"/>
      <c r="Q103"/>
      <c r="R103"/>
      <c r="S103"/>
      <c r="T103"/>
      <c r="U103"/>
      <c r="V103"/>
      <c r="W103"/>
      <c r="X103"/>
    </row>
    <row r="104" spans="13:24" ht="15.75" customHeight="1">
      <c r="M104"/>
      <c r="N104"/>
      <c r="O104"/>
      <c r="P104"/>
      <c r="Q104"/>
      <c r="R104"/>
      <c r="S104"/>
      <c r="T104"/>
      <c r="U104"/>
      <c r="V104"/>
      <c r="W104"/>
      <c r="X104"/>
    </row>
    <row r="105" spans="13:24" ht="15.75" customHeight="1">
      <c r="M105"/>
      <c r="N105"/>
      <c r="O105"/>
      <c r="P105"/>
      <c r="Q105"/>
      <c r="R105"/>
      <c r="S105"/>
      <c r="T105"/>
      <c r="U105"/>
      <c r="V105"/>
      <c r="W105"/>
      <c r="X105"/>
    </row>
    <row r="106" spans="13:24" ht="15.75" customHeight="1">
      <c r="M106"/>
      <c r="N106"/>
      <c r="O106"/>
      <c r="P106"/>
      <c r="Q106"/>
      <c r="R106"/>
      <c r="S106"/>
      <c r="T106"/>
      <c r="U106"/>
      <c r="V106"/>
      <c r="W106"/>
      <c r="X106"/>
    </row>
    <row r="107" spans="13:24" ht="15.75" customHeight="1">
      <c r="M107"/>
      <c r="N107"/>
      <c r="O107"/>
      <c r="P107"/>
      <c r="Q107"/>
      <c r="R107"/>
      <c r="S107"/>
      <c r="T107"/>
      <c r="U107"/>
      <c r="V107"/>
      <c r="W107"/>
      <c r="X107"/>
    </row>
    <row r="108" spans="13:24" ht="15.75" customHeight="1">
      <c r="M108"/>
      <c r="N108"/>
      <c r="O108"/>
      <c r="P108"/>
      <c r="Q108"/>
      <c r="R108"/>
      <c r="S108"/>
      <c r="T108"/>
      <c r="U108"/>
      <c r="V108"/>
      <c r="W108"/>
      <c r="X108"/>
    </row>
    <row r="109" spans="13:24" ht="15.75" customHeight="1">
      <c r="M109"/>
      <c r="N109"/>
      <c r="O109"/>
      <c r="P109"/>
      <c r="Q109"/>
      <c r="R109"/>
      <c r="S109"/>
      <c r="T109"/>
      <c r="U109"/>
      <c r="V109"/>
      <c r="W109"/>
      <c r="X109"/>
    </row>
    <row r="110" spans="13:24" ht="15.75" customHeight="1">
      <c r="M110"/>
      <c r="N110"/>
      <c r="O110"/>
      <c r="P110"/>
      <c r="Q110"/>
      <c r="R110"/>
      <c r="S110"/>
      <c r="T110"/>
      <c r="U110"/>
      <c r="V110"/>
      <c r="W110"/>
      <c r="X110"/>
    </row>
    <row r="111" spans="13:24" ht="15.75" customHeight="1">
      <c r="M111"/>
      <c r="N111"/>
      <c r="O111"/>
      <c r="P111"/>
      <c r="Q111"/>
      <c r="R111"/>
      <c r="S111"/>
      <c r="T111"/>
      <c r="U111"/>
      <c r="V111"/>
      <c r="W111"/>
      <c r="X111"/>
    </row>
    <row r="112" spans="13:24" ht="15.75" customHeight="1">
      <c r="M112"/>
      <c r="N112"/>
      <c r="O112"/>
      <c r="P112"/>
      <c r="Q112"/>
      <c r="R112"/>
      <c r="S112"/>
      <c r="T112"/>
      <c r="U112"/>
      <c r="V112"/>
      <c r="W112"/>
      <c r="X112"/>
    </row>
    <row r="113" spans="9:24" ht="15.75" customHeight="1">
      <c r="M113"/>
      <c r="N113"/>
      <c r="O113"/>
      <c r="P113"/>
      <c r="Q113"/>
      <c r="R113"/>
      <c r="S113"/>
      <c r="T113"/>
      <c r="U113"/>
      <c r="V113"/>
      <c r="W113"/>
      <c r="X113"/>
    </row>
    <row r="114" spans="9:24" ht="15.75" customHeight="1">
      <c r="M114"/>
      <c r="N114"/>
      <c r="O114"/>
      <c r="P114"/>
      <c r="Q114"/>
      <c r="R114"/>
      <c r="S114"/>
      <c r="T114"/>
      <c r="U114"/>
      <c r="V114"/>
      <c r="W114"/>
      <c r="X114"/>
    </row>
    <row r="115" spans="9:24" ht="15.75" customHeight="1">
      <c r="M115"/>
      <c r="N115"/>
      <c r="O115"/>
      <c r="P115"/>
      <c r="Q115"/>
      <c r="R115"/>
      <c r="S115"/>
      <c r="T115"/>
      <c r="U115"/>
      <c r="V115"/>
      <c r="W115"/>
      <c r="X115"/>
    </row>
    <row r="116" spans="9:24" ht="15.75" customHeight="1">
      <c r="M116"/>
      <c r="N116"/>
      <c r="O116"/>
      <c r="P116"/>
      <c r="Q116"/>
      <c r="R116"/>
      <c r="S116"/>
      <c r="T116"/>
      <c r="U116"/>
      <c r="V116"/>
      <c r="W116"/>
      <c r="X116"/>
    </row>
    <row r="117" spans="9:24" ht="15.75" customHeight="1">
      <c r="M117"/>
      <c r="N117"/>
      <c r="O117"/>
      <c r="P117"/>
      <c r="Q117"/>
      <c r="R117"/>
      <c r="S117"/>
      <c r="T117"/>
      <c r="U117"/>
      <c r="V117"/>
      <c r="W117"/>
      <c r="X117"/>
    </row>
    <row r="118" spans="9:24" ht="15.75" customHeight="1">
      <c r="M118"/>
      <c r="N118"/>
      <c r="O118"/>
      <c r="P118"/>
      <c r="Q118"/>
      <c r="R118"/>
      <c r="S118"/>
      <c r="T118"/>
      <c r="U118"/>
      <c r="V118"/>
      <c r="W118"/>
      <c r="X118"/>
    </row>
    <row r="119" spans="9:24" ht="15.75" customHeight="1">
      <c r="M119"/>
      <c r="N119"/>
      <c r="O119"/>
      <c r="P119"/>
      <c r="Q119"/>
      <c r="R119"/>
      <c r="S119"/>
      <c r="T119"/>
      <c r="U119"/>
      <c r="V119"/>
      <c r="W119"/>
      <c r="X119"/>
    </row>
    <row r="120" spans="9:24" ht="15.75" customHeight="1">
      <c r="M120"/>
      <c r="N120"/>
      <c r="O120"/>
      <c r="P120"/>
      <c r="Q120"/>
      <c r="R120"/>
      <c r="S120"/>
      <c r="T120"/>
      <c r="U120"/>
      <c r="V120"/>
      <c r="W120"/>
      <c r="X120"/>
    </row>
    <row r="121" spans="9:24" ht="15.75" customHeight="1">
      <c r="M121"/>
      <c r="N121"/>
      <c r="O121"/>
      <c r="P121"/>
      <c r="Q121"/>
      <c r="R121"/>
      <c r="S121"/>
      <c r="T121"/>
      <c r="U121"/>
      <c r="V121"/>
      <c r="W121"/>
      <c r="X121"/>
    </row>
    <row r="122" spans="9:24" ht="15.75" customHeight="1">
      <c r="M122"/>
      <c r="N122"/>
      <c r="O122"/>
      <c r="P122"/>
      <c r="Q122"/>
      <c r="R122"/>
      <c r="S122"/>
      <c r="T122"/>
      <c r="U122"/>
      <c r="V122"/>
      <c r="W122"/>
      <c r="X122"/>
    </row>
    <row r="123" spans="9:24" ht="15.75" customHeight="1">
      <c r="M123"/>
      <c r="N123"/>
      <c r="O123"/>
      <c r="P123"/>
      <c r="Q123"/>
      <c r="R123"/>
      <c r="S123"/>
      <c r="T123"/>
      <c r="U123"/>
      <c r="V123"/>
      <c r="W123"/>
      <c r="X123"/>
    </row>
    <row r="124" spans="9:24" ht="15.75" customHeight="1">
      <c r="M124"/>
      <c r="N124"/>
      <c r="O124"/>
      <c r="P124"/>
      <c r="Q124"/>
      <c r="R124"/>
      <c r="S124"/>
      <c r="T124"/>
      <c r="U124"/>
      <c r="V124"/>
      <c r="W124"/>
      <c r="X124"/>
    </row>
    <row r="125" spans="9:24" ht="15.75" customHeight="1">
      <c r="M125"/>
      <c r="N125"/>
      <c r="O125"/>
      <c r="P125"/>
      <c r="Q125"/>
      <c r="R125"/>
      <c r="S125"/>
      <c r="T125"/>
      <c r="U125"/>
      <c r="V125"/>
      <c r="W125"/>
      <c r="X125"/>
    </row>
    <row r="126" spans="9:24" ht="14.65" customHeight="1">
      <c r="I126" s="3"/>
      <c r="J126" s="3"/>
      <c r="K126" s="3"/>
      <c r="L126" s="3"/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A4E64-8BE9-4B34-A9B4-128DBC3974B0}">
  <sheetPr codeName="Sheet4">
    <tabColor theme="9" tint="0.79998168889431442"/>
  </sheetPr>
  <dimension ref="B1:AA126"/>
  <sheetViews>
    <sheetView showGridLines="0" zoomScaleNormal="100" workbookViewId="0">
      <selection activeCell="E47" sqref="E47"/>
    </sheetView>
  </sheetViews>
  <sheetFormatPr defaultColWidth="9.140625" defaultRowHeight="14.65" customHeight="1"/>
  <cols>
    <col min="1" max="1" width="6.140625" customWidth="1"/>
    <col min="2" max="2" width="5.28515625" customWidth="1"/>
    <col min="3" max="3" width="26.7109375" customWidth="1"/>
    <col min="4" max="4" width="5.140625" customWidth="1"/>
    <col min="5" max="5" width="12.5703125" style="10" customWidth="1"/>
    <col min="6" max="6" width="6.5703125" customWidth="1"/>
    <col min="7" max="7" width="10.5703125" customWidth="1"/>
    <col min="8" max="8" width="6.5703125" customWidth="1"/>
    <col min="9" max="9" width="7.42578125" customWidth="1"/>
    <col min="10" max="12" width="14.28515625" customWidth="1"/>
    <col min="13" max="24" width="14.28515625" style="10" customWidth="1"/>
    <col min="25" max="26" width="14.28515625" customWidth="1"/>
    <col min="27" max="27" width="7.140625" customWidth="1"/>
  </cols>
  <sheetData>
    <row r="1" spans="2:27" ht="15" customHeight="1">
      <c r="T1"/>
      <c r="U1"/>
      <c r="V1"/>
      <c r="W1"/>
      <c r="X1"/>
    </row>
    <row r="2" spans="2:27" ht="18" customHeight="1">
      <c r="B2" s="1"/>
      <c r="C2" s="100" t="s">
        <v>57</v>
      </c>
      <c r="D2" s="96"/>
      <c r="E2" s="97"/>
      <c r="G2" s="64" t="s">
        <v>58</v>
      </c>
      <c r="H2" s="49"/>
      <c r="I2" s="50"/>
      <c r="J2" s="50"/>
      <c r="K2" s="50"/>
      <c r="L2" s="50"/>
      <c r="M2" s="51"/>
      <c r="N2" s="51"/>
      <c r="O2" s="51"/>
      <c r="P2" s="51"/>
      <c r="Q2" s="51"/>
      <c r="R2" s="51"/>
      <c r="S2" s="51"/>
      <c r="T2" s="51"/>
      <c r="U2" s="51"/>
      <c r="V2" s="52"/>
      <c r="W2" s="52"/>
      <c r="X2" s="51"/>
      <c r="Y2" s="49"/>
      <c r="Z2" s="49"/>
    </row>
    <row r="3" spans="2:27" s="3" customFormat="1" ht="29.25" customHeight="1">
      <c r="B3" s="1"/>
      <c r="C3" s="98"/>
      <c r="D3" s="101"/>
      <c r="E3" s="99"/>
      <c r="G3" s="36"/>
      <c r="H3" s="36"/>
      <c r="I3" s="38" t="s">
        <v>59</v>
      </c>
      <c r="J3" s="39" t="s">
        <v>60</v>
      </c>
      <c r="K3" s="38" t="s">
        <v>61</v>
      </c>
      <c r="L3" s="38" t="s">
        <v>62</v>
      </c>
      <c r="M3" s="40" t="s">
        <v>63</v>
      </c>
      <c r="N3" s="40" t="s">
        <v>64</v>
      </c>
      <c r="O3" s="40" t="s">
        <v>65</v>
      </c>
      <c r="P3" s="40" t="s">
        <v>66</v>
      </c>
      <c r="Q3" s="40" t="s">
        <v>67</v>
      </c>
      <c r="R3" s="40" t="s">
        <v>68</v>
      </c>
      <c r="S3" s="40" t="s">
        <v>24</v>
      </c>
      <c r="T3" s="41" t="s">
        <v>25</v>
      </c>
      <c r="U3" s="41" t="s">
        <v>26</v>
      </c>
      <c r="V3" s="41" t="s">
        <v>33</v>
      </c>
      <c r="W3" s="41" t="s">
        <v>69</v>
      </c>
      <c r="X3" s="40" t="s">
        <v>70</v>
      </c>
      <c r="Y3" s="38" t="s">
        <v>71</v>
      </c>
      <c r="Z3" s="38" t="s">
        <v>72</v>
      </c>
      <c r="AA3"/>
    </row>
    <row r="4" spans="2:27" ht="15.75" customHeight="1">
      <c r="B4" s="4"/>
      <c r="C4" s="102"/>
      <c r="D4" s="27"/>
      <c r="E4" s="103"/>
      <c r="G4" s="23"/>
      <c r="H4" s="27"/>
      <c r="I4" s="47" t="s">
        <v>73</v>
      </c>
      <c r="J4" s="48"/>
      <c r="K4" s="47"/>
      <c r="L4" s="47"/>
      <c r="M4" s="37">
        <f t="shared" ref="M4:Z4" si="0">SUM(M5:M125)</f>
        <v>-5921326.7552777771</v>
      </c>
      <c r="N4" s="37">
        <f t="shared" si="0"/>
        <v>2781</v>
      </c>
      <c r="O4" s="37">
        <f>+E13</f>
        <v>2781</v>
      </c>
      <c r="P4" s="37">
        <f t="shared" si="0"/>
        <v>0</v>
      </c>
      <c r="Q4" s="37">
        <f t="shared" si="0"/>
        <v>-10000</v>
      </c>
      <c r="R4" s="37">
        <f t="shared" si="0"/>
        <v>6087.6089999999995</v>
      </c>
      <c r="S4" s="37">
        <f t="shared" si="0"/>
        <v>2160000</v>
      </c>
      <c r="T4" s="37">
        <f t="shared" si="0"/>
        <v>773118.00000000023</v>
      </c>
      <c r="U4" s="37">
        <f t="shared" si="0"/>
        <v>1527989.8590000011</v>
      </c>
      <c r="V4" s="37">
        <f t="shared" si="0"/>
        <v>-133833.23577000003</v>
      </c>
      <c r="W4" s="37">
        <f t="shared" si="0"/>
        <v>-86545.492464600044</v>
      </c>
      <c r="X4" s="37">
        <f t="shared" si="0"/>
        <v>3000000</v>
      </c>
      <c r="Y4" s="37">
        <f t="shared" si="0"/>
        <v>1309402.3754876254</v>
      </c>
      <c r="Z4" s="37">
        <f t="shared" si="0"/>
        <v>7461107.8589999992</v>
      </c>
    </row>
    <row r="5" spans="2:27" s="5" customFormat="1" ht="15.75" customHeight="1">
      <c r="C5" s="80" t="s">
        <v>74</v>
      </c>
      <c r="D5"/>
      <c r="E5" s="87"/>
      <c r="G5" s="34">
        <v>46053</v>
      </c>
      <c r="H5" s="77">
        <v>1</v>
      </c>
      <c r="I5" s="6">
        <v>0</v>
      </c>
      <c r="J5" s="42">
        <v>1</v>
      </c>
      <c r="K5" s="42">
        <v>1</v>
      </c>
      <c r="L5" s="46">
        <v>1</v>
      </c>
      <c r="M5" s="43">
        <f>-E6</f>
        <v>-5921326.7552777771</v>
      </c>
      <c r="N5" s="43">
        <f t="shared" ref="N5:N36" si="1">IF(L5,MIN(O4,$E$25),0)</f>
        <v>116.66666666666667</v>
      </c>
      <c r="O5" s="43">
        <f t="shared" ref="O5:O52" si="2">O4-N5</f>
        <v>2664.3333333333335</v>
      </c>
      <c r="P5" s="43">
        <f t="shared" ref="P5:P36" si="3">IF(I5=$E$8,-$E$7,0)-IF(L5="On",$E$15/12*K5,0)</f>
        <v>0</v>
      </c>
      <c r="Q5" s="43">
        <f>-E9</f>
        <v>-10000</v>
      </c>
      <c r="R5" s="44">
        <f t="shared" ref="R5:R36" si="4">N5*$E$22</f>
        <v>255.38333333333335</v>
      </c>
      <c r="S5" s="44">
        <f t="shared" ref="S5:S36" si="5">L5*$E$21</f>
        <v>90000</v>
      </c>
      <c r="T5" s="44">
        <f t="shared" ref="T5:T36" si="6">+N5*$E$23</f>
        <v>32433.333333333336</v>
      </c>
      <c r="U5" s="44">
        <f t="shared" ref="U5:U36" si="7">+$E$24*R5</f>
        <v>64101.216666666674</v>
      </c>
      <c r="V5" s="44">
        <f t="shared" ref="V5:V36" si="8">SUM(S5:U5)*-$E$29</f>
        <v>-5596.0365000000002</v>
      </c>
      <c r="W5" s="44">
        <f t="shared" ref="W5:W36" si="9">SUM(S5:V5)*-$E$30</f>
        <v>-3618.7702700000009</v>
      </c>
      <c r="X5" s="44">
        <f t="shared" ref="X5:X36" si="10">IF(I5=(COUNTIF($O$5:$O$53,"&lt;&gt;0")+$E$16),$E$14,0)</f>
        <v>0</v>
      </c>
      <c r="Y5" s="33">
        <f t="shared" ref="Y5:Y36" si="11">SUM(M5,P5:Q5,S5:X5)</f>
        <v>-5754007.0120477779</v>
      </c>
      <c r="Z5" s="33">
        <f t="shared" ref="Z5:Z52" si="12">S5+T5+U5+X5</f>
        <v>186534.55000000002</v>
      </c>
      <c r="AA5"/>
    </row>
    <row r="6" spans="2:27" s="5" customFormat="1" ht="15.75" customHeight="1">
      <c r="C6" s="104" t="s">
        <v>75</v>
      </c>
      <c r="E6" s="88">
        <v>5921326.7552777771</v>
      </c>
      <c r="G6" s="35">
        <f>EOMONTH(G5,1)</f>
        <v>46081</v>
      </c>
      <c r="H6" s="5">
        <v>1</v>
      </c>
      <c r="I6" s="5">
        <v>1</v>
      </c>
      <c r="J6" s="8">
        <v>1</v>
      </c>
      <c r="K6" s="8">
        <v>1</v>
      </c>
      <c r="L6" s="30">
        <f t="shared" ref="L6:L53" si="13">IF(AND(G6&lt;=$E$20,O5&gt;0),1,0)</f>
        <v>1</v>
      </c>
      <c r="M6" s="7">
        <v>0</v>
      </c>
      <c r="N6" s="7">
        <f t="shared" si="1"/>
        <v>116.66666666666667</v>
      </c>
      <c r="O6" s="7">
        <f t="shared" si="2"/>
        <v>2547.666666666667</v>
      </c>
      <c r="P6" s="7">
        <f t="shared" si="3"/>
        <v>0</v>
      </c>
      <c r="Q6" s="7"/>
      <c r="R6" s="32">
        <f t="shared" si="4"/>
        <v>255.38333333333335</v>
      </c>
      <c r="S6" s="32">
        <f t="shared" si="5"/>
        <v>90000</v>
      </c>
      <c r="T6" s="32">
        <f t="shared" si="6"/>
        <v>32433.333333333336</v>
      </c>
      <c r="U6" s="32">
        <f t="shared" si="7"/>
        <v>64101.216666666674</v>
      </c>
      <c r="V6" s="32">
        <f t="shared" si="8"/>
        <v>-5596.0365000000002</v>
      </c>
      <c r="W6" s="32">
        <f t="shared" si="9"/>
        <v>-3618.7702700000009</v>
      </c>
      <c r="X6" s="32">
        <f t="shared" si="10"/>
        <v>0</v>
      </c>
      <c r="Y6" s="33">
        <f t="shared" si="11"/>
        <v>177319.74323000002</v>
      </c>
      <c r="Z6" s="33">
        <f t="shared" si="12"/>
        <v>186534.55000000002</v>
      </c>
      <c r="AA6"/>
    </row>
    <row r="7" spans="2:27" s="5" customFormat="1" ht="15.75" customHeight="1">
      <c r="C7" s="104" t="s">
        <v>76</v>
      </c>
      <c r="D7" s="78"/>
      <c r="E7" s="88">
        <v>0</v>
      </c>
      <c r="G7" s="35">
        <f>EOMONTH(G6,1)</f>
        <v>46112</v>
      </c>
      <c r="H7" s="5">
        <v>1</v>
      </c>
      <c r="I7" s="5">
        <v>2</v>
      </c>
      <c r="J7" s="8">
        <v>1</v>
      </c>
      <c r="K7" s="8">
        <v>1</v>
      </c>
      <c r="L7" s="30">
        <f t="shared" si="13"/>
        <v>1</v>
      </c>
      <c r="M7" s="7">
        <v>0</v>
      </c>
      <c r="N7" s="7">
        <f t="shared" si="1"/>
        <v>116.66666666666667</v>
      </c>
      <c r="O7" s="7">
        <f t="shared" si="2"/>
        <v>2431.0000000000005</v>
      </c>
      <c r="P7" s="7">
        <f t="shared" si="3"/>
        <v>0</v>
      </c>
      <c r="Q7" s="7"/>
      <c r="R7" s="32">
        <f t="shared" si="4"/>
        <v>255.38333333333335</v>
      </c>
      <c r="S7" s="32">
        <f t="shared" si="5"/>
        <v>90000</v>
      </c>
      <c r="T7" s="32">
        <f t="shared" si="6"/>
        <v>32433.333333333336</v>
      </c>
      <c r="U7" s="32">
        <f t="shared" si="7"/>
        <v>64101.216666666674</v>
      </c>
      <c r="V7" s="32">
        <f t="shared" si="8"/>
        <v>-5596.0365000000002</v>
      </c>
      <c r="W7" s="32">
        <f t="shared" si="9"/>
        <v>-3618.7702700000009</v>
      </c>
      <c r="X7" s="32">
        <f t="shared" si="10"/>
        <v>0</v>
      </c>
      <c r="Y7" s="33">
        <f t="shared" si="11"/>
        <v>177319.74323000002</v>
      </c>
      <c r="Z7" s="33">
        <f t="shared" si="12"/>
        <v>186534.55000000002</v>
      </c>
      <c r="AA7"/>
    </row>
    <row r="8" spans="2:27" s="5" customFormat="1" ht="15.75" customHeight="1">
      <c r="C8" s="83" t="s">
        <v>77</v>
      </c>
      <c r="D8" s="78"/>
      <c r="E8" s="88">
        <v>1</v>
      </c>
      <c r="G8" s="35">
        <f t="shared" ref="G8:G52" si="14">EOMONTH(G7,1)</f>
        <v>46142</v>
      </c>
      <c r="H8" s="5">
        <v>1</v>
      </c>
      <c r="I8" s="5">
        <v>3</v>
      </c>
      <c r="J8" s="8">
        <v>1</v>
      </c>
      <c r="K8" s="8">
        <v>1</v>
      </c>
      <c r="L8" s="30">
        <f t="shared" si="13"/>
        <v>1</v>
      </c>
      <c r="M8" s="7">
        <v>0</v>
      </c>
      <c r="N8" s="7">
        <f t="shared" si="1"/>
        <v>116.66666666666667</v>
      </c>
      <c r="O8" s="7">
        <f t="shared" si="2"/>
        <v>2314.3333333333339</v>
      </c>
      <c r="P8" s="7">
        <f t="shared" si="3"/>
        <v>0</v>
      </c>
      <c r="Q8" s="7"/>
      <c r="R8" s="32">
        <f t="shared" si="4"/>
        <v>255.38333333333335</v>
      </c>
      <c r="S8" s="32">
        <f t="shared" si="5"/>
        <v>90000</v>
      </c>
      <c r="T8" s="32">
        <f t="shared" si="6"/>
        <v>32433.333333333336</v>
      </c>
      <c r="U8" s="32">
        <f t="shared" si="7"/>
        <v>64101.216666666674</v>
      </c>
      <c r="V8" s="32">
        <f t="shared" si="8"/>
        <v>-5596.0365000000002</v>
      </c>
      <c r="W8" s="32">
        <f t="shared" si="9"/>
        <v>-3618.7702700000009</v>
      </c>
      <c r="X8" s="32">
        <f t="shared" si="10"/>
        <v>0</v>
      </c>
      <c r="Y8" s="33">
        <f t="shared" si="11"/>
        <v>177319.74323000002</v>
      </c>
      <c r="Z8" s="33">
        <f t="shared" si="12"/>
        <v>186534.55000000002</v>
      </c>
      <c r="AA8"/>
    </row>
    <row r="9" spans="2:27" s="5" customFormat="1" ht="15.75" customHeight="1">
      <c r="C9" s="104" t="s">
        <v>18</v>
      </c>
      <c r="E9" s="168">
        <v>10000</v>
      </c>
      <c r="G9" s="35">
        <f t="shared" si="14"/>
        <v>46173</v>
      </c>
      <c r="H9" s="5">
        <v>1</v>
      </c>
      <c r="I9" s="6">
        <v>4</v>
      </c>
      <c r="J9" s="8">
        <v>1</v>
      </c>
      <c r="K9" s="8">
        <v>1</v>
      </c>
      <c r="L9" s="30">
        <f t="shared" si="13"/>
        <v>1</v>
      </c>
      <c r="M9" s="7">
        <v>0</v>
      </c>
      <c r="N9" s="7">
        <f t="shared" si="1"/>
        <v>116.66666666666667</v>
      </c>
      <c r="O9" s="7">
        <f t="shared" si="2"/>
        <v>2197.6666666666674</v>
      </c>
      <c r="P9" s="7">
        <f t="shared" si="3"/>
        <v>0</v>
      </c>
      <c r="Q9" s="7"/>
      <c r="R9" s="32">
        <f t="shared" si="4"/>
        <v>255.38333333333335</v>
      </c>
      <c r="S9" s="32">
        <f t="shared" si="5"/>
        <v>90000</v>
      </c>
      <c r="T9" s="32">
        <f t="shared" si="6"/>
        <v>32433.333333333336</v>
      </c>
      <c r="U9" s="32">
        <f t="shared" si="7"/>
        <v>64101.216666666674</v>
      </c>
      <c r="V9" s="32">
        <f t="shared" si="8"/>
        <v>-5596.0365000000002</v>
      </c>
      <c r="W9" s="32">
        <f t="shared" si="9"/>
        <v>-3618.7702700000009</v>
      </c>
      <c r="X9" s="32">
        <f t="shared" si="10"/>
        <v>0</v>
      </c>
      <c r="Y9" s="33">
        <f t="shared" si="11"/>
        <v>177319.74323000002</v>
      </c>
      <c r="Z9" s="33">
        <f t="shared" si="12"/>
        <v>186534.55000000002</v>
      </c>
      <c r="AA9"/>
    </row>
    <row r="10" spans="2:27" s="5" customFormat="1" ht="15.75" customHeight="1">
      <c r="C10" s="77" t="s">
        <v>78</v>
      </c>
      <c r="E10" s="89">
        <f>E6+E7+E9</f>
        <v>5931326.7552777771</v>
      </c>
      <c r="G10" s="35">
        <f t="shared" si="14"/>
        <v>46203</v>
      </c>
      <c r="H10" s="5">
        <v>1</v>
      </c>
      <c r="I10" s="5">
        <v>5</v>
      </c>
      <c r="J10" s="8">
        <v>1</v>
      </c>
      <c r="K10" s="8">
        <v>1</v>
      </c>
      <c r="L10" s="30">
        <f t="shared" si="13"/>
        <v>1</v>
      </c>
      <c r="M10" s="7">
        <v>0</v>
      </c>
      <c r="N10" s="7">
        <f t="shared" si="1"/>
        <v>116.66666666666667</v>
      </c>
      <c r="O10" s="7">
        <f t="shared" si="2"/>
        <v>2081.0000000000009</v>
      </c>
      <c r="P10" s="7">
        <f t="shared" si="3"/>
        <v>0</v>
      </c>
      <c r="Q10" s="7"/>
      <c r="R10" s="32">
        <f t="shared" si="4"/>
        <v>255.38333333333335</v>
      </c>
      <c r="S10" s="32">
        <f t="shared" si="5"/>
        <v>90000</v>
      </c>
      <c r="T10" s="32">
        <f t="shared" si="6"/>
        <v>32433.333333333336</v>
      </c>
      <c r="U10" s="32">
        <f t="shared" si="7"/>
        <v>64101.216666666674</v>
      </c>
      <c r="V10" s="32">
        <f t="shared" si="8"/>
        <v>-5596.0365000000002</v>
      </c>
      <c r="W10" s="32">
        <f t="shared" si="9"/>
        <v>-3618.7702700000009</v>
      </c>
      <c r="X10" s="32">
        <f t="shared" si="10"/>
        <v>0</v>
      </c>
      <c r="Y10" s="33">
        <f t="shared" si="11"/>
        <v>177319.74323000002</v>
      </c>
      <c r="Z10" s="33">
        <f t="shared" si="12"/>
        <v>186534.55000000002</v>
      </c>
      <c r="AA10"/>
    </row>
    <row r="11" spans="2:27" s="5" customFormat="1" ht="15.75" customHeight="1">
      <c r="C11" s="77"/>
      <c r="E11" s="89"/>
      <c r="G11" s="35">
        <f t="shared" si="14"/>
        <v>46234</v>
      </c>
      <c r="H11" s="5">
        <v>1</v>
      </c>
      <c r="I11" s="5">
        <v>6</v>
      </c>
      <c r="J11" s="8">
        <v>1</v>
      </c>
      <c r="K11" s="8">
        <v>1</v>
      </c>
      <c r="L11" s="30">
        <f t="shared" si="13"/>
        <v>1</v>
      </c>
      <c r="M11" s="7">
        <v>0</v>
      </c>
      <c r="N11" s="7">
        <f t="shared" si="1"/>
        <v>116.66666666666667</v>
      </c>
      <c r="O11" s="7">
        <f t="shared" si="2"/>
        <v>1964.3333333333342</v>
      </c>
      <c r="P11" s="7">
        <f t="shared" si="3"/>
        <v>0</v>
      </c>
      <c r="Q11" s="7"/>
      <c r="R11" s="32">
        <f t="shared" si="4"/>
        <v>255.38333333333335</v>
      </c>
      <c r="S11" s="32">
        <f t="shared" si="5"/>
        <v>90000</v>
      </c>
      <c r="T11" s="32">
        <f t="shared" si="6"/>
        <v>32433.333333333336</v>
      </c>
      <c r="U11" s="32">
        <f t="shared" si="7"/>
        <v>64101.216666666674</v>
      </c>
      <c r="V11" s="32">
        <f t="shared" si="8"/>
        <v>-5596.0365000000002</v>
      </c>
      <c r="W11" s="32">
        <f t="shared" si="9"/>
        <v>-3618.7702700000009</v>
      </c>
      <c r="X11" s="32">
        <f t="shared" si="10"/>
        <v>0</v>
      </c>
      <c r="Y11" s="33">
        <f t="shared" si="11"/>
        <v>177319.74323000002</v>
      </c>
      <c r="Z11" s="33">
        <f t="shared" si="12"/>
        <v>186534.55000000002</v>
      </c>
      <c r="AA11"/>
    </row>
    <row r="12" spans="2:27" s="5" customFormat="1" ht="15.75" customHeight="1">
      <c r="C12" s="82" t="s">
        <v>79</v>
      </c>
      <c r="E12" s="89"/>
      <c r="G12" s="35">
        <f t="shared" si="14"/>
        <v>46265</v>
      </c>
      <c r="H12" s="5">
        <v>1</v>
      </c>
      <c r="I12" s="5">
        <v>7</v>
      </c>
      <c r="J12" s="8">
        <v>1</v>
      </c>
      <c r="K12" s="8">
        <v>1</v>
      </c>
      <c r="L12" s="30">
        <f t="shared" si="13"/>
        <v>1</v>
      </c>
      <c r="M12" s="7">
        <v>0</v>
      </c>
      <c r="N12" s="7">
        <f t="shared" si="1"/>
        <v>116.66666666666667</v>
      </c>
      <c r="O12" s="7">
        <f t="shared" si="2"/>
        <v>1847.6666666666674</v>
      </c>
      <c r="P12" s="7">
        <f t="shared" si="3"/>
        <v>0</v>
      </c>
      <c r="Q12" s="7"/>
      <c r="R12" s="32">
        <f t="shared" si="4"/>
        <v>255.38333333333335</v>
      </c>
      <c r="S12" s="32">
        <f t="shared" si="5"/>
        <v>90000</v>
      </c>
      <c r="T12" s="32">
        <f t="shared" si="6"/>
        <v>32433.333333333336</v>
      </c>
      <c r="U12" s="32">
        <f t="shared" si="7"/>
        <v>64101.216666666674</v>
      </c>
      <c r="V12" s="32">
        <f t="shared" si="8"/>
        <v>-5596.0365000000002</v>
      </c>
      <c r="W12" s="32">
        <f t="shared" si="9"/>
        <v>-3618.7702700000009</v>
      </c>
      <c r="X12" s="32">
        <f t="shared" si="10"/>
        <v>0</v>
      </c>
      <c r="Y12" s="33">
        <f t="shared" si="11"/>
        <v>177319.74323000002</v>
      </c>
      <c r="Z12" s="33">
        <f t="shared" si="12"/>
        <v>186534.55000000002</v>
      </c>
      <c r="AA12"/>
    </row>
    <row r="13" spans="2:27" s="5" customFormat="1" ht="15.75" customHeight="1">
      <c r="C13" s="77" t="s">
        <v>80</v>
      </c>
      <c r="E13" s="151">
        <v>2781</v>
      </c>
      <c r="G13" s="35">
        <f t="shared" si="14"/>
        <v>46295</v>
      </c>
      <c r="H13" s="5">
        <v>1</v>
      </c>
      <c r="I13" s="6">
        <v>8</v>
      </c>
      <c r="J13" s="8">
        <v>1</v>
      </c>
      <c r="K13" s="8">
        <v>1</v>
      </c>
      <c r="L13" s="30">
        <f t="shared" si="13"/>
        <v>1</v>
      </c>
      <c r="M13" s="7">
        <v>0</v>
      </c>
      <c r="N13" s="7">
        <f t="shared" si="1"/>
        <v>116.66666666666667</v>
      </c>
      <c r="O13" s="7">
        <f t="shared" si="2"/>
        <v>1731.0000000000007</v>
      </c>
      <c r="P13" s="7">
        <f t="shared" si="3"/>
        <v>0</v>
      </c>
      <c r="Q13" s="7"/>
      <c r="R13" s="32">
        <f t="shared" si="4"/>
        <v>255.38333333333335</v>
      </c>
      <c r="S13" s="32">
        <f t="shared" si="5"/>
        <v>90000</v>
      </c>
      <c r="T13" s="32">
        <f t="shared" si="6"/>
        <v>32433.333333333336</v>
      </c>
      <c r="U13" s="32">
        <f t="shared" si="7"/>
        <v>64101.216666666674</v>
      </c>
      <c r="V13" s="32">
        <f t="shared" si="8"/>
        <v>-5596.0365000000002</v>
      </c>
      <c r="W13" s="32">
        <f t="shared" si="9"/>
        <v>-3618.7702700000009</v>
      </c>
      <c r="X13" s="32">
        <f t="shared" si="10"/>
        <v>0</v>
      </c>
      <c r="Y13" s="33">
        <f t="shared" si="11"/>
        <v>177319.74323000002</v>
      </c>
      <c r="Z13" s="33">
        <f t="shared" si="12"/>
        <v>186534.55000000002</v>
      </c>
      <c r="AA13"/>
    </row>
    <row r="14" spans="2:27" s="5" customFormat="1" ht="15.75" customHeight="1">
      <c r="C14" s="77" t="s">
        <v>81</v>
      </c>
      <c r="E14" s="151">
        <v>3000000</v>
      </c>
      <c r="G14" s="35">
        <f t="shared" si="14"/>
        <v>46326</v>
      </c>
      <c r="H14" s="5">
        <v>1</v>
      </c>
      <c r="I14" s="5">
        <v>9</v>
      </c>
      <c r="J14" s="8">
        <v>1</v>
      </c>
      <c r="K14" s="8">
        <v>1</v>
      </c>
      <c r="L14" s="30">
        <f t="shared" si="13"/>
        <v>1</v>
      </c>
      <c r="M14" s="7">
        <v>0</v>
      </c>
      <c r="N14" s="7">
        <f t="shared" si="1"/>
        <v>116.66666666666667</v>
      </c>
      <c r="O14" s="7">
        <f t="shared" si="2"/>
        <v>1614.3333333333339</v>
      </c>
      <c r="P14" s="7">
        <f t="shared" si="3"/>
        <v>0</v>
      </c>
      <c r="Q14" s="7"/>
      <c r="R14" s="32">
        <f t="shared" si="4"/>
        <v>255.38333333333335</v>
      </c>
      <c r="S14" s="32">
        <f t="shared" si="5"/>
        <v>90000</v>
      </c>
      <c r="T14" s="32">
        <f t="shared" si="6"/>
        <v>32433.333333333336</v>
      </c>
      <c r="U14" s="32">
        <f t="shared" si="7"/>
        <v>64101.216666666674</v>
      </c>
      <c r="V14" s="32">
        <f t="shared" si="8"/>
        <v>-5596.0365000000002</v>
      </c>
      <c r="W14" s="32">
        <f t="shared" si="9"/>
        <v>-3618.7702700000009</v>
      </c>
      <c r="X14" s="32">
        <f t="shared" si="10"/>
        <v>0</v>
      </c>
      <c r="Y14" s="33">
        <f t="shared" si="11"/>
        <v>177319.74323000002</v>
      </c>
      <c r="Z14" s="33">
        <f t="shared" si="12"/>
        <v>186534.55000000002</v>
      </c>
      <c r="AA14"/>
    </row>
    <row r="15" spans="2:27" s="5" customFormat="1" ht="15.75" customHeight="1">
      <c r="C15" s="81" t="s">
        <v>82</v>
      </c>
      <c r="E15" s="88">
        <v>0</v>
      </c>
      <c r="G15" s="35">
        <f t="shared" si="14"/>
        <v>46356</v>
      </c>
      <c r="H15" s="5">
        <v>1</v>
      </c>
      <c r="I15" s="5">
        <v>10</v>
      </c>
      <c r="J15" s="8">
        <v>1</v>
      </c>
      <c r="K15" s="8">
        <v>1</v>
      </c>
      <c r="L15" s="30">
        <f t="shared" si="13"/>
        <v>1</v>
      </c>
      <c r="M15" s="7">
        <v>0</v>
      </c>
      <c r="N15" s="7">
        <f t="shared" si="1"/>
        <v>116.66666666666667</v>
      </c>
      <c r="O15" s="7">
        <f t="shared" si="2"/>
        <v>1497.6666666666672</v>
      </c>
      <c r="P15" s="7">
        <f t="shared" si="3"/>
        <v>0</v>
      </c>
      <c r="Q15" s="7"/>
      <c r="R15" s="32">
        <f t="shared" si="4"/>
        <v>255.38333333333335</v>
      </c>
      <c r="S15" s="32">
        <f t="shared" si="5"/>
        <v>90000</v>
      </c>
      <c r="T15" s="32">
        <f t="shared" si="6"/>
        <v>32433.333333333336</v>
      </c>
      <c r="U15" s="32">
        <f t="shared" si="7"/>
        <v>64101.216666666674</v>
      </c>
      <c r="V15" s="32">
        <f t="shared" si="8"/>
        <v>-5596.0365000000002</v>
      </c>
      <c r="W15" s="32">
        <f t="shared" si="9"/>
        <v>-3618.7702700000009</v>
      </c>
      <c r="X15" s="32">
        <f t="shared" si="10"/>
        <v>0</v>
      </c>
      <c r="Y15" s="33">
        <f t="shared" si="11"/>
        <v>177319.74323000002</v>
      </c>
      <c r="Z15" s="33">
        <f t="shared" si="12"/>
        <v>186534.55000000002</v>
      </c>
      <c r="AA15"/>
    </row>
    <row r="16" spans="2:27" s="5" customFormat="1" ht="15.75" customHeight="1">
      <c r="C16" s="81" t="s">
        <v>83</v>
      </c>
      <c r="E16" s="88">
        <v>2</v>
      </c>
      <c r="G16" s="35">
        <f t="shared" si="14"/>
        <v>46387</v>
      </c>
      <c r="H16" s="5">
        <v>1</v>
      </c>
      <c r="I16" s="5">
        <v>11</v>
      </c>
      <c r="J16" s="8">
        <v>1</v>
      </c>
      <c r="K16" s="8">
        <v>1</v>
      </c>
      <c r="L16" s="30">
        <f t="shared" si="13"/>
        <v>1</v>
      </c>
      <c r="M16" s="7">
        <v>0</v>
      </c>
      <c r="N16" s="7">
        <f t="shared" si="1"/>
        <v>116.66666666666667</v>
      </c>
      <c r="O16" s="7">
        <f t="shared" si="2"/>
        <v>1381.0000000000005</v>
      </c>
      <c r="P16" s="7">
        <f t="shared" si="3"/>
        <v>0</v>
      </c>
      <c r="Q16" s="7"/>
      <c r="R16" s="32">
        <f t="shared" si="4"/>
        <v>255.38333333333335</v>
      </c>
      <c r="S16" s="32">
        <f t="shared" si="5"/>
        <v>90000</v>
      </c>
      <c r="T16" s="32">
        <f t="shared" si="6"/>
        <v>32433.333333333336</v>
      </c>
      <c r="U16" s="32">
        <f t="shared" si="7"/>
        <v>64101.216666666674</v>
      </c>
      <c r="V16" s="32">
        <f t="shared" si="8"/>
        <v>-5596.0365000000002</v>
      </c>
      <c r="W16" s="32">
        <f t="shared" si="9"/>
        <v>-3618.7702700000009</v>
      </c>
      <c r="X16" s="32">
        <f t="shared" si="10"/>
        <v>0</v>
      </c>
      <c r="Y16" s="33">
        <f t="shared" si="11"/>
        <v>177319.74323000002</v>
      </c>
      <c r="Z16" s="33">
        <f t="shared" si="12"/>
        <v>186534.55000000002</v>
      </c>
      <c r="AA16"/>
    </row>
    <row r="17" spans="3:27" s="5" customFormat="1" ht="15.75" customHeight="1">
      <c r="C17" s="77"/>
      <c r="E17" s="89"/>
      <c r="G17" s="35">
        <f t="shared" si="14"/>
        <v>46418</v>
      </c>
      <c r="H17" s="5">
        <v>1</v>
      </c>
      <c r="I17" s="6">
        <v>12</v>
      </c>
      <c r="J17" s="8">
        <v>1</v>
      </c>
      <c r="K17" s="8">
        <v>1</v>
      </c>
      <c r="L17" s="30">
        <f t="shared" si="13"/>
        <v>1</v>
      </c>
      <c r="M17" s="7">
        <v>0</v>
      </c>
      <c r="N17" s="7">
        <f t="shared" si="1"/>
        <v>116.66666666666667</v>
      </c>
      <c r="O17" s="7">
        <f t="shared" si="2"/>
        <v>1264.3333333333337</v>
      </c>
      <c r="P17" s="7">
        <f t="shared" si="3"/>
        <v>0</v>
      </c>
      <c r="Q17" s="7"/>
      <c r="R17" s="32">
        <f t="shared" si="4"/>
        <v>255.38333333333335</v>
      </c>
      <c r="S17" s="32">
        <f t="shared" si="5"/>
        <v>90000</v>
      </c>
      <c r="T17" s="32">
        <f t="shared" si="6"/>
        <v>32433.333333333336</v>
      </c>
      <c r="U17" s="32">
        <f t="shared" si="7"/>
        <v>64101.216666666674</v>
      </c>
      <c r="V17" s="32">
        <f t="shared" si="8"/>
        <v>-5596.0365000000002</v>
      </c>
      <c r="W17" s="32">
        <f t="shared" si="9"/>
        <v>-3618.7702700000009</v>
      </c>
      <c r="X17" s="32">
        <f t="shared" si="10"/>
        <v>0</v>
      </c>
      <c r="Y17" s="33">
        <f t="shared" si="11"/>
        <v>177319.74323000002</v>
      </c>
      <c r="Z17" s="33">
        <f t="shared" si="12"/>
        <v>186534.55000000002</v>
      </c>
      <c r="AA17"/>
    </row>
    <row r="18" spans="3:27" s="5" customFormat="1" ht="15.75" customHeight="1">
      <c r="C18" s="82" t="s">
        <v>84</v>
      </c>
      <c r="E18" s="90">
        <v>45729</v>
      </c>
      <c r="G18" s="35">
        <f t="shared" si="14"/>
        <v>46446</v>
      </c>
      <c r="H18" s="5">
        <f t="shared" ref="H18:H52" si="15">H6+1</f>
        <v>2</v>
      </c>
      <c r="I18" s="5">
        <v>13</v>
      </c>
      <c r="J18" s="8">
        <f t="shared" ref="J18:J53" si="16">IF(MOD(I18,12)=1,1+$E$27,1)*J17</f>
        <v>1</v>
      </c>
      <c r="K18" s="8">
        <f t="shared" ref="K18:K53" si="17">IF(MOD(I18,12)=1,1+$E$26,1)*K17</f>
        <v>1</v>
      </c>
      <c r="L18" s="30">
        <f t="shared" si="13"/>
        <v>1</v>
      </c>
      <c r="M18" s="7">
        <v>0</v>
      </c>
      <c r="N18" s="7">
        <f t="shared" si="1"/>
        <v>116.66666666666667</v>
      </c>
      <c r="O18" s="7">
        <f t="shared" si="2"/>
        <v>1147.666666666667</v>
      </c>
      <c r="P18" s="7">
        <f t="shared" si="3"/>
        <v>0</v>
      </c>
      <c r="Q18" s="7"/>
      <c r="R18" s="32">
        <f t="shared" si="4"/>
        <v>255.38333333333335</v>
      </c>
      <c r="S18" s="32">
        <f t="shared" si="5"/>
        <v>90000</v>
      </c>
      <c r="T18" s="32">
        <f t="shared" si="6"/>
        <v>32433.333333333336</v>
      </c>
      <c r="U18" s="32">
        <f t="shared" si="7"/>
        <v>64101.216666666674</v>
      </c>
      <c r="V18" s="32">
        <f t="shared" si="8"/>
        <v>-5596.0365000000002</v>
      </c>
      <c r="W18" s="32">
        <f t="shared" si="9"/>
        <v>-3618.7702700000009</v>
      </c>
      <c r="X18" s="32">
        <f t="shared" si="10"/>
        <v>0</v>
      </c>
      <c r="Y18" s="33">
        <f t="shared" si="11"/>
        <v>177319.74323000002</v>
      </c>
      <c r="Z18" s="33">
        <f t="shared" si="12"/>
        <v>186534.55000000002</v>
      </c>
      <c r="AA18"/>
    </row>
    <row r="19" spans="3:27" s="5" customFormat="1" ht="15.75" customHeight="1">
      <c r="C19" s="81" t="s">
        <v>85</v>
      </c>
      <c r="E19" s="91">
        <v>36</v>
      </c>
      <c r="G19" s="35">
        <f t="shared" si="14"/>
        <v>46477</v>
      </c>
      <c r="H19" s="5">
        <f t="shared" si="15"/>
        <v>2</v>
      </c>
      <c r="I19" s="5">
        <v>14</v>
      </c>
      <c r="J19" s="8">
        <f t="shared" si="16"/>
        <v>1</v>
      </c>
      <c r="K19" s="8">
        <f t="shared" si="17"/>
        <v>1</v>
      </c>
      <c r="L19" s="30">
        <f t="shared" si="13"/>
        <v>1</v>
      </c>
      <c r="M19" s="7">
        <v>0</v>
      </c>
      <c r="N19" s="7">
        <f t="shared" si="1"/>
        <v>116.66666666666667</v>
      </c>
      <c r="O19" s="7">
        <f t="shared" si="2"/>
        <v>1031.0000000000002</v>
      </c>
      <c r="P19" s="7">
        <f t="shared" si="3"/>
        <v>0</v>
      </c>
      <c r="Q19" s="7"/>
      <c r="R19" s="32">
        <f t="shared" si="4"/>
        <v>255.38333333333335</v>
      </c>
      <c r="S19" s="32">
        <f t="shared" si="5"/>
        <v>90000</v>
      </c>
      <c r="T19" s="32">
        <f t="shared" si="6"/>
        <v>32433.333333333336</v>
      </c>
      <c r="U19" s="32">
        <f t="shared" si="7"/>
        <v>64101.216666666674</v>
      </c>
      <c r="V19" s="32">
        <f t="shared" si="8"/>
        <v>-5596.0365000000002</v>
      </c>
      <c r="W19" s="32">
        <f t="shared" si="9"/>
        <v>-3618.7702700000009</v>
      </c>
      <c r="X19" s="32">
        <f t="shared" si="10"/>
        <v>0</v>
      </c>
      <c r="Y19" s="33">
        <f t="shared" si="11"/>
        <v>177319.74323000002</v>
      </c>
      <c r="Z19" s="33">
        <f t="shared" si="12"/>
        <v>186534.55000000002</v>
      </c>
      <c r="AA19"/>
    </row>
    <row r="20" spans="3:27" ht="15.75" customHeight="1">
      <c r="C20" s="83" t="s">
        <v>86</v>
      </c>
      <c r="D20" s="5"/>
      <c r="E20" s="92">
        <v>46825</v>
      </c>
      <c r="G20" s="35">
        <f t="shared" si="14"/>
        <v>46507</v>
      </c>
      <c r="H20">
        <f t="shared" si="15"/>
        <v>2</v>
      </c>
      <c r="I20">
        <v>15</v>
      </c>
      <c r="J20" s="9">
        <f t="shared" si="16"/>
        <v>1</v>
      </c>
      <c r="K20" s="9">
        <f t="shared" si="17"/>
        <v>1</v>
      </c>
      <c r="L20" s="31">
        <f t="shared" si="13"/>
        <v>1</v>
      </c>
      <c r="M20" s="10">
        <v>0</v>
      </c>
      <c r="N20" s="10">
        <f t="shared" si="1"/>
        <v>116.66666666666667</v>
      </c>
      <c r="O20" s="10">
        <f t="shared" si="2"/>
        <v>914.3333333333336</v>
      </c>
      <c r="P20" s="10">
        <f t="shared" si="3"/>
        <v>0</v>
      </c>
      <c r="R20" s="29">
        <f t="shared" si="4"/>
        <v>255.38333333333335</v>
      </c>
      <c r="S20" s="29">
        <f t="shared" si="5"/>
        <v>90000</v>
      </c>
      <c r="T20" s="29">
        <f t="shared" si="6"/>
        <v>32433.333333333336</v>
      </c>
      <c r="U20" s="29">
        <f t="shared" si="7"/>
        <v>64101.216666666674</v>
      </c>
      <c r="V20" s="32">
        <f t="shared" si="8"/>
        <v>-5596.0365000000002</v>
      </c>
      <c r="W20" s="32">
        <f t="shared" si="9"/>
        <v>-3618.7702700000009</v>
      </c>
      <c r="X20" s="29">
        <f t="shared" si="10"/>
        <v>0</v>
      </c>
      <c r="Y20" s="28">
        <f t="shared" si="11"/>
        <v>177319.74323000002</v>
      </c>
      <c r="Z20" s="28">
        <f t="shared" si="12"/>
        <v>186534.55000000002</v>
      </c>
    </row>
    <row r="21" spans="3:27" ht="15.75" customHeight="1">
      <c r="C21" s="77" t="s">
        <v>87</v>
      </c>
      <c r="D21" s="78"/>
      <c r="E21" s="93">
        <v>90000</v>
      </c>
      <c r="G21" s="35">
        <f t="shared" si="14"/>
        <v>46538</v>
      </c>
      <c r="H21">
        <f t="shared" si="15"/>
        <v>2</v>
      </c>
      <c r="I21" s="3">
        <v>16</v>
      </c>
      <c r="J21" s="9">
        <f t="shared" si="16"/>
        <v>1</v>
      </c>
      <c r="K21" s="9">
        <f t="shared" si="17"/>
        <v>1</v>
      </c>
      <c r="L21" s="31">
        <f t="shared" si="13"/>
        <v>1</v>
      </c>
      <c r="M21" s="10">
        <v>0</v>
      </c>
      <c r="N21" s="10">
        <f t="shared" si="1"/>
        <v>116.66666666666667</v>
      </c>
      <c r="O21" s="10">
        <f t="shared" si="2"/>
        <v>797.66666666666697</v>
      </c>
      <c r="P21" s="10">
        <f t="shared" si="3"/>
        <v>0</v>
      </c>
      <c r="R21" s="29">
        <f t="shared" si="4"/>
        <v>255.38333333333335</v>
      </c>
      <c r="S21" s="29">
        <f t="shared" si="5"/>
        <v>90000</v>
      </c>
      <c r="T21" s="29">
        <f t="shared" si="6"/>
        <v>32433.333333333336</v>
      </c>
      <c r="U21" s="29">
        <f t="shared" si="7"/>
        <v>64101.216666666674</v>
      </c>
      <c r="V21" s="32">
        <f t="shared" si="8"/>
        <v>-5596.0365000000002</v>
      </c>
      <c r="W21" s="32">
        <f t="shared" si="9"/>
        <v>-3618.7702700000009</v>
      </c>
      <c r="X21" s="29">
        <f t="shared" si="10"/>
        <v>0</v>
      </c>
      <c r="Y21" s="28">
        <f t="shared" si="11"/>
        <v>177319.74323000002</v>
      </c>
      <c r="Z21" s="28">
        <f t="shared" si="12"/>
        <v>186534.55000000002</v>
      </c>
    </row>
    <row r="22" spans="3:27" ht="15.75" customHeight="1">
      <c r="C22" s="84" t="s">
        <v>88</v>
      </c>
      <c r="D22" s="79"/>
      <c r="E22" s="172">
        <v>2.1890000000000001</v>
      </c>
      <c r="G22" s="35">
        <f t="shared" si="14"/>
        <v>46568</v>
      </c>
      <c r="H22">
        <f t="shared" si="15"/>
        <v>2</v>
      </c>
      <c r="I22">
        <v>17</v>
      </c>
      <c r="J22" s="9">
        <f t="shared" si="16"/>
        <v>1</v>
      </c>
      <c r="K22" s="9">
        <f t="shared" si="17"/>
        <v>1</v>
      </c>
      <c r="L22" s="31">
        <f t="shared" si="13"/>
        <v>1</v>
      </c>
      <c r="M22" s="10">
        <v>0</v>
      </c>
      <c r="N22" s="10">
        <f t="shared" si="1"/>
        <v>116.66666666666667</v>
      </c>
      <c r="O22" s="10">
        <f t="shared" si="2"/>
        <v>681.00000000000034</v>
      </c>
      <c r="P22" s="10">
        <f t="shared" si="3"/>
        <v>0</v>
      </c>
      <c r="R22" s="29">
        <f t="shared" si="4"/>
        <v>255.38333333333335</v>
      </c>
      <c r="S22" s="29">
        <f t="shared" si="5"/>
        <v>90000</v>
      </c>
      <c r="T22" s="29">
        <f t="shared" si="6"/>
        <v>32433.333333333336</v>
      </c>
      <c r="U22" s="29">
        <f t="shared" si="7"/>
        <v>64101.216666666674</v>
      </c>
      <c r="V22" s="32">
        <f t="shared" si="8"/>
        <v>-5596.0365000000002</v>
      </c>
      <c r="W22" s="32">
        <f t="shared" si="9"/>
        <v>-3618.7702700000009</v>
      </c>
      <c r="X22" s="29">
        <f t="shared" si="10"/>
        <v>0</v>
      </c>
      <c r="Y22" s="28">
        <f t="shared" si="11"/>
        <v>177319.74323000002</v>
      </c>
      <c r="Z22" s="28">
        <f t="shared" si="12"/>
        <v>186534.55000000002</v>
      </c>
    </row>
    <row r="23" spans="3:27" ht="15.75" customHeight="1">
      <c r="C23" s="84" t="s">
        <v>89</v>
      </c>
      <c r="E23" s="94">
        <v>278</v>
      </c>
      <c r="G23" s="35">
        <f t="shared" si="14"/>
        <v>46599</v>
      </c>
      <c r="H23">
        <f t="shared" si="15"/>
        <v>2</v>
      </c>
      <c r="I23">
        <v>18</v>
      </c>
      <c r="J23" s="9">
        <f t="shared" si="16"/>
        <v>1</v>
      </c>
      <c r="K23" s="9">
        <f t="shared" si="17"/>
        <v>1</v>
      </c>
      <c r="L23" s="31">
        <f t="shared" si="13"/>
        <v>1</v>
      </c>
      <c r="M23" s="10">
        <v>0</v>
      </c>
      <c r="N23" s="10">
        <f t="shared" si="1"/>
        <v>116.66666666666667</v>
      </c>
      <c r="O23" s="10">
        <f t="shared" si="2"/>
        <v>564.33333333333371</v>
      </c>
      <c r="P23" s="10">
        <f t="shared" si="3"/>
        <v>0</v>
      </c>
      <c r="R23" s="29">
        <f t="shared" si="4"/>
        <v>255.38333333333335</v>
      </c>
      <c r="S23" s="29">
        <f t="shared" si="5"/>
        <v>90000</v>
      </c>
      <c r="T23" s="29">
        <f t="shared" si="6"/>
        <v>32433.333333333336</v>
      </c>
      <c r="U23" s="29">
        <f t="shared" si="7"/>
        <v>64101.216666666674</v>
      </c>
      <c r="V23" s="32">
        <f t="shared" si="8"/>
        <v>-5596.0365000000002</v>
      </c>
      <c r="W23" s="32">
        <f t="shared" si="9"/>
        <v>-3618.7702700000009</v>
      </c>
      <c r="X23" s="29">
        <f t="shared" si="10"/>
        <v>0</v>
      </c>
      <c r="Y23" s="28">
        <f t="shared" si="11"/>
        <v>177319.74323000002</v>
      </c>
      <c r="Z23" s="28">
        <f t="shared" si="12"/>
        <v>186534.55000000002</v>
      </c>
    </row>
    <row r="24" spans="3:27" ht="15.75" customHeight="1">
      <c r="C24" s="84" t="s">
        <v>90</v>
      </c>
      <c r="E24" s="94">
        <v>251</v>
      </c>
      <c r="G24" s="35">
        <f t="shared" si="14"/>
        <v>46630</v>
      </c>
      <c r="H24">
        <f t="shared" si="15"/>
        <v>2</v>
      </c>
      <c r="I24">
        <v>19</v>
      </c>
      <c r="J24" s="9">
        <f t="shared" si="16"/>
        <v>1</v>
      </c>
      <c r="K24" s="9">
        <f t="shared" si="17"/>
        <v>1</v>
      </c>
      <c r="L24" s="31">
        <f t="shared" si="13"/>
        <v>1</v>
      </c>
      <c r="M24" s="10">
        <v>0</v>
      </c>
      <c r="N24" s="10">
        <f t="shared" si="1"/>
        <v>116.66666666666667</v>
      </c>
      <c r="O24" s="10">
        <f t="shared" si="2"/>
        <v>447.66666666666703</v>
      </c>
      <c r="P24" s="10">
        <f t="shared" si="3"/>
        <v>0</v>
      </c>
      <c r="R24" s="29">
        <f t="shared" si="4"/>
        <v>255.38333333333335</v>
      </c>
      <c r="S24" s="29">
        <f t="shared" si="5"/>
        <v>90000</v>
      </c>
      <c r="T24" s="29">
        <f t="shared" si="6"/>
        <v>32433.333333333336</v>
      </c>
      <c r="U24" s="29">
        <f t="shared" si="7"/>
        <v>64101.216666666674</v>
      </c>
      <c r="V24" s="32">
        <f t="shared" si="8"/>
        <v>-5596.0365000000002</v>
      </c>
      <c r="W24" s="32">
        <f t="shared" si="9"/>
        <v>-3618.7702700000009</v>
      </c>
      <c r="X24" s="29">
        <f t="shared" si="10"/>
        <v>0</v>
      </c>
      <c r="Y24" s="28">
        <f t="shared" si="11"/>
        <v>177319.74323000002</v>
      </c>
      <c r="Z24" s="28">
        <f t="shared" si="12"/>
        <v>186534.55000000002</v>
      </c>
    </row>
    <row r="25" spans="3:27" ht="15.75" customHeight="1">
      <c r="C25" s="84" t="s">
        <v>91</v>
      </c>
      <c r="E25" s="171">
        <v>116.66666666666667</v>
      </c>
      <c r="G25" s="35">
        <f t="shared" si="14"/>
        <v>46660</v>
      </c>
      <c r="H25">
        <f t="shared" si="15"/>
        <v>2</v>
      </c>
      <c r="I25" s="3">
        <v>20</v>
      </c>
      <c r="J25" s="9">
        <f t="shared" si="16"/>
        <v>1</v>
      </c>
      <c r="K25" s="9">
        <f t="shared" si="17"/>
        <v>1</v>
      </c>
      <c r="L25" s="31">
        <f t="shared" si="13"/>
        <v>1</v>
      </c>
      <c r="M25" s="10">
        <v>0</v>
      </c>
      <c r="N25" s="10">
        <f t="shared" si="1"/>
        <v>116.66666666666667</v>
      </c>
      <c r="O25" s="10">
        <f t="shared" si="2"/>
        <v>331.00000000000034</v>
      </c>
      <c r="P25" s="10">
        <f t="shared" si="3"/>
        <v>0</v>
      </c>
      <c r="R25" s="29">
        <f t="shared" si="4"/>
        <v>255.38333333333335</v>
      </c>
      <c r="S25" s="29">
        <f t="shared" si="5"/>
        <v>90000</v>
      </c>
      <c r="T25" s="29">
        <f t="shared" si="6"/>
        <v>32433.333333333336</v>
      </c>
      <c r="U25" s="29">
        <f t="shared" si="7"/>
        <v>64101.216666666674</v>
      </c>
      <c r="V25" s="32">
        <f t="shared" si="8"/>
        <v>-5596.0365000000002</v>
      </c>
      <c r="W25" s="32">
        <f t="shared" si="9"/>
        <v>-3618.7702700000009</v>
      </c>
      <c r="X25" s="29">
        <f t="shared" si="10"/>
        <v>0</v>
      </c>
      <c r="Y25" s="28">
        <f t="shared" si="11"/>
        <v>177319.74323000002</v>
      </c>
      <c r="Z25" s="28">
        <f t="shared" si="12"/>
        <v>186534.55000000002</v>
      </c>
    </row>
    <row r="26" spans="3:27" ht="15.75" customHeight="1">
      <c r="C26" s="84" t="s">
        <v>92</v>
      </c>
      <c r="E26" s="95">
        <v>0</v>
      </c>
      <c r="G26" s="35">
        <f t="shared" si="14"/>
        <v>46691</v>
      </c>
      <c r="H26">
        <f t="shared" si="15"/>
        <v>2</v>
      </c>
      <c r="I26">
        <v>21</v>
      </c>
      <c r="J26" s="9">
        <f t="shared" si="16"/>
        <v>1</v>
      </c>
      <c r="K26" s="9">
        <f t="shared" si="17"/>
        <v>1</v>
      </c>
      <c r="L26" s="31">
        <f t="shared" si="13"/>
        <v>1</v>
      </c>
      <c r="M26" s="10">
        <v>0</v>
      </c>
      <c r="N26" s="10">
        <f t="shared" si="1"/>
        <v>116.66666666666667</v>
      </c>
      <c r="O26" s="10">
        <f t="shared" si="2"/>
        <v>214.33333333333366</v>
      </c>
      <c r="P26" s="10">
        <f t="shared" si="3"/>
        <v>0</v>
      </c>
      <c r="R26" s="29">
        <f t="shared" si="4"/>
        <v>255.38333333333335</v>
      </c>
      <c r="S26" s="29">
        <f t="shared" si="5"/>
        <v>90000</v>
      </c>
      <c r="T26" s="29">
        <f t="shared" si="6"/>
        <v>32433.333333333336</v>
      </c>
      <c r="U26" s="29">
        <f t="shared" si="7"/>
        <v>64101.216666666674</v>
      </c>
      <c r="V26" s="32">
        <f t="shared" si="8"/>
        <v>-5596.0365000000002</v>
      </c>
      <c r="W26" s="32">
        <f t="shared" si="9"/>
        <v>-3618.7702700000009</v>
      </c>
      <c r="X26" s="29">
        <f t="shared" si="10"/>
        <v>0</v>
      </c>
      <c r="Y26" s="28">
        <f t="shared" si="11"/>
        <v>177319.74323000002</v>
      </c>
      <c r="Z26" s="28">
        <f t="shared" si="12"/>
        <v>186534.55000000002</v>
      </c>
    </row>
    <row r="27" spans="3:27" ht="15.75" customHeight="1">
      <c r="C27" s="85" t="s">
        <v>93</v>
      </c>
      <c r="E27" s="95">
        <v>0</v>
      </c>
      <c r="G27" s="35">
        <f t="shared" si="14"/>
        <v>46721</v>
      </c>
      <c r="H27">
        <f t="shared" si="15"/>
        <v>2</v>
      </c>
      <c r="I27">
        <v>22</v>
      </c>
      <c r="J27" s="9">
        <f t="shared" si="16"/>
        <v>1</v>
      </c>
      <c r="K27" s="9">
        <f t="shared" si="17"/>
        <v>1</v>
      </c>
      <c r="L27" s="31">
        <f t="shared" si="13"/>
        <v>1</v>
      </c>
      <c r="M27" s="10">
        <v>0</v>
      </c>
      <c r="N27" s="10">
        <f t="shared" si="1"/>
        <v>116.66666666666667</v>
      </c>
      <c r="O27" s="10">
        <f t="shared" si="2"/>
        <v>97.666666666666984</v>
      </c>
      <c r="P27" s="10">
        <f t="shared" si="3"/>
        <v>0</v>
      </c>
      <c r="R27" s="29">
        <f t="shared" si="4"/>
        <v>255.38333333333335</v>
      </c>
      <c r="S27" s="29">
        <f t="shared" si="5"/>
        <v>90000</v>
      </c>
      <c r="T27" s="29">
        <f t="shared" si="6"/>
        <v>32433.333333333336</v>
      </c>
      <c r="U27" s="29">
        <f t="shared" si="7"/>
        <v>64101.216666666674</v>
      </c>
      <c r="V27" s="32">
        <f t="shared" si="8"/>
        <v>-5596.0365000000002</v>
      </c>
      <c r="W27" s="32">
        <f t="shared" si="9"/>
        <v>-3618.7702700000009</v>
      </c>
      <c r="X27" s="29">
        <f t="shared" si="10"/>
        <v>0</v>
      </c>
      <c r="Y27" s="28">
        <f t="shared" si="11"/>
        <v>177319.74323000002</v>
      </c>
      <c r="Z27" s="28">
        <f t="shared" si="12"/>
        <v>186534.55000000002</v>
      </c>
    </row>
    <row r="28" spans="3:27" ht="15.75" customHeight="1">
      <c r="C28" s="84"/>
      <c r="E28" s="87"/>
      <c r="G28" s="35">
        <f t="shared" si="14"/>
        <v>46752</v>
      </c>
      <c r="H28">
        <f t="shared" si="15"/>
        <v>2</v>
      </c>
      <c r="I28">
        <v>23</v>
      </c>
      <c r="J28" s="9">
        <f t="shared" si="16"/>
        <v>1</v>
      </c>
      <c r="K28" s="9">
        <f t="shared" si="17"/>
        <v>1</v>
      </c>
      <c r="L28" s="31">
        <f t="shared" si="13"/>
        <v>1</v>
      </c>
      <c r="M28" s="10">
        <v>0</v>
      </c>
      <c r="N28" s="10">
        <f t="shared" si="1"/>
        <v>97.666666666666984</v>
      </c>
      <c r="O28" s="10">
        <f t="shared" si="2"/>
        <v>0</v>
      </c>
      <c r="P28" s="10">
        <f t="shared" si="3"/>
        <v>0</v>
      </c>
      <c r="R28" s="29">
        <f t="shared" si="4"/>
        <v>213.79233333333403</v>
      </c>
      <c r="S28" s="29">
        <f t="shared" si="5"/>
        <v>90000</v>
      </c>
      <c r="T28" s="29">
        <f t="shared" si="6"/>
        <v>27151.333333333423</v>
      </c>
      <c r="U28" s="29">
        <f t="shared" si="7"/>
        <v>53661.875666666841</v>
      </c>
      <c r="V28" s="32">
        <f t="shared" si="8"/>
        <v>-5124.3962700000075</v>
      </c>
      <c r="W28" s="32">
        <f t="shared" si="9"/>
        <v>-3313.7762546000054</v>
      </c>
      <c r="X28" s="29">
        <f t="shared" si="10"/>
        <v>0</v>
      </c>
      <c r="Y28" s="28">
        <f t="shared" si="11"/>
        <v>162375.03647540027</v>
      </c>
      <c r="Z28" s="28">
        <f t="shared" si="12"/>
        <v>170813.20900000026</v>
      </c>
    </row>
    <row r="29" spans="3:27" ht="15.75" customHeight="1">
      <c r="C29" s="84" t="s">
        <v>94</v>
      </c>
      <c r="E29" s="166">
        <v>0.03</v>
      </c>
      <c r="G29" s="35">
        <f t="shared" si="14"/>
        <v>46783</v>
      </c>
      <c r="H29">
        <f t="shared" si="15"/>
        <v>2</v>
      </c>
      <c r="I29" s="3">
        <v>24</v>
      </c>
      <c r="J29" s="9">
        <f t="shared" si="16"/>
        <v>1</v>
      </c>
      <c r="K29" s="9">
        <f t="shared" si="17"/>
        <v>1</v>
      </c>
      <c r="L29" s="31">
        <f t="shared" si="13"/>
        <v>0</v>
      </c>
      <c r="M29" s="10">
        <v>0</v>
      </c>
      <c r="N29" s="10">
        <f t="shared" si="1"/>
        <v>0</v>
      </c>
      <c r="O29" s="10">
        <f t="shared" si="2"/>
        <v>0</v>
      </c>
      <c r="P29" s="10">
        <f t="shared" si="3"/>
        <v>0</v>
      </c>
      <c r="R29" s="29">
        <f t="shared" si="4"/>
        <v>0</v>
      </c>
      <c r="S29" s="29">
        <f t="shared" si="5"/>
        <v>0</v>
      </c>
      <c r="T29" s="29">
        <f t="shared" si="6"/>
        <v>0</v>
      </c>
      <c r="U29" s="29">
        <f t="shared" si="7"/>
        <v>0</v>
      </c>
      <c r="V29" s="32">
        <f t="shared" si="8"/>
        <v>0</v>
      </c>
      <c r="W29" s="32">
        <f t="shared" si="9"/>
        <v>0</v>
      </c>
      <c r="X29" s="29">
        <f t="shared" si="10"/>
        <v>0</v>
      </c>
      <c r="Y29" s="28">
        <f t="shared" si="11"/>
        <v>0</v>
      </c>
      <c r="Z29" s="28">
        <f t="shared" si="12"/>
        <v>0</v>
      </c>
    </row>
    <row r="30" spans="3:27" ht="15.75" customHeight="1">
      <c r="C30" s="86" t="s">
        <v>95</v>
      </c>
      <c r="D30" s="54"/>
      <c r="E30" s="167">
        <v>0.02</v>
      </c>
      <c r="G30" s="35">
        <f t="shared" si="14"/>
        <v>46812</v>
      </c>
      <c r="H30">
        <f t="shared" si="15"/>
        <v>3</v>
      </c>
      <c r="I30">
        <v>25</v>
      </c>
      <c r="J30" s="9">
        <f t="shared" si="16"/>
        <v>1</v>
      </c>
      <c r="K30" s="9">
        <f t="shared" si="17"/>
        <v>1</v>
      </c>
      <c r="L30" s="31">
        <f t="shared" si="13"/>
        <v>0</v>
      </c>
      <c r="M30" s="10">
        <v>0</v>
      </c>
      <c r="N30" s="10">
        <f t="shared" si="1"/>
        <v>0</v>
      </c>
      <c r="O30" s="10">
        <f t="shared" si="2"/>
        <v>0</v>
      </c>
      <c r="P30" s="10">
        <f t="shared" si="3"/>
        <v>0</v>
      </c>
      <c r="R30" s="29">
        <f t="shared" si="4"/>
        <v>0</v>
      </c>
      <c r="S30" s="29">
        <f t="shared" si="5"/>
        <v>0</v>
      </c>
      <c r="T30" s="29">
        <f t="shared" si="6"/>
        <v>0</v>
      </c>
      <c r="U30" s="29">
        <f t="shared" si="7"/>
        <v>0</v>
      </c>
      <c r="V30" s="32">
        <f t="shared" si="8"/>
        <v>0</v>
      </c>
      <c r="W30" s="32">
        <f t="shared" si="9"/>
        <v>0</v>
      </c>
      <c r="X30" s="29">
        <f t="shared" si="10"/>
        <v>3000000</v>
      </c>
      <c r="Y30" s="28">
        <f t="shared" si="11"/>
        <v>3000000</v>
      </c>
      <c r="Z30" s="28">
        <f t="shared" si="12"/>
        <v>3000000</v>
      </c>
    </row>
    <row r="31" spans="3:27" ht="15.75" customHeight="1">
      <c r="G31" s="35">
        <f t="shared" si="14"/>
        <v>46843</v>
      </c>
      <c r="H31">
        <f t="shared" si="15"/>
        <v>3</v>
      </c>
      <c r="I31">
        <v>26</v>
      </c>
      <c r="J31" s="9">
        <f t="shared" si="16"/>
        <v>1</v>
      </c>
      <c r="K31" s="9">
        <f t="shared" si="17"/>
        <v>1</v>
      </c>
      <c r="L31" s="31">
        <f t="shared" si="13"/>
        <v>0</v>
      </c>
      <c r="M31" s="10">
        <v>0</v>
      </c>
      <c r="N31" s="10">
        <f t="shared" si="1"/>
        <v>0</v>
      </c>
      <c r="O31" s="10">
        <f t="shared" si="2"/>
        <v>0</v>
      </c>
      <c r="P31" s="10">
        <f t="shared" si="3"/>
        <v>0</v>
      </c>
      <c r="R31" s="29">
        <f t="shared" si="4"/>
        <v>0</v>
      </c>
      <c r="S31" s="29">
        <f t="shared" si="5"/>
        <v>0</v>
      </c>
      <c r="T31" s="29">
        <f t="shared" si="6"/>
        <v>0</v>
      </c>
      <c r="U31" s="29">
        <f t="shared" si="7"/>
        <v>0</v>
      </c>
      <c r="V31" s="32">
        <f t="shared" si="8"/>
        <v>0</v>
      </c>
      <c r="W31" s="32">
        <f t="shared" si="9"/>
        <v>0</v>
      </c>
      <c r="X31" s="29">
        <f t="shared" si="10"/>
        <v>0</v>
      </c>
      <c r="Y31" s="28">
        <f t="shared" si="11"/>
        <v>0</v>
      </c>
      <c r="Z31" s="28">
        <f t="shared" si="12"/>
        <v>0</v>
      </c>
    </row>
    <row r="32" spans="3:27" ht="15.75" customHeight="1">
      <c r="G32" s="35">
        <f t="shared" si="14"/>
        <v>46873</v>
      </c>
      <c r="H32">
        <f t="shared" si="15"/>
        <v>3</v>
      </c>
      <c r="I32">
        <v>27</v>
      </c>
      <c r="J32" s="9">
        <f t="shared" si="16"/>
        <v>1</v>
      </c>
      <c r="K32" s="9">
        <f t="shared" si="17"/>
        <v>1</v>
      </c>
      <c r="L32" s="31">
        <f t="shared" si="13"/>
        <v>0</v>
      </c>
      <c r="M32" s="10">
        <v>0</v>
      </c>
      <c r="N32" s="10">
        <f t="shared" si="1"/>
        <v>0</v>
      </c>
      <c r="O32" s="10">
        <f t="shared" si="2"/>
        <v>0</v>
      </c>
      <c r="P32" s="10">
        <f t="shared" si="3"/>
        <v>0</v>
      </c>
      <c r="R32" s="29">
        <f t="shared" si="4"/>
        <v>0</v>
      </c>
      <c r="S32" s="29">
        <f t="shared" si="5"/>
        <v>0</v>
      </c>
      <c r="T32" s="29">
        <f t="shared" si="6"/>
        <v>0</v>
      </c>
      <c r="U32" s="29">
        <f t="shared" si="7"/>
        <v>0</v>
      </c>
      <c r="V32" s="32">
        <f t="shared" si="8"/>
        <v>0</v>
      </c>
      <c r="W32" s="32">
        <f t="shared" si="9"/>
        <v>0</v>
      </c>
      <c r="X32" s="29">
        <f t="shared" si="10"/>
        <v>0</v>
      </c>
      <c r="Y32" s="28">
        <f t="shared" si="11"/>
        <v>0</v>
      </c>
      <c r="Z32" s="28">
        <f t="shared" si="12"/>
        <v>0</v>
      </c>
    </row>
    <row r="33" spans="5:26" ht="15.75" customHeight="1">
      <c r="E33"/>
      <c r="G33" s="35">
        <f t="shared" si="14"/>
        <v>46904</v>
      </c>
      <c r="H33">
        <f t="shared" si="15"/>
        <v>3</v>
      </c>
      <c r="I33" s="3">
        <v>28</v>
      </c>
      <c r="J33" s="9">
        <f t="shared" si="16"/>
        <v>1</v>
      </c>
      <c r="K33" s="9">
        <f t="shared" si="17"/>
        <v>1</v>
      </c>
      <c r="L33" s="31">
        <f t="shared" si="13"/>
        <v>0</v>
      </c>
      <c r="M33" s="10">
        <v>0</v>
      </c>
      <c r="N33" s="10">
        <f t="shared" si="1"/>
        <v>0</v>
      </c>
      <c r="O33" s="10">
        <f t="shared" si="2"/>
        <v>0</v>
      </c>
      <c r="P33" s="10">
        <f t="shared" si="3"/>
        <v>0</v>
      </c>
      <c r="R33" s="29">
        <f t="shared" si="4"/>
        <v>0</v>
      </c>
      <c r="S33" s="29">
        <f t="shared" si="5"/>
        <v>0</v>
      </c>
      <c r="T33" s="29">
        <f t="shared" si="6"/>
        <v>0</v>
      </c>
      <c r="U33" s="29">
        <f t="shared" si="7"/>
        <v>0</v>
      </c>
      <c r="V33" s="32">
        <f t="shared" si="8"/>
        <v>0</v>
      </c>
      <c r="W33" s="32">
        <f t="shared" si="9"/>
        <v>0</v>
      </c>
      <c r="X33" s="29">
        <f t="shared" si="10"/>
        <v>0</v>
      </c>
      <c r="Y33" s="28">
        <f t="shared" si="11"/>
        <v>0</v>
      </c>
      <c r="Z33" s="28">
        <f t="shared" si="12"/>
        <v>0</v>
      </c>
    </row>
    <row r="34" spans="5:26" ht="15.75" customHeight="1">
      <c r="E34"/>
      <c r="G34" s="35">
        <f t="shared" si="14"/>
        <v>46934</v>
      </c>
      <c r="H34">
        <f t="shared" si="15"/>
        <v>3</v>
      </c>
      <c r="I34">
        <v>29</v>
      </c>
      <c r="J34" s="9">
        <f t="shared" si="16"/>
        <v>1</v>
      </c>
      <c r="K34" s="9">
        <f t="shared" si="17"/>
        <v>1</v>
      </c>
      <c r="L34" s="31">
        <f t="shared" si="13"/>
        <v>0</v>
      </c>
      <c r="M34" s="10">
        <v>0</v>
      </c>
      <c r="N34" s="10">
        <f t="shared" si="1"/>
        <v>0</v>
      </c>
      <c r="O34" s="10">
        <f t="shared" si="2"/>
        <v>0</v>
      </c>
      <c r="P34" s="10">
        <f t="shared" si="3"/>
        <v>0</v>
      </c>
      <c r="R34" s="29">
        <f t="shared" si="4"/>
        <v>0</v>
      </c>
      <c r="S34" s="29">
        <f t="shared" si="5"/>
        <v>0</v>
      </c>
      <c r="T34" s="29">
        <f t="shared" si="6"/>
        <v>0</v>
      </c>
      <c r="U34" s="29">
        <f t="shared" si="7"/>
        <v>0</v>
      </c>
      <c r="V34" s="32">
        <f t="shared" si="8"/>
        <v>0</v>
      </c>
      <c r="W34" s="32">
        <f t="shared" si="9"/>
        <v>0</v>
      </c>
      <c r="X34" s="29">
        <f t="shared" si="10"/>
        <v>0</v>
      </c>
      <c r="Y34" s="28">
        <f t="shared" si="11"/>
        <v>0</v>
      </c>
      <c r="Z34" s="28">
        <f t="shared" si="12"/>
        <v>0</v>
      </c>
    </row>
    <row r="35" spans="5:26" ht="15.75" customHeight="1">
      <c r="E35"/>
      <c r="G35" s="35">
        <f t="shared" si="14"/>
        <v>46965</v>
      </c>
      <c r="H35">
        <f t="shared" si="15"/>
        <v>3</v>
      </c>
      <c r="I35">
        <v>30</v>
      </c>
      <c r="J35" s="9">
        <f t="shared" si="16"/>
        <v>1</v>
      </c>
      <c r="K35" s="9">
        <f t="shared" si="17"/>
        <v>1</v>
      </c>
      <c r="L35" s="31">
        <f t="shared" si="13"/>
        <v>0</v>
      </c>
      <c r="M35" s="10">
        <v>0</v>
      </c>
      <c r="N35" s="10">
        <f t="shared" si="1"/>
        <v>0</v>
      </c>
      <c r="O35" s="10">
        <f t="shared" si="2"/>
        <v>0</v>
      </c>
      <c r="P35" s="10">
        <f t="shared" si="3"/>
        <v>0</v>
      </c>
      <c r="R35" s="29">
        <f t="shared" si="4"/>
        <v>0</v>
      </c>
      <c r="S35" s="29">
        <f t="shared" si="5"/>
        <v>0</v>
      </c>
      <c r="T35" s="29">
        <f t="shared" si="6"/>
        <v>0</v>
      </c>
      <c r="U35" s="29">
        <f t="shared" si="7"/>
        <v>0</v>
      </c>
      <c r="V35" s="32">
        <f t="shared" si="8"/>
        <v>0</v>
      </c>
      <c r="W35" s="32">
        <f t="shared" si="9"/>
        <v>0</v>
      </c>
      <c r="X35" s="29">
        <f t="shared" si="10"/>
        <v>0</v>
      </c>
      <c r="Y35" s="28">
        <f t="shared" si="11"/>
        <v>0</v>
      </c>
      <c r="Z35" s="28">
        <f t="shared" si="12"/>
        <v>0</v>
      </c>
    </row>
    <row r="36" spans="5:26" ht="15.75" customHeight="1">
      <c r="E36"/>
      <c r="G36" s="35">
        <f t="shared" si="14"/>
        <v>46996</v>
      </c>
      <c r="H36">
        <f t="shared" si="15"/>
        <v>3</v>
      </c>
      <c r="I36">
        <v>31</v>
      </c>
      <c r="J36" s="9">
        <f t="shared" si="16"/>
        <v>1</v>
      </c>
      <c r="K36" s="9">
        <f t="shared" si="17"/>
        <v>1</v>
      </c>
      <c r="L36" s="31">
        <f t="shared" si="13"/>
        <v>0</v>
      </c>
      <c r="M36" s="10">
        <v>0</v>
      </c>
      <c r="N36" s="10">
        <f t="shared" si="1"/>
        <v>0</v>
      </c>
      <c r="O36" s="10">
        <f t="shared" si="2"/>
        <v>0</v>
      </c>
      <c r="P36" s="10">
        <f t="shared" si="3"/>
        <v>0</v>
      </c>
      <c r="R36" s="29">
        <f t="shared" si="4"/>
        <v>0</v>
      </c>
      <c r="S36" s="29">
        <f t="shared" si="5"/>
        <v>0</v>
      </c>
      <c r="T36" s="29">
        <f t="shared" si="6"/>
        <v>0</v>
      </c>
      <c r="U36" s="29">
        <f t="shared" si="7"/>
        <v>0</v>
      </c>
      <c r="V36" s="32">
        <f t="shared" si="8"/>
        <v>0</v>
      </c>
      <c r="W36" s="32">
        <f t="shared" si="9"/>
        <v>0</v>
      </c>
      <c r="X36" s="29">
        <f t="shared" si="10"/>
        <v>0</v>
      </c>
      <c r="Y36" s="28">
        <f t="shared" si="11"/>
        <v>0</v>
      </c>
      <c r="Z36" s="28">
        <f t="shared" si="12"/>
        <v>0</v>
      </c>
    </row>
    <row r="37" spans="5:26" ht="15.75" customHeight="1">
      <c r="E37"/>
      <c r="G37" s="35">
        <f t="shared" si="14"/>
        <v>47026</v>
      </c>
      <c r="H37">
        <f t="shared" si="15"/>
        <v>3</v>
      </c>
      <c r="I37" s="3">
        <v>32</v>
      </c>
      <c r="J37" s="9">
        <f t="shared" si="16"/>
        <v>1</v>
      </c>
      <c r="K37" s="9">
        <f t="shared" si="17"/>
        <v>1</v>
      </c>
      <c r="L37" s="31">
        <f t="shared" si="13"/>
        <v>0</v>
      </c>
      <c r="M37" s="10">
        <v>0</v>
      </c>
      <c r="N37" s="10">
        <f t="shared" ref="N37:N53" si="18">IF(L37,MIN(O36,$E$25),0)</f>
        <v>0</v>
      </c>
      <c r="O37" s="10">
        <f t="shared" si="2"/>
        <v>0</v>
      </c>
      <c r="P37" s="10">
        <f t="shared" ref="P37:P53" si="19">IF(I37=$E$8,-$E$7,0)-IF(L37="On",$E$15/12*K37,0)</f>
        <v>0</v>
      </c>
      <c r="R37" s="29">
        <f t="shared" ref="R37:R53" si="20">N37*$E$22</f>
        <v>0</v>
      </c>
      <c r="S37" s="29">
        <f t="shared" ref="S37:S53" si="21">L37*$E$21</f>
        <v>0</v>
      </c>
      <c r="T37" s="29">
        <f t="shared" ref="T37:T53" si="22">+N37*$E$23</f>
        <v>0</v>
      </c>
      <c r="U37" s="29">
        <f t="shared" ref="U37:U53" si="23">+$E$24*R37</f>
        <v>0</v>
      </c>
      <c r="V37" s="32">
        <f t="shared" ref="V37:V53" si="24">SUM(S37:U37)*-$E$29</f>
        <v>0</v>
      </c>
      <c r="W37" s="32">
        <f t="shared" ref="W37:W53" si="25">SUM(S37:V37)*-$E$30</f>
        <v>0</v>
      </c>
      <c r="X37" s="29">
        <f t="shared" ref="X37:X53" si="26">IF(I37=(COUNTIF($O$5:$O$53,"&lt;&gt;0")+$E$16),$E$14,0)</f>
        <v>0</v>
      </c>
      <c r="Y37" s="28">
        <f t="shared" ref="Y37:Y53" si="27">SUM(M37,P37:Q37,S37:X37)</f>
        <v>0</v>
      </c>
      <c r="Z37" s="28">
        <f t="shared" si="12"/>
        <v>0</v>
      </c>
    </row>
    <row r="38" spans="5:26" ht="15.75" customHeight="1">
      <c r="E38"/>
      <c r="G38" s="35">
        <f t="shared" si="14"/>
        <v>47057</v>
      </c>
      <c r="H38">
        <f t="shared" si="15"/>
        <v>3</v>
      </c>
      <c r="I38">
        <v>33</v>
      </c>
      <c r="J38" s="9">
        <f t="shared" si="16"/>
        <v>1</v>
      </c>
      <c r="K38" s="9">
        <f t="shared" si="17"/>
        <v>1</v>
      </c>
      <c r="L38" s="31">
        <f t="shared" si="13"/>
        <v>0</v>
      </c>
      <c r="M38" s="10">
        <v>0</v>
      </c>
      <c r="N38" s="10">
        <f t="shared" si="18"/>
        <v>0</v>
      </c>
      <c r="O38" s="10">
        <f t="shared" si="2"/>
        <v>0</v>
      </c>
      <c r="P38" s="10">
        <f t="shared" si="19"/>
        <v>0</v>
      </c>
      <c r="R38" s="29">
        <f t="shared" si="20"/>
        <v>0</v>
      </c>
      <c r="S38" s="29">
        <f t="shared" si="21"/>
        <v>0</v>
      </c>
      <c r="T38" s="29">
        <f t="shared" si="22"/>
        <v>0</v>
      </c>
      <c r="U38" s="29">
        <f t="shared" si="23"/>
        <v>0</v>
      </c>
      <c r="V38" s="32">
        <f t="shared" si="24"/>
        <v>0</v>
      </c>
      <c r="W38" s="32">
        <f t="shared" si="25"/>
        <v>0</v>
      </c>
      <c r="X38" s="29">
        <f t="shared" si="26"/>
        <v>0</v>
      </c>
      <c r="Y38" s="28">
        <f t="shared" si="27"/>
        <v>0</v>
      </c>
      <c r="Z38" s="28">
        <f t="shared" si="12"/>
        <v>0</v>
      </c>
    </row>
    <row r="39" spans="5:26" ht="15.75" customHeight="1">
      <c r="E39"/>
      <c r="G39" s="35">
        <f t="shared" si="14"/>
        <v>47087</v>
      </c>
      <c r="H39">
        <f t="shared" si="15"/>
        <v>3</v>
      </c>
      <c r="I39">
        <v>34</v>
      </c>
      <c r="J39" s="9">
        <f t="shared" si="16"/>
        <v>1</v>
      </c>
      <c r="K39" s="9">
        <f t="shared" si="17"/>
        <v>1</v>
      </c>
      <c r="L39" s="31">
        <f t="shared" si="13"/>
        <v>0</v>
      </c>
      <c r="M39" s="10">
        <v>0</v>
      </c>
      <c r="N39" s="10">
        <f t="shared" si="18"/>
        <v>0</v>
      </c>
      <c r="O39" s="10">
        <f t="shared" si="2"/>
        <v>0</v>
      </c>
      <c r="P39" s="10">
        <f t="shared" si="19"/>
        <v>0</v>
      </c>
      <c r="R39" s="29">
        <f t="shared" si="20"/>
        <v>0</v>
      </c>
      <c r="S39" s="29">
        <f t="shared" si="21"/>
        <v>0</v>
      </c>
      <c r="T39" s="29">
        <f t="shared" si="22"/>
        <v>0</v>
      </c>
      <c r="U39" s="29">
        <f t="shared" si="23"/>
        <v>0</v>
      </c>
      <c r="V39" s="32">
        <f t="shared" si="24"/>
        <v>0</v>
      </c>
      <c r="W39" s="32">
        <f t="shared" si="25"/>
        <v>0</v>
      </c>
      <c r="X39" s="29">
        <f t="shared" si="26"/>
        <v>0</v>
      </c>
      <c r="Y39" s="28">
        <f t="shared" si="27"/>
        <v>0</v>
      </c>
      <c r="Z39" s="28">
        <f t="shared" si="12"/>
        <v>0</v>
      </c>
    </row>
    <row r="40" spans="5:26" ht="15.75" customHeight="1">
      <c r="E40"/>
      <c r="G40" s="35">
        <f t="shared" si="14"/>
        <v>47118</v>
      </c>
      <c r="H40">
        <f t="shared" si="15"/>
        <v>3</v>
      </c>
      <c r="I40">
        <v>35</v>
      </c>
      <c r="J40" s="9">
        <f t="shared" si="16"/>
        <v>1</v>
      </c>
      <c r="K40" s="9">
        <f t="shared" si="17"/>
        <v>1</v>
      </c>
      <c r="L40" s="31">
        <f t="shared" si="13"/>
        <v>0</v>
      </c>
      <c r="M40" s="10">
        <v>0</v>
      </c>
      <c r="N40" s="10">
        <f t="shared" si="18"/>
        <v>0</v>
      </c>
      <c r="O40" s="10">
        <f t="shared" si="2"/>
        <v>0</v>
      </c>
      <c r="P40" s="10">
        <f t="shared" si="19"/>
        <v>0</v>
      </c>
      <c r="R40" s="29">
        <f t="shared" si="20"/>
        <v>0</v>
      </c>
      <c r="S40" s="29">
        <f t="shared" si="21"/>
        <v>0</v>
      </c>
      <c r="T40" s="29">
        <f t="shared" si="22"/>
        <v>0</v>
      </c>
      <c r="U40" s="29">
        <f t="shared" si="23"/>
        <v>0</v>
      </c>
      <c r="V40" s="32">
        <f t="shared" si="24"/>
        <v>0</v>
      </c>
      <c r="W40" s="32">
        <f t="shared" si="25"/>
        <v>0</v>
      </c>
      <c r="X40" s="29">
        <f t="shared" si="26"/>
        <v>0</v>
      </c>
      <c r="Y40" s="28">
        <f t="shared" si="27"/>
        <v>0</v>
      </c>
      <c r="Z40" s="28">
        <f t="shared" si="12"/>
        <v>0</v>
      </c>
    </row>
    <row r="41" spans="5:26" ht="15.75" customHeight="1">
      <c r="E41"/>
      <c r="G41" s="35">
        <f t="shared" si="14"/>
        <v>47149</v>
      </c>
      <c r="H41">
        <f t="shared" si="15"/>
        <v>3</v>
      </c>
      <c r="I41" s="3">
        <v>36</v>
      </c>
      <c r="J41" s="9">
        <f t="shared" si="16"/>
        <v>1</v>
      </c>
      <c r="K41" s="9">
        <f t="shared" si="17"/>
        <v>1</v>
      </c>
      <c r="L41" s="31">
        <f t="shared" si="13"/>
        <v>0</v>
      </c>
      <c r="M41" s="10">
        <v>0</v>
      </c>
      <c r="N41" s="10">
        <f t="shared" si="18"/>
        <v>0</v>
      </c>
      <c r="O41" s="10">
        <f t="shared" si="2"/>
        <v>0</v>
      </c>
      <c r="P41" s="10">
        <f t="shared" si="19"/>
        <v>0</v>
      </c>
      <c r="R41" s="29">
        <f t="shared" si="20"/>
        <v>0</v>
      </c>
      <c r="S41" s="29">
        <f t="shared" si="21"/>
        <v>0</v>
      </c>
      <c r="T41" s="29">
        <f t="shared" si="22"/>
        <v>0</v>
      </c>
      <c r="U41" s="29">
        <f t="shared" si="23"/>
        <v>0</v>
      </c>
      <c r="V41" s="32">
        <f t="shared" si="24"/>
        <v>0</v>
      </c>
      <c r="W41" s="32">
        <f t="shared" si="25"/>
        <v>0</v>
      </c>
      <c r="X41" s="29">
        <f t="shared" si="26"/>
        <v>0</v>
      </c>
      <c r="Y41" s="28">
        <f t="shared" si="27"/>
        <v>0</v>
      </c>
      <c r="Z41" s="28">
        <f t="shared" si="12"/>
        <v>0</v>
      </c>
    </row>
    <row r="42" spans="5:26" ht="15.75" customHeight="1">
      <c r="E42"/>
      <c r="G42" s="35">
        <f t="shared" si="14"/>
        <v>47177</v>
      </c>
      <c r="H42">
        <f t="shared" si="15"/>
        <v>4</v>
      </c>
      <c r="I42">
        <v>37</v>
      </c>
      <c r="J42" s="9">
        <f t="shared" si="16"/>
        <v>1</v>
      </c>
      <c r="K42" s="9">
        <f t="shared" si="17"/>
        <v>1</v>
      </c>
      <c r="L42" s="31">
        <f t="shared" si="13"/>
        <v>0</v>
      </c>
      <c r="M42" s="10">
        <v>0</v>
      </c>
      <c r="N42" s="10">
        <f t="shared" si="18"/>
        <v>0</v>
      </c>
      <c r="O42" s="10">
        <f t="shared" si="2"/>
        <v>0</v>
      </c>
      <c r="P42" s="10">
        <f t="shared" si="19"/>
        <v>0</v>
      </c>
      <c r="R42" s="29">
        <f t="shared" si="20"/>
        <v>0</v>
      </c>
      <c r="S42" s="29">
        <f t="shared" si="21"/>
        <v>0</v>
      </c>
      <c r="T42" s="29">
        <f t="shared" si="22"/>
        <v>0</v>
      </c>
      <c r="U42" s="29">
        <f t="shared" si="23"/>
        <v>0</v>
      </c>
      <c r="V42" s="32">
        <f t="shared" si="24"/>
        <v>0</v>
      </c>
      <c r="W42" s="32">
        <f t="shared" si="25"/>
        <v>0</v>
      </c>
      <c r="X42" s="29">
        <f t="shared" si="26"/>
        <v>0</v>
      </c>
      <c r="Y42" s="28">
        <f t="shared" si="27"/>
        <v>0</v>
      </c>
      <c r="Z42" s="28">
        <f t="shared" si="12"/>
        <v>0</v>
      </c>
    </row>
    <row r="43" spans="5:26" ht="15.75" customHeight="1">
      <c r="E43"/>
      <c r="G43" s="35">
        <f t="shared" si="14"/>
        <v>47208</v>
      </c>
      <c r="H43">
        <f t="shared" si="15"/>
        <v>4</v>
      </c>
      <c r="I43">
        <v>38</v>
      </c>
      <c r="J43" s="9">
        <f t="shared" si="16"/>
        <v>1</v>
      </c>
      <c r="K43" s="9">
        <f t="shared" si="17"/>
        <v>1</v>
      </c>
      <c r="L43" s="31">
        <f t="shared" si="13"/>
        <v>0</v>
      </c>
      <c r="M43" s="10">
        <v>0</v>
      </c>
      <c r="N43" s="10">
        <f t="shared" si="18"/>
        <v>0</v>
      </c>
      <c r="O43" s="10">
        <f t="shared" si="2"/>
        <v>0</v>
      </c>
      <c r="P43" s="10">
        <f t="shared" si="19"/>
        <v>0</v>
      </c>
      <c r="R43" s="29">
        <f t="shared" si="20"/>
        <v>0</v>
      </c>
      <c r="S43" s="29">
        <f t="shared" si="21"/>
        <v>0</v>
      </c>
      <c r="T43" s="29">
        <f t="shared" si="22"/>
        <v>0</v>
      </c>
      <c r="U43" s="29">
        <f t="shared" si="23"/>
        <v>0</v>
      </c>
      <c r="V43" s="32">
        <f t="shared" si="24"/>
        <v>0</v>
      </c>
      <c r="W43" s="32">
        <f t="shared" si="25"/>
        <v>0</v>
      </c>
      <c r="X43" s="29">
        <f t="shared" si="26"/>
        <v>0</v>
      </c>
      <c r="Y43" s="28">
        <f t="shared" si="27"/>
        <v>0</v>
      </c>
      <c r="Z43" s="28">
        <f t="shared" si="12"/>
        <v>0</v>
      </c>
    </row>
    <row r="44" spans="5:26" ht="15.75" customHeight="1">
      <c r="E44"/>
      <c r="G44" s="35">
        <f t="shared" si="14"/>
        <v>47238</v>
      </c>
      <c r="H44">
        <f t="shared" si="15"/>
        <v>4</v>
      </c>
      <c r="I44">
        <v>39</v>
      </c>
      <c r="J44" s="9">
        <f t="shared" si="16"/>
        <v>1</v>
      </c>
      <c r="K44" s="9">
        <f t="shared" si="17"/>
        <v>1</v>
      </c>
      <c r="L44" s="31">
        <f t="shared" si="13"/>
        <v>0</v>
      </c>
      <c r="M44" s="10">
        <v>0</v>
      </c>
      <c r="N44" s="10">
        <f t="shared" si="18"/>
        <v>0</v>
      </c>
      <c r="O44" s="10">
        <f t="shared" si="2"/>
        <v>0</v>
      </c>
      <c r="P44" s="10">
        <f t="shared" si="19"/>
        <v>0</v>
      </c>
      <c r="R44" s="29">
        <f t="shared" si="20"/>
        <v>0</v>
      </c>
      <c r="S44" s="29">
        <f t="shared" si="21"/>
        <v>0</v>
      </c>
      <c r="T44" s="29">
        <f t="shared" si="22"/>
        <v>0</v>
      </c>
      <c r="U44" s="29">
        <f t="shared" si="23"/>
        <v>0</v>
      </c>
      <c r="V44" s="32">
        <f t="shared" si="24"/>
        <v>0</v>
      </c>
      <c r="W44" s="32">
        <f t="shared" si="25"/>
        <v>0</v>
      </c>
      <c r="X44" s="29">
        <f t="shared" si="26"/>
        <v>0</v>
      </c>
      <c r="Y44" s="28">
        <f t="shared" si="27"/>
        <v>0</v>
      </c>
      <c r="Z44" s="28">
        <f t="shared" si="12"/>
        <v>0</v>
      </c>
    </row>
    <row r="45" spans="5:26" ht="15.75" customHeight="1">
      <c r="E45"/>
      <c r="G45" s="35">
        <f t="shared" si="14"/>
        <v>47269</v>
      </c>
      <c r="H45">
        <f t="shared" si="15"/>
        <v>4</v>
      </c>
      <c r="I45" s="3">
        <v>40</v>
      </c>
      <c r="J45" s="9">
        <f t="shared" si="16"/>
        <v>1</v>
      </c>
      <c r="K45" s="9">
        <f t="shared" si="17"/>
        <v>1</v>
      </c>
      <c r="L45" s="31">
        <f t="shared" si="13"/>
        <v>0</v>
      </c>
      <c r="M45" s="10">
        <v>0</v>
      </c>
      <c r="N45" s="10">
        <f t="shared" si="18"/>
        <v>0</v>
      </c>
      <c r="O45" s="10">
        <f t="shared" si="2"/>
        <v>0</v>
      </c>
      <c r="P45" s="10">
        <f t="shared" si="19"/>
        <v>0</v>
      </c>
      <c r="R45" s="29">
        <f t="shared" si="20"/>
        <v>0</v>
      </c>
      <c r="S45" s="29">
        <f t="shared" si="21"/>
        <v>0</v>
      </c>
      <c r="T45" s="29">
        <f t="shared" si="22"/>
        <v>0</v>
      </c>
      <c r="U45" s="29">
        <f t="shared" si="23"/>
        <v>0</v>
      </c>
      <c r="V45" s="32">
        <f t="shared" si="24"/>
        <v>0</v>
      </c>
      <c r="W45" s="32">
        <f t="shared" si="25"/>
        <v>0</v>
      </c>
      <c r="X45" s="29">
        <f t="shared" si="26"/>
        <v>0</v>
      </c>
      <c r="Y45" s="28">
        <f t="shared" si="27"/>
        <v>0</v>
      </c>
      <c r="Z45" s="28">
        <f t="shared" si="12"/>
        <v>0</v>
      </c>
    </row>
    <row r="46" spans="5:26" ht="15.75" customHeight="1">
      <c r="E46"/>
      <c r="G46" s="35">
        <f t="shared" si="14"/>
        <v>47299</v>
      </c>
      <c r="H46">
        <f t="shared" si="15"/>
        <v>4</v>
      </c>
      <c r="I46">
        <v>41</v>
      </c>
      <c r="J46" s="9">
        <f t="shared" si="16"/>
        <v>1</v>
      </c>
      <c r="K46" s="9">
        <f t="shared" si="17"/>
        <v>1</v>
      </c>
      <c r="L46" s="31">
        <f t="shared" si="13"/>
        <v>0</v>
      </c>
      <c r="M46" s="10">
        <v>0</v>
      </c>
      <c r="N46" s="10">
        <f t="shared" si="18"/>
        <v>0</v>
      </c>
      <c r="O46" s="10">
        <f t="shared" si="2"/>
        <v>0</v>
      </c>
      <c r="P46" s="10">
        <f t="shared" si="19"/>
        <v>0</v>
      </c>
      <c r="R46" s="29">
        <f t="shared" si="20"/>
        <v>0</v>
      </c>
      <c r="S46" s="29">
        <f t="shared" si="21"/>
        <v>0</v>
      </c>
      <c r="T46" s="29">
        <f t="shared" si="22"/>
        <v>0</v>
      </c>
      <c r="U46" s="29">
        <f t="shared" si="23"/>
        <v>0</v>
      </c>
      <c r="V46" s="32">
        <f t="shared" si="24"/>
        <v>0</v>
      </c>
      <c r="W46" s="32">
        <f t="shared" si="25"/>
        <v>0</v>
      </c>
      <c r="X46" s="29">
        <f t="shared" si="26"/>
        <v>0</v>
      </c>
      <c r="Y46" s="28">
        <f t="shared" si="27"/>
        <v>0</v>
      </c>
      <c r="Z46" s="28">
        <f t="shared" si="12"/>
        <v>0</v>
      </c>
    </row>
    <row r="47" spans="5:26" ht="15.75" customHeight="1">
      <c r="E47"/>
      <c r="G47" s="35">
        <f t="shared" si="14"/>
        <v>47330</v>
      </c>
      <c r="H47">
        <f t="shared" si="15"/>
        <v>4</v>
      </c>
      <c r="I47">
        <v>42</v>
      </c>
      <c r="J47" s="9">
        <f t="shared" si="16"/>
        <v>1</v>
      </c>
      <c r="K47" s="9">
        <f t="shared" si="17"/>
        <v>1</v>
      </c>
      <c r="L47" s="31">
        <f t="shared" si="13"/>
        <v>0</v>
      </c>
      <c r="M47" s="10">
        <v>0</v>
      </c>
      <c r="N47" s="10">
        <f t="shared" si="18"/>
        <v>0</v>
      </c>
      <c r="O47" s="10">
        <f t="shared" si="2"/>
        <v>0</v>
      </c>
      <c r="P47" s="10">
        <f t="shared" si="19"/>
        <v>0</v>
      </c>
      <c r="R47" s="29">
        <f t="shared" si="20"/>
        <v>0</v>
      </c>
      <c r="S47" s="29">
        <f t="shared" si="21"/>
        <v>0</v>
      </c>
      <c r="T47" s="29">
        <f t="shared" si="22"/>
        <v>0</v>
      </c>
      <c r="U47" s="29">
        <f t="shared" si="23"/>
        <v>0</v>
      </c>
      <c r="V47" s="32">
        <f t="shared" si="24"/>
        <v>0</v>
      </c>
      <c r="W47" s="32">
        <f t="shared" si="25"/>
        <v>0</v>
      </c>
      <c r="X47" s="29">
        <f t="shared" si="26"/>
        <v>0</v>
      </c>
      <c r="Y47" s="28">
        <f t="shared" si="27"/>
        <v>0</v>
      </c>
      <c r="Z47" s="28">
        <f t="shared" si="12"/>
        <v>0</v>
      </c>
    </row>
    <row r="48" spans="5:26" ht="15.75" customHeight="1">
      <c r="G48" s="35">
        <f t="shared" si="14"/>
        <v>47361</v>
      </c>
      <c r="H48">
        <f t="shared" si="15"/>
        <v>4</v>
      </c>
      <c r="I48">
        <v>43</v>
      </c>
      <c r="J48" s="9">
        <f t="shared" si="16"/>
        <v>1</v>
      </c>
      <c r="K48" s="9">
        <f t="shared" si="17"/>
        <v>1</v>
      </c>
      <c r="L48" s="31">
        <f t="shared" si="13"/>
        <v>0</v>
      </c>
      <c r="M48" s="10">
        <v>0</v>
      </c>
      <c r="N48" s="10">
        <f t="shared" si="18"/>
        <v>0</v>
      </c>
      <c r="O48" s="10">
        <f t="shared" si="2"/>
        <v>0</v>
      </c>
      <c r="P48" s="10">
        <f t="shared" si="19"/>
        <v>0</v>
      </c>
      <c r="R48" s="29">
        <f t="shared" si="20"/>
        <v>0</v>
      </c>
      <c r="S48" s="29">
        <f t="shared" si="21"/>
        <v>0</v>
      </c>
      <c r="T48" s="29">
        <f t="shared" si="22"/>
        <v>0</v>
      </c>
      <c r="U48" s="29">
        <f t="shared" si="23"/>
        <v>0</v>
      </c>
      <c r="V48" s="32">
        <f t="shared" si="24"/>
        <v>0</v>
      </c>
      <c r="W48" s="32">
        <f t="shared" si="25"/>
        <v>0</v>
      </c>
      <c r="X48" s="29">
        <f t="shared" si="26"/>
        <v>0</v>
      </c>
      <c r="Y48" s="28">
        <f t="shared" si="27"/>
        <v>0</v>
      </c>
      <c r="Z48" s="28">
        <f t="shared" si="12"/>
        <v>0</v>
      </c>
    </row>
    <row r="49" spans="7:26" ht="15.75" customHeight="1">
      <c r="G49" s="35">
        <f t="shared" si="14"/>
        <v>47391</v>
      </c>
      <c r="H49">
        <f t="shared" si="15"/>
        <v>4</v>
      </c>
      <c r="I49" s="3">
        <v>44</v>
      </c>
      <c r="J49" s="9">
        <f t="shared" si="16"/>
        <v>1</v>
      </c>
      <c r="K49" s="9">
        <f t="shared" si="17"/>
        <v>1</v>
      </c>
      <c r="L49" s="31">
        <f t="shared" si="13"/>
        <v>0</v>
      </c>
      <c r="M49" s="10">
        <v>0</v>
      </c>
      <c r="N49" s="10">
        <f t="shared" si="18"/>
        <v>0</v>
      </c>
      <c r="O49" s="10">
        <f t="shared" si="2"/>
        <v>0</v>
      </c>
      <c r="P49" s="10">
        <f t="shared" si="19"/>
        <v>0</v>
      </c>
      <c r="R49" s="29">
        <f t="shared" si="20"/>
        <v>0</v>
      </c>
      <c r="S49" s="29">
        <f t="shared" si="21"/>
        <v>0</v>
      </c>
      <c r="T49" s="29">
        <f t="shared" si="22"/>
        <v>0</v>
      </c>
      <c r="U49" s="29">
        <f t="shared" si="23"/>
        <v>0</v>
      </c>
      <c r="V49" s="32">
        <f t="shared" si="24"/>
        <v>0</v>
      </c>
      <c r="W49" s="32">
        <f t="shared" si="25"/>
        <v>0</v>
      </c>
      <c r="X49" s="29">
        <f t="shared" si="26"/>
        <v>0</v>
      </c>
      <c r="Y49" s="28">
        <f t="shared" si="27"/>
        <v>0</v>
      </c>
      <c r="Z49" s="28">
        <f t="shared" si="12"/>
        <v>0</v>
      </c>
    </row>
    <row r="50" spans="7:26" ht="15.75" customHeight="1">
      <c r="G50" s="35">
        <f t="shared" si="14"/>
        <v>47422</v>
      </c>
      <c r="H50">
        <f t="shared" si="15"/>
        <v>4</v>
      </c>
      <c r="I50">
        <v>45</v>
      </c>
      <c r="J50" s="9">
        <f t="shared" si="16"/>
        <v>1</v>
      </c>
      <c r="K50" s="9">
        <f t="shared" si="17"/>
        <v>1</v>
      </c>
      <c r="L50" s="31">
        <f t="shared" si="13"/>
        <v>0</v>
      </c>
      <c r="M50" s="10">
        <v>0</v>
      </c>
      <c r="N50" s="10">
        <f t="shared" si="18"/>
        <v>0</v>
      </c>
      <c r="O50" s="10">
        <f t="shared" si="2"/>
        <v>0</v>
      </c>
      <c r="P50" s="10">
        <f t="shared" si="19"/>
        <v>0</v>
      </c>
      <c r="R50" s="29">
        <f t="shared" si="20"/>
        <v>0</v>
      </c>
      <c r="S50" s="29">
        <f t="shared" si="21"/>
        <v>0</v>
      </c>
      <c r="T50" s="29">
        <f t="shared" si="22"/>
        <v>0</v>
      </c>
      <c r="U50" s="29">
        <f t="shared" si="23"/>
        <v>0</v>
      </c>
      <c r="V50" s="32">
        <f t="shared" si="24"/>
        <v>0</v>
      </c>
      <c r="W50" s="32">
        <f t="shared" si="25"/>
        <v>0</v>
      </c>
      <c r="X50" s="29">
        <f t="shared" si="26"/>
        <v>0</v>
      </c>
      <c r="Y50" s="28">
        <f t="shared" si="27"/>
        <v>0</v>
      </c>
      <c r="Z50" s="28">
        <f t="shared" si="12"/>
        <v>0</v>
      </c>
    </row>
    <row r="51" spans="7:26" ht="15.75" customHeight="1">
      <c r="G51" s="35">
        <f t="shared" si="14"/>
        <v>47452</v>
      </c>
      <c r="H51">
        <f t="shared" si="15"/>
        <v>4</v>
      </c>
      <c r="I51">
        <v>46</v>
      </c>
      <c r="J51" s="9">
        <f t="shared" si="16"/>
        <v>1</v>
      </c>
      <c r="K51" s="9">
        <f t="shared" si="17"/>
        <v>1</v>
      </c>
      <c r="L51" s="31">
        <f t="shared" si="13"/>
        <v>0</v>
      </c>
      <c r="M51" s="10">
        <v>0</v>
      </c>
      <c r="N51" s="10">
        <f t="shared" si="18"/>
        <v>0</v>
      </c>
      <c r="O51" s="10">
        <f t="shared" si="2"/>
        <v>0</v>
      </c>
      <c r="P51" s="10">
        <f t="shared" si="19"/>
        <v>0</v>
      </c>
      <c r="R51" s="29">
        <f t="shared" si="20"/>
        <v>0</v>
      </c>
      <c r="S51" s="29">
        <f t="shared" si="21"/>
        <v>0</v>
      </c>
      <c r="T51" s="29">
        <f t="shared" si="22"/>
        <v>0</v>
      </c>
      <c r="U51" s="29">
        <f t="shared" si="23"/>
        <v>0</v>
      </c>
      <c r="V51" s="32">
        <f t="shared" si="24"/>
        <v>0</v>
      </c>
      <c r="W51" s="32">
        <f t="shared" si="25"/>
        <v>0</v>
      </c>
      <c r="X51" s="29">
        <f t="shared" si="26"/>
        <v>0</v>
      </c>
      <c r="Y51" s="28">
        <f t="shared" si="27"/>
        <v>0</v>
      </c>
      <c r="Z51" s="28">
        <f t="shared" si="12"/>
        <v>0</v>
      </c>
    </row>
    <row r="52" spans="7:26" ht="15.75" customHeight="1">
      <c r="G52" s="35">
        <f t="shared" si="14"/>
        <v>47483</v>
      </c>
      <c r="H52">
        <f t="shared" si="15"/>
        <v>4</v>
      </c>
      <c r="I52">
        <v>47</v>
      </c>
      <c r="J52" s="9">
        <f t="shared" si="16"/>
        <v>1</v>
      </c>
      <c r="K52" s="9">
        <f t="shared" si="17"/>
        <v>1</v>
      </c>
      <c r="L52" s="31">
        <f t="shared" si="13"/>
        <v>0</v>
      </c>
      <c r="M52" s="10">
        <v>0</v>
      </c>
      <c r="N52" s="10">
        <f t="shared" si="18"/>
        <v>0</v>
      </c>
      <c r="O52" s="10">
        <f t="shared" si="2"/>
        <v>0</v>
      </c>
      <c r="P52" s="10">
        <f t="shared" si="19"/>
        <v>0</v>
      </c>
      <c r="R52" s="29">
        <f t="shared" si="20"/>
        <v>0</v>
      </c>
      <c r="S52" s="29">
        <f t="shared" si="21"/>
        <v>0</v>
      </c>
      <c r="T52" s="29">
        <f t="shared" si="22"/>
        <v>0</v>
      </c>
      <c r="U52" s="29">
        <f t="shared" si="23"/>
        <v>0</v>
      </c>
      <c r="V52" s="32">
        <f t="shared" si="24"/>
        <v>0</v>
      </c>
      <c r="W52" s="32">
        <f t="shared" si="25"/>
        <v>0</v>
      </c>
      <c r="X52" s="29">
        <f t="shared" si="26"/>
        <v>0</v>
      </c>
      <c r="Y52" s="28">
        <f t="shared" si="27"/>
        <v>0</v>
      </c>
      <c r="Z52" s="28">
        <f t="shared" si="12"/>
        <v>0</v>
      </c>
    </row>
    <row r="53" spans="7:26" ht="15.75" customHeight="1">
      <c r="G53" s="63">
        <f>EOMONTH(G52,1)</f>
        <v>47514</v>
      </c>
      <c r="H53" s="55">
        <f>H41+1</f>
        <v>4</v>
      </c>
      <c r="I53" s="56">
        <v>48</v>
      </c>
      <c r="J53" s="57">
        <f t="shared" si="16"/>
        <v>1</v>
      </c>
      <c r="K53" s="57">
        <f t="shared" si="17"/>
        <v>1</v>
      </c>
      <c r="L53" s="58">
        <f t="shared" si="13"/>
        <v>0</v>
      </c>
      <c r="M53" s="59">
        <v>0</v>
      </c>
      <c r="N53" s="59">
        <f t="shared" si="18"/>
        <v>0</v>
      </c>
      <c r="O53" s="59">
        <f>O52-N53</f>
        <v>0</v>
      </c>
      <c r="P53" s="59">
        <f t="shared" si="19"/>
        <v>0</v>
      </c>
      <c r="Q53" s="59"/>
      <c r="R53" s="60">
        <f t="shared" si="20"/>
        <v>0</v>
      </c>
      <c r="S53" s="60">
        <f t="shared" si="21"/>
        <v>0</v>
      </c>
      <c r="T53" s="60">
        <f t="shared" si="22"/>
        <v>0</v>
      </c>
      <c r="U53" s="60">
        <f t="shared" si="23"/>
        <v>0</v>
      </c>
      <c r="V53" s="61">
        <f t="shared" si="24"/>
        <v>0</v>
      </c>
      <c r="W53" s="61">
        <f t="shared" si="25"/>
        <v>0</v>
      </c>
      <c r="X53" s="60">
        <f t="shared" si="26"/>
        <v>0</v>
      </c>
      <c r="Y53" s="62">
        <f t="shared" si="27"/>
        <v>0</v>
      </c>
      <c r="Z53" s="62">
        <f>S53+T53+U53+X53</f>
        <v>0</v>
      </c>
    </row>
    <row r="54" spans="7:26" ht="15.75" customHeight="1">
      <c r="M54"/>
      <c r="N54"/>
      <c r="O54"/>
      <c r="P54"/>
      <c r="Q54"/>
      <c r="R54"/>
      <c r="S54"/>
      <c r="T54"/>
      <c r="U54"/>
      <c r="V54"/>
      <c r="W54"/>
      <c r="X54"/>
    </row>
    <row r="55" spans="7:26" ht="15.75" customHeight="1">
      <c r="M55"/>
      <c r="N55"/>
      <c r="O55"/>
      <c r="P55"/>
      <c r="Q55"/>
      <c r="R55"/>
      <c r="S55"/>
      <c r="T55"/>
      <c r="U55"/>
      <c r="V55"/>
      <c r="W55"/>
      <c r="X55"/>
    </row>
    <row r="56" spans="7:26" ht="15.75" customHeight="1">
      <c r="M56"/>
      <c r="N56"/>
      <c r="O56"/>
      <c r="P56"/>
      <c r="Q56"/>
      <c r="R56"/>
      <c r="S56"/>
      <c r="T56"/>
      <c r="U56"/>
      <c r="V56"/>
      <c r="W56"/>
      <c r="X56"/>
    </row>
    <row r="57" spans="7:26" ht="15.75" customHeight="1">
      <c r="M57"/>
      <c r="N57"/>
      <c r="O57"/>
      <c r="P57"/>
      <c r="Q57"/>
      <c r="R57"/>
      <c r="S57"/>
      <c r="T57"/>
      <c r="U57"/>
      <c r="V57"/>
      <c r="W57"/>
      <c r="X57"/>
    </row>
    <row r="58" spans="7:26" ht="15.75" customHeight="1">
      <c r="M58"/>
      <c r="N58"/>
      <c r="O58"/>
      <c r="P58"/>
      <c r="Q58"/>
      <c r="R58"/>
      <c r="S58"/>
      <c r="T58"/>
      <c r="U58"/>
      <c r="V58"/>
      <c r="W58"/>
      <c r="X58"/>
    </row>
    <row r="59" spans="7:26" ht="15.75" customHeight="1">
      <c r="M59"/>
      <c r="N59"/>
      <c r="O59"/>
      <c r="P59"/>
      <c r="Q59"/>
      <c r="R59"/>
      <c r="S59"/>
      <c r="T59"/>
      <c r="U59"/>
      <c r="V59"/>
      <c r="W59"/>
      <c r="X59"/>
    </row>
    <row r="60" spans="7:26" ht="15.75" customHeight="1">
      <c r="M60"/>
      <c r="N60"/>
      <c r="O60"/>
      <c r="P60"/>
      <c r="Q60"/>
      <c r="R60"/>
      <c r="S60"/>
      <c r="T60"/>
      <c r="U60"/>
      <c r="V60"/>
      <c r="W60"/>
      <c r="X60"/>
    </row>
    <row r="61" spans="7:26" ht="15.75" customHeight="1">
      <c r="M61"/>
      <c r="N61"/>
      <c r="O61"/>
      <c r="P61"/>
      <c r="Q61"/>
      <c r="R61"/>
      <c r="S61"/>
      <c r="T61"/>
      <c r="U61"/>
      <c r="V61"/>
      <c r="W61"/>
      <c r="X61"/>
    </row>
    <row r="62" spans="7:26" ht="15.75" customHeight="1">
      <c r="M62"/>
      <c r="N62"/>
      <c r="O62"/>
      <c r="P62"/>
      <c r="Q62"/>
      <c r="R62"/>
      <c r="S62"/>
      <c r="T62"/>
      <c r="U62"/>
      <c r="V62"/>
      <c r="W62"/>
      <c r="X62"/>
    </row>
    <row r="63" spans="7:26" ht="15.75" customHeight="1">
      <c r="M63"/>
      <c r="N63"/>
      <c r="O63"/>
      <c r="P63"/>
      <c r="Q63"/>
      <c r="R63"/>
      <c r="S63"/>
      <c r="T63"/>
      <c r="U63"/>
      <c r="V63"/>
      <c r="W63"/>
      <c r="X63"/>
    </row>
    <row r="64" spans="7:26" ht="15.75" customHeight="1">
      <c r="M64"/>
      <c r="N64"/>
      <c r="O64"/>
      <c r="P64"/>
      <c r="Q64"/>
      <c r="R64"/>
      <c r="S64"/>
      <c r="T64"/>
      <c r="U64"/>
      <c r="V64"/>
      <c r="W64"/>
      <c r="X64"/>
    </row>
    <row r="65" spans="13:24" ht="15.75" customHeight="1">
      <c r="M65"/>
      <c r="N65"/>
      <c r="O65"/>
      <c r="P65"/>
      <c r="Q65"/>
      <c r="R65"/>
      <c r="S65"/>
      <c r="T65"/>
      <c r="U65"/>
      <c r="V65"/>
      <c r="W65"/>
      <c r="X65"/>
    </row>
    <row r="66" spans="13:24" ht="15.75" customHeight="1">
      <c r="M66"/>
      <c r="N66"/>
      <c r="O66"/>
      <c r="P66"/>
      <c r="Q66"/>
      <c r="R66"/>
      <c r="S66"/>
      <c r="T66"/>
      <c r="U66"/>
      <c r="V66"/>
      <c r="W66"/>
      <c r="X66"/>
    </row>
    <row r="67" spans="13:24" ht="15.75" customHeight="1">
      <c r="M67"/>
      <c r="N67"/>
      <c r="O67"/>
      <c r="P67"/>
      <c r="Q67"/>
      <c r="R67"/>
      <c r="S67"/>
      <c r="T67"/>
      <c r="U67"/>
      <c r="V67"/>
      <c r="W67"/>
      <c r="X67"/>
    </row>
    <row r="68" spans="13:24" ht="15.75" customHeight="1">
      <c r="M68"/>
      <c r="N68"/>
      <c r="O68"/>
      <c r="P68"/>
      <c r="Q68"/>
      <c r="R68"/>
      <c r="S68"/>
      <c r="T68"/>
      <c r="U68"/>
      <c r="V68"/>
      <c r="W68"/>
      <c r="X68"/>
    </row>
    <row r="69" spans="13:24" ht="15.75" customHeight="1">
      <c r="M69"/>
      <c r="N69"/>
      <c r="O69"/>
      <c r="P69"/>
      <c r="Q69"/>
      <c r="R69"/>
      <c r="S69"/>
      <c r="T69"/>
      <c r="U69"/>
      <c r="V69"/>
      <c r="W69"/>
      <c r="X69"/>
    </row>
    <row r="70" spans="13:24" ht="15.75" customHeight="1">
      <c r="M70"/>
      <c r="N70"/>
      <c r="O70"/>
      <c r="P70"/>
      <c r="Q70"/>
      <c r="R70"/>
      <c r="S70"/>
      <c r="T70"/>
      <c r="U70"/>
      <c r="V70"/>
      <c r="W70"/>
      <c r="X70"/>
    </row>
    <row r="71" spans="13:24" ht="15.75" customHeight="1">
      <c r="M71"/>
      <c r="N71"/>
      <c r="O71"/>
      <c r="P71"/>
      <c r="Q71"/>
      <c r="R71"/>
      <c r="S71"/>
      <c r="T71"/>
      <c r="U71"/>
      <c r="V71"/>
      <c r="W71"/>
      <c r="X71"/>
    </row>
    <row r="72" spans="13:24" ht="15.75" customHeight="1">
      <c r="M72"/>
      <c r="N72"/>
      <c r="O72"/>
      <c r="P72"/>
      <c r="Q72"/>
      <c r="R72"/>
      <c r="S72"/>
      <c r="T72"/>
      <c r="U72"/>
      <c r="V72"/>
      <c r="W72"/>
      <c r="X72"/>
    </row>
    <row r="73" spans="13:24" ht="15.75" customHeight="1">
      <c r="M73"/>
      <c r="N73"/>
      <c r="O73"/>
      <c r="P73"/>
      <c r="Q73"/>
      <c r="R73"/>
      <c r="S73"/>
      <c r="T73"/>
      <c r="U73"/>
      <c r="V73"/>
      <c r="W73"/>
      <c r="X73"/>
    </row>
    <row r="74" spans="13:24" ht="15.75" customHeight="1">
      <c r="M74"/>
      <c r="N74"/>
      <c r="O74"/>
      <c r="P74"/>
      <c r="Q74"/>
      <c r="R74"/>
      <c r="S74"/>
      <c r="T74"/>
      <c r="U74"/>
      <c r="V74"/>
      <c r="W74"/>
      <c r="X74"/>
    </row>
    <row r="75" spans="13:24" ht="15.75" customHeight="1">
      <c r="M75"/>
      <c r="N75"/>
      <c r="O75"/>
      <c r="P75"/>
      <c r="Q75"/>
      <c r="R75"/>
      <c r="S75"/>
      <c r="T75"/>
      <c r="U75"/>
      <c r="V75"/>
      <c r="W75"/>
      <c r="X75"/>
    </row>
    <row r="76" spans="13:24" ht="15.75" customHeight="1">
      <c r="M76"/>
      <c r="N76"/>
      <c r="O76"/>
      <c r="P76"/>
      <c r="Q76"/>
      <c r="R76"/>
      <c r="S76"/>
      <c r="T76"/>
      <c r="U76"/>
      <c r="V76"/>
      <c r="W76"/>
      <c r="X76"/>
    </row>
    <row r="77" spans="13:24" ht="15.75" customHeight="1">
      <c r="M77"/>
      <c r="N77"/>
      <c r="O77"/>
      <c r="P77"/>
      <c r="Q77"/>
      <c r="R77"/>
      <c r="S77"/>
      <c r="T77"/>
      <c r="U77"/>
      <c r="V77"/>
      <c r="W77"/>
      <c r="X77"/>
    </row>
    <row r="78" spans="13:24" ht="15.75" customHeight="1">
      <c r="M78"/>
      <c r="N78"/>
      <c r="O78"/>
      <c r="P78"/>
      <c r="Q78"/>
      <c r="R78"/>
      <c r="S78"/>
      <c r="T78"/>
      <c r="U78"/>
      <c r="V78"/>
      <c r="W78"/>
      <c r="X78"/>
    </row>
    <row r="79" spans="13:24" ht="15.75" customHeight="1">
      <c r="M79"/>
      <c r="N79"/>
      <c r="O79"/>
      <c r="P79"/>
      <c r="Q79"/>
      <c r="R79"/>
      <c r="S79"/>
      <c r="T79"/>
      <c r="U79"/>
      <c r="V79"/>
      <c r="W79"/>
      <c r="X79"/>
    </row>
    <row r="80" spans="13:24" ht="15.75" customHeight="1">
      <c r="M80"/>
      <c r="N80"/>
      <c r="O80"/>
      <c r="P80"/>
      <c r="Q80"/>
      <c r="R80"/>
      <c r="S80"/>
      <c r="T80"/>
      <c r="U80"/>
      <c r="V80"/>
      <c r="W80"/>
      <c r="X80"/>
    </row>
    <row r="81" spans="13:24" ht="15.75" customHeight="1">
      <c r="M81"/>
      <c r="N81"/>
      <c r="O81"/>
      <c r="P81"/>
      <c r="Q81"/>
      <c r="R81"/>
      <c r="S81"/>
      <c r="T81"/>
      <c r="U81"/>
      <c r="V81"/>
      <c r="W81"/>
      <c r="X81"/>
    </row>
    <row r="82" spans="13:24" ht="15.75" customHeight="1">
      <c r="M82"/>
      <c r="N82"/>
      <c r="O82"/>
      <c r="P82"/>
      <c r="Q82"/>
      <c r="R82"/>
      <c r="S82"/>
      <c r="T82"/>
      <c r="U82"/>
      <c r="V82"/>
      <c r="W82"/>
      <c r="X82"/>
    </row>
    <row r="83" spans="13:24" ht="15.75" customHeight="1">
      <c r="M83"/>
      <c r="N83"/>
      <c r="O83"/>
      <c r="P83"/>
      <c r="Q83"/>
      <c r="R83"/>
      <c r="S83"/>
      <c r="T83"/>
      <c r="U83"/>
      <c r="V83"/>
      <c r="W83"/>
      <c r="X83"/>
    </row>
    <row r="84" spans="13:24" ht="15.75" customHeight="1">
      <c r="M84"/>
      <c r="N84"/>
      <c r="O84"/>
      <c r="P84"/>
      <c r="Q84"/>
      <c r="R84"/>
      <c r="S84"/>
      <c r="T84"/>
      <c r="U84"/>
      <c r="V84"/>
      <c r="W84"/>
      <c r="X84"/>
    </row>
    <row r="85" spans="13:24" ht="15.75" customHeight="1">
      <c r="M85"/>
      <c r="N85"/>
      <c r="O85"/>
      <c r="P85"/>
      <c r="Q85"/>
      <c r="R85"/>
      <c r="S85"/>
      <c r="T85"/>
      <c r="U85"/>
      <c r="V85"/>
      <c r="W85"/>
      <c r="X85"/>
    </row>
    <row r="86" spans="13:24" ht="15.75" customHeight="1">
      <c r="M86"/>
      <c r="N86"/>
      <c r="O86"/>
      <c r="P86"/>
      <c r="Q86"/>
      <c r="R86"/>
      <c r="S86"/>
      <c r="T86"/>
      <c r="U86"/>
      <c r="V86"/>
      <c r="W86"/>
      <c r="X86"/>
    </row>
    <row r="87" spans="13:24" ht="15.75" customHeight="1">
      <c r="M87"/>
      <c r="N87"/>
      <c r="O87"/>
      <c r="P87"/>
      <c r="Q87"/>
      <c r="R87"/>
      <c r="S87"/>
      <c r="T87"/>
      <c r="U87"/>
      <c r="V87"/>
      <c r="W87"/>
      <c r="X87"/>
    </row>
    <row r="88" spans="13:24" ht="15.75" customHeight="1">
      <c r="M88"/>
      <c r="N88"/>
      <c r="O88"/>
      <c r="P88"/>
      <c r="Q88"/>
      <c r="R88"/>
      <c r="S88"/>
      <c r="T88"/>
      <c r="U88"/>
      <c r="V88"/>
      <c r="W88"/>
      <c r="X88"/>
    </row>
    <row r="89" spans="13:24" ht="15.75" customHeight="1">
      <c r="M89"/>
      <c r="N89"/>
      <c r="O89"/>
      <c r="P89"/>
      <c r="Q89"/>
      <c r="R89"/>
      <c r="S89"/>
      <c r="T89"/>
      <c r="U89"/>
      <c r="V89"/>
      <c r="W89"/>
      <c r="X89"/>
    </row>
    <row r="90" spans="13:24" ht="15.75" customHeight="1">
      <c r="M90"/>
      <c r="N90"/>
      <c r="O90"/>
      <c r="P90"/>
      <c r="Q90"/>
      <c r="R90"/>
      <c r="S90"/>
      <c r="T90"/>
      <c r="U90"/>
      <c r="V90"/>
      <c r="W90"/>
      <c r="X90"/>
    </row>
    <row r="91" spans="13:24" ht="15.75" customHeight="1">
      <c r="M91"/>
      <c r="N91"/>
      <c r="O91"/>
      <c r="P91"/>
      <c r="Q91"/>
      <c r="R91"/>
      <c r="S91"/>
      <c r="T91"/>
      <c r="U91"/>
      <c r="V91"/>
      <c r="W91"/>
      <c r="X91"/>
    </row>
    <row r="92" spans="13:24" ht="15.75" customHeight="1">
      <c r="M92"/>
      <c r="N92"/>
      <c r="O92"/>
      <c r="P92"/>
      <c r="Q92"/>
      <c r="R92"/>
      <c r="S92"/>
      <c r="T92"/>
      <c r="U92"/>
      <c r="V92"/>
      <c r="W92"/>
      <c r="X92"/>
    </row>
    <row r="93" spans="13:24" ht="15.75" customHeight="1">
      <c r="M93"/>
      <c r="N93"/>
      <c r="O93"/>
      <c r="P93"/>
      <c r="Q93"/>
      <c r="R93"/>
      <c r="S93"/>
      <c r="T93"/>
      <c r="U93"/>
      <c r="V93"/>
      <c r="W93"/>
      <c r="X93"/>
    </row>
    <row r="94" spans="13:24" ht="15.75" customHeight="1">
      <c r="M94"/>
      <c r="N94"/>
      <c r="O94"/>
      <c r="P94"/>
      <c r="Q94"/>
      <c r="R94"/>
      <c r="S94"/>
      <c r="T94"/>
      <c r="U94"/>
      <c r="V94"/>
      <c r="W94"/>
      <c r="X94"/>
    </row>
    <row r="95" spans="13:24" ht="15.75" customHeight="1">
      <c r="M95"/>
      <c r="N95"/>
      <c r="O95"/>
      <c r="P95"/>
      <c r="Q95"/>
      <c r="R95"/>
      <c r="S95"/>
      <c r="T95"/>
      <c r="U95"/>
      <c r="V95"/>
      <c r="W95"/>
      <c r="X95"/>
    </row>
    <row r="96" spans="13:24" ht="15.75" customHeight="1">
      <c r="M96"/>
      <c r="N96"/>
      <c r="O96"/>
      <c r="P96"/>
      <c r="Q96"/>
      <c r="R96"/>
      <c r="S96"/>
      <c r="T96"/>
      <c r="U96"/>
      <c r="V96"/>
      <c r="W96"/>
      <c r="X96"/>
    </row>
    <row r="97" spans="13:24" ht="15.75" customHeight="1">
      <c r="M97"/>
      <c r="N97"/>
      <c r="O97"/>
      <c r="P97"/>
      <c r="Q97"/>
      <c r="R97"/>
      <c r="S97"/>
      <c r="T97"/>
      <c r="U97"/>
      <c r="V97"/>
      <c r="W97"/>
      <c r="X97"/>
    </row>
    <row r="98" spans="13:24" ht="15.75" customHeight="1">
      <c r="M98"/>
      <c r="N98"/>
      <c r="O98"/>
      <c r="P98"/>
      <c r="Q98"/>
      <c r="R98"/>
      <c r="S98"/>
      <c r="T98"/>
      <c r="U98"/>
      <c r="V98"/>
      <c r="W98"/>
      <c r="X98"/>
    </row>
    <row r="99" spans="13:24" ht="15.75" customHeight="1">
      <c r="M99"/>
      <c r="N99"/>
      <c r="O99"/>
      <c r="P99"/>
      <c r="Q99"/>
      <c r="R99"/>
      <c r="S99"/>
      <c r="T99"/>
      <c r="U99"/>
      <c r="V99"/>
      <c r="W99"/>
      <c r="X99"/>
    </row>
    <row r="100" spans="13:24" ht="15.75" customHeight="1">
      <c r="M100"/>
      <c r="N100"/>
      <c r="O100"/>
      <c r="P100"/>
      <c r="Q100"/>
      <c r="R100"/>
      <c r="S100"/>
      <c r="T100"/>
      <c r="U100"/>
      <c r="V100"/>
      <c r="W100"/>
      <c r="X100"/>
    </row>
    <row r="101" spans="13:24" ht="15.75" customHeight="1">
      <c r="M101"/>
      <c r="N101"/>
      <c r="O101"/>
      <c r="P101"/>
      <c r="Q101"/>
      <c r="R101"/>
      <c r="S101"/>
      <c r="T101"/>
      <c r="U101"/>
      <c r="V101"/>
      <c r="W101"/>
      <c r="X101"/>
    </row>
    <row r="102" spans="13:24" ht="15.75" customHeight="1">
      <c r="M102"/>
      <c r="N102"/>
      <c r="O102"/>
      <c r="P102"/>
      <c r="Q102"/>
      <c r="R102"/>
      <c r="S102"/>
      <c r="T102"/>
      <c r="U102"/>
      <c r="V102"/>
      <c r="W102"/>
      <c r="X102"/>
    </row>
    <row r="103" spans="13:24" ht="15.75" customHeight="1">
      <c r="M103"/>
      <c r="N103"/>
      <c r="O103"/>
      <c r="P103"/>
      <c r="Q103"/>
      <c r="R103"/>
      <c r="S103"/>
      <c r="T103"/>
      <c r="U103"/>
      <c r="V103"/>
      <c r="W103"/>
      <c r="X103"/>
    </row>
    <row r="104" spans="13:24" ht="15.75" customHeight="1">
      <c r="M104"/>
      <c r="N104"/>
      <c r="O104"/>
      <c r="P104"/>
      <c r="Q104"/>
      <c r="R104"/>
      <c r="S104"/>
      <c r="T104"/>
      <c r="U104"/>
      <c r="V104"/>
      <c r="W104"/>
      <c r="X104"/>
    </row>
    <row r="105" spans="13:24" ht="15.75" customHeight="1">
      <c r="M105"/>
      <c r="N105"/>
      <c r="O105"/>
      <c r="P105"/>
      <c r="Q105"/>
      <c r="R105"/>
      <c r="S105"/>
      <c r="T105"/>
      <c r="U105"/>
      <c r="V105"/>
      <c r="W105"/>
      <c r="X105"/>
    </row>
    <row r="106" spans="13:24" ht="15.75" customHeight="1">
      <c r="M106"/>
      <c r="N106"/>
      <c r="O106"/>
      <c r="P106"/>
      <c r="Q106"/>
      <c r="R106"/>
      <c r="S106"/>
      <c r="T106"/>
      <c r="U106"/>
      <c r="V106"/>
      <c r="W106"/>
      <c r="X106"/>
    </row>
    <row r="107" spans="13:24" ht="15.75" customHeight="1">
      <c r="M107"/>
      <c r="N107"/>
      <c r="O107"/>
      <c r="P107"/>
      <c r="Q107"/>
      <c r="R107"/>
      <c r="S107"/>
      <c r="T107"/>
      <c r="U107"/>
      <c r="V107"/>
      <c r="W107"/>
      <c r="X107"/>
    </row>
    <row r="108" spans="13:24" ht="15.75" customHeight="1">
      <c r="M108"/>
      <c r="N108"/>
      <c r="O108"/>
      <c r="P108"/>
      <c r="Q108"/>
      <c r="R108"/>
      <c r="S108"/>
      <c r="T108"/>
      <c r="U108"/>
      <c r="V108"/>
      <c r="W108"/>
      <c r="X108"/>
    </row>
    <row r="109" spans="13:24" ht="15.75" customHeight="1">
      <c r="M109"/>
      <c r="N109"/>
      <c r="O109"/>
      <c r="P109"/>
      <c r="Q109"/>
      <c r="R109"/>
      <c r="S109"/>
      <c r="T109"/>
      <c r="U109"/>
      <c r="V109"/>
      <c r="W109"/>
      <c r="X109"/>
    </row>
    <row r="110" spans="13:24" ht="15.75" customHeight="1">
      <c r="M110"/>
      <c r="N110"/>
      <c r="O110"/>
      <c r="P110"/>
      <c r="Q110"/>
      <c r="R110"/>
      <c r="S110"/>
      <c r="T110"/>
      <c r="U110"/>
      <c r="V110"/>
      <c r="W110"/>
      <c r="X110"/>
    </row>
    <row r="111" spans="13:24" ht="15.75" customHeight="1">
      <c r="M111"/>
      <c r="N111"/>
      <c r="O111"/>
      <c r="P111"/>
      <c r="Q111"/>
      <c r="R111"/>
      <c r="S111"/>
      <c r="T111"/>
      <c r="U111"/>
      <c r="V111"/>
      <c r="W111"/>
      <c r="X111"/>
    </row>
    <row r="112" spans="13:24" ht="15.75" customHeight="1">
      <c r="M112"/>
      <c r="N112"/>
      <c r="O112"/>
      <c r="P112"/>
      <c r="Q112"/>
      <c r="R112"/>
      <c r="S112"/>
      <c r="T112"/>
      <c r="U112"/>
      <c r="V112"/>
      <c r="W112"/>
      <c r="X112"/>
    </row>
    <row r="113" spans="9:24" ht="15.75" customHeight="1">
      <c r="M113"/>
      <c r="N113"/>
      <c r="O113"/>
      <c r="P113"/>
      <c r="Q113"/>
      <c r="R113"/>
      <c r="S113"/>
      <c r="T113"/>
      <c r="U113"/>
      <c r="V113"/>
      <c r="W113"/>
      <c r="X113"/>
    </row>
    <row r="114" spans="9:24" ht="15.75" customHeight="1">
      <c r="M114"/>
      <c r="N114"/>
      <c r="O114"/>
      <c r="P114"/>
      <c r="Q114"/>
      <c r="R114"/>
      <c r="S114"/>
      <c r="T114"/>
      <c r="U114"/>
      <c r="V114"/>
      <c r="W114"/>
      <c r="X114"/>
    </row>
    <row r="115" spans="9:24" ht="15.75" customHeight="1">
      <c r="M115"/>
      <c r="N115"/>
      <c r="O115"/>
      <c r="P115"/>
      <c r="Q115"/>
      <c r="R115"/>
      <c r="S115"/>
      <c r="T115"/>
      <c r="U115"/>
      <c r="V115"/>
      <c r="W115"/>
      <c r="X115"/>
    </row>
    <row r="116" spans="9:24" ht="15.75" customHeight="1">
      <c r="M116"/>
      <c r="N116"/>
      <c r="O116"/>
      <c r="P116"/>
      <c r="Q116"/>
      <c r="R116"/>
      <c r="S116"/>
      <c r="T116"/>
      <c r="U116"/>
      <c r="V116"/>
      <c r="W116"/>
      <c r="X116"/>
    </row>
    <row r="117" spans="9:24" ht="15.75" customHeight="1">
      <c r="M117"/>
      <c r="N117"/>
      <c r="O117"/>
      <c r="P117"/>
      <c r="Q117"/>
      <c r="R117"/>
      <c r="S117"/>
      <c r="T117"/>
      <c r="U117"/>
      <c r="V117"/>
      <c r="W117"/>
      <c r="X117"/>
    </row>
    <row r="118" spans="9:24" ht="15.75" customHeight="1">
      <c r="M118"/>
      <c r="N118"/>
      <c r="O118"/>
      <c r="P118"/>
      <c r="Q118"/>
      <c r="R118"/>
      <c r="S118"/>
      <c r="T118"/>
      <c r="U118"/>
      <c r="V118"/>
      <c r="W118"/>
      <c r="X118"/>
    </row>
    <row r="119" spans="9:24" ht="15.75" customHeight="1">
      <c r="M119"/>
      <c r="N119"/>
      <c r="O119"/>
      <c r="P119"/>
      <c r="Q119"/>
      <c r="R119"/>
      <c r="S119"/>
      <c r="T119"/>
      <c r="U119"/>
      <c r="V119"/>
      <c r="W119"/>
      <c r="X119"/>
    </row>
    <row r="120" spans="9:24" ht="15.75" customHeight="1">
      <c r="M120"/>
      <c r="N120"/>
      <c r="O120"/>
      <c r="P120"/>
      <c r="Q120"/>
      <c r="R120"/>
      <c r="S120"/>
      <c r="T120"/>
      <c r="U120"/>
      <c r="V120"/>
      <c r="W120"/>
      <c r="X120"/>
    </row>
    <row r="121" spans="9:24" ht="15.75" customHeight="1">
      <c r="M121"/>
      <c r="N121"/>
      <c r="O121"/>
      <c r="P121"/>
      <c r="Q121"/>
      <c r="R121"/>
      <c r="S121"/>
      <c r="T121"/>
      <c r="U121"/>
      <c r="V121"/>
      <c r="W121"/>
      <c r="X121"/>
    </row>
    <row r="122" spans="9:24" ht="15.75" customHeight="1">
      <c r="M122"/>
      <c r="N122"/>
      <c r="O122"/>
      <c r="P122"/>
      <c r="Q122"/>
      <c r="R122"/>
      <c r="S122"/>
      <c r="T122"/>
      <c r="U122"/>
      <c r="V122"/>
      <c r="W122"/>
      <c r="X122"/>
    </row>
    <row r="123" spans="9:24" ht="15.75" customHeight="1">
      <c r="M123"/>
      <c r="N123"/>
      <c r="O123"/>
      <c r="P123"/>
      <c r="Q123"/>
      <c r="R123"/>
      <c r="S123"/>
      <c r="T123"/>
      <c r="U123"/>
      <c r="V123"/>
      <c r="W123"/>
      <c r="X123"/>
    </row>
    <row r="124" spans="9:24" ht="15.75" customHeight="1">
      <c r="M124"/>
      <c r="N124"/>
      <c r="O124"/>
      <c r="P124"/>
      <c r="Q124"/>
      <c r="R124"/>
      <c r="S124"/>
      <c r="T124"/>
      <c r="U124"/>
      <c r="V124"/>
      <c r="W124"/>
      <c r="X124"/>
    </row>
    <row r="125" spans="9:24" ht="15.75" customHeight="1">
      <c r="M125"/>
      <c r="N125"/>
      <c r="O125"/>
      <c r="P125"/>
      <c r="Q125"/>
      <c r="R125"/>
      <c r="S125"/>
      <c r="T125"/>
      <c r="U125"/>
      <c r="V125"/>
      <c r="W125"/>
      <c r="X125"/>
    </row>
    <row r="126" spans="9:24" ht="14.65" customHeight="1">
      <c r="I126" s="3"/>
      <c r="J126" s="3"/>
      <c r="K126" s="3"/>
      <c r="L126" s="3"/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f159b4-cd80-4a0e-af24-433fa5c73bf2">
      <Terms xmlns="http://schemas.microsoft.com/office/infopath/2007/PartnerControls"/>
    </lcf76f155ced4ddcb4097134ff3c332f>
    <TaxCatchAll xmlns="3d132560-1f0b-47bb-b65a-1a77669064c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471187E051AD4DAD93AF93BE0A3B52" ma:contentTypeVersion="12" ma:contentTypeDescription="Create a new document." ma:contentTypeScope="" ma:versionID="fe9f69629aa26c372b7f919b8f5637b7">
  <xsd:schema xmlns:xsd="http://www.w3.org/2001/XMLSchema" xmlns:xs="http://www.w3.org/2001/XMLSchema" xmlns:p="http://schemas.microsoft.com/office/2006/metadata/properties" xmlns:ns2="87f159b4-cd80-4a0e-af24-433fa5c73bf2" xmlns:ns3="3d132560-1f0b-47bb-b65a-1a77669064cb" targetNamespace="http://schemas.microsoft.com/office/2006/metadata/properties" ma:root="true" ma:fieldsID="b8d408dcafef05b9e25282e973fbecd1" ns2:_="" ns3:_="">
    <xsd:import namespace="87f159b4-cd80-4a0e-af24-433fa5c73bf2"/>
    <xsd:import namespace="3d132560-1f0b-47bb-b65a-1a77669064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159b4-cd80-4a0e-af24-433fa5c73b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0f998c4-f4b2-4831-a94a-735ff04a8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132560-1f0b-47bb-b65a-1a77669064c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3fb5101-5a52-4924-91b3-6950978b0f37}" ma:internalName="TaxCatchAll" ma:showField="CatchAllData" ma:web="3d132560-1f0b-47bb-b65a-1a77669064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AC9F4A7-99F5-4035-AC9C-D3E1428C018D}"/>
</file>

<file path=customXml/itemProps2.xml><?xml version="1.0" encoding="utf-8"?>
<ds:datastoreItem xmlns:ds="http://schemas.openxmlformats.org/officeDocument/2006/customXml" ds:itemID="{8DF4F71C-42F1-4072-918F-6F066722A9FB}"/>
</file>

<file path=customXml/itemProps3.xml><?xml version="1.0" encoding="utf-8"?>
<ds:datastoreItem xmlns:ds="http://schemas.openxmlformats.org/officeDocument/2006/customXml" ds:itemID="{5883E1C8-0BE0-4C47-8361-94CD664894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Shortcut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Shortcut</dc:creator>
  <cp:keywords/>
  <dc:description/>
  <cp:lastModifiedBy>history_wiz</cp:lastModifiedBy>
  <cp:revision/>
  <dcterms:created xsi:type="dcterms:W3CDTF">2023-12-05T18:05:52Z</dcterms:created>
  <dcterms:modified xsi:type="dcterms:W3CDTF">2026-02-10T20:39:54Z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0x01010046471187E051AD4DAD93AF93BE0A3B52</vt:lpwstr>
  </property>
</Properties>
</file>