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Users/trabajando/Desktop/Green iron/Finished/"/>
    </mc:Choice>
  </mc:AlternateContent>
  <xr:revisionPtr revIDLastSave="0" documentId="13_ncr:20001_{82FB99C3-F4C6-8F49-A89F-1CAFB38D34CB}" xr6:coauthVersionLast="47" xr6:coauthVersionMax="47" xr10:uidLastSave="{00000000-0000-0000-0000-000000000000}"/>
  <bookViews>
    <workbookView xWindow="15680" yWindow="-20080" windowWidth="31380" windowHeight="18980" xr2:uid="{00000000-000D-0000-FFFF-FFFF00000000}"/>
  </bookViews>
  <sheets>
    <sheet name="Index" sheetId="1" r:id="rId1"/>
    <sheet name="ironMaking" sheetId="2" r:id="rId2"/>
    <sheet name="electricityToH2" sheetId="4" r:id="rId3"/>
    <sheet name="h2ProduceUnitCapex" sheetId="5" r:id="rId4"/>
    <sheet name="h2StoreUnitCapex" sheetId="6" r:id="rId5"/>
    <sheet name="h2DistributeUnitCapex" sheetId="7" r:id="rId6"/>
    <sheet name="ironOreUnitCost" sheetId="8" r:id="rId7"/>
    <sheet name="naturalGasUnitCost" sheetId="9" r:id="rId8"/>
    <sheet name="electricityToIronPreP" sheetId="10" r:id="rId9"/>
    <sheet name="naturalGasToIronPreP" sheetId="11" r:id="rId10"/>
    <sheet name="electricityToIronRaw" sheetId="12" r:id="rId11"/>
    <sheet name="ironRawProduceUnitCapex" sheetId="13" r:id="rId12"/>
    <sheet name="capexCostsFactor" sheetId="14" r:id="rId13"/>
    <sheet name="foakContingency" sheetId="15" r:id="rId14"/>
    <sheet name="foakWacc" sheetId="16" r:id="rId15"/>
    <sheet name="RCM" sheetId="17" r:id="rId1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5" l="1"/>
  <c r="D8" i="17" l="1"/>
  <c r="D7" i="17"/>
  <c r="D9" i="17" s="1"/>
  <c r="E51" i="16"/>
  <c r="E50" i="16"/>
  <c r="E49" i="16"/>
  <c r="E48" i="16"/>
  <c r="E40" i="16"/>
  <c r="E39" i="16"/>
  <c r="L34" i="16"/>
  <c r="L33" i="16"/>
  <c r="L32" i="16"/>
  <c r="L25" i="16"/>
  <c r="K25" i="16"/>
  <c r="L24" i="16"/>
  <c r="L10" i="16" s="1"/>
  <c r="K24" i="16"/>
  <c r="L23" i="16"/>
  <c r="K23" i="16"/>
  <c r="L22" i="16"/>
  <c r="K22" i="16"/>
  <c r="K9" i="16" s="1"/>
  <c r="L21" i="16"/>
  <c r="K21" i="16"/>
  <c r="L20" i="16"/>
  <c r="L8" i="16" s="1"/>
  <c r="K20" i="16"/>
  <c r="L19" i="16"/>
  <c r="K19" i="16"/>
  <c r="L18" i="16"/>
  <c r="K18" i="16"/>
  <c r="K7" i="16" s="1"/>
  <c r="L17" i="16"/>
  <c r="K17" i="16"/>
  <c r="L16" i="16"/>
  <c r="L6" i="16" s="1"/>
  <c r="K16" i="16"/>
  <c r="L15" i="16"/>
  <c r="K15" i="16"/>
  <c r="L14" i="16"/>
  <c r="K14" i="16"/>
  <c r="K5" i="16" s="1"/>
  <c r="T10" i="16"/>
  <c r="S10" i="16"/>
  <c r="R10" i="16"/>
  <c r="Q10" i="16"/>
  <c r="P10" i="16"/>
  <c r="O10" i="16"/>
  <c r="N10" i="16"/>
  <c r="M10" i="16"/>
  <c r="K10" i="16"/>
  <c r="J10" i="16"/>
  <c r="I10" i="16"/>
  <c r="H10" i="16"/>
  <c r="G10" i="16"/>
  <c r="F10" i="16"/>
  <c r="E10" i="16"/>
  <c r="T9" i="16"/>
  <c r="S9" i="16"/>
  <c r="R9" i="16"/>
  <c r="Q9" i="16"/>
  <c r="P9" i="16"/>
  <c r="O9" i="16"/>
  <c r="N9" i="16"/>
  <c r="M9" i="16"/>
  <c r="L9" i="16"/>
  <c r="J9" i="16"/>
  <c r="I9" i="16"/>
  <c r="H9" i="16"/>
  <c r="G9" i="16"/>
  <c r="F9" i="16"/>
  <c r="E9" i="16"/>
  <c r="T8" i="16"/>
  <c r="S8" i="16"/>
  <c r="R8" i="16"/>
  <c r="Q8" i="16"/>
  <c r="P8" i="16"/>
  <c r="O8" i="16"/>
  <c r="N8" i="16"/>
  <c r="M8" i="16"/>
  <c r="K8" i="16"/>
  <c r="J8" i="16"/>
  <c r="I8" i="16"/>
  <c r="H8" i="16"/>
  <c r="G8" i="16"/>
  <c r="F8" i="16"/>
  <c r="E8" i="16"/>
  <c r="T7" i="16"/>
  <c r="S7" i="16"/>
  <c r="R7" i="16"/>
  <c r="Q7" i="16"/>
  <c r="P7" i="16"/>
  <c r="O7" i="16"/>
  <c r="N7" i="16"/>
  <c r="M7" i="16"/>
  <c r="L7" i="16"/>
  <c r="J7" i="16"/>
  <c r="I7" i="16"/>
  <c r="H7" i="16"/>
  <c r="G7" i="16"/>
  <c r="F7" i="16"/>
  <c r="E7" i="16"/>
  <c r="T6" i="16"/>
  <c r="S6" i="16"/>
  <c r="R6" i="16"/>
  <c r="Q6" i="16"/>
  <c r="P6" i="16"/>
  <c r="O6" i="16"/>
  <c r="N6" i="16"/>
  <c r="M6" i="16"/>
  <c r="K6" i="16"/>
  <c r="J6" i="16"/>
  <c r="I6" i="16"/>
  <c r="H6" i="16"/>
  <c r="G6" i="16"/>
  <c r="F6" i="16"/>
  <c r="E6" i="16"/>
  <c r="T5" i="16"/>
  <c r="S5" i="16"/>
  <c r="R5" i="16"/>
  <c r="Q5" i="16"/>
  <c r="P5" i="16"/>
  <c r="O5" i="16"/>
  <c r="N5" i="16"/>
  <c r="M5" i="16"/>
  <c r="L5" i="16"/>
  <c r="J5" i="16"/>
  <c r="I5" i="16"/>
  <c r="H5" i="16"/>
  <c r="G5" i="16"/>
  <c r="F5" i="16"/>
  <c r="E5" i="16"/>
  <c r="E48" i="15"/>
  <c r="E47" i="15"/>
  <c r="E46" i="15"/>
  <c r="E45" i="15"/>
  <c r="E38" i="15"/>
  <c r="E37" i="15"/>
  <c r="E36" i="15"/>
  <c r="T11" i="15"/>
  <c r="S11" i="15"/>
  <c r="R11" i="15"/>
  <c r="Q11" i="15"/>
  <c r="P11" i="15"/>
  <c r="O11" i="15"/>
  <c r="N11" i="15"/>
  <c r="M11" i="15"/>
  <c r="L11" i="15"/>
  <c r="K11" i="15"/>
  <c r="J11" i="15"/>
  <c r="I11" i="15"/>
  <c r="H11" i="15"/>
  <c r="G11" i="15"/>
  <c r="F11" i="15"/>
  <c r="E11" i="15"/>
  <c r="T10" i="15"/>
  <c r="S10" i="15"/>
  <c r="R10" i="15"/>
  <c r="Q10" i="15"/>
  <c r="P10" i="15"/>
  <c r="O10" i="15"/>
  <c r="N10" i="15"/>
  <c r="M10" i="15"/>
  <c r="L10" i="15"/>
  <c r="K10" i="15"/>
  <c r="J10" i="15"/>
  <c r="I10" i="15"/>
  <c r="H10" i="15"/>
  <c r="G10" i="15"/>
  <c r="F10" i="15"/>
  <c r="E10" i="15"/>
  <c r="T9" i="15"/>
  <c r="S9" i="15"/>
  <c r="R9" i="15"/>
  <c r="Q9" i="15"/>
  <c r="P9" i="15"/>
  <c r="O9" i="15"/>
  <c r="N9" i="15"/>
  <c r="M9" i="15"/>
  <c r="L9" i="15"/>
  <c r="K9" i="15"/>
  <c r="J9" i="15"/>
  <c r="I9" i="15"/>
  <c r="H9" i="15"/>
  <c r="G9" i="15"/>
  <c r="F9" i="15"/>
  <c r="E9" i="15"/>
  <c r="T8" i="15"/>
  <c r="S8" i="15"/>
  <c r="R8" i="15"/>
  <c r="Q8" i="15"/>
  <c r="P8" i="15"/>
  <c r="O8" i="15"/>
  <c r="N8" i="15"/>
  <c r="M8" i="15"/>
  <c r="L8" i="15"/>
  <c r="K8" i="15"/>
  <c r="J8" i="15"/>
  <c r="I8" i="15"/>
  <c r="H8" i="15"/>
  <c r="G8" i="15"/>
  <c r="F8" i="15"/>
  <c r="E8" i="15"/>
  <c r="T7" i="15"/>
  <c r="S7" i="15"/>
  <c r="R7" i="15"/>
  <c r="Q7" i="15"/>
  <c r="P7" i="15"/>
  <c r="O7" i="15"/>
  <c r="N7" i="15"/>
  <c r="M7" i="15"/>
  <c r="L7" i="15"/>
  <c r="K7" i="15"/>
  <c r="J7" i="15"/>
  <c r="I7" i="15"/>
  <c r="H7" i="15"/>
  <c r="G7" i="15"/>
  <c r="F7" i="15"/>
  <c r="E7" i="15"/>
  <c r="T6" i="15"/>
  <c r="S6" i="15"/>
  <c r="R6" i="15"/>
  <c r="Q6" i="15"/>
  <c r="P6" i="15"/>
  <c r="O6" i="15"/>
  <c r="N6" i="15"/>
  <c r="M6" i="15"/>
  <c r="L6" i="15"/>
  <c r="K6" i="15"/>
  <c r="J6" i="15"/>
  <c r="I6" i="15"/>
  <c r="H6" i="15"/>
  <c r="G6" i="15"/>
  <c r="F6" i="15"/>
  <c r="E6" i="15"/>
  <c r="H39" i="14"/>
  <c r="G39" i="14"/>
  <c r="F39" i="14"/>
  <c r="E39" i="14"/>
  <c r="H38" i="14"/>
  <c r="G38" i="14"/>
  <c r="F38" i="14"/>
  <c r="E38" i="14"/>
  <c r="H37" i="14"/>
  <c r="G37" i="14"/>
  <c r="F37" i="14"/>
  <c r="E37" i="14"/>
  <c r="F25" i="14"/>
  <c r="E25" i="14"/>
  <c r="D25" i="14"/>
  <c r="E16" i="14" s="1"/>
  <c r="E9" i="14" s="1"/>
  <c r="D24" i="14"/>
  <c r="F15" i="14" s="1"/>
  <c r="F4" i="14" s="1"/>
  <c r="G16" i="14"/>
  <c r="G9" i="14" s="1"/>
  <c r="F16" i="14"/>
  <c r="F9" i="14" s="1"/>
  <c r="D16" i="14"/>
  <c r="D9" i="14" s="1"/>
  <c r="G15" i="14"/>
  <c r="G4" i="14" s="1"/>
  <c r="E15" i="14"/>
  <c r="D15" i="14"/>
  <c r="C15" i="14"/>
  <c r="C4" i="14" s="1"/>
  <c r="E5" i="14"/>
  <c r="E4" i="14"/>
  <c r="E3" i="14" s="1"/>
  <c r="D4" i="14"/>
  <c r="D3" i="14" s="1"/>
  <c r="D19" i="13"/>
  <c r="D18" i="13"/>
  <c r="E5" i="13" s="1"/>
  <c r="E6" i="13" s="1"/>
  <c r="D17" i="13"/>
  <c r="D16" i="13"/>
  <c r="D15" i="13"/>
  <c r="D14" i="13"/>
  <c r="D13" i="13"/>
  <c r="D12" i="13"/>
  <c r="D11" i="13"/>
  <c r="D10" i="13"/>
  <c r="D9" i="13"/>
  <c r="D5" i="13"/>
  <c r="D6" i="13" s="1"/>
  <c r="C5" i="13"/>
  <c r="C6" i="13" s="1"/>
  <c r="F20" i="12"/>
  <c r="D11" i="12" s="1"/>
  <c r="F19" i="12"/>
  <c r="D12" i="12"/>
  <c r="E10" i="12"/>
  <c r="D10" i="12"/>
  <c r="D6" i="12" s="1"/>
  <c r="C10" i="12"/>
  <c r="E7" i="12"/>
  <c r="D7" i="12"/>
  <c r="C7" i="12"/>
  <c r="D13" i="11"/>
  <c r="E7" i="11" s="1"/>
  <c r="C10" i="11"/>
  <c r="E6" i="11" s="1"/>
  <c r="D6" i="11"/>
  <c r="D7" i="11" s="1"/>
  <c r="C6" i="11"/>
  <c r="C11" i="10"/>
  <c r="C10" i="10"/>
  <c r="D9" i="10"/>
  <c r="C9" i="10"/>
  <c r="B9" i="10"/>
  <c r="E5" i="10"/>
  <c r="D5" i="10"/>
  <c r="C5" i="10"/>
  <c r="E27" i="9"/>
  <c r="R14" i="9"/>
  <c r="R6" i="9" s="1"/>
  <c r="Q14" i="9"/>
  <c r="P14" i="9"/>
  <c r="O14" i="9"/>
  <c r="R13" i="9"/>
  <c r="Q13" i="9"/>
  <c r="Q6" i="9" s="1"/>
  <c r="P13" i="9"/>
  <c r="P6" i="9" s="1"/>
  <c r="O13" i="9"/>
  <c r="L13" i="9"/>
  <c r="K13" i="9"/>
  <c r="J13" i="9"/>
  <c r="J6" i="9" s="1"/>
  <c r="I13" i="9"/>
  <c r="E13" i="9"/>
  <c r="R12" i="9"/>
  <c r="Q12" i="9"/>
  <c r="P12" i="9"/>
  <c r="O12" i="9"/>
  <c r="R11" i="9"/>
  <c r="Q11" i="9"/>
  <c r="P11" i="9"/>
  <c r="O11" i="9"/>
  <c r="L11" i="9"/>
  <c r="L5" i="9" s="1"/>
  <c r="K11" i="9"/>
  <c r="K5" i="9" s="1"/>
  <c r="J11" i="9"/>
  <c r="I11" i="9"/>
  <c r="R7" i="9"/>
  <c r="Q7" i="9"/>
  <c r="P7" i="9"/>
  <c r="O7" i="9"/>
  <c r="N7" i="9"/>
  <c r="M7" i="9"/>
  <c r="L7" i="9"/>
  <c r="K7" i="9"/>
  <c r="J7" i="9"/>
  <c r="I7" i="9"/>
  <c r="H7" i="9"/>
  <c r="G7" i="9"/>
  <c r="F7" i="9"/>
  <c r="E7" i="9"/>
  <c r="O6" i="9"/>
  <c r="N6" i="9"/>
  <c r="M6" i="9"/>
  <c r="L6" i="9"/>
  <c r="K6" i="9"/>
  <c r="I6" i="9"/>
  <c r="H6" i="9"/>
  <c r="G6" i="9"/>
  <c r="F6" i="9"/>
  <c r="E6" i="9"/>
  <c r="R5" i="9"/>
  <c r="Q5" i="9"/>
  <c r="P5" i="9"/>
  <c r="O5" i="9"/>
  <c r="N5" i="9"/>
  <c r="M5" i="9"/>
  <c r="J5" i="9"/>
  <c r="I5" i="9"/>
  <c r="H5" i="9"/>
  <c r="G5" i="9"/>
  <c r="F5" i="9"/>
  <c r="E5" i="9"/>
  <c r="D31" i="8"/>
  <c r="D32" i="8" s="1"/>
  <c r="D35" i="8" s="1"/>
  <c r="D26" i="8"/>
  <c r="D27" i="8" s="1"/>
  <c r="D16" i="8"/>
  <c r="D15" i="8"/>
  <c r="D14" i="8"/>
  <c r="D23" i="7"/>
  <c r="D24" i="7" s="1"/>
  <c r="F19" i="7"/>
  <c r="F20" i="7" s="1"/>
  <c r="F21" i="7" s="1"/>
  <c r="E19" i="7"/>
  <c r="E20" i="7" s="1"/>
  <c r="E21" i="7" s="1"/>
  <c r="D19" i="7"/>
  <c r="D20" i="7" s="1"/>
  <c r="D21" i="7" s="1"/>
  <c r="F17" i="7"/>
  <c r="D26" i="7" s="1"/>
  <c r="E17" i="7"/>
  <c r="D17" i="7"/>
  <c r="D21" i="6"/>
  <c r="C21" i="6"/>
  <c r="B21" i="6"/>
  <c r="C20" i="6"/>
  <c r="D19" i="6"/>
  <c r="E5" i="6" s="1"/>
  <c r="C19" i="6"/>
  <c r="B19" i="6"/>
  <c r="D5" i="6" s="1"/>
  <c r="D18" i="6"/>
  <c r="C18" i="6"/>
  <c r="C5" i="6" s="1"/>
  <c r="B18" i="6"/>
  <c r="C17" i="6"/>
  <c r="C16" i="6"/>
  <c r="D15" i="6"/>
  <c r="B15" i="6"/>
  <c r="C15" i="6" s="1"/>
  <c r="D14" i="6"/>
  <c r="C14" i="6"/>
  <c r="B14" i="6"/>
  <c r="C13" i="6"/>
  <c r="C12" i="6"/>
  <c r="C11" i="6"/>
  <c r="C10" i="6"/>
  <c r="B10" i="6"/>
  <c r="C9" i="6"/>
  <c r="F20" i="5"/>
  <c r="F13" i="5" s="1"/>
  <c r="E20" i="5"/>
  <c r="E13" i="5"/>
  <c r="D13" i="5"/>
  <c r="D14" i="5" s="1"/>
  <c r="D15" i="5" s="1"/>
  <c r="D16" i="5" s="1"/>
  <c r="D17" i="5" s="1"/>
  <c r="F12" i="5"/>
  <c r="F14" i="5" s="1"/>
  <c r="F15" i="5" s="1"/>
  <c r="F16" i="5" s="1"/>
  <c r="F17" i="5" s="1"/>
  <c r="E12" i="5"/>
  <c r="E14" i="5" s="1"/>
  <c r="E15" i="5" s="1"/>
  <c r="E16" i="5" s="1"/>
  <c r="E17" i="5" s="1"/>
  <c r="D12" i="5"/>
  <c r="E5" i="4"/>
  <c r="J89" i="2"/>
  <c r="H88" i="2"/>
  <c r="H86" i="2"/>
  <c r="H84" i="2"/>
  <c r="C75" i="2"/>
  <c r="C74" i="2"/>
  <c r="C73" i="2"/>
  <c r="G76" i="2" s="1"/>
  <c r="G64" i="2"/>
  <c r="I64" i="2" s="1"/>
  <c r="C63" i="2"/>
  <c r="J88" i="2" s="1"/>
  <c r="G62" i="2"/>
  <c r="I62" i="2" s="1"/>
  <c r="C62" i="2"/>
  <c r="I88" i="2" s="1"/>
  <c r="G50" i="2"/>
  <c r="C49" i="2"/>
  <c r="J87" i="2" s="1"/>
  <c r="C48" i="2"/>
  <c r="I87" i="2" s="1"/>
  <c r="C47" i="2"/>
  <c r="H87" i="2" s="1"/>
  <c r="G38" i="2"/>
  <c r="I38" i="2" s="1"/>
  <c r="C37" i="2"/>
  <c r="J86" i="2" s="1"/>
  <c r="S36" i="2"/>
  <c r="I36" i="2"/>
  <c r="H36" i="2"/>
  <c r="G36" i="2"/>
  <c r="C36" i="2"/>
  <c r="I86" i="2" s="1"/>
  <c r="S35" i="2"/>
  <c r="S34" i="2"/>
  <c r="S33" i="2"/>
  <c r="S32" i="2"/>
  <c r="S31" i="2"/>
  <c r="N27" i="2"/>
  <c r="C25" i="2"/>
  <c r="C23" i="2"/>
  <c r="J85" i="2" s="1"/>
  <c r="G22" i="2"/>
  <c r="C21" i="2"/>
  <c r="G24" i="2" s="1"/>
  <c r="G16" i="2"/>
  <c r="K15" i="2"/>
  <c r="M15" i="2" s="1"/>
  <c r="M16" i="2" s="1"/>
  <c r="G12" i="2"/>
  <c r="I12" i="2" s="1"/>
  <c r="H11" i="2"/>
  <c r="G11" i="2"/>
  <c r="I11" i="2" s="1"/>
  <c r="C11" i="2"/>
  <c r="J84" i="2" s="1"/>
  <c r="K10" i="2"/>
  <c r="M10" i="2" s="1"/>
  <c r="I10" i="2"/>
  <c r="H10" i="2"/>
  <c r="G10" i="2"/>
  <c r="C10" i="2"/>
  <c r="I84" i="2" s="1"/>
  <c r="C5" i="2"/>
  <c r="L27" i="2" s="1"/>
  <c r="K11" i="2" l="1"/>
  <c r="D17" i="8"/>
  <c r="D30" i="8"/>
  <c r="G5" i="14"/>
  <c r="G3" i="14"/>
  <c r="G10" i="14"/>
  <c r="G8" i="14"/>
  <c r="F8" i="14"/>
  <c r="F10" i="14"/>
  <c r="O17" i="2"/>
  <c r="K84" i="2" s="1"/>
  <c r="E8" i="14"/>
  <c r="E10" i="14"/>
  <c r="G42" i="2"/>
  <c r="D10" i="14"/>
  <c r="D8" i="14"/>
  <c r="F5" i="14"/>
  <c r="F3" i="14"/>
  <c r="C5" i="14"/>
  <c r="C3" i="14"/>
  <c r="N10" i="2"/>
  <c r="G28" i="2"/>
  <c r="D19" i="8"/>
  <c r="E5" i="8" s="1"/>
  <c r="D18" i="8"/>
  <c r="E8" i="8" s="1"/>
  <c r="E11" i="12"/>
  <c r="E6" i="12" s="1"/>
  <c r="D5" i="14"/>
  <c r="C16" i="14"/>
  <c r="C9" i="14" s="1"/>
  <c r="K22" i="2"/>
  <c r="H12" i="2"/>
  <c r="H16" i="2" s="1"/>
  <c r="K16" i="2"/>
  <c r="H14" i="2"/>
  <c r="C22" i="2"/>
  <c r="G23" i="2"/>
  <c r="G48" i="2"/>
  <c r="G63" i="2"/>
  <c r="G68" i="2" s="1"/>
  <c r="K67" i="2"/>
  <c r="K68" i="2" s="1"/>
  <c r="L65" i="2" s="1"/>
  <c r="H85" i="2"/>
  <c r="H89" i="2"/>
  <c r="I89" i="2"/>
  <c r="B13" i="11"/>
  <c r="C7" i="11" s="1"/>
  <c r="K12" i="2"/>
  <c r="H22" i="2"/>
  <c r="H62" i="2"/>
  <c r="C13" i="11"/>
  <c r="K27" i="2"/>
  <c r="G37" i="2"/>
  <c r="K41" i="2"/>
  <c r="K42" i="2" s="1"/>
  <c r="L39" i="2" s="1"/>
  <c r="G74" i="2"/>
  <c r="I16" i="2"/>
  <c r="C11" i="12"/>
  <c r="C6" i="12" s="1"/>
  <c r="H13" i="2"/>
  <c r="H66" i="2" l="1"/>
  <c r="I68" i="2"/>
  <c r="J62" i="2" s="1"/>
  <c r="H65" i="2"/>
  <c r="O69" i="2"/>
  <c r="K88" i="2" s="1"/>
  <c r="K69" i="2"/>
  <c r="H64" i="2"/>
  <c r="H68" i="2" s="1"/>
  <c r="M17" i="2"/>
  <c r="L13" i="2"/>
  <c r="K17" i="2"/>
  <c r="H74" i="2"/>
  <c r="G75" i="2"/>
  <c r="F8" i="8"/>
  <c r="D8" i="8"/>
  <c r="M12" i="2"/>
  <c r="N12" i="2" s="1"/>
  <c r="L12" i="2"/>
  <c r="M22" i="2"/>
  <c r="K24" i="2"/>
  <c r="I17" i="2"/>
  <c r="N11" i="2"/>
  <c r="M11" i="2" s="1"/>
  <c r="N16" i="2"/>
  <c r="G49" i="2"/>
  <c r="G54" i="2"/>
  <c r="K53" i="2"/>
  <c r="K54" i="2" s="1"/>
  <c r="L51" i="2" s="1"/>
  <c r="H48" i="2"/>
  <c r="K36" i="2"/>
  <c r="D20" i="8"/>
  <c r="E10" i="8" s="1"/>
  <c r="E7" i="8"/>
  <c r="E6" i="8"/>
  <c r="D21" i="8"/>
  <c r="E9" i="8" s="1"/>
  <c r="I85" i="2"/>
  <c r="J11" i="2"/>
  <c r="K63" i="2"/>
  <c r="I63" i="2"/>
  <c r="H63" i="2"/>
  <c r="L10" i="2"/>
  <c r="D5" i="8"/>
  <c r="F5" i="8"/>
  <c r="I43" i="2"/>
  <c r="H38" i="2"/>
  <c r="O43" i="2"/>
  <c r="K86" i="2" s="1"/>
  <c r="K43" i="2"/>
  <c r="H40" i="2"/>
  <c r="H39" i="2"/>
  <c r="I42" i="2"/>
  <c r="J36" i="2" s="1"/>
  <c r="I37" i="2"/>
  <c r="J37" i="2" s="1"/>
  <c r="H37" i="2"/>
  <c r="K37" i="2"/>
  <c r="O29" i="2"/>
  <c r="K85" i="2" s="1"/>
  <c r="H25" i="2"/>
  <c r="H26" i="2"/>
  <c r="C10" i="14"/>
  <c r="C8" i="14"/>
  <c r="H24" i="2"/>
  <c r="K28" i="2"/>
  <c r="L22" i="2" s="1"/>
  <c r="M27" i="2"/>
  <c r="M28" i="2" s="1"/>
  <c r="H23" i="2"/>
  <c r="H28" i="2" s="1"/>
  <c r="K23" i="2"/>
  <c r="K62" i="2"/>
  <c r="J10" i="2"/>
  <c r="K79" i="2"/>
  <c r="K80" i="2" s="1"/>
  <c r="L77" i="2" s="1"/>
  <c r="F7" i="8" l="1"/>
  <c r="D7" i="8"/>
  <c r="K38" i="2"/>
  <c r="L38" i="2" s="1"/>
  <c r="L36" i="2"/>
  <c r="I69" i="2"/>
  <c r="M24" i="2"/>
  <c r="N24" i="2" s="1"/>
  <c r="L24" i="2"/>
  <c r="L23" i="2" s="1"/>
  <c r="L28" i="2" s="1"/>
  <c r="K74" i="2"/>
  <c r="D10" i="8"/>
  <c r="F10" i="8"/>
  <c r="L25" i="2"/>
  <c r="M29" i="2"/>
  <c r="K75" i="2"/>
  <c r="H75" i="2"/>
  <c r="H42" i="2"/>
  <c r="J38" i="2"/>
  <c r="J42" i="2"/>
  <c r="K48" i="2"/>
  <c r="N22" i="2"/>
  <c r="G80" i="2"/>
  <c r="J63" i="2"/>
  <c r="J64" i="2" s="1"/>
  <c r="J68" i="2" s="1"/>
  <c r="J12" i="2"/>
  <c r="J16" i="2" s="1"/>
  <c r="L62" i="2"/>
  <c r="K64" i="2"/>
  <c r="L64" i="2" s="1"/>
  <c r="L16" i="2"/>
  <c r="L11" i="2"/>
  <c r="F9" i="8"/>
  <c r="D9" i="8"/>
  <c r="K55" i="2"/>
  <c r="H51" i="2"/>
  <c r="O55" i="2"/>
  <c r="K87" i="2" s="1"/>
  <c r="H52" i="2"/>
  <c r="H50" i="2"/>
  <c r="K29" i="2"/>
  <c r="F6" i="8"/>
  <c r="D6" i="8"/>
  <c r="H49" i="2"/>
  <c r="H54" i="2" s="1"/>
  <c r="K49" i="2"/>
  <c r="H78" i="2" l="1"/>
  <c r="O81" i="2"/>
  <c r="K89" i="2" s="1"/>
  <c r="K81" i="2"/>
  <c r="H77" i="2"/>
  <c r="H76" i="2"/>
  <c r="H80" i="2" s="1"/>
  <c r="N23" i="2"/>
  <c r="M23" i="2" s="1"/>
  <c r="L63" i="2"/>
  <c r="L68" i="2" s="1"/>
  <c r="K50" i="2"/>
  <c r="L50" i="2" s="1"/>
  <c r="L48" i="2"/>
  <c r="K76" i="2"/>
  <c r="L76" i="2" s="1"/>
  <c r="L74" i="2"/>
  <c r="L37" i="2"/>
  <c r="L42" i="2" s="1"/>
  <c r="N28" i="2" l="1"/>
  <c r="L75" i="2"/>
  <c r="L80" i="2"/>
  <c r="L49" i="2"/>
  <c r="L54" i="2" s="1"/>
</calcChain>
</file>

<file path=xl/sharedStrings.xml><?xml version="1.0" encoding="utf-8"?>
<sst xmlns="http://schemas.openxmlformats.org/spreadsheetml/2006/main" count="1373" uniqueCount="547">
  <si>
    <t>The Superpower Institute</t>
  </si>
  <si>
    <t>Model Input Supplementary Material</t>
  </si>
  <si>
    <t>item</t>
  </si>
  <si>
    <t>modelCategory</t>
  </si>
  <si>
    <t>Description</t>
  </si>
  <si>
    <t>ironMaking</t>
  </si>
  <si>
    <t>Calculations used to inform intput:output ratios between different ironmaking stages.</t>
  </si>
  <si>
    <t>waterProduceUnitCapex</t>
  </si>
  <si>
    <t>desalPlant</t>
  </si>
  <si>
    <t>Desalination plant capex</t>
  </si>
  <si>
    <t>electricityToH2</t>
  </si>
  <si>
    <t>electrolysis</t>
  </si>
  <si>
    <t>Electricity required to generate hydrogen</t>
  </si>
  <si>
    <t>h2ProduceUnitCapex</t>
  </si>
  <si>
    <t>h2StoreUnitCapex</t>
  </si>
  <si>
    <t>storeH2</t>
  </si>
  <si>
    <t>Hydrogen storage capex</t>
  </si>
  <si>
    <t>h2DistributeUnitCapex</t>
  </si>
  <si>
    <t>h2Dist</t>
  </si>
  <si>
    <t>Hydrogen pipeline capex</t>
  </si>
  <si>
    <t>ironOreUnitCost</t>
  </si>
  <si>
    <t>ironOre</t>
  </si>
  <si>
    <t>Cost of iron ore concentrate (input)</t>
  </si>
  <si>
    <t>naturalGasUnitCost</t>
  </si>
  <si>
    <t>Natural_gas</t>
  </si>
  <si>
    <t>Gas and pipeline use costs by scenario</t>
  </si>
  <si>
    <t>electricityToIronPreP</t>
  </si>
  <si>
    <t>preProcessing</t>
  </si>
  <si>
    <t>Electricity required for pelletisation</t>
  </si>
  <si>
    <t>naturalGasToIronPreP</t>
  </si>
  <si>
    <t>Natural gas required for pelletisation</t>
  </si>
  <si>
    <t>electricityToIronRaw</t>
  </si>
  <si>
    <t>HBI</t>
  </si>
  <si>
    <t>Electricity required for ore, reductive gas and auxilliary processes</t>
  </si>
  <si>
    <t>ironRawProduceUnitCapex</t>
  </si>
  <si>
    <t>Direct reduction unit (i.e., Midrex and Zesty) capex</t>
  </si>
  <si>
    <t>capexCostsFactor</t>
  </si>
  <si>
    <t>economic</t>
  </si>
  <si>
    <t>Locational capex adjustment factors</t>
  </si>
  <si>
    <t>foakContingency</t>
  </si>
  <si>
    <t>Sticker price adjustment for foak equipment</t>
  </si>
  <si>
    <t>foakWacc</t>
  </si>
  <si>
    <t>Wacc adjustment for foak components by scenario</t>
  </si>
  <si>
    <t>←</t>
  </si>
  <si>
    <t>PILBARA</t>
  </si>
  <si>
    <t>Final fe-met output</t>
  </si>
  <si>
    <t>Pilbara hem HBI fe-met %</t>
  </si>
  <si>
    <t>Fe+Oxygen = hematite/magnetite</t>
  </si>
  <si>
    <t>Fe+Oxygen = wüstite</t>
  </si>
  <si>
    <t>Reference figures</t>
  </si>
  <si>
    <t>Pure hematite</t>
  </si>
  <si>
    <t>PILBARA MIDREX</t>
  </si>
  <si>
    <t>Concentrate</t>
  </si>
  <si>
    <t>Pre-processing (r. 79)</t>
  </si>
  <si>
    <t>Metal-making (r. 86)</t>
  </si>
  <si>
    <t>Post-processing (r. 96)</t>
  </si>
  <si>
    <t>Hem</t>
  </si>
  <si>
    <t>Constitution</t>
  </si>
  <si>
    <t>Pellets</t>
  </si>
  <si>
    <t>ESF</t>
  </si>
  <si>
    <t>Fe</t>
  </si>
  <si>
    <t>O</t>
  </si>
  <si>
    <t>Gangue</t>
  </si>
  <si>
    <t>FE % hematite</t>
  </si>
  <si>
    <t>Content</t>
  </si>
  <si>
    <t>Unit</t>
  </si>
  <si>
    <t>Amount</t>
  </si>
  <si>
    <t>%</t>
  </si>
  <si>
    <t>Gangue ratio</t>
  </si>
  <si>
    <t>kg</t>
  </si>
  <si>
    <t>Midrex</t>
  </si>
  <si>
    <t>Metallisation</t>
  </si>
  <si>
    <t>Hem pellet loss (moisture)</t>
  </si>
  <si>
    <t>Oxygen</t>
  </si>
  <si>
    <t>Reduction efficiency</t>
  </si>
  <si>
    <t>FeO</t>
  </si>
  <si>
    <t>H2O</t>
  </si>
  <si>
    <t>Fe-met</t>
  </si>
  <si>
    <t>Totals</t>
  </si>
  <si>
    <t>Total ore input</t>
  </si>
  <si>
    <t>Inverse (FOR MODEL INPUT)</t>
  </si>
  <si>
    <t>Mag</t>
  </si>
  <si>
    <t>PILBARA ZESTY</t>
  </si>
  <si>
    <t>Pre-processing</t>
  </si>
  <si>
    <t>Metal-making</t>
  </si>
  <si>
    <t>Post-processing</t>
  </si>
  <si>
    <t>Pellets: not for Zesty</t>
  </si>
  <si>
    <t>Zesty</t>
  </si>
  <si>
    <t>g/mol</t>
  </si>
  <si>
    <t>EYRE PENINSULA</t>
  </si>
  <si>
    <t>Fe2O3</t>
  </si>
  <si>
    <t>Pure magnetite</t>
  </si>
  <si>
    <t>EYRE MIDREX</t>
  </si>
  <si>
    <t>Fe3O4</t>
  </si>
  <si>
    <t>Briquetting: No loss (physical)</t>
  </si>
  <si>
    <t>Fe % of FeO</t>
  </si>
  <si>
    <t>FE % magnetite</t>
  </si>
  <si>
    <t>Fe % Fe2O3</t>
  </si>
  <si>
    <t>Fe% Fe3O4</t>
  </si>
  <si>
    <t>EYRE ZESTY</t>
  </si>
  <si>
    <t>GERALDTON</t>
  </si>
  <si>
    <t>GERALDTON MIDREX</t>
  </si>
  <si>
    <t>GERALDTON ZESTY</t>
  </si>
  <si>
    <t>Scenario</t>
  </si>
  <si>
    <t>Ore type</t>
  </si>
  <si>
    <t>FE content (%)</t>
  </si>
  <si>
    <t>FE:gangue ratio (%)</t>
  </si>
  <si>
    <t>Metallisation (%)</t>
  </si>
  <si>
    <t>Total ore input (ton of ore: ton of DRI)</t>
  </si>
  <si>
    <t>Pilbara inflexible</t>
  </si>
  <si>
    <t>Hematite</t>
  </si>
  <si>
    <t>Pilbara flexible</t>
  </si>
  <si>
    <t>Eyre Peninsula inflexible</t>
  </si>
  <si>
    <t>Magnetite</t>
  </si>
  <si>
    <t>Eyre Peninsula flexible</t>
  </si>
  <si>
    <t>Geraldton inflexible</t>
  </si>
  <si>
    <t>Geraldton flexible</t>
  </si>
  <si>
    <t>Aurecon 2024</t>
  </si>
  <si>
    <t>Year</t>
  </si>
  <si>
    <t>PEM</t>
  </si>
  <si>
    <t>AEM</t>
  </si>
  <si>
    <t>SOE</t>
  </si>
  <si>
    <t>Notes</t>
  </si>
  <si>
    <t>MWh/tH2</t>
  </si>
  <si>
    <t>Low is IRENA 2020 lower bound figure for PEM efficiency; qualitatively defended as more likely than DOE target (46Mwh/tH2) given current political environment. High is Aurecon PEM efficiency assumption, considered as commercially viable for construction by 2024. Middle represents average.</t>
  </si>
  <si>
    <t>Research</t>
  </si>
  <si>
    <t>Technology</t>
  </si>
  <si>
    <t>Stack_EE_Low</t>
  </si>
  <si>
    <t>Stack_EE_High</t>
  </si>
  <si>
    <t>System_EE_Low</t>
  </si>
  <si>
    <t>System_EE_High</t>
  </si>
  <si>
    <t>Source</t>
  </si>
  <si>
    <t>Alkaline</t>
  </si>
  <si>
    <t>IRENA 2020</t>
  </si>
  <si>
    <t>Table 6 (p. 65)</t>
  </si>
  <si>
    <t>Goldman Sachs 2022</t>
  </si>
  <si>
    <t>Exhibit 50 (p. 30)</t>
  </si>
  <si>
    <t>Office of Energy Efficiency &amp; Renewable Energy</t>
  </si>
  <si>
    <t>DOE Review</t>
  </si>
  <si>
    <t>Potassium hydroxide solution (KOH) p.14</t>
  </si>
  <si>
    <t>"Future"</t>
  </si>
  <si>
    <t>p.14</t>
  </si>
  <si>
    <t>ISPT</t>
  </si>
  <si>
    <t>pg. 4</t>
  </si>
  <si>
    <t>48 (without steam import)</t>
  </si>
  <si>
    <t>38 (with steam import)</t>
  </si>
  <si>
    <t>Clean Air Task Force</t>
  </si>
  <si>
    <t>p 26</t>
  </si>
  <si>
    <t>Fraunhofer 2021</t>
  </si>
  <si>
    <t>Table 3-5, p. 47</t>
  </si>
  <si>
    <t>p. 110-111</t>
  </si>
  <si>
    <t>2023/24</t>
  </si>
  <si>
    <t>$AUD/kW</t>
  </si>
  <si>
    <t>GenCost Current Policies 2024-25</t>
  </si>
  <si>
    <t>p.85</t>
  </si>
  <si>
    <r>
      <rPr>
        <u/>
        <sz val="10"/>
        <color rgb="FF1155CC"/>
        <rFont val="Roboto"/>
      </rPr>
      <t>GenCost N</t>
    </r>
    <r>
      <rPr>
        <sz val="10"/>
        <rFont val="Roboto"/>
      </rPr>
      <t>ZE by 2050 2024-25</t>
    </r>
  </si>
  <si>
    <r>
      <rPr>
        <u/>
        <sz val="10"/>
        <color rgb="FF1155CC"/>
        <rFont val="Roboto"/>
      </rPr>
      <t>GenCost N</t>
    </r>
    <r>
      <rPr>
        <sz val="10"/>
        <rFont val="Roboto"/>
      </rPr>
      <t>ZE post 2050 2024-25</t>
    </r>
  </si>
  <si>
    <t>Min value</t>
  </si>
  <si>
    <t>Mid value</t>
  </si>
  <si>
    <t>High value</t>
  </si>
  <si>
    <t>Capital cost</t>
  </si>
  <si>
    <t>$/kw</t>
  </si>
  <si>
    <t>Higher heating value of hydrogen</t>
  </si>
  <si>
    <t>kWh/kgH2</t>
  </si>
  <si>
    <t>h2 production rate per kWh</t>
  </si>
  <si>
    <t>kg/kwh</t>
  </si>
  <si>
    <t>Assumed efficiency</t>
  </si>
  <si>
    <t>Production rate adjusted for efficiency</t>
  </si>
  <si>
    <t>kg/h/kW</t>
  </si>
  <si>
    <t>Tonne production rate</t>
  </si>
  <si>
    <t>t/h/kW</t>
  </si>
  <si>
    <t>Capital cost per tonne</t>
  </si>
  <si>
    <t>$/t/h</t>
  </si>
  <si>
    <t>Capital cost per tonne in millions</t>
  </si>
  <si>
    <t>m$/t/h</t>
  </si>
  <si>
    <t>MWh/t H2</t>
  </si>
  <si>
    <t>Type</t>
  </si>
  <si>
    <t>Low</t>
  </si>
  <si>
    <t>Middle</t>
  </si>
  <si>
    <t>High</t>
  </si>
  <si>
    <t>Low is based on 700 bar compression storage figure with conversion of 131GJ/tH2. Middle and high are from 2018 CSIRO Hydrogen Roadmap. Figures are based on 150 and 350 bar compression, respectively, and include tank, compressor, associated infrastructure, and installation costs. Figures have been inflated to AUD2024.</t>
  </si>
  <si>
    <t>Low is for natural salt cavern and middle is for engineered underground cavern. Hugely below Chang references of ~$18/kg</t>
  </si>
  <si>
    <t>IEA 1998 reference. Not including compression costs.</t>
  </si>
  <si>
    <t>UK based figures. Steady progression is least ambitious transition target</t>
  </si>
  <si>
    <r>
      <rPr>
        <u/>
        <sz val="10"/>
        <color rgb="FFB7B7B7"/>
        <rFont val="Arial"/>
        <family val="2"/>
      </rPr>
      <t>NREL</t>
    </r>
    <r>
      <rPr>
        <sz val="10"/>
        <color rgb="FFB7B7B7"/>
        <rFont val="Arial"/>
        <family val="2"/>
      </rPr>
      <t xml:space="preserve"> 2014</t>
    </r>
  </si>
  <si>
    <t>Converted from 2014USD to 2024AUD</t>
  </si>
  <si>
    <t>Danish Energy Agency, September 2023</t>
  </si>
  <si>
    <t>From 2013 source I couldn't access. Converted from 2020EURO/MWh H2</t>
  </si>
  <si>
    <r>
      <rPr>
        <u/>
        <sz val="10"/>
        <color rgb="FFCCCCCC"/>
        <rFont val="Arial"/>
        <family val="2"/>
      </rPr>
      <t>Argentina/Chile paper</t>
    </r>
    <r>
      <rPr>
        <sz val="10"/>
        <color rgb="FFCCCCCC"/>
        <rFont val="Arial"/>
        <family val="2"/>
      </rPr>
      <t>, Table 7</t>
    </r>
  </si>
  <si>
    <t>From USD/kWh to AUD/t</t>
  </si>
  <si>
    <r>
      <rPr>
        <u/>
        <sz val="10"/>
        <color rgb="FF1155CC"/>
        <rFont val="Arial"/>
        <family val="2"/>
      </rPr>
      <t>DNV</t>
    </r>
    <r>
      <rPr>
        <sz val="10"/>
        <color rgb="FF000000"/>
        <rFont val="Arial"/>
        <family val="2"/>
      </rPr>
      <t>, p. 51</t>
    </r>
  </si>
  <si>
    <t>Compressed pressure vessel, 10GJ.
Euro/GJ
L/H: 120GJ/tH2/142GJ/tH2
Inflated from 2019 to 2024</t>
  </si>
  <si>
    <r>
      <rPr>
        <u/>
        <sz val="10"/>
        <color rgb="FF38761D"/>
        <rFont val="Arial"/>
        <family val="2"/>
      </rPr>
      <t>CSIRO roadmap</t>
    </r>
    <r>
      <rPr>
        <sz val="10"/>
        <color rgb="FF38761D"/>
        <rFont val="Arial"/>
        <family val="2"/>
      </rPr>
      <t>, p. 84</t>
    </r>
  </si>
  <si>
    <t>This figure is based on 210t of hydrogen charged and discharged each day from tanks of 100m^3. 
Cost includes tanks, compressors, associated infrastructure and installation costs. i.e., $1,032/kgH2/day for all capex. 
Capex includes the tanks, compressors and associated infrastructure and installation costs.
L/M/H: 150/35/350 bar case.
Inflated from 2018 to 2024</t>
  </si>
  <si>
    <r>
      <rPr>
        <u/>
        <sz val="10"/>
        <color rgb="FFB7B7B7"/>
        <rFont val="Arial"/>
        <family val="2"/>
      </rPr>
      <t>Naval Postgraduate School</t>
    </r>
    <r>
      <rPr>
        <sz val="10"/>
        <color rgb="FFB7B7B7"/>
        <rFont val="Arial"/>
        <family val="2"/>
      </rPr>
      <t xml:space="preserve">, p. 13. </t>
    </r>
  </si>
  <si>
    <t>References https://www.energy.gov/eere/fuelcells/hydrogen-storage
Middle refers to "Sorbent: MOF-5, 100 bar, 80K" and "700 bar compressed".
Pricing based on supplier consultation.</t>
  </si>
  <si>
    <r>
      <rPr>
        <u/>
        <sz val="10"/>
        <color rgb="FFB7B7B7"/>
        <rFont val="Arial"/>
        <family val="2"/>
      </rPr>
      <t>Journal IJHE</t>
    </r>
    <r>
      <rPr>
        <sz val="10"/>
        <color rgb="FFB7B7B7"/>
        <rFont val="Arial"/>
        <family val="2"/>
      </rPr>
      <t>, p. 15678</t>
    </r>
  </si>
  <si>
    <t>Unclear but don't think this includes compression and dispensing costs.</t>
  </si>
  <si>
    <t>IEA GHR24</t>
  </si>
  <si>
    <t>Parameter</t>
  </si>
  <si>
    <t>Small</t>
  </si>
  <si>
    <t>Medium</t>
  </si>
  <si>
    <t>Large</t>
  </si>
  <si>
    <t xml:space="preserve">Operation conditions </t>
  </si>
  <si>
    <t>% of design capacity</t>
  </si>
  <si>
    <t/>
  </si>
  <si>
    <t xml:space="preserve">Diameter </t>
  </si>
  <si>
    <t>inch</t>
  </si>
  <si>
    <t xml:space="preserve">Design Capacity </t>
  </si>
  <si>
    <t xml:space="preserve">GW H2, LHV </t>
  </si>
  <si>
    <t xml:space="preserve">Inlet pressure </t>
  </si>
  <si>
    <t>bar</t>
  </si>
  <si>
    <t xml:space="preserve">Outlet pressure </t>
  </si>
  <si>
    <t xml:space="preserve">Utilisation </t>
  </si>
  <si>
    <t xml:space="preserve">Compression power </t>
  </si>
  <si>
    <t xml:space="preserve">MWe/1 000 km </t>
  </si>
  <si>
    <t xml:space="preserve">CAPEX - new pipeline </t>
  </si>
  <si>
    <t>MUSD/km</t>
  </si>
  <si>
    <t xml:space="preserve">CAPEX - repurposed pipeline </t>
  </si>
  <si>
    <t xml:space="preserve">CAPEX - compressor </t>
  </si>
  <si>
    <t>MUSD/MWe</t>
  </si>
  <si>
    <t xml:space="preserve">Assumed pipe length: </t>
  </si>
  <si>
    <t>km</t>
  </si>
  <si>
    <t>CAPEX - total</t>
  </si>
  <si>
    <t>Diameter</t>
  </si>
  <si>
    <t>m</t>
  </si>
  <si>
    <t>Volume of pipe @ 5km</t>
  </si>
  <si>
    <t>m^3</t>
  </si>
  <si>
    <r>
      <t>Weight @ 30 bar, 15*C [</t>
    </r>
    <r>
      <rPr>
        <u/>
        <sz val="10"/>
        <color rgb="FF1155CC"/>
        <rFont val="Arial"/>
        <family val="2"/>
      </rPr>
      <t>source</t>
    </r>
    <r>
      <rPr>
        <sz val="10"/>
        <color rgb="FF000000"/>
        <rFont val="Arial"/>
        <scheme val="minor"/>
      </rPr>
      <t>]</t>
    </r>
  </si>
  <si>
    <t>tH2</t>
  </si>
  <si>
    <t>Total H2 required</t>
  </si>
  <si>
    <t>t</t>
  </si>
  <si>
    <t>Average hourly H2 required</t>
  </si>
  <si>
    <t>&lt;- try to accomodate [excl. storage]</t>
  </si>
  <si>
    <t>mA$/tph</t>
  </si>
  <si>
    <t>Component</t>
  </si>
  <si>
    <t>UOM</t>
  </si>
  <si>
    <t>Eyre</t>
  </si>
  <si>
    <t>AU$/t</t>
  </si>
  <si>
    <t>Pilbara</t>
  </si>
  <si>
    <t>Geraldton</t>
  </si>
  <si>
    <t>Kwinana</t>
  </si>
  <si>
    <t>Gladstone</t>
  </si>
  <si>
    <t>Ores</t>
  </si>
  <si>
    <t>Value</t>
  </si>
  <si>
    <t>Where</t>
  </si>
  <si>
    <t>Ore (60%)</t>
  </si>
  <si>
    <t>2030 price forecast, China CFR. Average of 62 and 58% fines. In 2024AUD</t>
  </si>
  <si>
    <t>WoodMac Q1 2024</t>
  </si>
  <si>
    <t>p.4</t>
  </si>
  <si>
    <t>Ore (68%)</t>
  </si>
  <si>
    <t>2030 price forecast, China CFR. Adjusted based on price forecast of 65% Fe sinter fines. In 2024AUD</t>
  </si>
  <si>
    <t>Ore (60%) freight adjusted</t>
  </si>
  <si>
    <t>Ore (70%) freight adjusted</t>
  </si>
  <si>
    <t>Ore (68%) freight adjusted</t>
  </si>
  <si>
    <t>Assumed same moisture as Pilbara</t>
  </si>
  <si>
    <t>Gladstone ore (60%) freight adjusted</t>
  </si>
  <si>
    <t>Kwinana ore (60%) freight adjusted</t>
  </si>
  <si>
    <r>
      <rPr>
        <b/>
        <sz val="10"/>
        <color theme="1"/>
        <rFont val="Arial"/>
        <family val="2"/>
      </rPr>
      <t xml:space="preserve">Shipping variables: </t>
    </r>
    <r>
      <rPr>
        <b/>
        <sz val="10"/>
        <color theme="1"/>
        <rFont val="Arial"/>
        <family val="2"/>
      </rPr>
      <t>the above referenced ore prices are CFR, meaning we have to strip out shipping costs for locally sourced ore cases and add shipping for Gladstone &amp; Kwinana</t>
    </r>
  </si>
  <si>
    <t>H20 Australian ore</t>
  </si>
  <si>
    <t>S&amp;P</t>
  </si>
  <si>
    <t>p.18</t>
  </si>
  <si>
    <t>Capesize freight wet</t>
  </si>
  <si>
    <t>AU$/wmt</t>
  </si>
  <si>
    <t>170kt vessel</t>
  </si>
  <si>
    <t>p. 2</t>
  </si>
  <si>
    <t>Capesize freight dry</t>
  </si>
  <si>
    <t>AU$/dmt</t>
  </si>
  <si>
    <t>Convert to dry based on assumed moisture</t>
  </si>
  <si>
    <t>Port hedland to Qingdao</t>
  </si>
  <si>
    <t>Days</t>
  </si>
  <si>
    <r>
      <rPr>
        <u/>
        <sz val="10"/>
        <color rgb="FF1155CC"/>
        <rFont val="Arial"/>
        <family val="2"/>
      </rPr>
      <t>Sea distance</t>
    </r>
    <r>
      <rPr>
        <sz val="10"/>
        <rFont val="Arial"/>
        <family val="2"/>
      </rPr>
      <t xml:space="preserve">; </t>
    </r>
    <r>
      <rPr>
        <u/>
        <sz val="10"/>
        <color rgb="FF1155CC"/>
        <rFont val="Arial"/>
        <family val="2"/>
      </rPr>
      <t>Baltic Exchange</t>
    </r>
  </si>
  <si>
    <t>Port Hedland to Gladstone</t>
  </si>
  <si>
    <r>
      <rPr>
        <u/>
        <sz val="10"/>
        <color rgb="FF1155CC"/>
        <rFont val="Arial"/>
        <family val="2"/>
      </rPr>
      <t>Sea distance</t>
    </r>
    <r>
      <rPr>
        <sz val="10"/>
        <rFont val="Arial"/>
        <family val="2"/>
      </rPr>
      <t xml:space="preserve">; </t>
    </r>
    <r>
      <rPr>
        <u/>
        <sz val="10"/>
        <color rgb="FF1155CC"/>
        <rFont val="Arial"/>
        <family val="2"/>
      </rPr>
      <t>Baltic Exchange</t>
    </r>
  </si>
  <si>
    <t>Port Hedland -&gt; Gladstone freight cost</t>
  </si>
  <si>
    <t>Adjust shipping cost by length of journey relative to Qingdao case</t>
  </si>
  <si>
    <t>Handysize freight wet</t>
  </si>
  <si>
    <t>30kt vessel</t>
  </si>
  <si>
    <t>p. 7</t>
  </si>
  <si>
    <t>Handysize freight dry</t>
  </si>
  <si>
    <t>Kwinana -&gt; Lianyungang</t>
  </si>
  <si>
    <r>
      <rPr>
        <u/>
        <sz val="10"/>
        <color rgb="FF1155CC"/>
        <rFont val="Arial"/>
        <family val="2"/>
      </rPr>
      <t>Sea distance</t>
    </r>
    <r>
      <rPr>
        <sz val="10"/>
        <rFont val="Arial"/>
        <family val="2"/>
      </rPr>
      <t xml:space="preserve">; </t>
    </r>
    <r>
      <rPr>
        <u/>
        <sz val="10"/>
        <color rgb="FF1155CC"/>
        <rFont val="Arial"/>
        <family val="2"/>
      </rPr>
      <t>Baltic Exchange</t>
    </r>
  </si>
  <si>
    <r>
      <rPr>
        <u/>
        <sz val="10"/>
        <color rgb="FF1155CC"/>
        <rFont val="Arial"/>
        <family val="2"/>
      </rPr>
      <t>Sea distance</t>
    </r>
    <r>
      <rPr>
        <sz val="10"/>
        <rFont val="Arial"/>
        <family val="2"/>
      </rPr>
      <t xml:space="preserve">; </t>
    </r>
    <r>
      <rPr>
        <u/>
        <sz val="10"/>
        <color rgb="FF1155CC"/>
        <rFont val="Arial"/>
        <family val="2"/>
      </rPr>
      <t>Baltic Exchange</t>
    </r>
  </si>
  <si>
    <t>Port Hedland -&gt; Kwinana freight cost</t>
  </si>
  <si>
    <t>Adjust shipping cost by length of journey relative to Lianyungang case</t>
  </si>
  <si>
    <t>AUD/USD</t>
  </si>
  <si>
    <t>naturalGasUnitCost = gasCost + pipelineUseCost</t>
  </si>
  <si>
    <t>scenario</t>
  </si>
  <si>
    <t>unit</t>
  </si>
  <si>
    <t>eyre_inflex</t>
  </si>
  <si>
    <t>eyre_flex</t>
  </si>
  <si>
    <t>pilb_inflex</t>
  </si>
  <si>
    <t>pilb_flex</t>
  </si>
  <si>
    <t>gera_inflex</t>
  </si>
  <si>
    <t>gera_flex</t>
  </si>
  <si>
    <t>kwin_inflex</t>
  </si>
  <si>
    <t>kwin_flex</t>
  </si>
  <si>
    <t>glad_inflex</t>
  </si>
  <si>
    <t>glad_flex</t>
  </si>
  <si>
    <t>pilb_inflex_h2Swap</t>
  </si>
  <si>
    <t>pilb_flex_h2Swap</t>
  </si>
  <si>
    <t>midn_inflex_h2Swap</t>
  </si>
  <si>
    <t>midn_flex_h2Swap</t>
  </si>
  <si>
    <t>A$/GJ</t>
  </si>
  <si>
    <t>Mid</t>
  </si>
  <si>
    <t>component</t>
  </si>
  <si>
    <t>source</t>
  </si>
  <si>
    <t>gasCost</t>
  </si>
  <si>
    <t>ACIL Allen</t>
  </si>
  <si>
    <t>pipelineUseCost</t>
  </si>
  <si>
    <t>see below</t>
  </si>
  <si>
    <t>City</t>
  </si>
  <si>
    <t>$/GJ</t>
  </si>
  <si>
    <t>Base
Moomba Adelaide</t>
  </si>
  <si>
    <t>https://epicenergy.com.au/wp-content/uploads/2023/12/Price-Methodology-MAPS.pdf</t>
  </si>
  <si>
    <t>Brisbane</t>
  </si>
  <si>
    <t xml:space="preserve">Values are based on three scenarios-Step Change (M), Progressive Change (H), and Green Energy Exports (L). </t>
  </si>
  <si>
    <t>Swap</t>
  </si>
  <si>
    <t>Adelaide</t>
  </si>
  <si>
    <t>Port Hedland</t>
  </si>
  <si>
    <t>Base
Pilbara Energy Pipeline</t>
  </si>
  <si>
    <t>https://www.apa.com.au/operations-and-projects/gas/gas-transmission/tariffs-and-terms</t>
  </si>
  <si>
    <t>Perth</t>
  </si>
  <si>
    <t>Three values are provided: Expected case (Medium), Low case (L) and High case (H)</t>
  </si>
  <si>
    <t>$/GJ/day of MDQ</t>
  </si>
  <si>
    <t>Factored in km charge from Port Hedland to O85-01 (inland Geraldton): 967.116km 
Part haul, commodity reservation tariff 
Dampier Bunbury pipeline</t>
  </si>
  <si>
    <t>https://www.erawa.com.au/cproot/24464/2/DBNGP-DBP-AA5-Annual-Reference-Tariff-Variation-1-January-2025-Letter-redacted.PDF
https://www.agig.com.au/customer-access</t>
  </si>
  <si>
    <t>Full haul, commodity reservation tariff
Dampier Bunbury pipeline</t>
  </si>
  <si>
    <t>Base
Wallumbilla Gladstone Pipeline</t>
  </si>
  <si>
    <t>electricityToIronPreP (pelletiser)</t>
  </si>
  <si>
    <t>ElectricityToIronPreP</t>
  </si>
  <si>
    <t>Average of the three sources informs middle. Low and high are the ranges within the main three sources. Electricity demand does not vary by ore type.</t>
  </si>
  <si>
    <t>https://eippcb.jrc.ec.europa.eu/sites/default/files/2019-11/IS_Adopted_03_2012.pdf, p. 188</t>
  </si>
  <si>
    <t>Electricity consumption based on three pellet plant sites in EU-25. Values converted from MJ to MWh (divide by 3600).</t>
  </si>
  <si>
    <t>https://publications.jrc.ec.europa.eu/repository/bitstream/JRC129297/JRC129297_01.pdf, p. 30</t>
  </si>
  <si>
    <t>https://drive.google.com/drive/search?q=RMI, p. 30</t>
  </si>
  <si>
    <t xml:space="preserve">Converted to MWh from kWh. </t>
  </si>
  <si>
    <t>naturalGasToIronPreP (pelletiser)</t>
  </si>
  <si>
    <t>GJ/t pellet</t>
  </si>
  <si>
    <t>naturalGasToIronPreP (hem)</t>
  </si>
  <si>
    <t xml:space="preserve">Energy inputs come from a combination of different energy sources: COG/BOF (as in integrated mill arrangement);  </t>
  </si>
  <si>
    <t>naturalGasToIronPreP (mag)</t>
  </si>
  <si>
    <t>"Since the oxidation of magnetite is exothermic this reaction can supply up to 60% of the energy needed for pellet induration". Based on hematite middle. Low is 30%, high is 50% supplied energy from exothermic reaction.</t>
  </si>
  <si>
    <r>
      <rPr>
        <u/>
        <sz val="10"/>
        <color rgb="FF000000"/>
        <rFont val="Arial"/>
        <family val="2"/>
      </rPr>
      <t>https://eippcb.jrc.ec.europa.eu/sites/default/files/2019-11/IS_Adopted_03_2012.pdf</t>
    </r>
    <r>
      <rPr>
        <sz val="10"/>
        <color rgb="FF000000"/>
        <rFont val="Arial"/>
        <family val="2"/>
      </rPr>
      <t>, p. 188</t>
    </r>
  </si>
  <si>
    <t>Note that energy input comes from COG/BOF (integrated milll arrangement), natural gas, coke breeze, coal, and oil. High is taken as hematite middle (paper notes mixture of ores).</t>
  </si>
  <si>
    <r>
      <rPr>
        <u/>
        <sz val="10"/>
        <color rgb="FF000000"/>
        <rFont val="Arial"/>
        <family val="2"/>
      </rPr>
      <t>https://eippcb.jrc.ec.europa.eu/sites/default/files/2019-11/IS_Adopted_03_2012.pdf</t>
    </r>
    <r>
      <rPr>
        <sz val="10"/>
        <color rgb="FF000000"/>
        <rFont val="Arial"/>
        <family val="2"/>
      </rPr>
      <t>, p. 184</t>
    </r>
  </si>
  <si>
    <t>MWh/t Raw iron</t>
  </si>
  <si>
    <t>Midrex auxilliary</t>
  </si>
  <si>
    <t>Non-ore related heating</t>
  </si>
  <si>
    <r>
      <rPr>
        <u/>
        <sz val="10"/>
        <color rgb="FF1155CC"/>
        <rFont val="Arial"/>
        <family val="2"/>
      </rPr>
      <t>Hatch</t>
    </r>
    <r>
      <rPr>
        <sz val="10"/>
        <rFont val="Arial"/>
        <family val="2"/>
      </rPr>
      <t xml:space="preserve"> p. 25</t>
    </r>
  </si>
  <si>
    <t>Midrex heating</t>
  </si>
  <si>
    <t>Efficiency (L/M/H - 100/90/80%)</t>
  </si>
  <si>
    <t>See below</t>
  </si>
  <si>
    <t>ZESTY plant’s energy requirement excluding hydrogen production</t>
  </si>
  <si>
    <t>Calix</t>
  </si>
  <si>
    <r>
      <rPr>
        <u/>
        <sz val="10"/>
        <color rgb="FF1155CC"/>
        <rFont val="Arial"/>
        <family val="2"/>
      </rPr>
      <t>Humbert</t>
    </r>
    <r>
      <rPr>
        <sz val="10"/>
        <rFont val="Arial"/>
        <family val="2"/>
      </rPr>
      <t>, p. 1696</t>
    </r>
  </si>
  <si>
    <t>Ore heating</t>
  </si>
  <si>
    <t>kWh/kg Fe</t>
  </si>
  <si>
    <r>
      <rPr>
        <u/>
        <sz val="10"/>
        <color rgb="FF1155CC"/>
        <rFont val="Arial"/>
        <family val="2"/>
      </rPr>
      <t>Ravenscroft (Midrex)</t>
    </r>
    <r>
      <rPr>
        <sz val="10"/>
        <rFont val="Arial"/>
        <family val="2"/>
      </rPr>
      <t>, p.10</t>
    </r>
  </si>
  <si>
    <t>Reducing gas heating (Hydrogen)</t>
  </si>
  <si>
    <t>H nm^3/t DRI</t>
  </si>
  <si>
    <t>National Academies</t>
  </si>
  <si>
    <t>Hydrogen nm3 to MJ</t>
  </si>
  <si>
    <t>LHV Hydrogen</t>
  </si>
  <si>
    <t>MJ/kWH</t>
  </si>
  <si>
    <t>Electrical heating equivalent</t>
  </si>
  <si>
    <t>MWh/t DRI</t>
  </si>
  <si>
    <t>Total electrical heating (ore + reducing gas)</t>
  </si>
  <si>
    <t>Lower is median of Midrex desktop literature. Middle is 2024 costings for Cleveland-Cliffs DRP project. High is 2024 Thyssenkrupp costing for Duisburg project (includes ancillary equipment).</t>
  </si>
  <si>
    <t>Middle from Zesty presentation. Lower and upper +/- 20%</t>
  </si>
  <si>
    <t>DRP</t>
  </si>
  <si>
    <r>
      <rPr>
        <u/>
        <sz val="10"/>
        <color rgb="FFB7B7B7"/>
        <rFont val="Arial"/>
        <family val="2"/>
      </rPr>
      <t>CEF</t>
    </r>
    <r>
      <rPr>
        <sz val="10"/>
        <color rgb="FFB7B7B7"/>
        <rFont val="Arial"/>
        <family val="2"/>
      </rPr>
      <t xml:space="preserve"> p. 131</t>
    </r>
  </si>
  <si>
    <r>
      <rPr>
        <u/>
        <sz val="10"/>
        <color rgb="FFB7B7B7"/>
        <rFont val="Arial"/>
        <family val="2"/>
      </rPr>
      <t>RMI</t>
    </r>
    <r>
      <rPr>
        <sz val="10"/>
        <color rgb="FFB7B7B7"/>
        <rFont val="Arial"/>
        <family val="2"/>
      </rPr>
      <t xml:space="preserve"> p. 31</t>
    </r>
  </si>
  <si>
    <t>USD/aud = 1.45. 2023AUD</t>
  </si>
  <si>
    <r>
      <rPr>
        <u/>
        <sz val="10"/>
        <color rgb="FFB7B7B7"/>
        <rFont val="Arial"/>
        <family val="2"/>
      </rPr>
      <t>Changlong</t>
    </r>
    <r>
      <rPr>
        <sz val="10"/>
        <color rgb="FFB7B7B7"/>
        <rFont val="Arial"/>
        <family val="2"/>
      </rPr>
      <t xml:space="preserve"> Table 1</t>
    </r>
  </si>
  <si>
    <t>2.5mtpa</t>
  </si>
  <si>
    <r>
      <rPr>
        <u/>
        <sz val="10"/>
        <color rgb="FFB7B7B7"/>
        <rFont val="Arial"/>
        <family val="2"/>
      </rPr>
      <t>BCG</t>
    </r>
    <r>
      <rPr>
        <sz val="10"/>
        <color rgb="FFB7B7B7"/>
        <rFont val="Arial"/>
        <family val="2"/>
      </rPr>
      <t>, p. 22</t>
    </r>
  </si>
  <si>
    <t>Euro/aud = 1.64. Total change 2010 to 2023 40%</t>
  </si>
  <si>
    <r>
      <rPr>
        <u/>
        <sz val="10"/>
        <color rgb="FFB7B7B7"/>
        <rFont val="Arial"/>
        <family val="2"/>
      </rPr>
      <t>RE Journal</t>
    </r>
    <r>
      <rPr>
        <sz val="10"/>
        <color rgb="FFB7B7B7"/>
        <rFont val="Arial"/>
        <family val="2"/>
      </rPr>
      <t>, p. 1104</t>
    </r>
  </si>
  <si>
    <t>Converted to AUD</t>
  </si>
  <si>
    <t>Midrex literature</t>
  </si>
  <si>
    <r>
      <rPr>
        <u/>
        <sz val="10"/>
        <color rgb="FF1155CC"/>
        <rFont val="Arial"/>
        <family val="2"/>
      </rPr>
      <t>Duke Uni</t>
    </r>
    <r>
      <rPr>
        <sz val="10"/>
        <rFont val="Arial"/>
        <family val="2"/>
      </rPr>
      <t>, 20</t>
    </r>
  </si>
  <si>
    <t>US$199.9/mt. From 2015USD to 2023AUD using RBA CPI figures (24.8% change). Does not say where Midrex figure is from</t>
  </si>
  <si>
    <r>
      <rPr>
        <u/>
        <sz val="10"/>
        <color rgb="FF1155CC"/>
        <rFont val="Arial"/>
        <family val="2"/>
      </rPr>
      <t>JRC Publications Repository</t>
    </r>
    <r>
      <rPr>
        <sz val="10"/>
        <rFont val="Arial"/>
        <family val="2"/>
      </rPr>
      <t>, p. 27</t>
    </r>
  </si>
  <si>
    <t>EU250/mt. From 2010EU to 2023AUD using RBA CPI figures (40% change). No reference.</t>
  </si>
  <si>
    <r>
      <rPr>
        <u/>
        <sz val="10"/>
        <color rgb="FF1155CC"/>
        <rFont val="Arial"/>
        <family val="2"/>
      </rPr>
      <t>IOP Conference</t>
    </r>
    <r>
      <rPr>
        <sz val="10"/>
        <rFont val="Arial"/>
        <family val="2"/>
      </rPr>
      <t xml:space="preserve"> p. 9</t>
    </r>
  </si>
  <si>
    <t>No reference</t>
  </si>
  <si>
    <t>Midrex Cliffs</t>
  </si>
  <si>
    <t>Cleveland Cliffs</t>
  </si>
  <si>
    <t>Project includes "2.5mtpa Hydrogen-Ready Direct Reduced Iron (DRI) Plant and two 120 MW Electric Melting Furnaces (EMF)". 
Taking AU$426.3/tHM assumption for EMF capex, 2.5mtpa EMF makes up AU$1.06575b, leaving the remaining AU$1.54425b of the total AU$2.61b project cost is the DRP.</t>
  </si>
  <si>
    <t>Midrex Thyssenkrupp</t>
  </si>
  <si>
    <t>Thyssenkrupp announcement</t>
  </si>
  <si>
    <t>EU1.8b contract with SMS group "for the engineering, supply, and construction of the first hydrogen-powered direct reduction plant... two innovative smelters and associated ancillary equipment". More than just DRP.
Taking AU$426.3/tHM assumption for EMF capex, 2.5mtpa EMF makes up AU$1.06575b, leaving the remaining AU$1.81425b of the total AU$2.88b project cost is the DRP + ancillary equipment. Assume ancillary equipment is required but note that this will be higher than solely installing the Midrex plant.</t>
  </si>
  <si>
    <r>
      <rPr>
        <u/>
        <sz val="10"/>
        <color rgb="FFCCCCCC"/>
        <rFont val="Arial"/>
        <family val="2"/>
      </rPr>
      <t>Zesty presentation</t>
    </r>
    <r>
      <rPr>
        <sz val="10"/>
        <color rgb="FFCCCCCC"/>
        <rFont val="Arial"/>
        <family val="2"/>
      </rPr>
      <t xml:space="preserve"> s. 17</t>
    </r>
  </si>
  <si>
    <r>
      <rPr>
        <sz val="10"/>
        <color rgb="FFCCCCCC"/>
        <rFont val="Arial"/>
        <family val="2"/>
      </rPr>
      <t xml:space="preserve">And then 8000hr/year plant availability as per </t>
    </r>
    <r>
      <rPr>
        <u/>
        <sz val="10"/>
        <color rgb="FFCCCCCC"/>
        <rFont val="Arial"/>
        <family val="2"/>
      </rPr>
      <t>Calix</t>
    </r>
    <r>
      <rPr>
        <sz val="10"/>
        <color rgb="FFCCCCCC"/>
        <rFont val="Arial"/>
        <family val="2"/>
      </rPr>
      <t xml:space="preserve">. Reject as pilot data not representative of commercial operation.
NOTE: NOT USED AS NOT REPRESENTATIVE OF COMMERCIAL SCALE </t>
    </r>
  </si>
  <si>
    <t>Eyre Peninsula</t>
  </si>
  <si>
    <t>&lt;--- adjustable which city index to use</t>
  </si>
  <si>
    <t>capexCostsFactorRE</t>
  </si>
  <si>
    <t>Unadjusted by city</t>
  </si>
  <si>
    <t>Tech breakdown ratios</t>
  </si>
  <si>
    <t>Equipment costs</t>
  </si>
  <si>
    <t>Cost of land and development</t>
  </si>
  <si>
    <t>Installation costs</t>
  </si>
  <si>
    <t>O&amp;M Costs</t>
  </si>
  <si>
    <t>Large-scale solar PV</t>
  </si>
  <si>
    <r>
      <rPr>
        <u/>
        <sz val="10"/>
        <color rgb="FF1155CC"/>
        <rFont val="Arial"/>
        <family val="2"/>
      </rPr>
      <t>AEMO</t>
    </r>
    <r>
      <rPr>
        <u/>
        <sz val="10"/>
        <color rgb="FF000000"/>
        <rFont val="Arial"/>
        <family val="2"/>
      </rPr>
      <t xml:space="preserve"> 2023 IASR Assumptions workbook</t>
    </r>
  </si>
  <si>
    <t>Onshore wind</t>
  </si>
  <si>
    <r>
      <rPr>
        <u/>
        <sz val="10"/>
        <color rgb="FF1155CC"/>
        <rFont val="Arial"/>
        <family val="2"/>
      </rPr>
      <t>AEMO</t>
    </r>
    <r>
      <rPr>
        <u/>
        <sz val="10"/>
        <color rgb="FF000000"/>
        <rFont val="Arial"/>
        <family val="2"/>
      </rPr>
      <t xml:space="preserve"> 2023 IASR Assumptions workbook</t>
    </r>
  </si>
  <si>
    <t>Batteries (8hr)</t>
  </si>
  <si>
    <r>
      <rPr>
        <u/>
        <sz val="10"/>
        <color rgb="FF1155CC"/>
        <rFont val="Arial"/>
        <family val="2"/>
      </rPr>
      <t>AEMO</t>
    </r>
    <r>
      <rPr>
        <u/>
        <sz val="10"/>
        <color rgb="FF000000"/>
        <rFont val="Arial"/>
        <family val="2"/>
      </rPr>
      <t xml:space="preserve"> 2023 IASR Assumptions workbook</t>
    </r>
  </si>
  <si>
    <t>Non RE</t>
  </si>
  <si>
    <t>Average of generators from AEMO</t>
  </si>
  <si>
    <t>&lt;--- adjustable</t>
  </si>
  <si>
    <t>Average RE</t>
  </si>
  <si>
    <t>Average of RE</t>
  </si>
  <si>
    <t>Regional cost factors GHD</t>
  </si>
  <si>
    <t>QLD Low</t>
  </si>
  <si>
    <t>GHD 2018</t>
  </si>
  <si>
    <t>QLD Med</t>
  </si>
  <si>
    <t>SA Med</t>
  </si>
  <si>
    <t>WA Low</t>
  </si>
  <si>
    <t>WA Med</t>
  </si>
  <si>
    <t>WA High</t>
  </si>
  <si>
    <t>ARCHIVE</t>
  </si>
  <si>
    <t>Rawlinsons</t>
  </si>
  <si>
    <t>Rider Digest 2023</t>
  </si>
  <si>
    <t>-</t>
  </si>
  <si>
    <t>Rider Digest 2024</t>
  </si>
  <si>
    <r>
      <rPr>
        <u/>
        <sz val="10"/>
        <color rgb="FF1155CC"/>
        <rFont val="Arial"/>
        <family val="2"/>
      </rPr>
      <t>AEMO</t>
    </r>
    <r>
      <rPr>
        <u/>
        <sz val="10"/>
        <color rgb="FF000000"/>
        <rFont val="Arial"/>
        <family val="2"/>
      </rPr>
      <t xml:space="preserve"> 2023 IASR Assumptions workbook</t>
    </r>
  </si>
  <si>
    <t>Adelaide as base cost</t>
  </si>
  <si>
    <t>BNE 2023</t>
  </si>
  <si>
    <t>BNE 2018</t>
  </si>
  <si>
    <t>PER 2023</t>
  </si>
  <si>
    <t>PER 2018</t>
  </si>
  <si>
    <t>BNE 2024</t>
  </si>
  <si>
    <t>ADE 2023</t>
  </si>
  <si>
    <t>ADE 2018</t>
  </si>
  <si>
    <t>PER 2024</t>
  </si>
  <si>
    <t>ironRawProduceUnitCapex = ironRawProduceUnitCapex * ironRawProduceUnitCapexFoak | ironPostPProduceUnitCapex = ironPostPProduceUnitCapex * ironPostPProduceUnitCapexFoak</t>
  </si>
  <si>
    <t>geraMag_inflex</t>
  </si>
  <si>
    <t>geraMag_flex</t>
  </si>
  <si>
    <t>leigh_inflex_h2Swap</t>
  </si>
  <si>
    <t>leigh_flex_h2Swap</t>
  </si>
  <si>
    <t>ironPostPProduceUnitCapex</t>
  </si>
  <si>
    <t>multiplier</t>
  </si>
  <si>
    <t>ironRawProduceUnitCapexFoak</t>
  </si>
  <si>
    <t>ironPostPProduceUnitCapexFoak</t>
  </si>
  <si>
    <t>Sticker price</t>
  </si>
  <si>
    <t>https://www.frontiersin.org/journals/climate/articles/10.3389/fclim.2022.820261/full</t>
  </si>
  <si>
    <t>ironRawProduceUnitContingency (Midrex)</t>
  </si>
  <si>
    <t>*</t>
  </si>
  <si>
    <t>Based on Full-sized modules have been operated -&gt;</t>
  </si>
  <si>
    <t>ironRawProduceUnitContingency (Zesty)</t>
  </si>
  <si>
    <t>Based on small pilot data -&gt;</t>
  </si>
  <si>
    <t>ironPostPProduceUnitCapexContingency</t>
  </si>
  <si>
    <t>Based on process is used commonly -&gt;</t>
  </si>
  <si>
    <t>Nuclear</t>
  </si>
  <si>
    <t>% construction cost</t>
  </si>
  <si>
    <t>BOAK to FOAK premium. Reference wide range of nuclear FOAK figures. Take low as most suitable for steel plant.</t>
  </si>
  <si>
    <t>https://inldigitallibrary.inl.gov/sites/sti/sti/Sort_66425.pdf</t>
  </si>
  <si>
    <t>p. 25</t>
  </si>
  <si>
    <t>"with a first-of-a-kind cost premium of up to 100 per cent"</t>
  </si>
  <si>
    <t>https://www.csiro.au/en/research/technology-space/energy/GenCost/FAQ-GenCost</t>
  </si>
  <si>
    <t>Nuclear wacc</t>
  </si>
  <si>
    <t>% wacc premium</t>
  </si>
  <si>
    <t>As opposed to NOAK wacc, which was 5.9-6.4%. This represents 1.8-2.3% risk premium.
These are applied in addition to a cost premium on construction. These were 50-60%.</t>
  </si>
  <si>
    <t>https://restservice.epri.com/publicdownload/000000003002026582/0/Product</t>
  </si>
  <si>
    <t>p. 12</t>
  </si>
  <si>
    <t>System contingency cost</t>
  </si>
  <si>
    <t>% total process capital for all newly integrated components</t>
  </si>
  <si>
    <t>Advanced technologies often combine new or established process components in novel ways that have not yet been implemented at a commercial scale
Advancement of Cost Engineering International (AACE) recommendations</t>
  </si>
  <si>
    <t>https://www.cmu.edu/epp/iecm/rubin/PDF%20files/2021/Rubin%20et%20al_GHGT-15_Adv%20tech%20cost%20guidelines_SSRN-id3818896.pdf</t>
  </si>
  <si>
    <t>p. 4</t>
  </si>
  <si>
    <t>Process contingency</t>
  </si>
  <si>
    <t>% of associated process capital</t>
  </si>
  <si>
    <t>Within category of "small pilot plant data".
"contingency is intended to compensate for uncertainty in cost estimates caused by
performance uncertainties associated with the development status of a technology"
Power plant specific</t>
  </si>
  <si>
    <r>
      <rPr>
        <u/>
        <sz val="10"/>
        <color rgb="FF1155CC"/>
        <rFont val="Arial"/>
        <family val="2"/>
      </rPr>
      <t>https://www.osti.gov/servlets/purl/1567736</t>
    </r>
    <r>
      <rPr>
        <sz val="10"/>
        <rFont val="Arial"/>
        <family val="2"/>
      </rPr>
      <t xml:space="preserve"> National Energy Technology Laboratory, </t>
    </r>
    <r>
      <rPr>
        <u/>
        <sz val="10"/>
        <color rgb="FF1155CC"/>
        <rFont val="Arial"/>
        <family val="2"/>
      </rPr>
      <t>https://www.researchgate.net/publication/275752824_A_proposed_methodology_for_CO2_capture_and_storage_cost_estimates</t>
    </r>
  </si>
  <si>
    <t>Within category of "full-sized modules have been operated".
"contingency is intended to compensate for uncertainty in cost estimates caused by
performance uncertainties associated with the development status of a technology"
Power plant specific</t>
  </si>
  <si>
    <r>
      <rPr>
        <u/>
        <sz val="10"/>
        <color rgb="FF1155CC"/>
        <rFont val="Arial"/>
        <family val="2"/>
      </rPr>
      <t>https://www.osti.gov/servlets/purl/1567736</t>
    </r>
    <r>
      <rPr>
        <sz val="10"/>
        <rFont val="Arial"/>
        <family val="2"/>
      </rPr>
      <t xml:space="preserve"> National Energy Technology Laboratory, </t>
    </r>
    <r>
      <rPr>
        <u/>
        <sz val="10"/>
        <color rgb="FF1155CC"/>
        <rFont val="Arial"/>
        <family val="2"/>
      </rPr>
      <t>https://www.researchgate.net/publication/275752824_A_proposed_methodology_for_CO2_capture_and_storage_cost_estimates</t>
    </r>
  </si>
  <si>
    <t>p.12</t>
  </si>
  <si>
    <t>Novelty premium (wacc)</t>
  </si>
  <si>
    <t>wacc</t>
  </si>
  <si>
    <t>Government predicted 0-100 basis points novelty premium in 2013 but were higher as of 2015 (specific amount higher not reported)</t>
  </si>
  <si>
    <t>https://octoenergy-production-media.s3.amazonaws.com/documents/How_to_maintain_investor_confidence_through_electricity_market_reform.pdf</t>
  </si>
  <si>
    <t>https://www.neso.energy/document/301776/download</t>
  </si>
  <si>
    <t>wacc = wacc + waccFoak | waccRenewables = waccRenewables + waccFoakRE</t>
  </si>
  <si>
    <t>waccRenewables</t>
  </si>
  <si>
    <t>waccFoak</t>
  </si>
  <si>
    <t>waccRE</t>
  </si>
  <si>
    <t>waccFoakRE</t>
  </si>
  <si>
    <t>To be added to base wacc</t>
  </si>
  <si>
    <t>FOAKWacc (Midrex)</t>
  </si>
  <si>
    <t xml:space="preserve">High based on offshore wind novelty premium by CEPA -- figure accords with lower case wacc premiums for nuclear projects. Middle based on battery novelty premium by CEPA. Low based on Department of Energy and Climate CHange (DECC -- now Department of Energy Security and Net Zero, UK) </t>
  </si>
  <si>
    <t>FOAKWacc (Zesty)</t>
  </si>
  <si>
    <t>High based on pumped hydro novelty premium by CEPA, middle is lower estimate of novelty premium for nuclear projects, and upper is battery novelty premium by CEPA</t>
  </si>
  <si>
    <t>h2ProduceUnitContingency</t>
  </si>
  <si>
    <t xml:space="preserve">wac </t>
  </si>
  <si>
    <t>Batteries (low), offshore wind (mid), and pumped hydro (high) have low technology maturity. Numbers are based on qualitative and quantitative surveys conducted by CEPA for AEMO</t>
  </si>
  <si>
    <t>https://aemoservices.com.au/-/media/services/files/publications/wacc-report/wacc-assumptions-final-report.pdf?la=en</t>
  </si>
  <si>
    <t>Very low</t>
  </si>
  <si>
    <r>
      <rPr>
        <u/>
        <sz val="10"/>
        <color rgb="FF1155CC"/>
        <rFont val="Arial"/>
        <family val="2"/>
      </rPr>
      <t>https://www.osti.gov/servlets/purl/1567736</t>
    </r>
    <r>
      <rPr>
        <sz val="10"/>
        <rFont val="Arial"/>
        <family val="2"/>
      </rPr>
      <t xml:space="preserve"> National Energy Technology Laboratory, </t>
    </r>
    <r>
      <rPr>
        <u/>
        <sz val="10"/>
        <color rgb="FF1155CC"/>
        <rFont val="Arial"/>
        <family val="2"/>
      </rPr>
      <t>https://www.researchgate.net/publication/275752824_A_proposed_methodology_for_CO2_capture_and_storage_cost_estimates</t>
    </r>
  </si>
  <si>
    <r>
      <rPr>
        <u/>
        <sz val="10"/>
        <color rgb="FF1155CC"/>
        <rFont val="Arial"/>
        <family val="2"/>
      </rPr>
      <t>https://www.osti.gov/servlets/purl/1567736</t>
    </r>
    <r>
      <rPr>
        <sz val="10"/>
        <rFont val="Arial"/>
        <family val="2"/>
      </rPr>
      <t xml:space="preserve"> National Energy Technology Laboratory, </t>
    </r>
    <r>
      <rPr>
        <u/>
        <sz val="10"/>
        <color rgb="FF1155CC"/>
        <rFont val="Arial"/>
        <family val="2"/>
      </rPr>
      <t>https://www.researchgate.net/publication/275752824_A_proposed_methodology_for_CO2_capture_and_storage_cost_estimates</t>
    </r>
  </si>
  <si>
    <t>UoM</t>
  </si>
  <si>
    <t>Capacity Credits Assigned</t>
  </si>
  <si>
    <t>MW</t>
  </si>
  <si>
    <t>Capacity year 2018-19 refers to 1 October 2018 - October 2019</t>
  </si>
  <si>
    <t>Reserve Capacity Price</t>
  </si>
  <si>
    <t>AU$/MW/Year</t>
  </si>
  <si>
    <t>Proposed, not actual</t>
  </si>
  <si>
    <t>Total RCM cost for 2018-19 CY</t>
  </si>
  <si>
    <t>$A</t>
  </si>
  <si>
    <t>Total WEM electricity supplied in 2018-19 CY</t>
  </si>
  <si>
    <t>MWh</t>
  </si>
  <si>
    <t>Excluding rooftop generation</t>
  </si>
  <si>
    <t>Cost of RCM per MWh supplied</t>
  </si>
  <si>
    <t>A$/MWh</t>
  </si>
  <si>
    <r>
      <t xml:space="preserve">A Green Iron Plan for Australia: 
</t>
    </r>
    <r>
      <rPr>
        <sz val="21"/>
        <color rgb="FF2716C0"/>
        <rFont val="Newsreader"/>
      </rPr>
      <t>Securing prosperity in a decarbonising world</t>
    </r>
  </si>
  <si>
    <t>Reserve Capacity Payment adjustment for SWIS electricity spot prices</t>
  </si>
  <si>
    <t>RCM</t>
  </si>
  <si>
    <t>ERAWA</t>
  </si>
  <si>
    <t>AEMO</t>
  </si>
  <si>
    <t>Open Electricity</t>
  </si>
  <si>
    <t>Electricity provision and pricing in the Western Energy Market (WEM) is underpinned by the Reserve Capacity Mechanism (RCM). The interaction between network charges and the wholesale price of electricity reported for the WEM does not reflect the price paid by consumers in the same way as in the National Energy Market (NEM). The costs of the RCM are recovered through the Reserve Capacity Price (RCP) and the number of Capacity Credits Assigned (CCA) in a given year. </t>
  </si>
  <si>
    <t>In 2019, for example, the RCP was AU$159,800/MW with 4,819.03MW of CCAs. Therefore, the total RCM cost for this year was $770,081,473.40. The WEM supplied 17,506,000MWh in 2019, excluding rooftop generation. The MWh cost of the RCM can then be approximated as $43.99/MWh. This figure was added to the wholesale price reported by AEMO to approximate the amount paid by green iron plants connected to the WEM.</t>
  </si>
  <si>
    <t xml:space="preserve">The authors recognise that this does not reflect the way in which the RCM is recovered in periods of peak energy demand, but contends that the average provides an approximation of energy costs throughout the year. </t>
  </si>
  <si>
    <t>There is a high degree of figure recycling in the CAPEX estimates for direct reduction plants (DRPs). As noted by Hüttel and Lehner (2024), recent papers such as Bataille et al. (2021), Devlin et al. (2023), Lopez et al. (2023) cite studies by Fischedick et al. (2014) and Vogl et al. (2018). The latter two provide values of 230 euros per ton of annual steelmaking capacity as CAPEX for DR shaft furnaces. Both papers reference Wörtler et al. (2013) for the CAPEX assumptions, which in turn assumed the same value as a Boston Consulting Group (2013) report that based its figure on an InSteelCon paper (Diemer et al., 2011). Unreferenced CAPEX estimates such as RMI (2024) and Haendel et al. (2022) land in a similar range. Therefore, the most prevalent technology agnostic DRP CAPEX figures can be traced back to a 2010 estimate that even after accounting for inflation are lower than what industry consultation and recent Midrex project cost announcements would suggest. </t>
  </si>
  <si>
    <t xml:space="preserve">Midrex specific CAPEX estimates found in the literature range between AU$3.2m - AU$5.1m/tph (AU$370 - 590/mt). The median of these figures forms our lower bound estimate. Our middle estimate is based on the Cleveland-Cliffs 2.5mtpa hydrogen-ready Midrex DRI plant in Ohio, which after accounting for additional project components yields AU$5.4m/tph (~AU$620/mt). Our upper bound is based on a similar project between Thyssenkrupp and SMS Group in Germany, with an estimated cost of AU$6.4m/tph (AU$735m), but this figure comes with additional “ancillary equipment” that could not be cleanly separated from the cost of the DRP itself. </t>
  </si>
  <si>
    <t>Implied efficiency</t>
  </si>
  <si>
    <r>
      <t>Chang</t>
    </r>
    <r>
      <rPr>
        <sz val="10"/>
        <color theme="2" tint="-0.34998626667073579"/>
        <rFont val="Arial"/>
        <family val="2"/>
      </rPr>
      <t xml:space="preserve"> p. 7 </t>
    </r>
  </si>
  <si>
    <r>
      <rPr>
        <sz val="10"/>
        <color theme="2" tint="-0.34998626667073579"/>
        <rFont val="Arial"/>
        <family val="2"/>
      </rPr>
      <t>From two academic papers (</t>
    </r>
    <r>
      <rPr>
        <u/>
        <sz val="10"/>
        <color theme="2" tint="-0.34998626667073579"/>
        <rFont val="Arial"/>
        <family val="2"/>
      </rPr>
      <t>1</t>
    </r>
    <r>
      <rPr>
        <sz val="10"/>
        <color theme="2" tint="-0.34998626667073579"/>
        <rFont val="Arial"/>
        <family val="2"/>
      </rPr>
      <t xml:space="preserve">, </t>
    </r>
    <r>
      <rPr>
        <u/>
        <sz val="10"/>
        <color theme="2" tint="-0.34998626667073579"/>
        <rFont val="Arial"/>
        <family val="2"/>
      </rPr>
      <t>2</t>
    </r>
    <r>
      <rPr>
        <sz val="10"/>
        <color theme="2" tint="-0.34998626667073579"/>
        <rFont val="Arial"/>
        <family val="2"/>
      </rPr>
      <t>) from 2020 (EU) , 2018 (Argentina)</t>
    </r>
  </si>
  <si>
    <r>
      <t>Net Zero</t>
    </r>
    <r>
      <rPr>
        <sz val="10"/>
        <color theme="2" tint="-0.34998626667073579"/>
        <rFont val="Arial"/>
        <family val="2"/>
      </rPr>
      <t xml:space="preserve"> p. 127</t>
    </r>
  </si>
  <si>
    <r>
      <t>DCCEEW</t>
    </r>
    <r>
      <rPr>
        <sz val="10"/>
        <color theme="2" tint="-0.34998626667073579"/>
        <rFont val="Arial"/>
        <family val="2"/>
      </rPr>
      <t xml:space="preserve"> p. B-10</t>
    </r>
  </si>
  <si>
    <r>
      <t>Study</t>
    </r>
    <r>
      <rPr>
        <sz val="10"/>
        <color theme="2" tint="-0.34998626667073579"/>
        <rFont val="Arial"/>
        <family val="2"/>
      </rPr>
      <t xml:space="preserve"> (Norway), p. 6</t>
    </r>
  </si>
  <si>
    <r>
      <rPr>
        <sz val="10"/>
        <color theme="2" tint="-0.34998626667073579"/>
        <rFont val="Arial"/>
        <family val="2"/>
      </rPr>
      <t xml:space="preserve">From another </t>
    </r>
    <r>
      <rPr>
        <u/>
        <sz val="10"/>
        <color theme="2" tint="-0.34998626667073579"/>
        <rFont val="Arial"/>
        <family val="2"/>
      </rPr>
      <t>study</t>
    </r>
    <r>
      <rPr>
        <sz val="10"/>
        <color theme="2" tint="-0.34998626667073579"/>
        <rFont val="Arial"/>
        <family val="2"/>
      </rPr>
      <t xml:space="preserve"> that references a 2013 paper that can't be accessed.</t>
    </r>
  </si>
  <si>
    <r>
      <t>UK Hydrogen Cost Report</t>
    </r>
    <r>
      <rPr>
        <sz val="10"/>
        <color theme="2" tint="-0.34998626667073579"/>
        <rFont val="Arial"/>
        <family val="2"/>
      </rPr>
      <t xml:space="preserve"> p. 36</t>
    </r>
  </si>
  <si>
    <r>
      <rPr>
        <sz val="10"/>
        <color theme="2" tint="-0.34998626667073579"/>
        <rFont val="Arial"/>
        <family val="2"/>
      </rPr>
      <t xml:space="preserve">Ref from </t>
    </r>
    <r>
      <rPr>
        <u/>
        <sz val="10"/>
        <color theme="2" tint="-0.34998626667073579"/>
        <rFont val="Arial"/>
        <family val="2"/>
      </rPr>
      <t>here</t>
    </r>
    <r>
      <rPr>
        <sz val="10"/>
        <color theme="2" tint="-0.34998626667073579"/>
        <rFont val="Arial"/>
        <family val="2"/>
      </rPr>
      <t>. Compressed gas H2</t>
    </r>
  </si>
  <si>
    <r>
      <t>Deloitte</t>
    </r>
    <r>
      <rPr>
        <sz val="10"/>
        <color theme="2" tint="-0.34998626667073579"/>
        <rFont val="Arial"/>
        <family val="2"/>
      </rPr>
      <t xml:space="preserve"> 2020 figure 12</t>
    </r>
  </si>
  <si>
    <t>The rationale outlined below is derived from high-level metal making principles. Project-specific considerations would require greater detail on ore input characteristics, recovery curves, flux reactions, and ironmaking technology parameters.</t>
  </si>
  <si>
    <t>Two broad themes are reflected across the scenarios investigated  Firstly, magnetite from the Eyre Peninsular, which typically contains higher Fe content than hematite found in the Pilbara region, requires less ore as input to produce the same 85% or more metallised Fe product. And secondly, Zesty requires marginally less input than Midrex due to a higher reported metallisation rate.</t>
  </si>
  <si>
    <t>Key assumptions include:</t>
  </si>
  <si>
    <t>Ore grades are assumed as 62 per cent Fe content hematite from the Pilbara region, and 68 per cent Fe content magnetite from the Eyre Peninsula region, and 70 per cent magnetite from Geraldton. </t>
  </si>
  <si>
    <t>The authors acknowledge practical limitations to the production of concentrated fines from Pilbara ores. Although Pilbara ores are typically taken as sinter and are regarded as unsuitable for concentrated fines due to underlying quality, the modelling investigates the energy and input requirements associated with concentrated fines as the starting point of the direct reduction ironmaking route. </t>
  </si>
  <si>
    <t>Pelletisation is responsible for the removal of moisture (i.e., H2O), assumed as 5 per cent of both Pilbara hematite and Eyre Peninsula magnetite concentrates.</t>
  </si>
  <si>
    <t>No additives are assumed throughout the entire ironmaking process. </t>
  </si>
  <si>
    <t>Referencing the molecular weight of hematite (69.9%) and magnetite (72.4%), the implied gangue content for Pilbara ore is ~8.9% and ~9.4% for Eyre Peninsular ore. </t>
  </si>
  <si>
    <t>Aggregate gangue content remains constant throughout the pre-processing and reduction processes until partially removed in the post-processing ESF step required in the WA scenario to achieve the 85% metallised Fe content pig iron product. The authors acknowledge that use of smelting veers into the domain of steelmaking and would typically remove all gangue content, but is used in this case to present a like-for-like ironmaking process that outputs 85 per cent Fe pig iron and HBI, respectively.</t>
  </si>
  <si>
    <t>Metallisation rates are determined by Midrex (94%) and Zesty (95.5%) technical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</si>
</sst>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mmmm\ yyyy"/>
    <numFmt numFmtId="165" formatCode="0.0000"/>
    <numFmt numFmtId="167" formatCode="#,##0.000"/>
    <numFmt numFmtId="168" formatCode="[$$]#,##0.00"/>
    <numFmt numFmtId="169" formatCode="#,##0.0000"/>
  </numFmts>
  <fonts count="76">
    <font>
      <sz val="10"/>
      <color rgb="FF000000"/>
      <name val="Arial"/>
      <scheme val="minor"/>
    </font>
    <font>
      <sz val="10"/>
      <color rgb="FF2716C0"/>
      <name val="Newsreader"/>
    </font>
    <font>
      <sz val="25"/>
      <color rgb="FF2716C0"/>
      <name val="Newsreader"/>
    </font>
    <font>
      <b/>
      <sz val="10"/>
      <color rgb="FF434343"/>
      <name val="Helvetica Neue"/>
      <family val="2"/>
    </font>
    <font>
      <sz val="10"/>
      <color theme="1"/>
      <name val="Arial"/>
      <family val="2"/>
      <scheme val="minor"/>
    </font>
    <font>
      <b/>
      <sz val="10"/>
      <color theme="1"/>
      <name val="Arial"/>
      <family val="2"/>
      <scheme val="minor"/>
    </font>
    <font>
      <u/>
      <sz val="10"/>
      <color rgb="FF0000FF"/>
      <name val="Arial"/>
      <family val="2"/>
    </font>
    <font>
      <u/>
      <sz val="10"/>
      <color rgb="FF0000FF"/>
      <name val="Arial"/>
      <family val="2"/>
    </font>
    <font>
      <sz val="10"/>
      <color theme="1"/>
      <name val="Arial"/>
      <family val="2"/>
    </font>
    <font>
      <u/>
      <sz val="11"/>
      <color rgb="FF1155CC"/>
      <name val="Arial"/>
      <family val="2"/>
    </font>
    <font>
      <b/>
      <u/>
      <sz val="10"/>
      <color theme="1"/>
      <name val="Arial"/>
      <family val="2"/>
    </font>
    <font>
      <b/>
      <sz val="10"/>
      <color rgb="FF9900FF"/>
      <name val="Arial"/>
      <family val="2"/>
    </font>
    <font>
      <b/>
      <sz val="10"/>
      <color rgb="FFFF00FF"/>
      <name val="Arial"/>
      <family val="2"/>
    </font>
    <font>
      <b/>
      <sz val="10"/>
      <color theme="1"/>
      <name val="Arial"/>
      <family val="2"/>
    </font>
    <font>
      <u/>
      <sz val="10"/>
      <color rgb="FF1155CC"/>
      <name val="Arial"/>
      <family val="2"/>
    </font>
    <font>
      <b/>
      <u/>
      <sz val="10"/>
      <color theme="1"/>
      <name val="Arial"/>
      <family val="2"/>
    </font>
    <font>
      <sz val="10"/>
      <name val="Arial"/>
      <family val="2"/>
    </font>
    <font>
      <b/>
      <sz val="11"/>
      <color theme="1"/>
      <name val="Aptos Narrow"/>
    </font>
    <font>
      <sz val="11"/>
      <color theme="1"/>
      <name val="Aptos Narrow"/>
    </font>
    <font>
      <u/>
      <sz val="10"/>
      <color rgb="FF0000FF"/>
      <name val="Arial"/>
      <family val="2"/>
    </font>
    <font>
      <sz val="10"/>
      <color rgb="FF9900FF"/>
      <name val="Arial"/>
      <family val="2"/>
    </font>
    <font>
      <sz val="10"/>
      <color rgb="FFFF00FF"/>
      <name val="Arial"/>
      <family val="2"/>
    </font>
    <font>
      <u/>
      <sz val="10"/>
      <color rgb="FF1155CC"/>
      <name val="Arial"/>
      <family val="2"/>
    </font>
    <font>
      <sz val="11"/>
      <color theme="1"/>
      <name val="Arial"/>
      <family val="2"/>
    </font>
    <font>
      <u/>
      <sz val="11"/>
      <color rgb="FF0000FF"/>
      <name val="Arial"/>
      <family val="2"/>
    </font>
    <font>
      <u/>
      <sz val="10"/>
      <color rgb="FF0000FF"/>
      <name val="Arial"/>
      <family val="2"/>
    </font>
    <font>
      <sz val="8"/>
      <color theme="1"/>
      <name val="Arial"/>
      <family val="2"/>
    </font>
    <font>
      <u/>
      <sz val="10"/>
      <color rgb="FF0000FF"/>
      <name val="Arial"/>
      <family val="2"/>
    </font>
    <font>
      <u/>
      <sz val="10"/>
      <color rgb="FF0000FF"/>
      <name val="Arial"/>
      <family val="2"/>
    </font>
    <font>
      <b/>
      <sz val="10"/>
      <color theme="1"/>
      <name val="Roboto"/>
    </font>
    <font>
      <sz val="10"/>
      <color theme="1"/>
      <name val="Roboto"/>
    </font>
    <font>
      <u/>
      <sz val="10"/>
      <color rgb="FF1155CC"/>
      <name val="Roboto"/>
    </font>
    <font>
      <u/>
      <sz val="10"/>
      <color rgb="FF0000FF"/>
      <name val="Roboto"/>
    </font>
    <font>
      <u/>
      <sz val="10"/>
      <color rgb="FF0000FF"/>
      <name val="Roboto"/>
    </font>
    <font>
      <i/>
      <sz val="10"/>
      <color rgb="FF999999"/>
      <name val="Arial"/>
      <family val="2"/>
    </font>
    <font>
      <i/>
      <sz val="10"/>
      <color theme="1"/>
      <name val="Arial"/>
      <family val="2"/>
    </font>
    <font>
      <sz val="10"/>
      <color rgb="FFCCCCCC"/>
      <name val="Arial"/>
      <family val="2"/>
    </font>
    <font>
      <u/>
      <sz val="10"/>
      <color rgb="FFCCCCCC"/>
      <name val="Arial"/>
      <family val="2"/>
    </font>
    <font>
      <sz val="10"/>
      <color rgb="FFB7B7B7"/>
      <name val="Arial"/>
      <family val="2"/>
    </font>
    <font>
      <u/>
      <sz val="10"/>
      <color rgb="FFB7B7B7"/>
      <name val="Arial"/>
      <family val="2"/>
    </font>
    <font>
      <u/>
      <sz val="10"/>
      <color rgb="FFB7B7B7"/>
      <name val="Arial"/>
      <family val="2"/>
    </font>
    <font>
      <u/>
      <sz val="10"/>
      <color rgb="FF0000FF"/>
      <name val="Arial"/>
      <family val="2"/>
    </font>
    <font>
      <sz val="10"/>
      <color rgb="FF000000"/>
      <name val="Arial"/>
      <family val="2"/>
    </font>
    <font>
      <sz val="10"/>
      <color rgb="FF000000"/>
      <name val="Arial"/>
      <family val="2"/>
      <scheme val="minor"/>
    </font>
    <font>
      <sz val="10"/>
      <color rgb="FF38761D"/>
      <name val="Arial"/>
      <family val="2"/>
    </font>
    <font>
      <u/>
      <sz val="10"/>
      <color rgb="FFB7B7B7"/>
      <name val="Arial"/>
      <family val="2"/>
    </font>
    <font>
      <u/>
      <sz val="10"/>
      <color rgb="FF0000FF"/>
      <name val="Arial"/>
      <family val="2"/>
    </font>
    <font>
      <u/>
      <sz val="10"/>
      <color rgb="FF1155CC"/>
      <name val="Arial"/>
      <family val="2"/>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1155CC"/>
      <name val="Arial"/>
      <family val="2"/>
    </font>
    <font>
      <u/>
      <sz val="10"/>
      <color rgb="FF1155CC"/>
      <name val="Arial"/>
      <family val="2"/>
    </font>
    <font>
      <u/>
      <sz val="10"/>
      <color rgb="FF000000"/>
      <name val="Arial"/>
      <family val="2"/>
    </font>
    <font>
      <u/>
      <sz val="10"/>
      <color rgb="FF000000"/>
      <name val="Arial"/>
      <family val="2"/>
    </font>
    <font>
      <b/>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b/>
      <sz val="10"/>
      <color rgb="FFB7B7B7"/>
      <name val="Arial"/>
      <family val="2"/>
    </font>
    <font>
      <b/>
      <sz val="10"/>
      <color rgb="FFCCCCCC"/>
      <name val="Arial"/>
      <family val="2"/>
    </font>
    <font>
      <u/>
      <sz val="10"/>
      <color rgb="FFCCCCCC"/>
      <name val="Arial"/>
      <family val="2"/>
    </font>
    <font>
      <u/>
      <sz val="10"/>
      <color rgb="FFCCCCCC"/>
      <name val="Arial"/>
      <family val="2"/>
    </font>
    <font>
      <u/>
      <sz val="10"/>
      <color rgb="FF1155CC"/>
      <name val="Arial"/>
      <family val="2"/>
    </font>
    <font>
      <u/>
      <sz val="10"/>
      <color rgb="FF0000FF"/>
      <name val="Arial"/>
      <family val="2"/>
    </font>
    <font>
      <u/>
      <sz val="10"/>
      <color rgb="FF1155CC"/>
      <name val="Arial"/>
      <family val="2"/>
    </font>
    <font>
      <sz val="21"/>
      <color rgb="FF2716C0"/>
      <name val="Newsreader"/>
    </font>
    <font>
      <sz val="10"/>
      <name val="Roboto"/>
    </font>
    <font>
      <u/>
      <sz val="10"/>
      <color rgb="FF38761D"/>
      <name val="Arial"/>
      <family val="2"/>
    </font>
    <font>
      <u/>
      <sz val="10"/>
      <color theme="10"/>
      <name val="Arial"/>
      <family val="2"/>
      <scheme val="minor"/>
    </font>
    <font>
      <sz val="11"/>
      <color rgb="FF000000"/>
      <name val="Arial"/>
      <family val="2"/>
      <scheme val="minor"/>
    </font>
    <font>
      <sz val="10"/>
      <color theme="2" tint="-0.34998626667073579"/>
      <name val="Arial"/>
      <family val="2"/>
    </font>
    <font>
      <u/>
      <sz val="10"/>
      <color theme="2" tint="-0.34998626667073579"/>
      <name val="Arial"/>
      <family val="2"/>
    </font>
  </fonts>
  <fills count="23">
    <fill>
      <patternFill patternType="none"/>
    </fill>
    <fill>
      <patternFill patternType="gray125"/>
    </fill>
    <fill>
      <patternFill patternType="solid">
        <fgColor rgb="FFF3F3F3"/>
        <bgColor rgb="FFF3F3F3"/>
      </patternFill>
    </fill>
    <fill>
      <patternFill patternType="solid">
        <fgColor theme="0"/>
        <bgColor theme="0"/>
      </patternFill>
    </fill>
    <fill>
      <patternFill patternType="solid">
        <fgColor rgb="FFD5A6BD"/>
        <bgColor rgb="FFD5A6BD"/>
      </patternFill>
    </fill>
    <fill>
      <patternFill patternType="solid">
        <fgColor rgb="FFFF9900"/>
        <bgColor rgb="FFFF9900"/>
      </patternFill>
    </fill>
    <fill>
      <patternFill patternType="solid">
        <fgColor rgb="FF00FF00"/>
        <bgColor rgb="FF00FF00"/>
      </patternFill>
    </fill>
    <fill>
      <patternFill patternType="solid">
        <fgColor rgb="FFA4C2F4"/>
        <bgColor rgb="FFA4C2F4"/>
      </patternFill>
    </fill>
    <fill>
      <patternFill patternType="solid">
        <fgColor rgb="FFD9EAD3"/>
        <bgColor rgb="FFD9EAD3"/>
      </patternFill>
    </fill>
    <fill>
      <patternFill patternType="solid">
        <fgColor rgb="FFFFF2CC"/>
        <bgColor rgb="FFFFF2CC"/>
      </patternFill>
    </fill>
    <fill>
      <patternFill patternType="solid">
        <fgColor rgb="FFC9DAF8"/>
        <bgColor rgb="FFC9DAF8"/>
      </patternFill>
    </fill>
    <fill>
      <patternFill patternType="solid">
        <fgColor rgb="FFEAD1DC"/>
        <bgColor rgb="FFEAD1DC"/>
      </patternFill>
    </fill>
    <fill>
      <patternFill patternType="solid">
        <fgColor theme="0"/>
        <bgColor indexed="64"/>
      </patternFill>
    </fill>
    <fill>
      <patternFill patternType="solid">
        <fgColor rgb="FFB0B6FF"/>
        <bgColor indexed="64"/>
      </patternFill>
    </fill>
    <fill>
      <patternFill patternType="solid">
        <fgColor rgb="FFCCCCCC"/>
        <bgColor indexed="64"/>
      </patternFill>
    </fill>
    <fill>
      <patternFill patternType="solid">
        <fgColor theme="0"/>
        <bgColor rgb="FFFFFFFF"/>
      </patternFill>
    </fill>
    <fill>
      <patternFill patternType="solid">
        <fgColor theme="0"/>
        <bgColor rgb="FFD9EAD3"/>
      </patternFill>
    </fill>
    <fill>
      <patternFill patternType="solid">
        <fgColor rgb="FFCCCCCC"/>
        <bgColor rgb="FFD9EAD3"/>
      </patternFill>
    </fill>
    <fill>
      <patternFill patternType="solid">
        <fgColor rgb="FFCCCCCC"/>
        <bgColor rgb="FFFFF2CC"/>
      </patternFill>
    </fill>
    <fill>
      <patternFill patternType="solid">
        <fgColor rgb="FFCCCCCC"/>
        <bgColor rgb="FFCFE2F3"/>
      </patternFill>
    </fill>
    <fill>
      <patternFill patternType="solid">
        <fgColor rgb="FFD5A6BD"/>
        <bgColor rgb="FFD9EAD3"/>
      </patternFill>
    </fill>
    <fill>
      <patternFill patternType="solid">
        <fgColor rgb="FFD5A6BD"/>
        <bgColor indexed="64"/>
      </patternFill>
    </fill>
    <fill>
      <patternFill patternType="solid">
        <fgColor rgb="FFB0B6FF"/>
        <bgColor rgb="FFD9EAD3"/>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72" fillId="0" borderId="0" applyNumberFormat="0" applyFill="0" applyBorder="0" applyAlignment="0" applyProtection="0"/>
  </cellStyleXfs>
  <cellXfs count="425">
    <xf numFmtId="0" fontId="0" fillId="0" borderId="0" xfId="0"/>
    <xf numFmtId="0" fontId="5" fillId="2" borderId="1" xfId="0" applyFont="1" applyFill="1" applyBorder="1"/>
    <xf numFmtId="0" fontId="5" fillId="2" borderId="2" xfId="0" applyFont="1" applyFill="1" applyBorder="1"/>
    <xf numFmtId="0" fontId="5" fillId="2" borderId="3" xfId="0" applyFont="1" applyFill="1" applyBorder="1" applyAlignment="1">
      <alignment wrapText="1"/>
    </xf>
    <xf numFmtId="0" fontId="4" fillId="2" borderId="4" xfId="0" applyFont="1" applyFill="1" applyBorder="1"/>
    <xf numFmtId="0" fontId="6" fillId="2" borderId="5" xfId="0" applyFont="1" applyFill="1" applyBorder="1"/>
    <xf numFmtId="0" fontId="4" fillId="2" borderId="6" xfId="0" applyFont="1" applyFill="1" applyBorder="1" applyAlignment="1">
      <alignment wrapText="1"/>
    </xf>
    <xf numFmtId="0" fontId="7" fillId="2" borderId="7" xfId="0" applyFont="1" applyFill="1" applyBorder="1"/>
    <xf numFmtId="0" fontId="8" fillId="2" borderId="0" xfId="0" applyFont="1" applyFill="1"/>
    <xf numFmtId="0" fontId="4" fillId="2" borderId="8" xfId="0" applyFont="1" applyFill="1" applyBorder="1" applyAlignment="1">
      <alignment wrapText="1"/>
    </xf>
    <xf numFmtId="0" fontId="8" fillId="2" borderId="8" xfId="0" applyFont="1" applyFill="1" applyBorder="1" applyAlignment="1">
      <alignment wrapText="1"/>
    </xf>
    <xf numFmtId="0" fontId="8" fillId="2" borderId="5" xfId="0" applyFont="1" applyFill="1" applyBorder="1"/>
    <xf numFmtId="0" fontId="8" fillId="2" borderId="6" xfId="0" applyFont="1" applyFill="1" applyBorder="1" applyAlignment="1">
      <alignment wrapText="1"/>
    </xf>
    <xf numFmtId="0" fontId="4" fillId="3" borderId="0" xfId="0" applyFont="1" applyFill="1"/>
    <xf numFmtId="0" fontId="8" fillId="3" borderId="0" xfId="0" applyFont="1" applyFill="1" applyAlignment="1">
      <alignment wrapText="1"/>
    </xf>
    <xf numFmtId="0" fontId="8" fillId="0" borderId="0" xfId="0" applyFont="1"/>
    <xf numFmtId="0" fontId="8" fillId="4" borderId="3" xfId="0" applyFont="1" applyFill="1" applyBorder="1" applyAlignment="1">
      <alignment horizontal="right"/>
    </xf>
    <xf numFmtId="0" fontId="8" fillId="5" borderId="6" xfId="0" applyFont="1" applyFill="1" applyBorder="1" applyAlignment="1">
      <alignment horizontal="right"/>
    </xf>
    <xf numFmtId="0" fontId="8" fillId="0" borderId="10" xfId="0" applyFont="1" applyBorder="1" applyAlignment="1">
      <alignment horizontal="right"/>
    </xf>
    <xf numFmtId="0" fontId="8" fillId="0" borderId="2" xfId="0" applyFont="1" applyBorder="1"/>
    <xf numFmtId="0" fontId="8" fillId="6" borderId="3" xfId="0" applyFont="1" applyFill="1" applyBorder="1" applyAlignment="1">
      <alignment horizontal="right"/>
    </xf>
    <xf numFmtId="0" fontId="8" fillId="6" borderId="8" xfId="0" applyFont="1" applyFill="1" applyBorder="1" applyAlignment="1">
      <alignment horizontal="right"/>
    </xf>
    <xf numFmtId="0" fontId="8" fillId="7" borderId="13" xfId="0" applyFont="1" applyFill="1" applyBorder="1" applyAlignment="1">
      <alignment horizontal="right"/>
    </xf>
    <xf numFmtId="10" fontId="8" fillId="5" borderId="0" xfId="0" applyNumberFormat="1" applyFont="1" applyFill="1" applyAlignment="1">
      <alignment horizontal="right"/>
    </xf>
    <xf numFmtId="10" fontId="8" fillId="4" borderId="8" xfId="0" applyNumberFormat="1" applyFont="1" applyFill="1" applyBorder="1" applyAlignment="1">
      <alignment horizontal="right"/>
    </xf>
    <xf numFmtId="165" fontId="8" fillId="0" borderId="10" xfId="0" applyNumberFormat="1" applyFont="1" applyBorder="1" applyAlignment="1">
      <alignment horizontal="right"/>
    </xf>
    <xf numFmtId="0" fontId="13" fillId="0" borderId="14" xfId="0" applyFont="1" applyBorder="1" applyAlignment="1">
      <alignment horizontal="right"/>
    </xf>
    <xf numFmtId="165" fontId="8" fillId="0" borderId="6" xfId="0" applyNumberFormat="1" applyFont="1" applyBorder="1"/>
    <xf numFmtId="165" fontId="13" fillId="7" borderId="14" xfId="0" applyNumberFormat="1" applyFont="1" applyFill="1" applyBorder="1" applyAlignment="1">
      <alignment horizontal="right"/>
    </xf>
    <xf numFmtId="0" fontId="8" fillId="7" borderId="8" xfId="0" applyFont="1" applyFill="1" applyBorder="1" applyAlignment="1">
      <alignment horizontal="right"/>
    </xf>
    <xf numFmtId="0" fontId="8" fillId="9" borderId="0" xfId="0" applyFont="1" applyFill="1" applyAlignment="1">
      <alignment horizontal="right"/>
    </xf>
    <xf numFmtId="0" fontId="8" fillId="9" borderId="0" xfId="0" applyFont="1" applyFill="1" applyAlignment="1">
      <alignment horizontal="right" wrapText="1"/>
    </xf>
    <xf numFmtId="0" fontId="8" fillId="8" borderId="0" xfId="0" applyFont="1" applyFill="1" applyAlignment="1">
      <alignment horizontal="right" wrapText="1"/>
    </xf>
    <xf numFmtId="0" fontId="8" fillId="8" borderId="0" xfId="0" applyFont="1" applyFill="1" applyAlignment="1">
      <alignment horizontal="right"/>
    </xf>
    <xf numFmtId="0" fontId="8" fillId="10" borderId="0" xfId="0" applyFont="1" applyFill="1" applyAlignment="1">
      <alignment horizontal="right"/>
    </xf>
    <xf numFmtId="0" fontId="8" fillId="11" borderId="5" xfId="0" applyFont="1" applyFill="1" applyBorder="1" applyAlignment="1">
      <alignment horizontal="right"/>
    </xf>
    <xf numFmtId="0" fontId="8" fillId="11" borderId="0" xfId="0" applyFont="1" applyFill="1" applyAlignment="1">
      <alignment horizontal="right"/>
    </xf>
    <xf numFmtId="0" fontId="8" fillId="10" borderId="5" xfId="0" applyFont="1" applyFill="1" applyBorder="1" applyAlignment="1">
      <alignment horizontal="right"/>
    </xf>
    <xf numFmtId="0" fontId="1" fillId="2" borderId="0" xfId="0" applyFont="1" applyFill="1"/>
    <xf numFmtId="0" fontId="0" fillId="0" borderId="0" xfId="0"/>
    <xf numFmtId="164" fontId="3" fillId="2" borderId="0" xfId="0" applyNumberFormat="1" applyFont="1" applyFill="1" applyAlignment="1">
      <alignment horizontal="left"/>
    </xf>
    <xf numFmtId="0" fontId="3" fillId="2" borderId="0" xfId="0" applyFont="1" applyFill="1"/>
    <xf numFmtId="0" fontId="2" fillId="2" borderId="0" xfId="0" applyFont="1" applyFill="1" applyAlignment="1">
      <alignment wrapText="1"/>
    </xf>
    <xf numFmtId="0" fontId="0" fillId="12" borderId="0" xfId="0" applyFill="1"/>
    <xf numFmtId="0" fontId="1" fillId="12" borderId="0" xfId="0" applyFont="1" applyFill="1"/>
    <xf numFmtId="0" fontId="4" fillId="12" borderId="0" xfId="0" applyFont="1" applyFill="1" applyAlignment="1">
      <alignment wrapText="1"/>
    </xf>
    <xf numFmtId="0" fontId="6" fillId="2" borderId="4" xfId="0" applyFont="1" applyFill="1" applyBorder="1"/>
    <xf numFmtId="0" fontId="50" fillId="12" borderId="0" xfId="0" applyFont="1" applyFill="1"/>
    <xf numFmtId="0" fontId="72" fillId="12" borderId="0" xfId="1" applyFill="1"/>
    <xf numFmtId="0" fontId="8" fillId="12" borderId="0" xfId="0" applyFont="1" applyFill="1"/>
    <xf numFmtId="0" fontId="8" fillId="12" borderId="0" xfId="0" applyFont="1" applyFill="1" applyAlignment="1">
      <alignment wrapText="1"/>
    </xf>
    <xf numFmtId="0" fontId="8" fillId="12" borderId="9" xfId="0" applyFont="1" applyFill="1" applyBorder="1"/>
    <xf numFmtId="0" fontId="8" fillId="12" borderId="12" xfId="0" applyFont="1" applyFill="1" applyBorder="1"/>
    <xf numFmtId="0" fontId="8" fillId="12" borderId="10" xfId="0" applyFont="1" applyFill="1" applyBorder="1" applyAlignment="1">
      <alignment horizontal="right"/>
    </xf>
    <xf numFmtId="0" fontId="8" fillId="13" borderId="0" xfId="0" applyFont="1" applyFill="1"/>
    <xf numFmtId="0" fontId="8" fillId="14" borderId="0" xfId="0" applyFont="1" applyFill="1"/>
    <xf numFmtId="4" fontId="8" fillId="14" borderId="0" xfId="0" applyNumberFormat="1" applyFont="1" applyFill="1" applyAlignment="1">
      <alignment horizontal="right"/>
    </xf>
    <xf numFmtId="0" fontId="8" fillId="14" borderId="0" xfId="0" applyFont="1" applyFill="1" applyAlignment="1">
      <alignment wrapText="1"/>
    </xf>
    <xf numFmtId="0" fontId="72" fillId="14" borderId="0" xfId="1" applyFill="1"/>
    <xf numFmtId="3" fontId="8" fillId="14" borderId="0" xfId="0" applyNumberFormat="1" applyFont="1" applyFill="1" applyAlignment="1">
      <alignment horizontal="right"/>
    </xf>
    <xf numFmtId="0" fontId="0" fillId="14" borderId="0" xfId="0" applyFill="1"/>
    <xf numFmtId="0" fontId="8" fillId="14" borderId="12" xfId="0" applyFont="1" applyFill="1" applyBorder="1"/>
    <xf numFmtId="0" fontId="8" fillId="14" borderId="10" xfId="0" applyFont="1" applyFill="1" applyBorder="1" applyAlignment="1">
      <alignment horizontal="right"/>
    </xf>
    <xf numFmtId="0" fontId="8" fillId="13" borderId="9" xfId="0" applyFont="1" applyFill="1" applyBorder="1"/>
    <xf numFmtId="0" fontId="0" fillId="12" borderId="0" xfId="0" applyFill="1" applyAlignment="1">
      <alignment wrapText="1"/>
    </xf>
    <xf numFmtId="0" fontId="73" fillId="12" borderId="0" xfId="0" applyFont="1" applyFill="1" applyAlignment="1">
      <alignment horizontal="left" wrapText="1"/>
    </xf>
    <xf numFmtId="0" fontId="0" fillId="12" borderId="0" xfId="0" applyFill="1" applyAlignment="1">
      <alignment horizontal="left" wrapText="1"/>
    </xf>
    <xf numFmtId="165" fontId="8" fillId="12" borderId="0" xfId="0" applyNumberFormat="1" applyFont="1" applyFill="1"/>
    <xf numFmtId="10" fontId="8" fillId="12" borderId="0" xfId="0" applyNumberFormat="1" applyFont="1" applyFill="1"/>
    <xf numFmtId="0" fontId="23" fillId="12" borderId="14" xfId="0" applyFont="1" applyFill="1" applyBorder="1" applyAlignment="1">
      <alignment wrapText="1"/>
    </xf>
    <xf numFmtId="165" fontId="23" fillId="12" borderId="14" xfId="0" applyNumberFormat="1" applyFont="1" applyFill="1" applyBorder="1" applyAlignment="1">
      <alignment wrapText="1"/>
    </xf>
    <xf numFmtId="2" fontId="23" fillId="12" borderId="14" xfId="0" applyNumberFormat="1" applyFont="1" applyFill="1" applyBorder="1" applyAlignment="1">
      <alignment horizontal="right" wrapText="1"/>
    </xf>
    <xf numFmtId="0" fontId="9" fillId="15" borderId="0" xfId="0" applyFont="1" applyFill="1"/>
    <xf numFmtId="0" fontId="10" fillId="12" borderId="0" xfId="0" applyFont="1" applyFill="1"/>
    <xf numFmtId="0" fontId="8" fillId="12" borderId="1" xfId="0" applyFont="1" applyFill="1" applyBorder="1"/>
    <xf numFmtId="0" fontId="8" fillId="12" borderId="4" xfId="0" applyFont="1" applyFill="1" applyBorder="1"/>
    <xf numFmtId="0" fontId="14" fillId="12" borderId="9" xfId="0" applyFont="1" applyFill="1" applyBorder="1"/>
    <xf numFmtId="0" fontId="8" fillId="12" borderId="11" xfId="0" applyFont="1" applyFill="1" applyBorder="1"/>
    <xf numFmtId="0" fontId="19" fillId="12" borderId="13" xfId="0" applyFont="1" applyFill="1" applyBorder="1"/>
    <xf numFmtId="0" fontId="22" fillId="12" borderId="13" xfId="0" applyFont="1" applyFill="1" applyBorder="1"/>
    <xf numFmtId="0" fontId="8" fillId="12" borderId="13" xfId="0" applyFont="1" applyFill="1" applyBorder="1"/>
    <xf numFmtId="0" fontId="8" fillId="12" borderId="7" xfId="0" applyFont="1" applyFill="1" applyBorder="1"/>
    <xf numFmtId="0" fontId="8" fillId="12" borderId="2" xfId="0" applyFont="1" applyFill="1" applyBorder="1"/>
    <xf numFmtId="0" fontId="15" fillId="12" borderId="1" xfId="0" applyFont="1" applyFill="1" applyBorder="1"/>
    <xf numFmtId="0" fontId="8" fillId="12" borderId="1" xfId="0" applyFont="1" applyFill="1" applyBorder="1"/>
    <xf numFmtId="0" fontId="16" fillId="12" borderId="3" xfId="0" applyFont="1" applyFill="1" applyBorder="1"/>
    <xf numFmtId="0" fontId="8" fillId="12" borderId="2" xfId="0" applyFont="1" applyFill="1" applyBorder="1"/>
    <xf numFmtId="0" fontId="16" fillId="12" borderId="2" xfId="0" applyFont="1" applyFill="1" applyBorder="1"/>
    <xf numFmtId="0" fontId="17" fillId="12" borderId="1" xfId="0" applyFont="1" applyFill="1" applyBorder="1" applyAlignment="1">
      <alignment horizontal="center"/>
    </xf>
    <xf numFmtId="0" fontId="8" fillId="12" borderId="5" xfId="0" applyFont="1" applyFill="1" applyBorder="1"/>
    <xf numFmtId="0" fontId="8" fillId="12" borderId="6" xfId="0" applyFont="1" applyFill="1" applyBorder="1"/>
    <xf numFmtId="0" fontId="17" fillId="12" borderId="7" xfId="0" applyFont="1" applyFill="1" applyBorder="1" applyAlignment="1">
      <alignment horizontal="center"/>
    </xf>
    <xf numFmtId="0" fontId="17" fillId="12" borderId="0" xfId="0" applyFont="1" applyFill="1" applyAlignment="1">
      <alignment horizontal="center"/>
    </xf>
    <xf numFmtId="0" fontId="17" fillId="12" borderId="8" xfId="0" applyFont="1" applyFill="1" applyBorder="1" applyAlignment="1">
      <alignment horizontal="center"/>
    </xf>
    <xf numFmtId="0" fontId="11" fillId="12" borderId="0" xfId="0" applyFont="1" applyFill="1"/>
    <xf numFmtId="0" fontId="12" fillId="12" borderId="0" xfId="0" applyFont="1" applyFill="1"/>
    <xf numFmtId="0" fontId="8" fillId="12" borderId="10" xfId="0" applyFont="1" applyFill="1" applyBorder="1"/>
    <xf numFmtId="165" fontId="20" fillId="12" borderId="7" xfId="0" applyNumberFormat="1" applyFont="1" applyFill="1" applyBorder="1" applyAlignment="1">
      <alignment horizontal="right"/>
    </xf>
    <xf numFmtId="10" fontId="20" fillId="12" borderId="8" xfId="0" applyNumberFormat="1" applyFont="1" applyFill="1" applyBorder="1" applyAlignment="1">
      <alignment horizontal="right"/>
    </xf>
    <xf numFmtId="165" fontId="20" fillId="12" borderId="0" xfId="0" applyNumberFormat="1" applyFont="1" applyFill="1" applyAlignment="1">
      <alignment horizontal="right"/>
    </xf>
    <xf numFmtId="10" fontId="20" fillId="12" borderId="0" xfId="0" applyNumberFormat="1" applyFont="1" applyFill="1" applyAlignment="1">
      <alignment horizontal="right"/>
    </xf>
    <xf numFmtId="165" fontId="21" fillId="12" borderId="7" xfId="0" applyNumberFormat="1" applyFont="1" applyFill="1" applyBorder="1" applyAlignment="1">
      <alignment horizontal="right"/>
    </xf>
    <xf numFmtId="165" fontId="8" fillId="12" borderId="7" xfId="0" applyNumberFormat="1" applyFont="1" applyFill="1" applyBorder="1" applyAlignment="1">
      <alignment horizontal="right"/>
    </xf>
    <xf numFmtId="10" fontId="8" fillId="12" borderId="8" xfId="0" applyNumberFormat="1" applyFont="1" applyFill="1" applyBorder="1" applyAlignment="1">
      <alignment horizontal="right"/>
    </xf>
    <xf numFmtId="165" fontId="8" fillId="12" borderId="0" xfId="0" applyNumberFormat="1" applyFont="1" applyFill="1" applyAlignment="1">
      <alignment horizontal="right"/>
    </xf>
    <xf numFmtId="10" fontId="8" fillId="12" borderId="0" xfId="0" applyNumberFormat="1" applyFont="1" applyFill="1" applyAlignment="1">
      <alignment horizontal="right"/>
    </xf>
    <xf numFmtId="165" fontId="8" fillId="12" borderId="9" xfId="0" applyNumberFormat="1" applyFont="1" applyFill="1" applyBorder="1" applyAlignment="1">
      <alignment horizontal="right"/>
    </xf>
    <xf numFmtId="165" fontId="8" fillId="12" borderId="10" xfId="0" applyNumberFormat="1" applyFont="1" applyFill="1" applyBorder="1" applyAlignment="1">
      <alignment horizontal="right"/>
    </xf>
    <xf numFmtId="165" fontId="8" fillId="12" borderId="12" xfId="0" applyNumberFormat="1" applyFont="1" applyFill="1" applyBorder="1" applyAlignment="1">
      <alignment horizontal="right"/>
    </xf>
    <xf numFmtId="0" fontId="13" fillId="12" borderId="4" xfId="0" applyFont="1" applyFill="1" applyBorder="1"/>
    <xf numFmtId="165" fontId="8" fillId="12" borderId="4" xfId="0" applyNumberFormat="1" applyFont="1" applyFill="1" applyBorder="1"/>
    <xf numFmtId="165" fontId="8" fillId="12" borderId="6" xfId="0" applyNumberFormat="1" applyFont="1" applyFill="1" applyBorder="1"/>
    <xf numFmtId="165" fontId="13" fillId="12" borderId="5" xfId="0" applyNumberFormat="1" applyFont="1" applyFill="1" applyBorder="1" applyAlignment="1">
      <alignment horizontal="right"/>
    </xf>
    <xf numFmtId="165" fontId="8" fillId="12" borderId="5" xfId="0" applyNumberFormat="1" applyFont="1" applyFill="1" applyBorder="1"/>
    <xf numFmtId="165" fontId="13" fillId="12" borderId="4" xfId="0" applyNumberFormat="1" applyFont="1" applyFill="1" applyBorder="1" applyAlignment="1">
      <alignment horizontal="right"/>
    </xf>
    <xf numFmtId="165" fontId="8" fillId="12" borderId="1" xfId="0" applyNumberFormat="1" applyFont="1" applyFill="1" applyBorder="1"/>
    <xf numFmtId="165" fontId="8" fillId="12" borderId="2" xfId="0" applyNumberFormat="1" applyFont="1" applyFill="1" applyBorder="1"/>
    <xf numFmtId="165" fontId="8" fillId="12" borderId="7" xfId="0" applyNumberFormat="1" applyFont="1" applyFill="1" applyBorder="1"/>
    <xf numFmtId="165" fontId="8" fillId="12" borderId="12" xfId="0" applyNumberFormat="1" applyFont="1" applyFill="1" applyBorder="1"/>
    <xf numFmtId="0" fontId="13" fillId="12" borderId="0" xfId="0" applyFont="1" applyFill="1"/>
    <xf numFmtId="0" fontId="18" fillId="12" borderId="7" xfId="0" applyFont="1" applyFill="1" applyBorder="1" applyAlignment="1">
      <alignment horizontal="center"/>
    </xf>
    <xf numFmtId="0" fontId="18" fillId="12" borderId="0" xfId="0" applyFont="1" applyFill="1" applyAlignment="1">
      <alignment horizontal="center"/>
    </xf>
    <xf numFmtId="0" fontId="18" fillId="12" borderId="8" xfId="0" applyFont="1" applyFill="1" applyBorder="1" applyAlignment="1">
      <alignment horizontal="center"/>
    </xf>
    <xf numFmtId="10" fontId="21" fillId="12" borderId="8" xfId="0" applyNumberFormat="1" applyFont="1" applyFill="1" applyBorder="1" applyAlignment="1">
      <alignment horizontal="right"/>
    </xf>
    <xf numFmtId="10" fontId="21" fillId="12" borderId="0" xfId="0" applyNumberFormat="1" applyFont="1" applyFill="1" applyAlignment="1">
      <alignment horizontal="right"/>
    </xf>
    <xf numFmtId="10" fontId="8" fillId="12" borderId="8" xfId="0" applyNumberFormat="1" applyFont="1" applyFill="1" applyBorder="1"/>
    <xf numFmtId="165" fontId="8" fillId="12" borderId="10" xfId="0" applyNumberFormat="1" applyFont="1" applyFill="1" applyBorder="1"/>
    <xf numFmtId="165" fontId="8" fillId="12" borderId="8" xfId="0" applyNumberFormat="1" applyFont="1" applyFill="1" applyBorder="1"/>
    <xf numFmtId="0" fontId="13" fillId="12" borderId="14" xfId="0" applyFont="1" applyFill="1" applyBorder="1" applyAlignment="1">
      <alignment horizontal="right"/>
    </xf>
    <xf numFmtId="0" fontId="18" fillId="12" borderId="4" xfId="0" applyFont="1" applyFill="1" applyBorder="1" applyAlignment="1">
      <alignment horizontal="center"/>
    </xf>
    <xf numFmtId="0" fontId="18" fillId="12" borderId="5" xfId="0" applyFont="1" applyFill="1" applyBorder="1" applyAlignment="1">
      <alignment horizontal="center"/>
    </xf>
    <xf numFmtId="0" fontId="18" fillId="12" borderId="6" xfId="0" applyFont="1" applyFill="1" applyBorder="1" applyAlignment="1">
      <alignment horizontal="center"/>
    </xf>
    <xf numFmtId="0" fontId="8" fillId="12" borderId="3" xfId="0" applyFont="1" applyFill="1" applyBorder="1" applyAlignment="1">
      <alignment horizontal="right"/>
    </xf>
    <xf numFmtId="0" fontId="8" fillId="12" borderId="8" xfId="0" applyFont="1" applyFill="1" applyBorder="1" applyAlignment="1">
      <alignment horizontal="right"/>
    </xf>
    <xf numFmtId="0" fontId="8" fillId="12" borderId="6" xfId="0" applyFont="1" applyFill="1" applyBorder="1" applyAlignment="1">
      <alignment horizontal="right"/>
    </xf>
    <xf numFmtId="0" fontId="8" fillId="12" borderId="0" xfId="0" applyFont="1" applyFill="1" applyAlignment="1">
      <alignment horizontal="right"/>
    </xf>
    <xf numFmtId="0" fontId="4" fillId="12" borderId="0" xfId="0" applyFont="1" applyFill="1"/>
    <xf numFmtId="0" fontId="24" fillId="15" borderId="0" xfId="0" applyFont="1" applyFill="1"/>
    <xf numFmtId="0" fontId="25" fillId="12" borderId="0" xfId="0" applyFont="1" applyFill="1"/>
    <xf numFmtId="0" fontId="4" fillId="12" borderId="3" xfId="0" applyFont="1" applyFill="1" applyBorder="1"/>
    <xf numFmtId="0" fontId="4" fillId="12" borderId="2" xfId="0" applyFont="1" applyFill="1" applyBorder="1"/>
    <xf numFmtId="0" fontId="4" fillId="12" borderId="7" xfId="0" applyFont="1" applyFill="1" applyBorder="1"/>
    <xf numFmtId="0" fontId="4" fillId="13" borderId="3" xfId="0" applyFont="1" applyFill="1" applyBorder="1"/>
    <xf numFmtId="0" fontId="4" fillId="14" borderId="1" xfId="0" applyFont="1" applyFill="1" applyBorder="1"/>
    <xf numFmtId="0" fontId="4" fillId="14" borderId="7" xfId="0" applyFont="1" applyFill="1" applyBorder="1"/>
    <xf numFmtId="0" fontId="4" fillId="14" borderId="4" xfId="0" applyFont="1" applyFill="1" applyBorder="1"/>
    <xf numFmtId="0" fontId="4" fillId="13" borderId="1" xfId="0" applyFont="1" applyFill="1" applyBorder="1"/>
    <xf numFmtId="0" fontId="8" fillId="13" borderId="4" xfId="0" applyFont="1" applyFill="1" applyBorder="1"/>
    <xf numFmtId="0" fontId="5" fillId="13" borderId="9" xfId="0" applyFont="1" applyFill="1" applyBorder="1"/>
    <xf numFmtId="0" fontId="13" fillId="12" borderId="12" xfId="0" applyFont="1" applyFill="1" applyBorder="1"/>
    <xf numFmtId="0" fontId="8" fillId="12" borderId="5" xfId="0" applyFont="1" applyFill="1" applyBorder="1" applyAlignment="1">
      <alignment horizontal="right"/>
    </xf>
    <xf numFmtId="0" fontId="13" fillId="13" borderId="14" xfId="0" applyFont="1" applyFill="1" applyBorder="1"/>
    <xf numFmtId="0" fontId="13" fillId="13" borderId="12" xfId="0" applyFont="1" applyFill="1" applyBorder="1"/>
    <xf numFmtId="0" fontId="13" fillId="13" borderId="12" xfId="0" applyFont="1" applyFill="1" applyBorder="1"/>
    <xf numFmtId="0" fontId="16" fillId="13" borderId="12" xfId="0" applyFont="1" applyFill="1" applyBorder="1"/>
    <xf numFmtId="0" fontId="16" fillId="13" borderId="10" xfId="0" applyFont="1" applyFill="1" applyBorder="1"/>
    <xf numFmtId="0" fontId="8" fillId="13" borderId="15" xfId="0" applyFont="1" applyFill="1" applyBorder="1" applyAlignment="1">
      <alignment horizontal="right"/>
    </xf>
    <xf numFmtId="0" fontId="4" fillId="13" borderId="2" xfId="0" applyFont="1" applyFill="1" applyBorder="1"/>
    <xf numFmtId="0" fontId="4" fillId="13" borderId="2" xfId="0" applyFont="1" applyFill="1" applyBorder="1" applyAlignment="1">
      <alignment wrapText="1"/>
    </xf>
    <xf numFmtId="0" fontId="4" fillId="13" borderId="7" xfId="0" applyFont="1" applyFill="1" applyBorder="1"/>
    <xf numFmtId="0" fontId="4" fillId="13" borderId="4" xfId="0" applyFont="1" applyFill="1" applyBorder="1"/>
    <xf numFmtId="0" fontId="4" fillId="14" borderId="0" xfId="0" applyFont="1" applyFill="1"/>
    <xf numFmtId="0" fontId="27" fillId="14" borderId="0" xfId="0" applyFont="1" applyFill="1"/>
    <xf numFmtId="0" fontId="4" fillId="14" borderId="8" xfId="0" applyFont="1" applyFill="1" applyBorder="1" applyAlignment="1">
      <alignment wrapText="1"/>
    </xf>
    <xf numFmtId="0" fontId="4" fillId="17" borderId="0" xfId="0" applyFont="1" applyFill="1"/>
    <xf numFmtId="0" fontId="4" fillId="14" borderId="8" xfId="0" applyFont="1" applyFill="1" applyBorder="1"/>
    <xf numFmtId="0" fontId="4" fillId="14" borderId="5" xfId="0" applyFont="1" applyFill="1" applyBorder="1"/>
    <xf numFmtId="0" fontId="4" fillId="17" borderId="5" xfId="0" applyFont="1" applyFill="1" applyBorder="1"/>
    <xf numFmtId="0" fontId="28" fillId="14" borderId="5" xfId="0" applyFont="1" applyFill="1" applyBorder="1"/>
    <xf numFmtId="0" fontId="4" fillId="14" borderId="6" xfId="0" applyFont="1" applyFill="1" applyBorder="1" applyAlignment="1">
      <alignment wrapText="1"/>
    </xf>
    <xf numFmtId="0" fontId="8" fillId="14" borderId="5" xfId="0" applyFont="1" applyFill="1" applyBorder="1" applyAlignment="1">
      <alignment horizontal="right"/>
    </xf>
    <xf numFmtId="0" fontId="8" fillId="17" borderId="5" xfId="0" applyFont="1" applyFill="1" applyBorder="1" applyAlignment="1">
      <alignment horizontal="right"/>
    </xf>
    <xf numFmtId="0" fontId="26" fillId="14" borderId="5" xfId="0" applyFont="1" applyFill="1" applyBorder="1" applyAlignment="1">
      <alignment wrapText="1"/>
    </xf>
    <xf numFmtId="0" fontId="16" fillId="14" borderId="5" xfId="0" applyFont="1" applyFill="1" applyBorder="1"/>
    <xf numFmtId="0" fontId="16" fillId="14" borderId="6" xfId="0" applyFont="1" applyFill="1" applyBorder="1"/>
    <xf numFmtId="0" fontId="29" fillId="12" borderId="0" xfId="0" applyFont="1" applyFill="1"/>
    <xf numFmtId="0" fontId="29" fillId="12" borderId="0" xfId="0" applyFont="1" applyFill="1" applyAlignment="1">
      <alignment horizontal="right"/>
    </xf>
    <xf numFmtId="0" fontId="8" fillId="12" borderId="8" xfId="0" applyFont="1" applyFill="1" applyBorder="1"/>
    <xf numFmtId="0" fontId="13" fillId="12" borderId="9" xfId="0" applyFont="1" applyFill="1" applyBorder="1"/>
    <xf numFmtId="0" fontId="13" fillId="12" borderId="12" xfId="0" applyFont="1" applyFill="1" applyBorder="1" applyAlignment="1">
      <alignment horizontal="right"/>
    </xf>
    <xf numFmtId="0" fontId="8" fillId="12" borderId="2" xfId="0" applyFont="1" applyFill="1" applyBorder="1" applyAlignment="1">
      <alignment horizontal="right"/>
    </xf>
    <xf numFmtId="0" fontId="29" fillId="13" borderId="9" xfId="0" applyFont="1" applyFill="1" applyBorder="1"/>
    <xf numFmtId="0" fontId="30" fillId="13" borderId="7" xfId="0" applyFont="1" applyFill="1" applyBorder="1"/>
    <xf numFmtId="0" fontId="30" fillId="13" borderId="4" xfId="0" applyFont="1" applyFill="1" applyBorder="1"/>
    <xf numFmtId="0" fontId="29" fillId="13" borderId="12" xfId="0" applyFont="1" applyFill="1" applyBorder="1"/>
    <xf numFmtId="0" fontId="29" fillId="13" borderId="12" xfId="0" applyFont="1" applyFill="1" applyBorder="1" applyAlignment="1">
      <alignment horizontal="right"/>
    </xf>
    <xf numFmtId="0" fontId="13" fillId="13" borderId="10" xfId="0" applyFont="1" applyFill="1" applyBorder="1"/>
    <xf numFmtId="0" fontId="34" fillId="13" borderId="9" xfId="0" applyFont="1" applyFill="1" applyBorder="1"/>
    <xf numFmtId="0" fontId="8" fillId="13" borderId="1" xfId="0" applyFont="1" applyFill="1" applyBorder="1"/>
    <xf numFmtId="0" fontId="8" fillId="13" borderId="7" xfId="0" applyFont="1" applyFill="1" applyBorder="1"/>
    <xf numFmtId="0" fontId="13" fillId="13" borderId="9" xfId="0" applyFont="1" applyFill="1" applyBorder="1"/>
    <xf numFmtId="0" fontId="13" fillId="13" borderId="1" xfId="0" applyFont="1" applyFill="1" applyBorder="1"/>
    <xf numFmtId="0" fontId="13" fillId="13" borderId="2" xfId="0" applyFont="1" applyFill="1" applyBorder="1"/>
    <xf numFmtId="0" fontId="13" fillId="13" borderId="3" xfId="0" applyFont="1" applyFill="1" applyBorder="1"/>
    <xf numFmtId="0" fontId="13" fillId="14" borderId="9" xfId="0" applyFont="1" applyFill="1" applyBorder="1"/>
    <xf numFmtId="0" fontId="13" fillId="14" borderId="12" xfId="0" applyFont="1" applyFill="1" applyBorder="1" applyAlignment="1">
      <alignment horizontal="right"/>
    </xf>
    <xf numFmtId="0" fontId="13" fillId="14" borderId="10" xfId="0" applyFont="1" applyFill="1" applyBorder="1" applyAlignment="1">
      <alignment horizontal="right"/>
    </xf>
    <xf numFmtId="0" fontId="34" fillId="14" borderId="9" xfId="0" applyFont="1" applyFill="1" applyBorder="1"/>
    <xf numFmtId="0" fontId="35" fillId="18" borderId="12" xfId="0" applyFont="1" applyFill="1" applyBorder="1" applyAlignment="1">
      <alignment horizontal="right"/>
    </xf>
    <xf numFmtId="0" fontId="35" fillId="18" borderId="10" xfId="0" applyFont="1" applyFill="1" applyBorder="1" applyAlignment="1">
      <alignment horizontal="right"/>
    </xf>
    <xf numFmtId="0" fontId="8" fillId="14" borderId="1" xfId="0" applyFont="1" applyFill="1" applyBorder="1"/>
    <xf numFmtId="167" fontId="8" fillId="14" borderId="2" xfId="0" applyNumberFormat="1" applyFont="1" applyFill="1" applyBorder="1" applyAlignment="1">
      <alignment horizontal="right"/>
    </xf>
    <xf numFmtId="167" fontId="8" fillId="14" borderId="3" xfId="0" applyNumberFormat="1" applyFont="1" applyFill="1" applyBorder="1" applyAlignment="1">
      <alignment horizontal="right"/>
    </xf>
    <xf numFmtId="0" fontId="8" fillId="14" borderId="7" xfId="0" applyFont="1" applyFill="1" applyBorder="1"/>
    <xf numFmtId="0" fontId="8" fillId="18" borderId="0" xfId="0" applyFont="1" applyFill="1" applyAlignment="1">
      <alignment horizontal="right"/>
    </xf>
    <xf numFmtId="0" fontId="8" fillId="18" borderId="8" xfId="0" applyFont="1" applyFill="1" applyBorder="1" applyAlignment="1">
      <alignment horizontal="right"/>
    </xf>
    <xf numFmtId="0" fontId="8" fillId="14" borderId="0" xfId="0" applyFont="1" applyFill="1" applyAlignment="1">
      <alignment horizontal="right"/>
    </xf>
    <xf numFmtId="0" fontId="8" fillId="14" borderId="8" xfId="0" applyFont="1" applyFill="1" applyBorder="1" applyAlignment="1">
      <alignment horizontal="right"/>
    </xf>
    <xf numFmtId="0" fontId="8" fillId="14" borderId="4" xfId="0" applyFont="1" applyFill="1" applyBorder="1"/>
    <xf numFmtId="0" fontId="8" fillId="14" borderId="6" xfId="0" applyFont="1" applyFill="1" applyBorder="1" applyAlignment="1">
      <alignment horizontal="right"/>
    </xf>
    <xf numFmtId="168" fontId="8" fillId="14" borderId="12" xfId="0" applyNumberFormat="1" applyFont="1" applyFill="1" applyBorder="1" applyAlignment="1">
      <alignment horizontal="right"/>
    </xf>
    <xf numFmtId="168" fontId="8" fillId="14" borderId="10" xfId="0" applyNumberFormat="1" applyFont="1" applyFill="1" applyBorder="1" applyAlignment="1">
      <alignment horizontal="right"/>
    </xf>
    <xf numFmtId="0" fontId="13" fillId="14" borderId="12" xfId="0" applyFont="1" applyFill="1" applyBorder="1"/>
    <xf numFmtId="168" fontId="13" fillId="14" borderId="12" xfId="0" applyNumberFormat="1" applyFont="1" applyFill="1" applyBorder="1" applyAlignment="1">
      <alignment horizontal="right"/>
    </xf>
    <xf numFmtId="168" fontId="13" fillId="14" borderId="10" xfId="0" applyNumberFormat="1" applyFont="1" applyFill="1" applyBorder="1" applyAlignment="1">
      <alignment horizontal="right"/>
    </xf>
    <xf numFmtId="0" fontId="8" fillId="14" borderId="2" xfId="0" applyFont="1" applyFill="1" applyBorder="1" applyAlignment="1">
      <alignment horizontal="right"/>
    </xf>
    <xf numFmtId="0" fontId="8" fillId="14" borderId="3" xfId="0" applyFont="1" applyFill="1" applyBorder="1" applyAlignment="1">
      <alignment horizontal="right"/>
    </xf>
    <xf numFmtId="0" fontId="30" fillId="14" borderId="0" xfId="0" applyFont="1" applyFill="1" applyAlignment="1">
      <alignment horizontal="right"/>
    </xf>
    <xf numFmtId="0" fontId="8" fillId="19" borderId="0" xfId="0" applyFont="1" applyFill="1" applyAlignment="1">
      <alignment horizontal="right"/>
    </xf>
    <xf numFmtId="0" fontId="31" fillId="14" borderId="0" xfId="0" applyFont="1" applyFill="1"/>
    <xf numFmtId="0" fontId="8" fillId="14" borderId="8" xfId="0" applyFont="1" applyFill="1" applyBorder="1"/>
    <xf numFmtId="0" fontId="32" fillId="14" borderId="0" xfId="0" applyFont="1" applyFill="1"/>
    <xf numFmtId="0" fontId="30" fillId="14" borderId="5" xfId="0" applyFont="1" applyFill="1" applyBorder="1" applyAlignment="1">
      <alignment horizontal="right"/>
    </xf>
    <xf numFmtId="0" fontId="8" fillId="19" borderId="5" xfId="0" applyFont="1" applyFill="1" applyBorder="1" applyAlignment="1">
      <alignment horizontal="right"/>
    </xf>
    <xf numFmtId="0" fontId="33" fillId="14" borderId="5" xfId="0" applyFont="1" applyFill="1" applyBorder="1"/>
    <xf numFmtId="0" fontId="8" fillId="14" borderId="6" xfId="0" applyFont="1" applyFill="1" applyBorder="1"/>
    <xf numFmtId="0" fontId="13" fillId="12" borderId="0" xfId="0" applyFont="1" applyFill="1" applyAlignment="1">
      <alignment wrapText="1"/>
    </xf>
    <xf numFmtId="4" fontId="8" fillId="12" borderId="5" xfId="0" applyNumberFormat="1" applyFont="1" applyFill="1" applyBorder="1" applyAlignment="1">
      <alignment horizontal="right"/>
    </xf>
    <xf numFmtId="0" fontId="4" fillId="12" borderId="15" xfId="0" applyFont="1" applyFill="1" applyBorder="1" applyAlignment="1">
      <alignment wrapText="1"/>
    </xf>
    <xf numFmtId="0" fontId="36" fillId="12" borderId="0" xfId="0" applyFont="1" applyFill="1"/>
    <xf numFmtId="0" fontId="38" fillId="12" borderId="0" xfId="0" applyFont="1" applyFill="1"/>
    <xf numFmtId="0" fontId="38" fillId="12" borderId="0" xfId="0" applyFont="1" applyFill="1" applyAlignment="1">
      <alignment horizontal="right"/>
    </xf>
    <xf numFmtId="0" fontId="39" fillId="12" borderId="0" xfId="0" applyFont="1" applyFill="1"/>
    <xf numFmtId="0" fontId="38" fillId="12" borderId="8" xfId="0" applyFont="1" applyFill="1" applyBorder="1" applyAlignment="1">
      <alignment wrapText="1"/>
    </xf>
    <xf numFmtId="0" fontId="41" fillId="12" borderId="0" xfId="0" applyFont="1" applyFill="1"/>
    <xf numFmtId="0" fontId="42" fillId="12" borderId="0" xfId="0" applyFont="1" applyFill="1"/>
    <xf numFmtId="0" fontId="13" fillId="13" borderId="14" xfId="0" applyFont="1" applyFill="1" applyBorder="1" applyAlignment="1">
      <alignment wrapText="1"/>
    </xf>
    <xf numFmtId="0" fontId="13" fillId="13" borderId="15" xfId="0" applyFont="1" applyFill="1" applyBorder="1"/>
    <xf numFmtId="0" fontId="13" fillId="13" borderId="10" xfId="0" applyFont="1" applyFill="1" applyBorder="1" applyAlignment="1">
      <alignment wrapText="1"/>
    </xf>
    <xf numFmtId="0" fontId="36" fillId="14" borderId="7" xfId="0" applyFont="1" applyFill="1" applyBorder="1"/>
    <xf numFmtId="0" fontId="36" fillId="14" borderId="0" xfId="0" applyFont="1" applyFill="1" applyAlignment="1">
      <alignment horizontal="right"/>
    </xf>
    <xf numFmtId="0" fontId="36" fillId="14" borderId="0" xfId="0" applyFont="1" applyFill="1"/>
    <xf numFmtId="0" fontId="37" fillId="14" borderId="0" xfId="0" applyFont="1" applyFill="1"/>
    <xf numFmtId="0" fontId="36" fillId="14" borderId="8" xfId="0" applyFont="1" applyFill="1" applyBorder="1" applyAlignment="1">
      <alignment wrapText="1"/>
    </xf>
    <xf numFmtId="0" fontId="38" fillId="14" borderId="7" xfId="0" applyFont="1" applyFill="1" applyBorder="1" applyAlignment="1">
      <alignment horizontal="right"/>
    </xf>
    <xf numFmtId="0" fontId="38" fillId="14" borderId="0" xfId="0" applyFont="1" applyFill="1" applyAlignment="1">
      <alignment horizontal="right"/>
    </xf>
    <xf numFmtId="0" fontId="39" fillId="14" borderId="0" xfId="0" applyFont="1" applyFill="1"/>
    <xf numFmtId="0" fontId="38" fillId="14" borderId="8" xfId="0" applyFont="1" applyFill="1" applyBorder="1" applyAlignment="1">
      <alignment wrapText="1"/>
    </xf>
    <xf numFmtId="0" fontId="38" fillId="14" borderId="7" xfId="0" applyFont="1" applyFill="1" applyBorder="1"/>
    <xf numFmtId="0" fontId="38" fillId="14" borderId="0" xfId="0" applyFont="1" applyFill="1"/>
    <xf numFmtId="0" fontId="40" fillId="14" borderId="0" xfId="0" applyFont="1" applyFill="1" applyAlignment="1">
      <alignment wrapText="1"/>
    </xf>
    <xf numFmtId="4" fontId="4" fillId="14" borderId="7" xfId="0" applyNumberFormat="1" applyFont="1" applyFill="1" applyBorder="1"/>
    <xf numFmtId="4" fontId="4" fillId="14" borderId="0" xfId="0" applyNumberFormat="1" applyFont="1" applyFill="1"/>
    <xf numFmtId="0" fontId="41" fillId="14" borderId="0" xfId="0" applyFont="1" applyFill="1"/>
    <xf numFmtId="4" fontId="42" fillId="14" borderId="7" xfId="0" applyNumberFormat="1" applyFont="1" applyFill="1" applyBorder="1" applyAlignment="1">
      <alignment horizontal="right"/>
    </xf>
    <xf numFmtId="4" fontId="43" fillId="14" borderId="0" xfId="0" applyNumberFormat="1" applyFont="1" applyFill="1"/>
    <xf numFmtId="0" fontId="44" fillId="14" borderId="0" xfId="0" applyFont="1" applyFill="1"/>
    <xf numFmtId="0" fontId="42" fillId="14" borderId="8" xfId="0" applyFont="1" applyFill="1" applyBorder="1" applyAlignment="1">
      <alignment wrapText="1"/>
    </xf>
    <xf numFmtId="0" fontId="38" fillId="14" borderId="4" xfId="0" applyFont="1" applyFill="1" applyBorder="1" applyAlignment="1">
      <alignment horizontal="right"/>
    </xf>
    <xf numFmtId="0" fontId="38" fillId="14" borderId="5" xfId="0" applyFont="1" applyFill="1" applyBorder="1" applyAlignment="1">
      <alignment horizontal="right"/>
    </xf>
    <xf numFmtId="0" fontId="45" fillId="14" borderId="5" xfId="0" applyFont="1" applyFill="1" applyBorder="1"/>
    <xf numFmtId="0" fontId="38" fillId="14" borderId="6" xfId="0" applyFont="1" applyFill="1" applyBorder="1" applyAlignment="1">
      <alignment wrapText="1"/>
    </xf>
    <xf numFmtId="0" fontId="74" fillId="12" borderId="7" xfId="0" applyFont="1" applyFill="1" applyBorder="1"/>
    <xf numFmtId="0" fontId="74" fillId="12" borderId="0" xfId="0" applyFont="1" applyFill="1" applyAlignment="1">
      <alignment horizontal="right"/>
    </xf>
    <xf numFmtId="0" fontId="74" fillId="12" borderId="0" xfId="0" applyFont="1" applyFill="1"/>
    <xf numFmtId="0" fontId="75" fillId="12" borderId="0" xfId="0" applyFont="1" applyFill="1"/>
    <xf numFmtId="0" fontId="75" fillId="12" borderId="8" xfId="0" applyFont="1" applyFill="1" applyBorder="1" applyAlignment="1">
      <alignment wrapText="1"/>
    </xf>
    <xf numFmtId="0" fontId="74" fillId="14" borderId="7" xfId="0" applyFont="1" applyFill="1" applyBorder="1" applyAlignment="1">
      <alignment horizontal="right"/>
    </xf>
    <xf numFmtId="0" fontId="74" fillId="14" borderId="0" xfId="0" applyFont="1" applyFill="1" applyAlignment="1">
      <alignment horizontal="right"/>
    </xf>
    <xf numFmtId="0" fontId="74" fillId="14" borderId="0" xfId="0" applyFont="1" applyFill="1"/>
    <xf numFmtId="0" fontId="75" fillId="14" borderId="0" xfId="0" applyFont="1" applyFill="1"/>
    <xf numFmtId="0" fontId="74" fillId="14" borderId="8" xfId="0" applyFont="1" applyFill="1" applyBorder="1" applyAlignment="1">
      <alignment wrapText="1"/>
    </xf>
    <xf numFmtId="0" fontId="74" fillId="14" borderId="7" xfId="0" applyFont="1" applyFill="1" applyBorder="1"/>
    <xf numFmtId="0" fontId="75" fillId="14" borderId="8" xfId="0" applyFont="1" applyFill="1" applyBorder="1" applyAlignment="1">
      <alignment wrapText="1"/>
    </xf>
    <xf numFmtId="0" fontId="5" fillId="12" borderId="0" xfId="0" applyFont="1" applyFill="1"/>
    <xf numFmtId="0" fontId="5" fillId="13" borderId="11" xfId="0" applyFont="1" applyFill="1" applyBorder="1"/>
    <xf numFmtId="0" fontId="4" fillId="14" borderId="2" xfId="0" applyFont="1" applyFill="1" applyBorder="1"/>
    <xf numFmtId="0" fontId="5" fillId="14" borderId="11" xfId="0" applyFont="1" applyFill="1" applyBorder="1"/>
    <xf numFmtId="0" fontId="5" fillId="14" borderId="13" xfId="0" applyFont="1" applyFill="1" applyBorder="1"/>
    <xf numFmtId="9" fontId="4" fillId="14" borderId="0" xfId="0" applyNumberFormat="1" applyFont="1" applyFill="1"/>
    <xf numFmtId="9" fontId="5" fillId="14" borderId="13" xfId="0" applyNumberFormat="1" applyFont="1" applyFill="1" applyBorder="1"/>
    <xf numFmtId="0" fontId="5" fillId="14" borderId="15" xfId="0" applyFont="1" applyFill="1" applyBorder="1"/>
    <xf numFmtId="0" fontId="46" fillId="13" borderId="4" xfId="0" applyFont="1" applyFill="1" applyBorder="1"/>
    <xf numFmtId="0" fontId="5" fillId="14" borderId="6" xfId="0" applyFont="1" applyFill="1" applyBorder="1"/>
    <xf numFmtId="0" fontId="5" fillId="13" borderId="4" xfId="0" applyFont="1" applyFill="1" applyBorder="1"/>
    <xf numFmtId="0" fontId="4" fillId="13" borderId="9" xfId="0" applyFont="1" applyFill="1" applyBorder="1"/>
    <xf numFmtId="0" fontId="4" fillId="14" borderId="3" xfId="0" applyFont="1" applyFill="1" applyBorder="1"/>
    <xf numFmtId="0" fontId="5" fillId="14" borderId="5" xfId="0" applyFont="1" applyFill="1" applyBorder="1"/>
    <xf numFmtId="0" fontId="4" fillId="14" borderId="12" xfId="0" applyFont="1" applyFill="1" applyBorder="1"/>
    <xf numFmtId="0" fontId="5" fillId="14" borderId="10" xfId="0" applyFont="1" applyFill="1" applyBorder="1"/>
    <xf numFmtId="4" fontId="8" fillId="12" borderId="8" xfId="0" applyNumberFormat="1" applyFont="1" applyFill="1" applyBorder="1" applyAlignment="1">
      <alignment horizontal="right"/>
    </xf>
    <xf numFmtId="4" fontId="8" fillId="12" borderId="6" xfId="0" applyNumberFormat="1" applyFont="1" applyFill="1" applyBorder="1" applyAlignment="1">
      <alignment horizontal="right"/>
    </xf>
    <xf numFmtId="0" fontId="47" fillId="12" borderId="0" xfId="0" applyFont="1" applyFill="1" applyAlignment="1">
      <alignment wrapText="1"/>
    </xf>
    <xf numFmtId="0" fontId="48" fillId="12" borderId="2" xfId="0" applyFont="1" applyFill="1" applyBorder="1"/>
    <xf numFmtId="0" fontId="8" fillId="12" borderId="3" xfId="0" applyFont="1" applyFill="1" applyBorder="1"/>
    <xf numFmtId="0" fontId="49" fillId="12" borderId="0" xfId="0" applyFont="1" applyFill="1"/>
    <xf numFmtId="0" fontId="51" fillId="12" borderId="5" xfId="0" applyFont="1" applyFill="1" applyBorder="1"/>
    <xf numFmtId="0" fontId="8" fillId="12" borderId="14" xfId="0" applyFont="1" applyFill="1" applyBorder="1" applyAlignment="1">
      <alignment horizontal="right"/>
    </xf>
    <xf numFmtId="0" fontId="8" fillId="13" borderId="14" xfId="0" applyFont="1" applyFill="1" applyBorder="1"/>
    <xf numFmtId="0" fontId="8" fillId="13" borderId="10" xfId="0" applyFont="1" applyFill="1" applyBorder="1"/>
    <xf numFmtId="0" fontId="8" fillId="13" borderId="12" xfId="0" applyFont="1" applyFill="1" applyBorder="1"/>
    <xf numFmtId="0" fontId="8" fillId="13" borderId="13" xfId="0" applyFont="1" applyFill="1" applyBorder="1"/>
    <xf numFmtId="0" fontId="8" fillId="13" borderId="15" xfId="0" applyFont="1" applyFill="1" applyBorder="1"/>
    <xf numFmtId="0" fontId="8" fillId="13" borderId="11" xfId="0" applyFont="1" applyFill="1" applyBorder="1"/>
    <xf numFmtId="0" fontId="23" fillId="15" borderId="0" xfId="0" applyFont="1" applyFill="1"/>
    <xf numFmtId="0" fontId="5" fillId="12" borderId="2" xfId="0" applyFont="1" applyFill="1" applyBorder="1"/>
    <xf numFmtId="0" fontId="8" fillId="12" borderId="8" xfId="0" applyFont="1" applyFill="1" applyBorder="1" applyAlignment="1">
      <alignment wrapText="1"/>
    </xf>
    <xf numFmtId="0" fontId="8" fillId="12" borderId="7" xfId="0" applyFont="1" applyFill="1" applyBorder="1" applyAlignment="1">
      <alignment wrapText="1"/>
    </xf>
    <xf numFmtId="0" fontId="5" fillId="13" borderId="1" xfId="0" applyFont="1" applyFill="1" applyBorder="1"/>
    <xf numFmtId="0" fontId="5" fillId="13" borderId="2" xfId="0" applyFont="1" applyFill="1" applyBorder="1"/>
    <xf numFmtId="0" fontId="5" fillId="13" borderId="3" xfId="0" applyFont="1" applyFill="1" applyBorder="1"/>
    <xf numFmtId="0" fontId="5" fillId="13" borderId="7" xfId="0" applyFont="1" applyFill="1" applyBorder="1"/>
    <xf numFmtId="0" fontId="5" fillId="13" borderId="7" xfId="0" applyFont="1" applyFill="1" applyBorder="1"/>
    <xf numFmtId="0" fontId="16" fillId="13" borderId="7" xfId="0" applyFont="1" applyFill="1" applyBorder="1"/>
    <xf numFmtId="0" fontId="16" fillId="13" borderId="4" xfId="0" applyFont="1" applyFill="1" applyBorder="1"/>
    <xf numFmtId="0" fontId="13" fillId="13" borderId="0" xfId="0" applyFont="1" applyFill="1"/>
    <xf numFmtId="0" fontId="4" fillId="14" borderId="6" xfId="0" applyFont="1" applyFill="1" applyBorder="1"/>
    <xf numFmtId="0" fontId="8" fillId="14" borderId="5" xfId="0" applyFont="1" applyFill="1" applyBorder="1"/>
    <xf numFmtId="0" fontId="8" fillId="13" borderId="14" xfId="0" applyFont="1" applyFill="1" applyBorder="1" applyAlignment="1">
      <alignment wrapText="1"/>
    </xf>
    <xf numFmtId="0" fontId="8" fillId="13" borderId="12" xfId="0" applyFont="1" applyFill="1" applyBorder="1" applyAlignment="1">
      <alignment wrapText="1"/>
    </xf>
    <xf numFmtId="0" fontId="8" fillId="13" borderId="13" xfId="0" applyFont="1" applyFill="1" applyBorder="1" applyAlignment="1">
      <alignment wrapText="1"/>
    </xf>
    <xf numFmtId="0" fontId="8" fillId="13" borderId="4" xfId="0" applyFont="1" applyFill="1" applyBorder="1" applyAlignment="1">
      <alignment wrapText="1"/>
    </xf>
    <xf numFmtId="0" fontId="8" fillId="13" borderId="10" xfId="0" applyFont="1" applyFill="1" applyBorder="1" applyAlignment="1">
      <alignment wrapText="1"/>
    </xf>
    <xf numFmtId="0" fontId="8" fillId="14" borderId="8" xfId="0" applyFont="1" applyFill="1" applyBorder="1" applyAlignment="1">
      <alignment wrapText="1"/>
    </xf>
    <xf numFmtId="0" fontId="8" fillId="14" borderId="6" xfId="0" applyFont="1" applyFill="1" applyBorder="1" applyAlignment="1">
      <alignment wrapText="1"/>
    </xf>
    <xf numFmtId="169" fontId="8" fillId="14" borderId="0" xfId="0" applyNumberFormat="1" applyFont="1" applyFill="1" applyAlignment="1">
      <alignment horizontal="right" wrapText="1"/>
    </xf>
    <xf numFmtId="0" fontId="8" fillId="14" borderId="7" xfId="0" applyFont="1" applyFill="1" applyBorder="1" applyAlignment="1">
      <alignment wrapText="1"/>
    </xf>
    <xf numFmtId="0" fontId="52" fillId="14" borderId="8" xfId="0" applyFont="1" applyFill="1" applyBorder="1" applyAlignment="1">
      <alignment wrapText="1"/>
    </xf>
    <xf numFmtId="0" fontId="8" fillId="14" borderId="15" xfId="0" applyFont="1" applyFill="1" applyBorder="1" applyAlignment="1">
      <alignment wrapText="1"/>
    </xf>
    <xf numFmtId="0" fontId="53" fillId="14" borderId="6" xfId="0" applyFont="1" applyFill="1" applyBorder="1" applyAlignment="1">
      <alignment wrapText="1"/>
    </xf>
    <xf numFmtId="0" fontId="42" fillId="12" borderId="2" xfId="0" applyFont="1" applyFill="1" applyBorder="1"/>
    <xf numFmtId="0" fontId="42" fillId="12" borderId="2" xfId="0" applyFont="1" applyFill="1" applyBorder="1" applyAlignment="1">
      <alignment wrapText="1"/>
    </xf>
    <xf numFmtId="0" fontId="4" fillId="14" borderId="15" xfId="0" applyFont="1" applyFill="1" applyBorder="1" applyAlignment="1">
      <alignment wrapText="1"/>
    </xf>
    <xf numFmtId="0" fontId="42" fillId="14" borderId="7" xfId="0" applyFont="1" applyFill="1" applyBorder="1"/>
    <xf numFmtId="0" fontId="42" fillId="14" borderId="2" xfId="0" applyFont="1" applyFill="1" applyBorder="1"/>
    <xf numFmtId="0" fontId="42" fillId="14" borderId="0" xfId="0" applyFont="1" applyFill="1"/>
    <xf numFmtId="0" fontId="54" fillId="14" borderId="0" xfId="0" applyFont="1" applyFill="1"/>
    <xf numFmtId="0" fontId="42" fillId="14" borderId="7" xfId="0" applyFont="1" applyFill="1" applyBorder="1" applyAlignment="1">
      <alignment horizontal="right"/>
    </xf>
    <xf numFmtId="0" fontId="54" fillId="14" borderId="0" xfId="0" applyFont="1" applyFill="1" applyAlignment="1">
      <alignment wrapText="1"/>
    </xf>
    <xf numFmtId="0" fontId="42" fillId="14" borderId="0" xfId="0" applyFont="1" applyFill="1" applyAlignment="1">
      <alignment horizontal="right"/>
    </xf>
    <xf numFmtId="0" fontId="42" fillId="14" borderId="4" xfId="0" applyFont="1" applyFill="1" applyBorder="1"/>
    <xf numFmtId="0" fontId="42" fillId="14" borderId="5" xfId="0" applyFont="1" applyFill="1" applyBorder="1" applyAlignment="1">
      <alignment horizontal="right"/>
    </xf>
    <xf numFmtId="0" fontId="42" fillId="14" borderId="5" xfId="0" applyFont="1" applyFill="1" applyBorder="1"/>
    <xf numFmtId="0" fontId="55" fillId="14" borderId="5" xfId="0" applyFont="1" applyFill="1" applyBorder="1"/>
    <xf numFmtId="0" fontId="42" fillId="14" borderId="6" xfId="0" applyFont="1" applyFill="1" applyBorder="1" applyAlignment="1">
      <alignment wrapText="1"/>
    </xf>
    <xf numFmtId="0" fontId="13" fillId="12" borderId="7" xfId="0" applyFont="1" applyFill="1" applyBorder="1"/>
    <xf numFmtId="0" fontId="26" fillId="12" borderId="0" xfId="0" applyFont="1" applyFill="1" applyAlignment="1">
      <alignment wrapText="1"/>
    </xf>
    <xf numFmtId="0" fontId="26" fillId="12" borderId="7" xfId="0" applyFont="1" applyFill="1" applyBorder="1" applyAlignment="1">
      <alignment wrapText="1"/>
    </xf>
    <xf numFmtId="0" fontId="8" fillId="12" borderId="5" xfId="0" applyFont="1" applyFill="1" applyBorder="1" applyAlignment="1">
      <alignment wrapText="1"/>
    </xf>
    <xf numFmtId="0" fontId="8" fillId="12" borderId="2" xfId="0" applyFont="1" applyFill="1" applyBorder="1" applyAlignment="1">
      <alignment wrapText="1"/>
    </xf>
    <xf numFmtId="0" fontId="57" fillId="12" borderId="8" xfId="0" applyFont="1" applyFill="1" applyBorder="1"/>
    <xf numFmtId="0" fontId="58" fillId="12" borderId="6" xfId="0" applyFont="1" applyFill="1" applyBorder="1"/>
    <xf numFmtId="0" fontId="8" fillId="16" borderId="0" xfId="0" applyFont="1" applyFill="1"/>
    <xf numFmtId="0" fontId="8" fillId="20" borderId="8" xfId="0" applyFont="1" applyFill="1" applyBorder="1"/>
    <xf numFmtId="0" fontId="59" fillId="21" borderId="1" xfId="0" applyFont="1" applyFill="1" applyBorder="1"/>
    <xf numFmtId="0" fontId="8" fillId="21" borderId="2" xfId="0" applyFont="1" applyFill="1" applyBorder="1"/>
    <xf numFmtId="0" fontId="8" fillId="21" borderId="3" xfId="0" applyFont="1" applyFill="1" applyBorder="1" applyAlignment="1">
      <alignment horizontal="right"/>
    </xf>
    <xf numFmtId="0" fontId="60" fillId="21" borderId="7" xfId="0" applyFont="1" applyFill="1" applyBorder="1"/>
    <xf numFmtId="0" fontId="8" fillId="21" borderId="0" xfId="0" applyFont="1" applyFill="1"/>
    <xf numFmtId="0" fontId="8" fillId="21" borderId="8" xfId="0" applyFont="1" applyFill="1" applyBorder="1" applyAlignment="1">
      <alignment horizontal="right"/>
    </xf>
    <xf numFmtId="0" fontId="61" fillId="21" borderId="7" xfId="0" applyFont="1" applyFill="1" applyBorder="1"/>
    <xf numFmtId="0" fontId="4" fillId="21" borderId="7" xfId="0" applyFont="1" applyFill="1" applyBorder="1"/>
    <xf numFmtId="0" fontId="8" fillId="21" borderId="5" xfId="0" applyFont="1" applyFill="1" applyBorder="1"/>
    <xf numFmtId="0" fontId="8" fillId="21" borderId="6" xfId="0" applyFont="1" applyFill="1" applyBorder="1" applyAlignment="1">
      <alignment horizontal="right"/>
    </xf>
    <xf numFmtId="0" fontId="5" fillId="21" borderId="12" xfId="0" applyFont="1" applyFill="1" applyBorder="1"/>
    <xf numFmtId="0" fontId="13" fillId="21" borderId="10" xfId="0" applyFont="1" applyFill="1" applyBorder="1" applyAlignment="1">
      <alignment horizontal="right"/>
    </xf>
    <xf numFmtId="0" fontId="8" fillId="13" borderId="2" xfId="0" applyFont="1" applyFill="1" applyBorder="1"/>
    <xf numFmtId="0" fontId="8" fillId="13" borderId="5" xfId="0" applyFont="1" applyFill="1" applyBorder="1"/>
    <xf numFmtId="0" fontId="4" fillId="22" borderId="0" xfId="0" applyFont="1" applyFill="1"/>
    <xf numFmtId="0" fontId="8" fillId="22" borderId="0" xfId="0" applyFont="1" applyFill="1"/>
    <xf numFmtId="0" fontId="8" fillId="13" borderId="13" xfId="0" applyFont="1" applyFill="1" applyBorder="1" applyAlignment="1">
      <alignment horizontal="left"/>
    </xf>
    <xf numFmtId="0" fontId="56" fillId="13" borderId="14" xfId="0" applyFont="1" applyFill="1" applyBorder="1"/>
    <xf numFmtId="2" fontId="8" fillId="12" borderId="8" xfId="0" applyNumberFormat="1" applyFont="1" applyFill="1" applyBorder="1" applyAlignment="1">
      <alignment wrapText="1"/>
    </xf>
    <xf numFmtId="165" fontId="8" fillId="12" borderId="5" xfId="0" applyNumberFormat="1" applyFont="1" applyFill="1" applyBorder="1" applyAlignment="1">
      <alignment horizontal="right"/>
    </xf>
    <xf numFmtId="2" fontId="8" fillId="12" borderId="6" xfId="0" applyNumberFormat="1" applyFont="1" applyFill="1" applyBorder="1" applyAlignment="1">
      <alignment wrapText="1"/>
    </xf>
    <xf numFmtId="0" fontId="36" fillId="12" borderId="5" xfId="0" applyFont="1" applyFill="1" applyBorder="1"/>
    <xf numFmtId="0" fontId="36" fillId="12" borderId="5" xfId="0" applyFont="1" applyFill="1" applyBorder="1" applyAlignment="1">
      <alignment horizontal="right"/>
    </xf>
    <xf numFmtId="0" fontId="64" fillId="12" borderId="5" xfId="0" applyFont="1" applyFill="1" applyBorder="1"/>
    <xf numFmtId="0" fontId="65" fillId="12" borderId="6" xfId="0" applyFont="1" applyFill="1" applyBorder="1" applyAlignment="1">
      <alignment wrapText="1"/>
    </xf>
    <xf numFmtId="0" fontId="8" fillId="13" borderId="13" xfId="0" applyFont="1" applyFill="1" applyBorder="1" applyAlignment="1">
      <alignment horizontal="right"/>
    </xf>
    <xf numFmtId="0" fontId="62" fillId="13" borderId="13" xfId="0" applyFont="1" applyFill="1" applyBorder="1"/>
    <xf numFmtId="0" fontId="13" fillId="13" borderId="13" xfId="0" applyFont="1" applyFill="1" applyBorder="1" applyAlignment="1">
      <alignment wrapText="1"/>
    </xf>
    <xf numFmtId="0" fontId="63" fillId="13" borderId="15" xfId="0" applyFont="1" applyFill="1" applyBorder="1"/>
    <xf numFmtId="0" fontId="73" fillId="12" borderId="0" xfId="0" applyFont="1" applyFill="1" applyAlignment="1">
      <alignment horizontal="left"/>
    </xf>
    <xf numFmtId="0" fontId="0" fillId="12" borderId="0" xfId="0" applyFill="1" applyAlignment="1">
      <alignment horizontal="left"/>
    </xf>
    <xf numFmtId="2" fontId="8" fillId="12" borderId="2" xfId="0" applyNumberFormat="1" applyFont="1" applyFill="1" applyBorder="1" applyAlignment="1">
      <alignment horizontal="right"/>
    </xf>
    <xf numFmtId="2" fontId="8" fillId="12" borderId="0" xfId="0" applyNumberFormat="1" applyFont="1" applyFill="1" applyAlignment="1">
      <alignment horizontal="right"/>
    </xf>
    <xf numFmtId="0" fontId="13" fillId="12" borderId="6" xfId="0" applyFont="1" applyFill="1" applyBorder="1"/>
    <xf numFmtId="0" fontId="13" fillId="12" borderId="5" xfId="0" applyFont="1" applyFill="1" applyBorder="1"/>
    <xf numFmtId="0" fontId="13" fillId="13" borderId="7" xfId="0" applyFont="1" applyFill="1" applyBorder="1"/>
    <xf numFmtId="2" fontId="8" fillId="14" borderId="1" xfId="0" applyNumberFormat="1" applyFont="1" applyFill="1" applyBorder="1" applyAlignment="1">
      <alignment horizontal="right"/>
    </xf>
    <xf numFmtId="2" fontId="8" fillId="14" borderId="2" xfId="0" applyNumberFormat="1" applyFont="1" applyFill="1" applyBorder="1" applyAlignment="1">
      <alignment horizontal="right"/>
    </xf>
    <xf numFmtId="2" fontId="8" fillId="14" borderId="7" xfId="0" applyNumberFormat="1" applyFont="1" applyFill="1" applyBorder="1" applyAlignment="1">
      <alignment horizontal="right"/>
    </xf>
    <xf numFmtId="2" fontId="8" fillId="14" borderId="0" xfId="0" applyNumberFormat="1" applyFont="1" applyFill="1" applyAlignment="1">
      <alignment horizontal="right"/>
    </xf>
    <xf numFmtId="2" fontId="8" fillId="14" borderId="4" xfId="0" applyNumberFormat="1" applyFont="1" applyFill="1" applyBorder="1" applyAlignment="1">
      <alignment horizontal="right"/>
    </xf>
    <xf numFmtId="2" fontId="8" fillId="14" borderId="5" xfId="0" applyNumberFormat="1" applyFont="1" applyFill="1" applyBorder="1" applyAlignment="1">
      <alignment horizontal="right"/>
    </xf>
    <xf numFmtId="2" fontId="8" fillId="14" borderId="6" xfId="0" applyNumberFormat="1" applyFont="1" applyFill="1" applyBorder="1" applyAlignment="1">
      <alignment horizontal="right"/>
    </xf>
    <xf numFmtId="0" fontId="13" fillId="13" borderId="4" xfId="0" applyFont="1" applyFill="1" applyBorder="1"/>
    <xf numFmtId="0" fontId="13" fillId="13" borderId="5" xfId="0" applyFont="1" applyFill="1" applyBorder="1"/>
    <xf numFmtId="0" fontId="48" fillId="14" borderId="2" xfId="0" applyFont="1" applyFill="1" applyBorder="1"/>
    <xf numFmtId="0" fontId="50" fillId="14" borderId="0" xfId="0" applyFont="1" applyFill="1"/>
    <xf numFmtId="0" fontId="66" fillId="14" borderId="5" xfId="0" applyFont="1" applyFill="1" applyBorder="1"/>
    <xf numFmtId="0" fontId="8" fillId="14" borderId="2" xfId="0" applyFont="1" applyFill="1" applyBorder="1"/>
    <xf numFmtId="2" fontId="8" fillId="14" borderId="3" xfId="0" applyNumberFormat="1" applyFont="1" applyFill="1" applyBorder="1" applyAlignment="1">
      <alignment horizontal="right"/>
    </xf>
    <xf numFmtId="2" fontId="8" fillId="14" borderId="8" xfId="0" applyNumberFormat="1" applyFont="1" applyFill="1" applyBorder="1" applyAlignment="1">
      <alignment horizontal="right"/>
    </xf>
    <xf numFmtId="0" fontId="5" fillId="13" borderId="1" xfId="0" applyFont="1" applyFill="1" applyBorder="1"/>
    <xf numFmtId="0" fontId="8" fillId="14" borderId="3" xfId="0" applyFont="1" applyFill="1" applyBorder="1"/>
    <xf numFmtId="0" fontId="4" fillId="13" borderId="15" xfId="0" applyFont="1" applyFill="1" applyBorder="1" applyAlignment="1">
      <alignment wrapText="1"/>
    </xf>
    <xf numFmtId="0" fontId="8" fillId="13" borderId="15" xfId="0" applyFont="1" applyFill="1" applyBorder="1" applyAlignment="1">
      <alignment wrapText="1"/>
    </xf>
    <xf numFmtId="4" fontId="8" fillId="14" borderId="0" xfId="0" applyNumberFormat="1" applyFont="1" applyFill="1" applyAlignment="1">
      <alignment horizontal="right" wrapText="1"/>
    </xf>
    <xf numFmtId="0" fontId="8" fillId="14" borderId="13" xfId="0" applyFont="1" applyFill="1" applyBorder="1" applyAlignment="1">
      <alignment wrapText="1"/>
    </xf>
    <xf numFmtId="4" fontId="8" fillId="14" borderId="5" xfId="0" applyNumberFormat="1" applyFont="1" applyFill="1" applyBorder="1" applyAlignment="1">
      <alignment horizontal="right"/>
    </xf>
    <xf numFmtId="4" fontId="8" fillId="14" borderId="5" xfId="0" applyNumberFormat="1" applyFont="1" applyFill="1" applyBorder="1" applyAlignment="1">
      <alignment horizontal="right" wrapText="1"/>
    </xf>
    <xf numFmtId="0" fontId="47" fillId="14" borderId="0" xfId="0" applyFont="1" applyFill="1" applyAlignment="1">
      <alignment wrapText="1"/>
    </xf>
    <xf numFmtId="0" fontId="67" fillId="14" borderId="0" xfId="0" applyFont="1" applyFill="1" applyAlignment="1">
      <alignment wrapText="1"/>
    </xf>
    <xf numFmtId="10" fontId="8" fillId="14" borderId="0" xfId="0" applyNumberFormat="1" applyFont="1" applyFill="1" applyAlignment="1">
      <alignment horizontal="right"/>
    </xf>
    <xf numFmtId="0" fontId="8" fillId="14" borderId="5" xfId="0" applyFont="1" applyFill="1" applyBorder="1" applyAlignment="1">
      <alignment wrapText="1"/>
    </xf>
    <xf numFmtId="10" fontId="8" fillId="14" borderId="5" xfId="0" applyNumberFormat="1" applyFont="1" applyFill="1" applyBorder="1" applyAlignment="1">
      <alignment horizontal="right"/>
    </xf>
    <xf numFmtId="0" fontId="68" fillId="14" borderId="5" xfId="0" applyFont="1" applyFill="1" applyBorder="1" applyAlignment="1">
      <alignment wrapText="1"/>
    </xf>
    <xf numFmtId="4" fontId="8" fillId="12" borderId="2" xfId="0" applyNumberFormat="1" applyFont="1" applyFill="1" applyBorder="1"/>
    <xf numFmtId="0" fontId="5" fillId="13" borderId="12" xfId="0" applyFont="1" applyFill="1" applyBorder="1"/>
    <xf numFmtId="0" fontId="8" fillId="14" borderId="7" xfId="0" applyFont="1" applyFill="1" applyBorder="1" applyAlignment="1">
      <alignment horizontal="right"/>
    </xf>
    <xf numFmtId="0" fontId="8" fillId="14" borderId="1" xfId="0" applyFont="1" applyFill="1" applyBorder="1" applyAlignment="1">
      <alignment horizontal="right"/>
    </xf>
    <xf numFmtId="0" fontId="8" fillId="14" borderId="4" xfId="0" applyFont="1" applyFill="1" applyBorder="1" applyAlignment="1">
      <alignment horizontal="right"/>
    </xf>
    <xf numFmtId="169" fontId="8" fillId="14" borderId="0" xfId="0" applyNumberFormat="1" applyFont="1" applyFill="1" applyAlignment="1">
      <alignment horizontal="right"/>
    </xf>
  </cellXfs>
  <cellStyles count="2">
    <cellStyle name="Hyperlink" xfId="1" builtinId="8"/>
    <cellStyle name="Normal" xfId="0" builtinId="0"/>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s>
  <tableStyles count="1">
    <tableStyle name="h2DistributeUnitCapex-style" pivot="0" count="2" xr9:uid="{00000000-0011-0000-FFFF-FFFF00000000}">
      <tableStyleElement type="firstRowStripe" dxfId="7"/>
      <tableStyleElement type="secondRowStripe" dxfId="6"/>
    </tableStyle>
  </tableStyles>
  <colors>
    <mruColors>
      <color rgb="FFCCCCCC"/>
      <color rgb="FFB0B6FF"/>
      <color rgb="FFD5A6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133350</xdr:colOff>
      <xdr:row>35</xdr:row>
      <xdr:rowOff>117475</xdr:rowOff>
    </xdr:from>
    <xdr:ext cx="3371850" cy="3048000"/>
    <xdr:pic>
      <xdr:nvPicPr>
        <xdr:cNvPr id="2" name="image1.png" title="Image">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xfrm>
          <a:off x="9353550" y="6784975"/>
          <a:ext cx="3371850" cy="3048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117475</xdr:colOff>
      <xdr:row>29</xdr:row>
      <xdr:rowOff>133350</xdr:rowOff>
    </xdr:from>
    <xdr:ext cx="3371850" cy="3048000"/>
    <xdr:pic>
      <xdr:nvPicPr>
        <xdr:cNvPr id="2" name="image2.png" title="Image">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xfrm>
          <a:off x="13935075" y="5657850"/>
          <a:ext cx="3371850" cy="30480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6:D27" headerRowCount="0" headerRowDxfId="2" dataDxfId="0" totalsRowDxfId="1">
  <tableColumns count="3">
    <tableColumn id="1" xr3:uid="{00000000-0010-0000-0000-000001000000}" name="Column1" dataDxfId="5"/>
    <tableColumn id="2" xr3:uid="{00000000-0010-0000-0000-000002000000}" name="Column2" dataDxfId="4"/>
    <tableColumn id="3" xr3:uid="{00000000-0010-0000-0000-000003000000}" name="Column3" dataDxfId="3"/>
  </tableColumns>
  <tableStyleInfo name="h2DistributeUnitCapex-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drive.google.com/drive/search?q=RMI" TargetMode="External"/><Relationship Id="rId2" Type="http://schemas.openxmlformats.org/officeDocument/2006/relationships/hyperlink" Target="https://drive.google.com/drive/search?q=RMI" TargetMode="External"/><Relationship Id="rId1" Type="http://schemas.openxmlformats.org/officeDocument/2006/relationships/hyperlink" Target="https://eippcb.jrc.ec.europa.eu/sites/default/files/2019-11/IS_Adopted_03_2012.pdf" TargetMode="External"/><Relationship Id="rId4" Type="http://schemas.openxmlformats.org/officeDocument/2006/relationships/hyperlink" Target="https://eippcb.jrc.ec.europa.eu/sites/default/files/2019-11/IS_Adopted_03_2012.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calix.global/news/zesty-study-economical-green-iron-solution/" TargetMode="External"/><Relationship Id="rId7" Type="http://schemas.openxmlformats.org/officeDocument/2006/relationships/hyperlink" Target="https://nap.nationalacademies.org/read/10922/chapter/21" TargetMode="External"/><Relationship Id="rId2" Type="http://schemas.openxmlformats.org/officeDocument/2006/relationships/hyperlink" Target="https://www.aist.org/AIST/aist/AIST/Conferences_Exhibitions/Training_Seminars/Scrap%20Files/28-Gordon.pdf" TargetMode="External"/><Relationship Id="rId1" Type="http://schemas.openxmlformats.org/officeDocument/2006/relationships/hyperlink" Target="https://nap.nationalacademies.org/read/10922/chapter/21" TargetMode="External"/><Relationship Id="rId6" Type="http://schemas.openxmlformats.org/officeDocument/2006/relationships/hyperlink" Target="https://nap.nationalacademies.org/read/10922/chapter/21" TargetMode="External"/><Relationship Id="rId5" Type="http://schemas.openxmlformats.org/officeDocument/2006/relationships/hyperlink" Target="https://www.midrex.com/wp-content/uploads/Midrex_2017_DFM3QTR_FinalPrint.pdf" TargetMode="External"/><Relationship Id="rId4" Type="http://schemas.openxmlformats.org/officeDocument/2006/relationships/hyperlink" Target="https://link.springer.com/article/10.1007/s40831-024-00878-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iopscience.iop.org/article/10.1088/1755-1315/363/1/012018" TargetMode="External"/><Relationship Id="rId3" Type="http://schemas.openxmlformats.org/officeDocument/2006/relationships/hyperlink" Target="https://www.energymining.sa.gov.au/__data/assets/pdf_file/0011/1006985/66ed5bccec444ce135c4d0697da4f4450da87002.pdf" TargetMode="External"/><Relationship Id="rId7" Type="http://schemas.openxmlformats.org/officeDocument/2006/relationships/hyperlink" Target="https://publications.jrc.ec.europa.eu/repository/bitstream/JRC74811/ld1a25543enn.pdf" TargetMode="External"/><Relationship Id="rId12" Type="http://schemas.openxmlformats.org/officeDocument/2006/relationships/hyperlink" Target="https://arena.gov.au/assets/2023/09/Calix-Zesty-Tech-Zero-Emissions-Iron-and-Steel-Pre-Feed-Report-Demo.pdf" TargetMode="External"/><Relationship Id="rId2" Type="http://schemas.openxmlformats.org/officeDocument/2006/relationships/hyperlink" Target="https://drive.google.com/drive/search?q=RMI" TargetMode="External"/><Relationship Id="rId1" Type="http://schemas.openxmlformats.org/officeDocument/2006/relationships/hyperlink" Target="https://climateenergyfinance.org/wp-content/uploads/2024/11/CEF_Green-Metal-Statecraft_FINAL.pdf" TargetMode="External"/><Relationship Id="rId6" Type="http://schemas.openxmlformats.org/officeDocument/2006/relationships/hyperlink" Target="https://dukespace.lib.duke.edu/server/api/core/bitstreams/19daa588-bc17-4bc8-8acc-a3b3b2e6ff91/content" TargetMode="External"/><Relationship Id="rId11" Type="http://schemas.openxmlformats.org/officeDocument/2006/relationships/hyperlink" Target="https://drive.google.com/drive/search?q=zesty" TargetMode="External"/><Relationship Id="rId5" Type="http://schemas.openxmlformats.org/officeDocument/2006/relationships/hyperlink" Target="https://pdf.sciencedirectassets.com/271431/1-s2.0-S0960148122X00062/1-s2.0-S0960148121014932/main.pdf?X-Amz-Security-Token=IQoJb3JpZ2luX2VjEGMaCXVzLWVhc3QtMSJGMEQCIHMxRQ6sb6T4YDBMs9bPuxXP%2FtJtVTpENHPP6NVZyuFAAiB3t3YR0y7DI81buVf4GXL2U1NzH1uMaH0EfPpoBseq0Cq8BQjM%2F%2F%2F%2F%2F%2F%2F%2F%2F%2F8BEAUaDDA1OTAwMzU0Njg2NSIMCouJuKStFMf%2BdnlJKpAFY6Q0McGP7rMZNUl%2FkFJ3zvBk7rrYBxDIQIKkMpdudP6rsZqspMU4gccYN0p51CMd6cI9yk0am1PpYzZOn9UHqIXSRhpK%2BS%2FN91qfB1wVgk7OiBIbeitdCp3%2F6dvJHraVELxqYmX9x26qDFhYm9R3BBuemz7AaHK2U1uZPZxi3l%2FCmuhCiHz8HO0U1DXA3aK0JlHhvGtH%2FYJJFzJnilmSqXObMC1I4v8Ht%2FBxniwPiHE0D9GXNW1X4ZUJDHl6PxBmaTSTZ5IokG8GYbNt%2FWCOtm%2FgmLoJBnyk697jO7rrfs9AteTcY4ky9SldeRp1ZDeVjWMgfMhDFyru08iVJmWLnYkjwkUnF6FFqE49QWSMSxifT%2BnXqtaFLRpzZ71K1zPdKiwXRNOBvvivDyFev8IBzHBvJ9X%2FfIl1dWb4N5IrFQ9IG%2FxglkD9pHP7MThpjCd3x78tZjBgm6PWvxzS6PSQaicIQ6GxAnyiTTqg%2FVGJu7EjA5NzV%2FeSM9LwjiJojA9kFenfJvqrb2ORZ06SbMK%2FRG6k4t%2BPT%2BLXhPhjpMUt8DasSGymrIfIsPBGVLfAbkzOG9GNruq4M20FRRymDnqZmJF7KKd%2BNg%2Fp7RbdmDYap8gRA05kb6%2FDur1GtdfqFaERRrU2MT8nIcBDbNPxLlCZe12Nc1JYhNrBmK%2Fq3wTyC8xeaPEtlTlfZZrLd%2FP16SB04JA4tFNGIZlYwxT0GMfAa7%2FKaSFwRsDLrD%2B%2BRpHKwbtAEswvKLTU3VVPV9ZGSAv6qR5UATH711ACZ%2Fpg6lTQzkZv9s7RFi250E7g8GvyZb843lIqQOk61IozMSc%2FPZhDQmDilWW9wUJmgkH72i40xalCW2P9PJLDIdntJwMnCQow3cCyvwY6sgHXD0vS1H7pC2S3Tx1gLoa2CRi2kRCOw9PagAXwcvjko3tzAspvEwJ4w5Pf9HQorZrlB1Piw1VvMAd2CUIp2adARIRTmS%2FppUFB9SRmYW6UGkF01RsdrK74E7QoiZqncN8l9VQAZSaslULhHct6Pek15dfzU9pT2UW3XOMc5oc5aIyL8%2F5nuaq1CCDgjXw1rKtxniLh0FZW3l6900e3B0Srv9IqW7beyBTS2JZjTboQrYBN&amp;X-Amz-Algorithm=AWS4-HMAC-SHA256&amp;X-Amz-Date=20250402T035020Z&amp;X-Amz-SignedHeaders=host&amp;X-Amz-Expires=300&amp;X-Amz-Credential=ASIAQ3PHCVTY6VOP7LWD%2F20250402%2Fus-east-1%2Fs3%2Faws4_request&amp;X-Amz-Signature=955d8f9ccb3422d12204da9438300783598771f6746a1187f5e0520520108146&amp;hash=ad3f8d661542046babf9135295f1bab885b29b22b05db5b20aece4670cb0a1db&amp;host=68042c943591013ac2b2430a89b270f6af2c76d8dfd086a07176afe7c76c2c61&amp;pii=S0960148121014932&amp;tid=spdf-68ecbc92-bff0-4ee4-b6f1-0cacc2381dcb&amp;sid=d95fda8d57057443130a01840912259ec90cgxrqa&amp;type=client&amp;tsoh=d3d3LnNjaWVuY2VkaXJlY3QuY" TargetMode="External"/><Relationship Id="rId10" Type="http://schemas.openxmlformats.org/officeDocument/2006/relationships/hyperlink" Target="https://www.thyssenkrupp.com/de/newsroom/pressemeldungen/pressedetailseite/thyssenkrupp-steel-vergibt-milliardenauftrag-fur-direktreduktionsanlage-an-sms-group--start-eines-der-weltweit-grossten-industriellen-dekarbonisierungsprojekte-163183" TargetMode="External"/><Relationship Id="rId4" Type="http://schemas.openxmlformats.org/officeDocument/2006/relationships/hyperlink" Target="https://www.wvstahl.de/wp-content/uploads/Schlussbericht-Studie-Low-carbon-Europe-2050_-Mai-20131.pdf" TargetMode="External"/><Relationship Id="rId9" Type="http://schemas.openxmlformats.org/officeDocument/2006/relationships/hyperlink" Target="https://www.clevelandcliffs.com/news/news-releases/detail/629/cleveland-cliffs-selected-to-receive-575-million-in-u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emo.com.au/-/media/Files/Electricity/NEM/Planning_and_Forecasting/Inputs-Assumptions-Methodologies/2019/9110715-REP-A-Cost-and-Technical-Parameter-Review---Rev-4-Final.pdf" TargetMode="External"/><Relationship Id="rId13" Type="http://schemas.openxmlformats.org/officeDocument/2006/relationships/hyperlink" Target="https://aemo.com.au/-/media/files/major-publications/isp/2023/2023-inputs-assumptions-and-scenarios-report.pdf?la=en" TargetMode="External"/><Relationship Id="rId3" Type="http://schemas.openxmlformats.org/officeDocument/2006/relationships/hyperlink" Target="https://aemo.com.au/-/media/files/major-publications/isp/2023/2023-inputs-assumptions-and-scenarios-report.pdf?la=en" TargetMode="External"/><Relationship Id="rId7" Type="http://schemas.openxmlformats.org/officeDocument/2006/relationships/hyperlink" Target="https://www.aemo.com.au/-/media/Files/Electricity/NEM/Planning_and_Forecasting/Inputs-Assumptions-Methodologies/2019/9110715-REP-A-Cost-and-Technical-Parameter-Review---Rev-4-Final.pdf" TargetMode="External"/><Relationship Id="rId12" Type="http://schemas.openxmlformats.org/officeDocument/2006/relationships/hyperlink" Target="https://s31756.pcdn.co/oceania/wp-content/uploads/sites/1/2023/04/RLB-Rider-Digest_Perth_Digital_3.pdf" TargetMode="External"/><Relationship Id="rId17" Type="http://schemas.openxmlformats.org/officeDocument/2006/relationships/hyperlink" Target="https://www.aemo.com.au/-/media/Files/Electricity/NEM/Planning_and_Forecasting/Inputs-Assumptions-Methodologies/2019/9110715-REP-A-Cost-and-Technical-Parameter-Review---Rev-4-Final.pdf" TargetMode="External"/><Relationship Id="rId2" Type="http://schemas.openxmlformats.org/officeDocument/2006/relationships/hyperlink" Target="https://aemo.com.au/-/media/files/major-publications/isp/2023/2023-inputs-assumptions-and-scenarios-report.pdf?la=en" TargetMode="External"/><Relationship Id="rId16" Type="http://schemas.openxmlformats.org/officeDocument/2006/relationships/hyperlink" Target="https://www.coursesidekick.com/economics/3258794" TargetMode="External"/><Relationship Id="rId1" Type="http://schemas.openxmlformats.org/officeDocument/2006/relationships/hyperlink" Target="https://aemo.com.au/-/media/files/major-publications/isp/2023/2023-inputs-assumptions-and-scenarios-report.pdf?la=en" TargetMode="External"/><Relationship Id="rId6" Type="http://schemas.openxmlformats.org/officeDocument/2006/relationships/hyperlink" Target="https://www.aemo.com.au/-/media/Files/Electricity/NEM/Planning_and_Forecasting/Inputs-Assumptions-Methodologies/2019/9110715-REP-A-Cost-and-Technical-Parameter-Review---Rev-4-Final.pdf" TargetMode="External"/><Relationship Id="rId11" Type="http://schemas.openxmlformats.org/officeDocument/2006/relationships/hyperlink" Target="https://www.rlb.com/oceania/wp-content/uploads/sites/1/2022/12/2023-RLB-Rider-Digest_Melbourne.pdf" TargetMode="External"/><Relationship Id="rId5" Type="http://schemas.openxmlformats.org/officeDocument/2006/relationships/hyperlink" Target="https://www.aemo.com.au/-/media/Files/Electricity/NEM/Planning_and_Forecasting/Inputs-Assumptions-Methodologies/2019/9110715-REP-A-Cost-and-Technical-Parameter-Review---Rev-4-Final.pdf" TargetMode="External"/><Relationship Id="rId15" Type="http://schemas.openxmlformats.org/officeDocument/2006/relationships/hyperlink" Target="https://www.rlb.com/oceania/wp-content/uploads/sites/1/2022/12/2023-RLB-Rider-Digest_Melbourne.pdf" TargetMode="External"/><Relationship Id="rId10" Type="http://schemas.openxmlformats.org/officeDocument/2006/relationships/hyperlink" Target="https://www.coursesidekick.com/economics/3258794" TargetMode="External"/><Relationship Id="rId4" Type="http://schemas.openxmlformats.org/officeDocument/2006/relationships/hyperlink" Target="https://www.aemo.com.au/-/media/Files/Electricity/NEM/Planning_and_Forecasting/Inputs-Assumptions-Methodologies/2019/9110715-REP-A-Cost-and-Technical-Parameter-Review---Rev-4-Final.pdf" TargetMode="External"/><Relationship Id="rId9" Type="http://schemas.openxmlformats.org/officeDocument/2006/relationships/hyperlink" Target="https://www.aemo.com.au/-/media/Files/Electricity/NEM/Planning_and_Forecasting/Inputs-Assumptions-Methodologies/2019/9110715-REP-A-Cost-and-Technical-Parameter-Review---Rev-4-Final.pdf" TargetMode="External"/><Relationship Id="rId14" Type="http://schemas.openxmlformats.org/officeDocument/2006/relationships/hyperlink" Target="https://www.aemo.com.au/-/media/Files/Electricity/NEM/Planning_and_Forecasting/Inputs-Assumptions-Methodologies/2019/9110715-REP-A-Cost-and-Technical-Parameter-Review---Rev-4-Fina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octoenergy-production-media.s3.amazonaws.com/documents/How_to_maintain_investor_confidence_through_electricity_market_reform.pdf" TargetMode="External"/><Relationship Id="rId3" Type="http://schemas.openxmlformats.org/officeDocument/2006/relationships/hyperlink" Target="https://www.csiro.au/en/research/technology-space/energy/GenCost/FAQ-GenCost?utm_source=chatgpt.com" TargetMode="External"/><Relationship Id="rId7" Type="http://schemas.openxmlformats.org/officeDocument/2006/relationships/hyperlink" Target="https://www.osti.gov/servlets/purl/1567736" TargetMode="External"/><Relationship Id="rId2" Type="http://schemas.openxmlformats.org/officeDocument/2006/relationships/hyperlink" Target="https://inldigitallibrary.inl.gov/sites/sti/sti/Sort_66425.pdf" TargetMode="External"/><Relationship Id="rId1" Type="http://schemas.openxmlformats.org/officeDocument/2006/relationships/hyperlink" Target="https://www.frontiersin.org/journals/climate/articles/10.3389/fclim.2022.820261/full" TargetMode="External"/><Relationship Id="rId6" Type="http://schemas.openxmlformats.org/officeDocument/2006/relationships/hyperlink" Target="https://www.osti.gov/servlets/purl/1567736" TargetMode="External"/><Relationship Id="rId5" Type="http://schemas.openxmlformats.org/officeDocument/2006/relationships/hyperlink" Target="https://www.cmu.edu/epp/iecm/rubin/PDF%20files/2021/Rubin%20et%20al_GHGT-15_Adv%20tech%20cost%20guidelines_SSRN-id3818896.pdf" TargetMode="External"/><Relationship Id="rId10" Type="http://schemas.openxmlformats.org/officeDocument/2006/relationships/drawing" Target="../drawings/drawing1.xml"/><Relationship Id="rId4" Type="http://schemas.openxmlformats.org/officeDocument/2006/relationships/hyperlink" Target="https://restservice.epri.com/publicdownload/000000003002026582/0/Product" TargetMode="External"/><Relationship Id="rId9" Type="http://schemas.openxmlformats.org/officeDocument/2006/relationships/hyperlink" Target="https://www.neso.energy/document/301776/download"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mu.edu/epp/iecm/rubin/PDF%20files/2021/Rubin%20et%20al_GHGT-15_Adv%20tech%20cost%20guidelines_SSRN-id3818896.pdf" TargetMode="External"/><Relationship Id="rId13" Type="http://schemas.openxmlformats.org/officeDocument/2006/relationships/drawing" Target="../drawings/drawing2.xml"/><Relationship Id="rId3" Type="http://schemas.openxmlformats.org/officeDocument/2006/relationships/hyperlink" Target="https://octoenergy-production-media.s3.amazonaws.com/documents/How_to_maintain_investor_confidence_through_electricity_market_reform.pdf" TargetMode="External"/><Relationship Id="rId7" Type="http://schemas.openxmlformats.org/officeDocument/2006/relationships/hyperlink" Target="https://www.neso.energy/document/301776/download" TargetMode="External"/><Relationship Id="rId12" Type="http://schemas.openxmlformats.org/officeDocument/2006/relationships/hyperlink" Target="https://www.neso.energy/document/301776/download" TargetMode="External"/><Relationship Id="rId2" Type="http://schemas.openxmlformats.org/officeDocument/2006/relationships/hyperlink" Target="https://inldigitallibrary.inl.gov/sites/sti/sti/Sort_66425.pdf" TargetMode="External"/><Relationship Id="rId1" Type="http://schemas.openxmlformats.org/officeDocument/2006/relationships/hyperlink" Target="https://restservice.epri.com/publicdownload/000000003002026582/0/Product" TargetMode="External"/><Relationship Id="rId6" Type="http://schemas.openxmlformats.org/officeDocument/2006/relationships/hyperlink" Target="https://restservice.epri.com/publicdownload/000000003002026582/0/Product" TargetMode="External"/><Relationship Id="rId11" Type="http://schemas.openxmlformats.org/officeDocument/2006/relationships/hyperlink" Target="https://octoenergy-production-media.s3.amazonaws.com/documents/How_to_maintain_investor_confidence_through_electricity_market_reform.pdf" TargetMode="External"/><Relationship Id="rId5" Type="http://schemas.openxmlformats.org/officeDocument/2006/relationships/hyperlink" Target="https://aemoservices.com.au/-/media/services/files/publications/wacc-report/wacc-assumptions-final-report.pdf?la=en" TargetMode="External"/><Relationship Id="rId10" Type="http://schemas.openxmlformats.org/officeDocument/2006/relationships/hyperlink" Target="https://www.osti.gov/servlets/purl/1567736" TargetMode="External"/><Relationship Id="rId4" Type="http://schemas.openxmlformats.org/officeDocument/2006/relationships/hyperlink" Target="https://www.csiro.au/en/research/technology-space/energy/GenCost/FAQ-GenCost?utm_source=chatgpt.com" TargetMode="External"/><Relationship Id="rId9" Type="http://schemas.openxmlformats.org/officeDocument/2006/relationships/hyperlink" Target="https://www.osti.gov/servlets/purl/1567736"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erawa.com.au/cproot/14119/2/MRCP%20Decision%20201819.pdf" TargetMode="External"/><Relationship Id="rId2" Type="http://schemas.openxmlformats.org/officeDocument/2006/relationships/hyperlink" Target="https://wa.aemo.com.au/-/media/files/electricity/wem/reserve_capacity_mechanism/assignment/2017/capacity-credits-assigned-for-the-2018-19-capacity-year.pdf?la=en" TargetMode="External"/><Relationship Id="rId1" Type="http://schemas.openxmlformats.org/officeDocument/2006/relationships/hyperlink" Target="https://www.erawa.com.au/electricity/wholesale-electricity-market/price-setting/benchmark-reserve-capacity-prices/benchmark-reserve-capacity-price-previous-decisions" TargetMode="External"/><Relationship Id="rId4" Type="http://schemas.openxmlformats.org/officeDocument/2006/relationships/hyperlink" Target="https://explore.openelectricity.org.au/energy/wem/?range=all&amp;interval=1y&amp;view=discrete-time&amp;group=Detaile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a.gov.au/scientific-topics/minerals/mineral-resources-and-advice/australian-resource-reviews/iron-ore" TargetMode="External"/><Relationship Id="rId13" Type="http://schemas.openxmlformats.org/officeDocument/2006/relationships/hyperlink" Target="https://www.ga.gov.au/scientific-topics/minerals/mineral-resources-and-advice/australian-resource-reviews/iron-ore" TargetMode="External"/><Relationship Id="rId18" Type="http://schemas.openxmlformats.org/officeDocument/2006/relationships/hyperlink" Target="https://arena.gov.au/assets/2023/09/Calix-Zesty-Tech-Zero-Emissions-Iron-and-Steel-Pre-Feed-Report-Demo.pdf" TargetMode="External"/><Relationship Id="rId3" Type="http://schemas.openxmlformats.org/officeDocument/2006/relationships/hyperlink" Target="https://www.aist.org/AIST/aist/AIST/Conferences_Exhibitions/Training_Seminars/Scrap%20Files/28-Gordon.pdf" TargetMode="External"/><Relationship Id="rId7" Type="http://schemas.openxmlformats.org/officeDocument/2006/relationships/hyperlink" Target="https://www.ga.gov.au/scientific-topics/minerals/mineral-resources-and-advice/australian-resource-reviews/iron-ore" TargetMode="External"/><Relationship Id="rId12" Type="http://schemas.openxmlformats.org/officeDocument/2006/relationships/hyperlink" Target="https://arena.gov.au/assets/2023/09/Calix-Zesty-Tech-Zero-Emissions-Iron-and-Steel-Pre-Feed-Report-Demo.pdf" TargetMode="External"/><Relationship Id="rId17" Type="http://schemas.openxmlformats.org/officeDocument/2006/relationships/hyperlink" Target="https://www.ga.gov.au/scientific-topics/minerals/mineral-resources-and-advice/australian-resource-reviews/iron-ore" TargetMode="External"/><Relationship Id="rId2" Type="http://schemas.openxmlformats.org/officeDocument/2006/relationships/hyperlink" Target="https://www.ga.gov.au/scientific-topics/minerals/mineral-resources-and-advice/australian-resource-reviews/iron-ore" TargetMode="External"/><Relationship Id="rId16" Type="http://schemas.openxmlformats.org/officeDocument/2006/relationships/hyperlink" Target="https://www.ga.gov.au/scientific-topics/minerals/mineral-resources-and-advice/australian-resource-reviews/iron-ore" TargetMode="External"/><Relationship Id="rId1" Type="http://schemas.openxmlformats.org/officeDocument/2006/relationships/hyperlink" Target="https://www.ga.gov.au/scientific-topics/minerals/mineral-resources-and-advice/australian-resource-reviews/iron-ore" TargetMode="External"/><Relationship Id="rId6" Type="http://schemas.openxmlformats.org/officeDocument/2006/relationships/hyperlink" Target="https://arena.gov.au/assets/2023/09/Calix-Zesty-Tech-Zero-Emissions-Iron-and-Steel-Pre-Feed-Report-Demo.pdf" TargetMode="External"/><Relationship Id="rId11" Type="http://schemas.openxmlformats.org/officeDocument/2006/relationships/hyperlink" Target="https://www.ga.gov.au/scientific-topics/minerals/mineral-resources-and-advice/australian-resource-reviews/iron-ore" TargetMode="External"/><Relationship Id="rId5" Type="http://schemas.openxmlformats.org/officeDocument/2006/relationships/hyperlink" Target="https://www.ga.gov.au/scientific-topics/minerals/mineral-resources-and-advice/australian-resource-reviews/iron-ore" TargetMode="External"/><Relationship Id="rId15" Type="http://schemas.openxmlformats.org/officeDocument/2006/relationships/hyperlink" Target="https://www.aist.org/AIST/aist/AIST/Conferences_Exhibitions/Training_Seminars/Scrap%20Files/28-Gordon.pdf" TargetMode="External"/><Relationship Id="rId10" Type="http://schemas.openxmlformats.org/officeDocument/2006/relationships/hyperlink" Target="https://www.ga.gov.au/scientific-topics/minerals/mineral-resources-and-advice/australian-resource-reviews/iron-ore" TargetMode="External"/><Relationship Id="rId4" Type="http://schemas.openxmlformats.org/officeDocument/2006/relationships/hyperlink" Target="https://www.ga.gov.au/scientific-topics/minerals/mineral-resources-and-advice/australian-resource-reviews/iron-ore" TargetMode="External"/><Relationship Id="rId9" Type="http://schemas.openxmlformats.org/officeDocument/2006/relationships/hyperlink" Target="https://www.aist.org/AIST/aist/AIST/Conferences_Exhibitions/Training_Seminars/Scrap%20Files/28-Gordon.pdf" TargetMode="External"/><Relationship Id="rId14" Type="http://schemas.openxmlformats.org/officeDocument/2006/relationships/hyperlink" Target="https://www.ga.gov.au/scientific-topics/minerals/mineral-resources-and-advice/australian-resource-reviews/iron-or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rena.org/-/media/Files/IRENA/Agency/Publication/2020/Dec/IRENA_Green_hydrogen_cost_2020.pdf" TargetMode="External"/><Relationship Id="rId13" Type="http://schemas.openxmlformats.org/officeDocument/2006/relationships/hyperlink" Target="https://www.energy.gov/eere/fuelcells/technical-targets-proton-exchange-membrane-electrolysis" TargetMode="External"/><Relationship Id="rId18" Type="http://schemas.openxmlformats.org/officeDocument/2006/relationships/hyperlink" Target="https://ispt.eu/media/20230508-FINAL-SOE-public-report-ISPT.pdf" TargetMode="External"/><Relationship Id="rId26" Type="http://schemas.openxmlformats.org/officeDocument/2006/relationships/hyperlink" Target="https://www.ise.fraunhofer.de/en/publications/studies/catf.html" TargetMode="External"/><Relationship Id="rId3" Type="http://schemas.openxmlformats.org/officeDocument/2006/relationships/hyperlink" Target="https://www.irena.org/-/media/Files/IRENA/Agency/Publication/2020/Dec/IRENA_Green_hydrogen_cost_2020.pdf" TargetMode="External"/><Relationship Id="rId21" Type="http://schemas.openxmlformats.org/officeDocument/2006/relationships/hyperlink" Target="https://cdn.catf.us/wp-content/uploads/2023/11/15092028/solid-oxide-electrolysis-report.pdf" TargetMode="External"/><Relationship Id="rId7" Type="http://schemas.openxmlformats.org/officeDocument/2006/relationships/hyperlink" Target="https://www.irena.org/-/media/Files/IRENA/Agency/Publication/2020/Dec/IRENA_Green_hydrogen_cost_2020.pdf" TargetMode="External"/><Relationship Id="rId12" Type="http://schemas.openxmlformats.org/officeDocument/2006/relationships/hyperlink" Target="https://www.energy.gov/eere/fuelcells/technical-targets-proton-exchange-membrane-electrolysis" TargetMode="External"/><Relationship Id="rId17" Type="http://schemas.openxmlformats.org/officeDocument/2006/relationships/hyperlink" Target="https://www.hydrogen.energy.gov/docs/hydrogenprogramlibraries/pdfs/review23/p204_james_2023_o-pdf.pdf" TargetMode="External"/><Relationship Id="rId25" Type="http://schemas.openxmlformats.org/officeDocument/2006/relationships/hyperlink" Target="https://www.ise.fraunhofer.de/en/publications/studies/catf.html" TargetMode="External"/><Relationship Id="rId2" Type="http://schemas.openxmlformats.org/officeDocument/2006/relationships/hyperlink" Target="https://www.irena.org/-/media/Files/IRENA/Agency/Publication/2020/Dec/IRENA_Green_hydrogen_cost_2020.pdf" TargetMode="External"/><Relationship Id="rId16" Type="http://schemas.openxmlformats.org/officeDocument/2006/relationships/hyperlink" Target="https://www.hydrogen.energy.gov/docs/hydrogenprogramlibraries/pdfs/review23/p204_james_2023_o-pdf.pdf" TargetMode="External"/><Relationship Id="rId20" Type="http://schemas.openxmlformats.org/officeDocument/2006/relationships/hyperlink" Target="https://cdn.catf.us/wp-content/uploads/2023/11/15092028/solid-oxide-electrolysis-report.pdf" TargetMode="External"/><Relationship Id="rId1" Type="http://schemas.openxmlformats.org/officeDocument/2006/relationships/hyperlink" Target="https://www.irena.org/-/media/Files/IRENA/Agency/Publication/2020/Dec/IRENA_Green_hydrogen_cost_2020.pdf" TargetMode="External"/><Relationship Id="rId6" Type="http://schemas.openxmlformats.org/officeDocument/2006/relationships/hyperlink" Target="https://www.irena.org/-/media/Files/IRENA/Agency/Publication/2020/Dec/IRENA_Green_hydrogen_cost_2020.pdf" TargetMode="External"/><Relationship Id="rId11" Type="http://schemas.openxmlformats.org/officeDocument/2006/relationships/hyperlink" Target="https://www.goldmansachs.com/pdfs/insights/pages/gs-research/carbonomics-the-clean-hydrogen-revolution/carbonomics-the-clean-hydrogen-revolution.pdf" TargetMode="External"/><Relationship Id="rId24" Type="http://schemas.openxmlformats.org/officeDocument/2006/relationships/hyperlink" Target="https://www.ise.fraunhofer.de/en/publications/studies/catf.html" TargetMode="External"/><Relationship Id="rId5" Type="http://schemas.openxmlformats.org/officeDocument/2006/relationships/hyperlink" Target="https://www.irena.org/-/media/Files/IRENA/Agency/Publication/2020/Dec/IRENA_Green_hydrogen_cost_2020.pdf" TargetMode="External"/><Relationship Id="rId15" Type="http://schemas.openxmlformats.org/officeDocument/2006/relationships/hyperlink" Target="https://www.energy.gov/eere/fuelcells/technical-targets-liquid-alkaline-electrolysis" TargetMode="External"/><Relationship Id="rId23" Type="http://schemas.openxmlformats.org/officeDocument/2006/relationships/hyperlink" Target="https://www.ise.fraunhofer.de/en/publications/studies/catf.html" TargetMode="External"/><Relationship Id="rId10" Type="http://schemas.openxmlformats.org/officeDocument/2006/relationships/hyperlink" Target="https://www.goldmansachs.com/pdfs/insights/pages/gs-research/carbonomics-the-clean-hydrogen-revolution/carbonomics-the-clean-hydrogen-revolution.pdf" TargetMode="External"/><Relationship Id="rId19" Type="http://schemas.openxmlformats.org/officeDocument/2006/relationships/hyperlink" Target="https://cdn.catf.us/wp-content/uploads/2023/11/15092028/solid-oxide-electrolysis-report.pdf" TargetMode="External"/><Relationship Id="rId4" Type="http://schemas.openxmlformats.org/officeDocument/2006/relationships/hyperlink" Target="https://www.irena.org/-/media/Files/IRENA/Agency/Publication/2020/Dec/IRENA_Green_hydrogen_cost_2020.pdf" TargetMode="External"/><Relationship Id="rId9" Type="http://schemas.openxmlformats.org/officeDocument/2006/relationships/hyperlink" Target="https://www.goldmansachs.com/pdfs/insights/pages/gs-research/carbonomics-the-clean-hydrogen-revolution/carbonomics-the-clean-hydrogen-revolution.pdf" TargetMode="External"/><Relationship Id="rId14" Type="http://schemas.openxmlformats.org/officeDocument/2006/relationships/hyperlink" Target="https://www.energy.gov/eere/fuelcells/technical-targets-liquid-alkaline-electrolysis" TargetMode="External"/><Relationship Id="rId22" Type="http://schemas.openxmlformats.org/officeDocument/2006/relationships/hyperlink" Target="https://cdn.catf.us/wp-content/uploads/2023/11/15092028/solid-oxide-electrolysis-report.pdf" TargetMode="External"/><Relationship Id="rId27" Type="http://schemas.openxmlformats.org/officeDocument/2006/relationships/hyperlink" Target="https://aemo.com.au/-/media/files/major-publications/isp/2025/aurecon-2024-energy-technology-costs-and-technical-parameter-review.pdf?la=e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siro.au/en/news/All/News/2024/December/GenCost-2024-25-Draft-Report-released-for-consultation" TargetMode="External"/><Relationship Id="rId2" Type="http://schemas.openxmlformats.org/officeDocument/2006/relationships/hyperlink" Target="https://www.csiro.au/en/news/All/News/2024/December/GenCost-2024-25-Draft-Report-released-for-consultation" TargetMode="External"/><Relationship Id="rId1" Type="http://schemas.openxmlformats.org/officeDocument/2006/relationships/hyperlink" Target="https://www.csiro.au/en/news/All/News/2024/December/GenCost-2024-25-Draft-Report-released-for-consultati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nv.com/Publications/hydrogen-in-the-electricity-value-chain-225850" TargetMode="External"/><Relationship Id="rId13" Type="http://schemas.openxmlformats.org/officeDocument/2006/relationships/hyperlink" Target="https://www.dnv.com/publications/hydrogen-in-the-electricity-value-chain-225850/" TargetMode="External"/><Relationship Id="rId3" Type="http://schemas.openxmlformats.org/officeDocument/2006/relationships/hyperlink" Target="https://www.netzeroaustralia.net.au/wp-content/uploads/2023/04/Net-Zero-Australia-Methods-Assumptions-Scenarios-Sensitivities.pdf" TargetMode="External"/><Relationship Id="rId7" Type="http://schemas.openxmlformats.org/officeDocument/2006/relationships/hyperlink" Target="https://assets.publishing.service.gov.uk/media/659e600b915e0b00135838a6/hydrogen-transport-and-storage-cost-report.pdf" TargetMode="External"/><Relationship Id="rId12" Type="http://schemas.openxmlformats.org/officeDocument/2006/relationships/hyperlink" Target="https://www.researchgate.net/publication/344440099_Flexible_production_of_green_hydrogen_and_ammonia_from_variable_solar_and_wind_energy_Case_study_of_Chile_and_Argentina" TargetMode="External"/><Relationship Id="rId2" Type="http://schemas.openxmlformats.org/officeDocument/2006/relationships/hyperlink" Target="https://www.sciencedirect.com/science/article/abs/pii/S0360319919342089" TargetMode="External"/><Relationship Id="rId16" Type="http://schemas.openxmlformats.org/officeDocument/2006/relationships/hyperlink" Target="https://pdf.sciencedirectassets.com/271472/1-s2.0-S0360319921X00249/1-s2.0-S0360319921005838/main.pdf?X-Amz-Security-Token=IQoJb3JpZ2luX2VjEAMaCXVzLWVhc3QtMSJIMEYCIQDvVUpdZd%2B2tbRuvszUoXaihUyCRJz8PgrDRtzkyluvIgIhALAnkAEjkN%2BqdUjLTfYOGm2N%2Bg%2FdJ2%2F6zVsKvHGGoCc1KrIFCDwQBRoMMDU5MDAzNTQ2ODY1IgyQfx5Q5uSxKtIUghMqjwWg6%2FAiQ2aNp9fL6lMx2aGQ3MorQktJ5CyDS4jcq04UYIXG5f0LBifL%2BKf7%2FZcTk7XZt%2FAde84K5xsmpPLPa11k0%2Flu9JUuMC1KPfoWUjKX9NlJZF7%2Fyr53N6YwZhsZ212MH3xY%2BRXD2Bcmfp%2FXd1PKzfi3nk2wQz%2FVIuhgoDldBUfJGAHSG9o7zqPWzdNw%2BrmRNh9Jx4jgtZ4nn7wlhqrd48O826pL08UJxl3b2evV2z9JRm5jHVoBdc02fpw5BqrjXIez94bYaqnLJ7mY6k6ptCn1F9Nvkq%2FMTwmLjnTkwsZhp4YuKbiJ1OWCjD3bTRWnX6Azz1Iq2iUVmMMnD7t6mYH%2BHcn6etoe2NP9cEvYnJ2%2FTnvqtAd7ICXv0%2FPk7uGuL1A5Ys4WBpZruYaWYyRBqq7dwF%2FyERpq061qC66k45H0Z%2FddnkuR64Y3x%2FZYJAKjiilcHWeXBrEBZPILhxEsxNSDLbi90gEPikm27Y7nzq3WrK%2BmtAhzi8J6oJjSBcwVTVSiyNfl0KEi33%2F9YgjZM%2B37846hi3V6ykKIVjBkn8HQV22o1bogelMNWuI%2BLLrEtMRqDlOTovwFolZTvIW0pmxFCfkKkRcLaI4I%2F2SRWIIQ4WiBti2jsGYJWq7%2Bq0IxOzgZxxKgo3N37NM3DLHsvdx5mllNWKIDxD7UIdtfFF9GDf%2FRCushzsMfDeSI3kRxvR7EHssNEb8sNKIDb83GrTr8UMUgFo0ravv%2BFgi22S6N7WqwDbZ7zRSycgH2WTMCN6VMJRZbrwzwMlLY54E6l0EcYifiEDZEujMf5XPDScSHHlWZfZ7jPr9WIasE3Fti9%2BDPKUPqM8tf3pR8isUB5hfO8x5j0kiifcWuFNDcMJLV9L0GOrABL3pZ96Q0Mbzkt5ZnZy5h9TfnVusOKFORxH3JDNuMRE2ma9mMcow0HTMWAHSB0YYrJhs0jkospDavV856H2n40NEWQ5xVprZoMkfkzelZGGE4qkc5Qii9IGJjXHIswBo5XWmges2Q0VZcAeHXWWfIUfiXSr4OKOym197ayx4SPVdTi0pO9s1VAEuhv3e9anQfl2a5B2n1depJXuF8toPAb9OE0JU6mih2znnYiw5qbfc%3D&amp;X-Amz-Algorithm=AWS4-HMAC-SHA256&amp;X-Amz-Date=20250225T033426Z&amp;X-Amz-SignedHeaders=host&amp;X-Amz-Expires=300&amp;X-Amz-Credential=ASIAQ3PHCVTYRQUEDQVN%2F20250225%2Fus-east-1%2Fs3%2Faws4_request&amp;X-Amz-Signature=8792b2ea3e84d652838a9a796bd60aadc5d75f0be669145e11998eccdeaaf68e&amp;hash=aa991a3aada21f67d9a1bb5c69a5e0a2ba6f063c91349b8cd10d425a0f83fc85&amp;host=68042c943591013ac2b2430a89b270f6af2c76d8dfd086a07176afe7c76c2c61&amp;pii=S0360319921005838&amp;tid=spdf-2a39db51-c48e-4a4a-a1b0-be63a2052f74&amp;sid=bca8c1a88a7bb944688a3479c6a005426433gxrqa&amp;type=client&amp;tsoh=d3d3LnNjaWVuY2VkaXJlY3QuY29t&amp;rh=d3d3LnNjaWVuY2VkaXJlY3Q" TargetMode="External"/><Relationship Id="rId1" Type="http://schemas.openxmlformats.org/officeDocument/2006/relationships/hyperlink" Target="https://www.energymining.sa.gov.au/__data/assets/pdf_file/0011/1006985/66ed5bccec444ce135c4d0697da4f4450da87002.pdf" TargetMode="External"/><Relationship Id="rId6" Type="http://schemas.openxmlformats.org/officeDocument/2006/relationships/hyperlink" Target="https://pdf.sciencedirectassets.com/271429/1-s2.0-S0306261917X00111/1-s2.0-S0306261917305457/mainext.pdf?X-Amz-Security-Token=IQoJb3JpZ2luX2VjEHYaCXVzLWVhc3QtMSJHMEUCIQDOagDNUOTKpAB0X4LyOaiM7RF8NnbusvD16deS781HfQIgflh3pjxEx4Z7TIA2w%2BcGqG2sWEJCZ%2Bxk%2FuCpusneJnEqsgUIfxAFGgwwNTkwMDM1NDY4NjUiDLJSqjhMnc%2BISyguayqPBWB75LXiP9YkaJnyS0seLGtg6WA69FxEMstmGKsZPRneUb7Bwe%2BuDT1tORh3gbAGXhUBUfAxqFe0X5V1hQtL%2F7zPUVo0OimameWEkn%2BesEoQL2nV1hwQGDO5BsUrOMQ6JCEkmI%2FCzvUyemSHKSjsCLHP8NY3Au8g%2BtL6uWa4K%2BwEBeekZiDjJ8job%2F6tbG%2B70Lj%2BHLHQaDCRfNNBsRaFzphGDosmLtDkrHhoIFY%2FMcL0uO2q28I6URoG2WanwxnI9pYRs2S4PVqB7P9BpViOMY4iALyLiEFOrQNHB3tV3WjSx%2FFYUPJJbdofaNZX05DRi3R8WK7%2FeScnpremD1r6CUd5Bsb2G8NBiql4uxrJ0yk2LAIZ871sZ%2FgH10ehJjHHNccRmEMXGOugguMFIcemxBn8uMLKPBkzkLhSnGab5h1Ym8UpcIL3ZBDttV4ApeTdXIcc3QL6zcPtGw1Kur0Pw8bdyjGNdgtACOVtzvfRa8GBhQssoS4r6gEeuyknakAGqdwDXUIRurVJpLrksa%2FQy4CdX0NpD2uY%2BLN77Iw9ZwJXle2PFNob26CdHjIag5xxpreE45y%2F9nCBfu4AjlweDPqvLPfUM9Hsfm%2BHdVnrV0FK6%2BPjfs4j0HrArz1g8BdJCz0KOXp21pvibFskrxVsuLlC%2B6D%2BJchQgowXxxIzWm2%2FY3%2F8S1KqH8C4h5VnoikDoU%2FuIjFh2KEr58nkJM%2BVDI13erP6ZpyUfVNJKenee2fXtkcsM5Rb16HR1ZUPfh53RvKdgpAdfrPyhJxwFR7T3ved8Fn3tz%2FKzJmH6%2Fusf90AtCa%2BcPzN8oZ%2FLvg5AxWScryliHAxEf6P5BL%2FVFeH%2FOPG9Cq8OiMOZzwfKcmKoVow1JvlvAY6sQFXZ%2BNDAqVvwWiA8wAAMFcxHp0oF8nDU%2BpwOgcVxmvimk%2BKwxAF9v3Oy%2Fplvj9pzoz0TV9OLmYnxSnr7ph4lAp0bhf64pZxRTUNlcioJgMLndl3G3ii1guubpqvVEenah7DLAhT3cTRFhl4l928rgCCHP%2BDdneq%2FB0RXQA1fK042%2FkffWsBrsfL13GVG9BvPEk%2BLKQL9f2TAK%2BxdQazxA%2B%2FPd6IZOQLDE9oedH%2BCf9a0%2Bo%3D&amp;X-Amz-Algorithm=AWS4-HMAC-SHA256&amp;X-Amz-Date=20250128T231841Z&amp;X-Amz-SignedHeaders=host&amp;X-Amz-Expires=300&amp;X-Amz-Credential=ASIAQ3PHCVTY457VQVV6%2F20250128%2Fus-east-1%2Fs3%2Faws4_request&amp;X-Amz-Signature=89d01cc22ed6c7c61ddcf8e46e4209e84b70685a4ee0d5c4c3c76c9e936531b9&amp;hash=3a3b7cc08e4e61a3854c6c65762cf883329feb8b7828ff7e4f97b49985ba9fdd&amp;host=68042c943591013ac2b2430a89b270f6af2c76d8dfd086a07176afe7c76c2c61&amp;pii=S0306261917305457&amp;tid=spdf-f8ec336a-4168-41f6-84df-3cc8f2942f48&amp;sid=958fa61e25b34243742ab469e615b94f76degxrqa&amp;type=client&amp;tsoh=d3d3LnNjaWVuY2VkaXJl" TargetMode="External"/><Relationship Id="rId11" Type="http://schemas.openxmlformats.org/officeDocument/2006/relationships/hyperlink" Target="https://ens.dk/en/analyses-and-statistics/technology-data-energy-storage" TargetMode="External"/><Relationship Id="rId5" Type="http://schemas.openxmlformats.org/officeDocument/2006/relationships/hyperlink" Target="https://pdf.sciencedirectassets.com/271750/1-s2.0-S0959652622X00164/1-s2.0-S0959652622009659/main.pdf?X-Amz-Security-Token=IQoJb3JpZ2luX2VjEHcaCXVzLWVhc3QtMSJIMEYCIQDbE5x%2FzKffr2LQZILUzAD9iY%2BXz2JJGRggr0aSYziiIQIhALXG82YG3bOsB6hPcnoq3jNZOGUftGrEkSPzFWP7g5bIKrsFCID%2F%2F%2F%2F%2F%2F%2F%2F%2F%2FwEQBRoMMDU5MDAzNTQ2ODY1IgwZnheL7gzzpDfYMsIqjwXlcJjq2MqhSK4Cs0EtDLz6RNlyOUtp53tPdokHeOQ2gyGyOLkJ%2Ff6RLczQkP2EZAiqHRJADV6jGCHgUOKEOKOUt7FWAZL122TDuMrRToLIkDOJoKjnwU9jjxloE9xYSQZ9iBqJOQe1ycCR%2FiwZ1hWZArOo2gIg02OsrJN%2FYxY9aeK2CnoWWeMLkye%2Fms%2B7cAJySqg1lkmvwM4YjgeIPfEuJIyy58K3jBVy9g4NVy8jZXbfgfuknplEQhFDcBUTCCef2bKqg8jestwAqRV8TzumJPEiuD7Mq%2FVmUAqyC73rSsdD1ntGvSLFVsyxAVxllI5%2FQK9FC%2F%2FYNcTqRuq8CYpcb7kM7hDX%2F76eHo%2BV1oaQqOOdfWkW3VuQpfCMHdWunWgwWn48oH8dfpaC4CtvIMjZIKhZ09UQrkEt96YcerOaBsgi2XsJ3CAayhKJ9t9chBmQ%2FTRrAR0%2F3yF7%2BCnFYSL2D9QLsEluD8dcNBSVVYXDL9OrSdw4rE99XhGHWaFm0b17fjP3Ee%2B3VI63f62fNY3RQ7fAQf4VcqgG3PcPkmGPGBNgEGhHvpjLniI2OLt4tlwQs0pzAZNTZb7Y64bQiTpDD68aoYZZzkpqFp19ZNTf94Rrq8FaePkMqKEkRFIt80%2BdAcJOA4GAUBVhi9tNyX24WFxX%2BTj2VsmJ1yDZmhevsJg0nb8Iy0THvAwEI7PDr2tpGMVzzjgEe2RMCYoT6%2FIcTAzKvNcTdupnVsC3RcpDov0Ubo%2FZx6UN42uB3B422IfN915E7evy5DClO6GW2WiNVq4qCT9W4slhcjP6upe3ynHmNPsqSdsnh2TJSulgmcg%2F33J2%2BHFPAVILxu8rtZcTWshYi1x2HitYcgzR9akzMJy35bwGOrABFrvUuo%2BZUrIXCVwXYjcm1Beki8KLp%2BTOHd4v6o7beP4FikperffLgVj3SpmAUEQ1Y2MOIisks75yq1bXOeUOFauI7tUKeFyH%2B6Jhs1ytP2RyyNcshZlSGc%2FL9x%2FwKxzBZ2h2RM9pPmVRO8RvrB%2BjOl%2FbZV%2BwZ3x5fOnqk5M4SIYQvoLzaPhiu%2FIrP9Q3Re54GqLN1KSNJjUArYaCgaQ4JOC0Mx0c5h8JRODQQEAdknY%3D&amp;X-Amz-Algorithm=AWS4-HMAC-SHA256&amp;X-Amz-Date=20250128T225946Z&amp;X-Amz-SignedHeaders=host&amp;X-Amz-Expires=300&amp;X-Amz-Credential=ASIAQ3PHCVTY2F5SIHSA%2F20250128%2Fus-east-1%2Fs3%2Faws4_request&amp;X-Amz-Signature=3dc0fcb28826685aaf4dbf1d7a8076175c0dd207662bd692b365b7e5bd3f580c&amp;hash=6763244b41965ca06ef4fc04a6395e2432f13b392b3994472dcedcce3bdf681a&amp;host=68042c943591013ac2b2430a89b270f6af2c76d8dfd086a07176afe7c76c2c61&amp;pii=S0959652622009659&amp;tid=spdf-596df5b5-0b97-4e3a-ab69-db808eae64cf&amp;sid=958fa61e25b34243742ab469e615b94f76degxrqa&amp;type=client&amp;tsoh=d3d3LnNjaWVuY2VkaXJlY" TargetMode="External"/><Relationship Id="rId15" Type="http://schemas.openxmlformats.org/officeDocument/2006/relationships/hyperlink" Target="https://apps.dtic.mil/sti/tr/pdf/AD1053240.pdf" TargetMode="External"/><Relationship Id="rId10" Type="http://schemas.openxmlformats.org/officeDocument/2006/relationships/hyperlink" Target="https://www.nrel.gov/docs/fy14osti/58564.pdf" TargetMode="External"/><Relationship Id="rId4" Type="http://schemas.openxmlformats.org/officeDocument/2006/relationships/hyperlink" Target="https://www.dcceew.gov.au/sites/default/files/documents/national-hydrogen-infrastructure-assessment-final-report.pdf" TargetMode="External"/><Relationship Id="rId9" Type="http://schemas.openxmlformats.org/officeDocument/2006/relationships/hyperlink" Target="https://www2.deloitte.com/content/dam/Deloitte/global/Documents/gx-eri-investing-in-hydrogen.pdf" TargetMode="External"/><Relationship Id="rId14" Type="http://schemas.openxmlformats.org/officeDocument/2006/relationships/hyperlink" Target="https://www.csiro.au/-/media/Do-Business/Files/Futures/18-00314_EN_NationalHydrogenRoadmap_WEB_180823.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www.boc.com.au/wcsstore/AU_BOC_Industrial_Store/pdf/product/en_AU/Tech%20Sheet%20-%20Hydrogen.pdf" TargetMode="External"/><Relationship Id="rId1" Type="http://schemas.openxmlformats.org/officeDocument/2006/relationships/hyperlink" Target="https://iea.blob.core.windows.net/assets/36017d2f-747b-4993-b06d-33209fe143fa/GHR24AssumptionsAnnex.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pglobal.com/commodityinsights/plattscontent/_assets/_files/en/productsservices/market-reports/dry-freight-wire-030818.pdf" TargetMode="External"/><Relationship Id="rId3" Type="http://schemas.openxmlformats.org/officeDocument/2006/relationships/hyperlink" Target="https://drive.google.com/file/d/1z8yHwqOk43CPTw02UBcb1bCvZwNFYejJ/view" TargetMode="External"/><Relationship Id="rId7" Type="http://schemas.openxmlformats.org/officeDocument/2006/relationships/hyperlink" Target="https://sea-distances.org/advanced" TargetMode="External"/><Relationship Id="rId2" Type="http://schemas.openxmlformats.org/officeDocument/2006/relationships/hyperlink" Target="https://drive.google.com/file/d/1z8yHwqOk43CPTw02UBcb1bCvZwNFYejJ/view" TargetMode="External"/><Relationship Id="rId1" Type="http://schemas.openxmlformats.org/officeDocument/2006/relationships/hyperlink" Target="https://drive.google.com/file/d/1z8yHwqOk43CPTw02UBcb1bCvZwNFYejJ/view" TargetMode="External"/><Relationship Id="rId6" Type="http://schemas.openxmlformats.org/officeDocument/2006/relationships/hyperlink" Target="https://sea-distances.org/advanced" TargetMode="External"/><Relationship Id="rId5" Type="http://schemas.openxmlformats.org/officeDocument/2006/relationships/hyperlink" Target="https://www.spglobal.com/commodityinsights/plattscontent/_assets/_files/en/productsservices/market-reports/dry-freight-wire-030818.pdf" TargetMode="External"/><Relationship Id="rId10" Type="http://schemas.openxmlformats.org/officeDocument/2006/relationships/hyperlink" Target="https://sea-distances.org/advanced" TargetMode="External"/><Relationship Id="rId4" Type="http://schemas.openxmlformats.org/officeDocument/2006/relationships/hyperlink" Target="https://www.spglobal.com/commodityinsights/PlattsContent/_assets/_files/en/our-methodology/methodology-specifications/global_iron_ore.pdf" TargetMode="External"/><Relationship Id="rId9" Type="http://schemas.openxmlformats.org/officeDocument/2006/relationships/hyperlink" Target="https://sea-distances.org/advanced"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gig.com.au/customer-access" TargetMode="External"/><Relationship Id="rId3" Type="http://schemas.openxmlformats.org/officeDocument/2006/relationships/hyperlink" Target="https://aemo.com.au/energy-systems/gas/gas-forecasting-and-planning/gas-statement-of-opportunities-gsoo" TargetMode="External"/><Relationship Id="rId7" Type="http://schemas.openxmlformats.org/officeDocument/2006/relationships/hyperlink" Target="https://www.agig.com.au/customer-access" TargetMode="External"/><Relationship Id="rId2" Type="http://schemas.openxmlformats.org/officeDocument/2006/relationships/hyperlink" Target="https://aemo.com.au/energy-systems/gas/gas-forecasting-and-planning/gas-statement-of-opportunities-gsoo" TargetMode="External"/><Relationship Id="rId1" Type="http://schemas.openxmlformats.org/officeDocument/2006/relationships/hyperlink" Target="https://aemo.com.au/energy-systems/gas/gas-forecasting-and-planning/gas-statement-of-opportunities-gsoo" TargetMode="External"/><Relationship Id="rId6" Type="http://schemas.openxmlformats.org/officeDocument/2006/relationships/hyperlink" Target="https://www.apa.com.au/operations-and-projects/gas/gas-transmission/tariffs-and-terms" TargetMode="External"/><Relationship Id="rId5" Type="http://schemas.openxmlformats.org/officeDocument/2006/relationships/hyperlink" Target="https://epicenergy.com.au/wp-content/uploads/2023/12/Price-Methodology-MAPS.pdf" TargetMode="External"/><Relationship Id="rId4" Type="http://schemas.openxmlformats.org/officeDocument/2006/relationships/hyperlink" Target="https://epicenergy.com.au/wp-content/uploads/2023/12/Price-Methodology-MAPS.pdf" TargetMode="External"/><Relationship Id="rId9" Type="http://schemas.openxmlformats.org/officeDocument/2006/relationships/hyperlink" Target="https://www.apa.com.au/operations-and-projects/gas/gas-transmission/tariffs-and-terms."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publications.jrc.ec.europa.eu/repository/bitstream/JRC129297/JRC129297_01.pdf" TargetMode="External"/><Relationship Id="rId1" Type="http://schemas.openxmlformats.org/officeDocument/2006/relationships/hyperlink" Target="https://eippcb.jrc.ec.europa.eu/sites/default/files/2019-11/IS_Adopted_03_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D23"/>
  <sheetViews>
    <sheetView tabSelected="1" workbookViewId="0">
      <selection activeCell="G14" sqref="G14"/>
    </sheetView>
  </sheetViews>
  <sheetFormatPr baseColWidth="10" defaultColWidth="12.6640625" defaultRowHeight="15.75" customHeight="1"/>
  <cols>
    <col min="1" max="1" width="3.6640625" style="43" customWidth="1"/>
    <col min="2" max="2" width="25.1640625" style="43" customWidth="1"/>
    <col min="3" max="3" width="13.1640625" style="43" customWidth="1"/>
    <col min="4" max="4" width="38.1640625" style="43" customWidth="1"/>
    <col min="5" max="5" width="3.5" style="43" customWidth="1"/>
    <col min="6" max="16384" width="12.6640625" style="43"/>
  </cols>
  <sheetData>
    <row r="1" spans="2:4" ht="15.75" customHeight="1">
      <c r="B1" s="44"/>
      <c r="C1" s="44"/>
      <c r="D1" s="44"/>
    </row>
    <row r="2" spans="2:4" ht="13">
      <c r="B2" s="38" t="s">
        <v>0</v>
      </c>
      <c r="C2" s="39"/>
      <c r="D2" s="39"/>
    </row>
    <row r="3" spans="2:4" ht="63" customHeight="1">
      <c r="B3" s="42" t="s">
        <v>516</v>
      </c>
      <c r="C3" s="39"/>
      <c r="D3" s="39"/>
    </row>
    <row r="4" spans="2:4" ht="13">
      <c r="B4" s="40">
        <v>45778</v>
      </c>
      <c r="C4" s="39"/>
      <c r="D4" s="39"/>
    </row>
    <row r="5" spans="2:4" ht="13">
      <c r="B5" s="41" t="s">
        <v>1</v>
      </c>
      <c r="C5" s="39"/>
      <c r="D5" s="39"/>
    </row>
    <row r="6" spans="2:4" ht="13">
      <c r="D6" s="45"/>
    </row>
    <row r="7" spans="2:4" ht="14">
      <c r="B7" s="1" t="s">
        <v>2</v>
      </c>
      <c r="C7" s="2" t="s">
        <v>3</v>
      </c>
      <c r="D7" s="3" t="s">
        <v>4</v>
      </c>
    </row>
    <row r="8" spans="2:4" ht="28">
      <c r="B8" s="4"/>
      <c r="C8" s="5" t="s">
        <v>5</v>
      </c>
      <c r="D8" s="6" t="s">
        <v>6</v>
      </c>
    </row>
    <row r="9" spans="2:4" ht="14">
      <c r="B9" s="7" t="s">
        <v>7</v>
      </c>
      <c r="C9" s="8" t="s">
        <v>8</v>
      </c>
      <c r="D9" s="9" t="s">
        <v>9</v>
      </c>
    </row>
    <row r="10" spans="2:4" ht="14">
      <c r="B10" s="7" t="s">
        <v>10</v>
      </c>
      <c r="C10" s="8" t="s">
        <v>11</v>
      </c>
      <c r="D10" s="9" t="s">
        <v>12</v>
      </c>
    </row>
    <row r="11" spans="2:4" ht="14">
      <c r="B11" s="7" t="s">
        <v>14</v>
      </c>
      <c r="C11" s="8" t="s">
        <v>15</v>
      </c>
      <c r="D11" s="9" t="s">
        <v>16</v>
      </c>
    </row>
    <row r="12" spans="2:4" ht="14">
      <c r="B12" s="7" t="s">
        <v>17</v>
      </c>
      <c r="C12" s="8" t="s">
        <v>18</v>
      </c>
      <c r="D12" s="9" t="s">
        <v>19</v>
      </c>
    </row>
    <row r="13" spans="2:4" ht="14">
      <c r="B13" s="7" t="s">
        <v>20</v>
      </c>
      <c r="C13" s="8" t="s">
        <v>21</v>
      </c>
      <c r="D13" s="9" t="s">
        <v>22</v>
      </c>
    </row>
    <row r="14" spans="2:4" ht="14">
      <c r="B14" s="7" t="s">
        <v>23</v>
      </c>
      <c r="C14" s="8" t="s">
        <v>24</v>
      </c>
      <c r="D14" s="9" t="s">
        <v>25</v>
      </c>
    </row>
    <row r="15" spans="2:4" ht="14">
      <c r="B15" s="7" t="s">
        <v>26</v>
      </c>
      <c r="C15" s="8" t="s">
        <v>27</v>
      </c>
      <c r="D15" s="9" t="s">
        <v>28</v>
      </c>
    </row>
    <row r="16" spans="2:4" ht="14">
      <c r="B16" s="7" t="s">
        <v>29</v>
      </c>
      <c r="C16" s="8" t="s">
        <v>27</v>
      </c>
      <c r="D16" s="10" t="s">
        <v>30</v>
      </c>
    </row>
    <row r="17" spans="2:4" ht="28">
      <c r="B17" s="7" t="s">
        <v>31</v>
      </c>
      <c r="C17" s="8" t="s">
        <v>32</v>
      </c>
      <c r="D17" s="9" t="s">
        <v>33</v>
      </c>
    </row>
    <row r="18" spans="2:4" ht="28">
      <c r="B18" s="7" t="s">
        <v>34</v>
      </c>
      <c r="C18" s="8" t="s">
        <v>32</v>
      </c>
      <c r="D18" s="9" t="s">
        <v>35</v>
      </c>
    </row>
    <row r="19" spans="2:4" ht="14">
      <c r="B19" s="7" t="s">
        <v>36</v>
      </c>
      <c r="C19" s="8" t="s">
        <v>37</v>
      </c>
      <c r="D19" s="10" t="s">
        <v>38</v>
      </c>
    </row>
    <row r="20" spans="2:4" ht="14">
      <c r="B20" s="7" t="s">
        <v>39</v>
      </c>
      <c r="C20" s="8" t="s">
        <v>37</v>
      </c>
      <c r="D20" s="10" t="s">
        <v>40</v>
      </c>
    </row>
    <row r="21" spans="2:4" ht="28">
      <c r="B21" s="7" t="s">
        <v>41</v>
      </c>
      <c r="C21" s="8" t="s">
        <v>37</v>
      </c>
      <c r="D21" s="10" t="s">
        <v>42</v>
      </c>
    </row>
    <row r="22" spans="2:4" ht="28">
      <c r="B22" s="46" t="s">
        <v>518</v>
      </c>
      <c r="C22" s="11"/>
      <c r="D22" s="12" t="s">
        <v>517</v>
      </c>
    </row>
    <row r="23" spans="2:4" ht="15.75" customHeight="1">
      <c r="B23" s="13"/>
      <c r="C23" s="13"/>
      <c r="D23" s="14"/>
    </row>
  </sheetData>
  <mergeCells count="4">
    <mergeCell ref="B2:D2"/>
    <mergeCell ref="B3:D3"/>
    <mergeCell ref="B4:D4"/>
    <mergeCell ref="B5:D5"/>
  </mergeCells>
  <hyperlinks>
    <hyperlink ref="C8" location="ironMaking!A1" display="ironMaking" xr:uid="{00000000-0004-0000-0000-000000000000}"/>
    <hyperlink ref="B9" location="waterProduceUnitCapex!A1" display="waterProduceUnitCapex" xr:uid="{00000000-0004-0000-0000-000001000000}"/>
    <hyperlink ref="B10" location="electricityToH2!A1" display="electricityToH2" xr:uid="{00000000-0004-0000-0000-000002000000}"/>
    <hyperlink ref="B11" location="h2StoreUnitCapex!A1" display="h2StoreUnitCapex" xr:uid="{00000000-0004-0000-0000-000004000000}"/>
    <hyperlink ref="B12" location="h2DistributeUnitCapex!A1" display="h2DistributeUnitCapex" xr:uid="{00000000-0004-0000-0000-000005000000}"/>
    <hyperlink ref="B13" location="ironOreUnitCost!A1" display="ironOreUnitCost" xr:uid="{00000000-0004-0000-0000-000006000000}"/>
    <hyperlink ref="B14" location="naturalGasUnitCost!A1" display="naturalGasUnitCost" xr:uid="{00000000-0004-0000-0000-000007000000}"/>
    <hyperlink ref="B15" location="electricityToIronPreP!A1" display="electricityToIronPreP" xr:uid="{00000000-0004-0000-0000-000008000000}"/>
    <hyperlink ref="B16" location="naturalGasToIronPreP!A1" display="naturalGasToIronPreP" xr:uid="{00000000-0004-0000-0000-000009000000}"/>
    <hyperlink ref="B17" location="electricityToIronRaw!A1" display="electricityToIronRaw" xr:uid="{00000000-0004-0000-0000-00000A000000}"/>
    <hyperlink ref="B18" location="ironRawProduceUnitCapex!A1" display="ironRawProduceUnitCapex" xr:uid="{00000000-0004-0000-0000-00000B000000}"/>
    <hyperlink ref="B19" location="capexCostsFactor!A1" display="capexCostsFactor" xr:uid="{00000000-0004-0000-0000-00000C000000}"/>
    <hyperlink ref="B20" location="foakContingency!A1" display="foakContingency" xr:uid="{00000000-0004-0000-0000-00000D000000}"/>
    <hyperlink ref="B21" location="foakWacc!A1" display="foakWacc" xr:uid="{00000000-0004-0000-0000-00000E000000}"/>
    <hyperlink ref="B22" location="RCM!A1" display="Reserve Capacity Mechanism"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B1:G13"/>
  <sheetViews>
    <sheetView workbookViewId="0">
      <selection activeCell="J8" sqref="J8"/>
    </sheetView>
  </sheetViews>
  <sheetFormatPr baseColWidth="10" defaultColWidth="12.6640625" defaultRowHeight="15.75" customHeight="1"/>
  <cols>
    <col min="1" max="1" width="3.5" style="43" customWidth="1"/>
    <col min="2" max="2" width="23.5" style="43" customWidth="1"/>
    <col min="3" max="5" width="12.6640625" style="43"/>
    <col min="6" max="6" width="38.6640625" style="43" customWidth="1"/>
    <col min="7" max="7" width="3.83203125" style="43" customWidth="1"/>
    <col min="8" max="16384" width="12.6640625" style="43"/>
  </cols>
  <sheetData>
    <row r="1" spans="2:7" ht="15.75" customHeight="1">
      <c r="G1" s="137" t="s">
        <v>43</v>
      </c>
    </row>
    <row r="2" spans="2:7" ht="15.75" customHeight="1">
      <c r="B2" s="274" t="s">
        <v>337</v>
      </c>
    </row>
    <row r="3" spans="2:7" ht="15.75" customHeight="1">
      <c r="B3" s="136"/>
    </row>
    <row r="4" spans="2:7" ht="15.75" customHeight="1">
      <c r="B4" s="136" t="s">
        <v>338</v>
      </c>
    </row>
    <row r="5" spans="2:7" ht="15.75" customHeight="1">
      <c r="B5" s="151" t="s">
        <v>176</v>
      </c>
      <c r="C5" s="152" t="s">
        <v>177</v>
      </c>
      <c r="D5" s="152" t="s">
        <v>178</v>
      </c>
      <c r="E5" s="152" t="s">
        <v>179</v>
      </c>
      <c r="F5" s="236" t="s">
        <v>122</v>
      </c>
    </row>
    <row r="6" spans="2:7" ht="42">
      <c r="B6" s="237" t="s">
        <v>339</v>
      </c>
      <c r="C6" s="170">
        <f>C11/1000</f>
        <v>1.0589999999999999</v>
      </c>
      <c r="D6" s="170">
        <f>AVERAGE(C10:C11)/1000</f>
        <v>1.0649999999999999</v>
      </c>
      <c r="E6" s="170">
        <f>C10/1000</f>
        <v>1.071</v>
      </c>
      <c r="F6" s="332" t="s">
        <v>340</v>
      </c>
    </row>
    <row r="7" spans="2:7" ht="70">
      <c r="B7" s="237" t="s">
        <v>341</v>
      </c>
      <c r="C7" s="170">
        <f>B13</f>
        <v>0.31949999999999995</v>
      </c>
      <c r="D7" s="170">
        <f>D6*0.4</f>
        <v>0.42599999999999999</v>
      </c>
      <c r="E7" s="170">
        <f>D13</f>
        <v>0.53249999999999997</v>
      </c>
      <c r="F7" s="332" t="s">
        <v>342</v>
      </c>
    </row>
    <row r="8" spans="2:7" ht="15.75" customHeight="1">
      <c r="B8" s="49"/>
      <c r="C8" s="49"/>
      <c r="D8" s="49"/>
      <c r="E8" s="49"/>
      <c r="F8" s="50"/>
    </row>
    <row r="9" spans="2:7" ht="15.75" customHeight="1">
      <c r="B9" s="190" t="s">
        <v>177</v>
      </c>
      <c r="C9" s="152" t="s">
        <v>178</v>
      </c>
      <c r="D9" s="152" t="s">
        <v>179</v>
      </c>
      <c r="E9" s="152" t="s">
        <v>131</v>
      </c>
      <c r="F9" s="238" t="s">
        <v>122</v>
      </c>
    </row>
    <row r="10" spans="2:7" ht="56">
      <c r="B10" s="333"/>
      <c r="C10" s="335">
        <f>306+14+342+223+186</f>
        <v>1071</v>
      </c>
      <c r="D10" s="60"/>
      <c r="E10" s="336" t="s">
        <v>343</v>
      </c>
      <c r="F10" s="257" t="s">
        <v>344</v>
      </c>
    </row>
    <row r="11" spans="2:7" ht="14">
      <c r="B11" s="337"/>
      <c r="C11" s="339">
        <v>1059</v>
      </c>
      <c r="D11" s="335"/>
      <c r="E11" s="336" t="s">
        <v>335</v>
      </c>
      <c r="F11" s="257" t="s">
        <v>110</v>
      </c>
    </row>
    <row r="12" spans="2:7" ht="15.75" customHeight="1">
      <c r="B12" s="333"/>
      <c r="C12" s="339">
        <v>424</v>
      </c>
      <c r="D12" s="335"/>
      <c r="E12" s="336" t="s">
        <v>335</v>
      </c>
      <c r="F12" s="257" t="s">
        <v>113</v>
      </c>
    </row>
    <row r="13" spans="2:7" ht="70">
      <c r="B13" s="340">
        <f>D6*0.3</f>
        <v>0.31949999999999995</v>
      </c>
      <c r="C13" s="341">
        <f>D6*0.4</f>
        <v>0.42599999999999999</v>
      </c>
      <c r="D13" s="342">
        <f>D6*0.5</f>
        <v>0.53249999999999997</v>
      </c>
      <c r="E13" s="343" t="s">
        <v>345</v>
      </c>
      <c r="F13" s="344" t="s">
        <v>342</v>
      </c>
    </row>
  </sheetData>
  <hyperlinks>
    <hyperlink ref="G1" location="Index!A1" display="←" xr:uid="{00000000-0004-0000-0A00-000000000000}"/>
    <hyperlink ref="E10" r:id="rId1" xr:uid="{00000000-0004-0000-0A00-000001000000}"/>
    <hyperlink ref="E11" r:id="rId2" xr:uid="{00000000-0004-0000-0A00-000002000000}"/>
    <hyperlink ref="E12" r:id="rId3" xr:uid="{00000000-0004-0000-0A00-000003000000}"/>
    <hyperlink ref="E13" r:id="rId4" xr:uid="{00000000-0004-0000-0A00-000004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2"/>
  <sheetViews>
    <sheetView workbookViewId="0">
      <selection activeCell="G12" sqref="G12"/>
    </sheetView>
  </sheetViews>
  <sheetFormatPr baseColWidth="10" defaultColWidth="12.6640625" defaultRowHeight="15.75" customHeight="1"/>
  <cols>
    <col min="1" max="1" width="3.5" style="43" customWidth="1"/>
    <col min="2" max="2" width="20.6640625" style="43" customWidth="1"/>
    <col min="3" max="3" width="21.6640625" style="43" bestFit="1" customWidth="1"/>
    <col min="4" max="4" width="37.5" style="43" bestFit="1" customWidth="1"/>
    <col min="5" max="5" width="12.1640625" style="43" bestFit="1" customWidth="1"/>
    <col min="6" max="7" width="37.6640625" style="43" customWidth="1"/>
    <col min="8" max="8" width="3.6640625" style="43" customWidth="1"/>
    <col min="9" max="16384" width="12.6640625" style="43"/>
  </cols>
  <sheetData>
    <row r="1" spans="1:8" ht="15.75" customHeight="1">
      <c r="A1" s="49"/>
      <c r="B1" s="49"/>
      <c r="C1" s="49"/>
      <c r="D1" s="49"/>
      <c r="E1" s="49"/>
      <c r="F1" s="49"/>
      <c r="G1" s="49"/>
      <c r="H1" s="137" t="s">
        <v>43</v>
      </c>
    </row>
    <row r="2" spans="1:8" ht="15.75" customHeight="1">
      <c r="A2" s="49"/>
      <c r="B2" s="119" t="s">
        <v>31</v>
      </c>
      <c r="C2" s="49"/>
      <c r="D2" s="49"/>
      <c r="E2" s="49"/>
      <c r="F2" s="49"/>
      <c r="G2" s="49"/>
      <c r="H2" s="49"/>
    </row>
    <row r="3" spans="1:8" ht="15.75" customHeight="1">
      <c r="A3" s="49"/>
      <c r="B3" s="49"/>
      <c r="C3" s="49"/>
      <c r="D3" s="49"/>
      <c r="E3" s="49"/>
      <c r="F3" s="49"/>
      <c r="G3" s="49"/>
      <c r="H3" s="49"/>
    </row>
    <row r="4" spans="1:8" ht="15.75" customHeight="1">
      <c r="A4" s="49"/>
      <c r="B4" s="49"/>
      <c r="C4" s="49" t="s">
        <v>346</v>
      </c>
      <c r="D4" s="49"/>
      <c r="E4" s="49"/>
      <c r="F4" s="49"/>
      <c r="G4" s="49"/>
      <c r="H4" s="49"/>
    </row>
    <row r="5" spans="1:8" ht="15.75" customHeight="1">
      <c r="A5" s="49"/>
      <c r="B5" s="151" t="s">
        <v>176</v>
      </c>
      <c r="C5" s="152" t="s">
        <v>177</v>
      </c>
      <c r="D5" s="152" t="s">
        <v>178</v>
      </c>
      <c r="E5" s="152" t="s">
        <v>179</v>
      </c>
      <c r="F5" s="152" t="s">
        <v>122</v>
      </c>
      <c r="G5" s="345"/>
      <c r="H5" s="49"/>
    </row>
    <row r="6" spans="1:8" ht="15.75" customHeight="1">
      <c r="A6" s="49"/>
      <c r="B6" s="370" t="s">
        <v>70</v>
      </c>
      <c r="C6" s="135">
        <f t="shared" ref="C6:E6" si="0">C10+C11</f>
        <v>1.1729784366576819</v>
      </c>
      <c r="D6" s="135">
        <f t="shared" si="0"/>
        <v>1.3016427073974244</v>
      </c>
      <c r="E6" s="135">
        <f t="shared" si="0"/>
        <v>1.4599730458221023</v>
      </c>
      <c r="F6" s="346"/>
      <c r="G6" s="347"/>
      <c r="H6" s="49"/>
    </row>
    <row r="7" spans="1:8" ht="15.75" customHeight="1">
      <c r="A7" s="49"/>
      <c r="B7" s="302" t="s">
        <v>87</v>
      </c>
      <c r="C7" s="150">
        <f t="shared" ref="C7:E7" si="1">C12</f>
        <v>0.9</v>
      </c>
      <c r="D7" s="150">
        <f t="shared" si="1"/>
        <v>1.1000000000000001</v>
      </c>
      <c r="E7" s="150">
        <f t="shared" si="1"/>
        <v>1.3</v>
      </c>
      <c r="F7" s="348"/>
      <c r="G7" s="307"/>
      <c r="H7" s="49"/>
    </row>
    <row r="8" spans="1:8" ht="15.75" customHeight="1">
      <c r="A8" s="49"/>
      <c r="B8" s="49"/>
      <c r="C8" s="49"/>
      <c r="D8" s="49"/>
      <c r="E8" s="49"/>
      <c r="F8" s="49"/>
      <c r="G8" s="49"/>
      <c r="H8" s="49"/>
    </row>
    <row r="9" spans="1:8" ht="15.75" customHeight="1">
      <c r="A9" s="49"/>
      <c r="B9" s="371" t="s">
        <v>176</v>
      </c>
      <c r="C9" s="152" t="s">
        <v>177</v>
      </c>
      <c r="D9" s="152" t="s">
        <v>178</v>
      </c>
      <c r="E9" s="152" t="s">
        <v>179</v>
      </c>
      <c r="F9" s="192" t="s">
        <v>122</v>
      </c>
      <c r="G9" s="186" t="s">
        <v>131</v>
      </c>
      <c r="H9" s="49"/>
    </row>
    <row r="10" spans="1:8" ht="15.75" customHeight="1">
      <c r="A10" s="49"/>
      <c r="B10" s="301" t="s">
        <v>347</v>
      </c>
      <c r="C10" s="135">
        <f>105/1000</f>
        <v>0.105</v>
      </c>
      <c r="D10" s="135">
        <f>AVERAGE(C10,E10)</f>
        <v>0.11499999999999999</v>
      </c>
      <c r="E10" s="135">
        <f>125/1000</f>
        <v>0.125</v>
      </c>
      <c r="F10" s="349" t="s">
        <v>348</v>
      </c>
      <c r="G10" s="350" t="s">
        <v>349</v>
      </c>
      <c r="H10" s="49"/>
    </row>
    <row r="11" spans="1:8" ht="13">
      <c r="A11" s="49"/>
      <c r="B11" s="301" t="s">
        <v>350</v>
      </c>
      <c r="C11" s="135">
        <f>F20</f>
        <v>1.0679784366576819</v>
      </c>
      <c r="D11" s="135">
        <f>F20/0.9</f>
        <v>1.1866427073974244</v>
      </c>
      <c r="E11" s="135">
        <f>F20/0.8</f>
        <v>1.3349730458221023</v>
      </c>
      <c r="F11" s="49" t="s">
        <v>351</v>
      </c>
      <c r="G11" s="353" t="s">
        <v>352</v>
      </c>
      <c r="H11" s="49"/>
    </row>
    <row r="12" spans="1:8" ht="28">
      <c r="A12" s="49"/>
      <c r="B12" s="302" t="s">
        <v>87</v>
      </c>
      <c r="C12" s="89">
        <v>0.9</v>
      </c>
      <c r="D12" s="150">
        <f>AVERAGE(C12,E12)</f>
        <v>1.1000000000000001</v>
      </c>
      <c r="E12" s="89">
        <v>1.3</v>
      </c>
      <c r="F12" s="348" t="s">
        <v>353</v>
      </c>
      <c r="G12" s="351" t="s">
        <v>354</v>
      </c>
      <c r="H12" s="49"/>
    </row>
    <row r="13" spans="1:8" ht="15.75" customHeight="1">
      <c r="A13" s="49"/>
      <c r="B13" s="49"/>
      <c r="C13" s="49"/>
      <c r="D13" s="49"/>
      <c r="E13" s="49"/>
      <c r="F13" s="49"/>
      <c r="G13" s="49"/>
      <c r="H13" s="49"/>
    </row>
    <row r="14" spans="1:8" ht="15.75" customHeight="1">
      <c r="A14" s="49"/>
      <c r="C14" s="352"/>
      <c r="D14" s="368"/>
      <c r="E14" s="369" t="s">
        <v>65</v>
      </c>
      <c r="F14" s="369" t="s">
        <v>304</v>
      </c>
      <c r="H14" s="49"/>
    </row>
    <row r="15" spans="1:8" ht="15.75" customHeight="1">
      <c r="A15" s="49"/>
      <c r="C15" s="354" t="s">
        <v>355</v>
      </c>
      <c r="D15" s="366" t="s">
        <v>356</v>
      </c>
      <c r="E15" s="355" t="s">
        <v>357</v>
      </c>
      <c r="F15" s="356">
        <v>0.32</v>
      </c>
      <c r="H15" s="49"/>
    </row>
    <row r="16" spans="1:8" ht="15.75" customHeight="1">
      <c r="A16" s="49"/>
      <c r="C16" s="357" t="s">
        <v>358</v>
      </c>
      <c r="D16" s="54" t="s">
        <v>359</v>
      </c>
      <c r="E16" s="358" t="s">
        <v>360</v>
      </c>
      <c r="F16" s="359">
        <v>250</v>
      </c>
      <c r="H16" s="49"/>
    </row>
    <row r="17" spans="1:8" ht="15.75" customHeight="1">
      <c r="A17" s="49"/>
      <c r="C17" s="360" t="s">
        <v>361</v>
      </c>
      <c r="D17" s="54" t="s">
        <v>362</v>
      </c>
      <c r="E17" s="358"/>
      <c r="F17" s="359">
        <v>11.13</v>
      </c>
      <c r="H17" s="49"/>
    </row>
    <row r="18" spans="1:8" ht="15.75" customHeight="1">
      <c r="A18" s="49"/>
      <c r="C18" s="360" t="s">
        <v>361</v>
      </c>
      <c r="D18" s="54" t="s">
        <v>363</v>
      </c>
      <c r="E18" s="358" t="s">
        <v>364</v>
      </c>
      <c r="F18" s="359">
        <v>33.299999999999997</v>
      </c>
      <c r="H18" s="49"/>
    </row>
    <row r="19" spans="1:8" ht="15.75" customHeight="1">
      <c r="A19" s="49"/>
      <c r="B19" s="49"/>
      <c r="C19" s="361"/>
      <c r="D19" s="367" t="s">
        <v>365</v>
      </c>
      <c r="E19" s="362" t="s">
        <v>366</v>
      </c>
      <c r="F19" s="363">
        <f>F16/F17*F18/1000</f>
        <v>0.74797843665768182</v>
      </c>
      <c r="H19" s="49"/>
    </row>
    <row r="20" spans="1:8" ht="15.75" customHeight="1">
      <c r="A20" s="49"/>
      <c r="B20" s="49"/>
      <c r="C20" s="139"/>
      <c r="D20" s="152" t="s">
        <v>367</v>
      </c>
      <c r="E20" s="364"/>
      <c r="F20" s="365">
        <f>F19+F15</f>
        <v>1.0679784366576819</v>
      </c>
      <c r="H20" s="49"/>
    </row>
    <row r="21" spans="1:8" ht="15.75" customHeight="1">
      <c r="A21" s="49"/>
      <c r="B21" s="49"/>
      <c r="D21" s="49"/>
      <c r="F21" s="135"/>
      <c r="H21" s="49"/>
    </row>
    <row r="22" spans="1:8" ht="15.75" customHeight="1">
      <c r="A22" s="49"/>
      <c r="B22" s="49"/>
      <c r="C22" s="49"/>
      <c r="D22" s="49"/>
      <c r="E22" s="49"/>
      <c r="F22" s="49"/>
      <c r="G22" s="49"/>
      <c r="H22" s="49"/>
    </row>
  </sheetData>
  <hyperlinks>
    <hyperlink ref="H1" location="Index!A1" display="←" xr:uid="{00000000-0004-0000-0B00-000000000000}"/>
    <hyperlink ref="B9" r:id="rId1" xr:uid="{00000000-0004-0000-0B00-000001000000}"/>
    <hyperlink ref="G10" r:id="rId2" xr:uid="{00000000-0004-0000-0B00-000002000000}"/>
    <hyperlink ref="G12" r:id="rId3" xr:uid="{00000000-0004-0000-0B00-000003000000}"/>
    <hyperlink ref="C15" r:id="rId4" xr:uid="{00000000-0004-0000-0B00-000004000000}"/>
    <hyperlink ref="C16" r:id="rId5" xr:uid="{00000000-0004-0000-0B00-000005000000}"/>
    <hyperlink ref="C17" r:id="rId6" xr:uid="{00000000-0004-0000-0B00-000006000000}"/>
    <hyperlink ref="C18" r:id="rId7" xr:uid="{00000000-0004-0000-0B00-00000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25"/>
  <sheetViews>
    <sheetView topLeftCell="A12" workbookViewId="0">
      <selection activeCell="J18" sqref="J18"/>
    </sheetView>
  </sheetViews>
  <sheetFormatPr baseColWidth="10" defaultColWidth="12.6640625" defaultRowHeight="15.75" customHeight="1"/>
  <cols>
    <col min="1" max="1" width="3.33203125" style="43" customWidth="1"/>
    <col min="2" max="5" width="12.6640625" style="43"/>
    <col min="6" max="6" width="25.6640625" style="43" customWidth="1"/>
    <col min="7" max="7" width="25.1640625" style="43" customWidth="1"/>
    <col min="8" max="8" width="4.33203125" style="43" customWidth="1"/>
    <col min="9" max="16384" width="12.6640625" style="43"/>
  </cols>
  <sheetData>
    <row r="1" spans="1:8" ht="15.75" customHeight="1">
      <c r="A1" s="49"/>
      <c r="B1" s="49"/>
      <c r="C1" s="49"/>
      <c r="D1" s="49"/>
      <c r="E1" s="49"/>
      <c r="F1" s="49"/>
      <c r="G1" s="49"/>
      <c r="H1" s="137" t="s">
        <v>43</v>
      </c>
    </row>
    <row r="2" spans="1:8" ht="15.75" customHeight="1">
      <c r="A2" s="49"/>
      <c r="B2" s="119" t="s">
        <v>34</v>
      </c>
      <c r="C2" s="49"/>
      <c r="D2" s="49"/>
      <c r="E2" s="49"/>
      <c r="F2" s="49"/>
      <c r="G2" s="49"/>
      <c r="H2" s="49"/>
    </row>
    <row r="3" spans="1:8" ht="15.75" customHeight="1">
      <c r="A3" s="49"/>
      <c r="B3" s="119"/>
      <c r="C3" s="119"/>
      <c r="D3" s="119"/>
      <c r="E3" s="119"/>
      <c r="F3" s="119"/>
      <c r="G3" s="49"/>
      <c r="H3" s="49"/>
    </row>
    <row r="4" spans="1:8" ht="15.75" customHeight="1">
      <c r="A4" s="49"/>
      <c r="B4" s="151" t="s">
        <v>176</v>
      </c>
      <c r="C4" s="152" t="s">
        <v>177</v>
      </c>
      <c r="D4" s="152" t="s">
        <v>178</v>
      </c>
      <c r="E4" s="152" t="s">
        <v>179</v>
      </c>
      <c r="F4" s="186" t="s">
        <v>122</v>
      </c>
      <c r="G4" s="49"/>
      <c r="H4" s="49"/>
    </row>
    <row r="5" spans="1:8" ht="15.75" customHeight="1">
      <c r="A5" s="49"/>
      <c r="B5" s="379" t="s">
        <v>70</v>
      </c>
      <c r="C5" s="104">
        <f>MEDIAN(D14:D16)</f>
        <v>4.9055999999999997</v>
      </c>
      <c r="D5" s="104">
        <f>D17</f>
        <v>5.4110519999999998</v>
      </c>
      <c r="E5" s="104">
        <f>D18</f>
        <v>6.3562560000000001</v>
      </c>
      <c r="F5" s="372" t="s">
        <v>368</v>
      </c>
      <c r="G5" s="49"/>
      <c r="H5" s="49"/>
    </row>
    <row r="6" spans="1:8" ht="15.75" customHeight="1">
      <c r="A6" s="49"/>
      <c r="B6" s="302" t="s">
        <v>87</v>
      </c>
      <c r="C6" s="373">
        <f t="shared" ref="C6:E6" si="0">C5*1.2</f>
        <v>5.8867199999999995</v>
      </c>
      <c r="D6" s="373">
        <f t="shared" si="0"/>
        <v>6.4932623999999999</v>
      </c>
      <c r="E6" s="373">
        <f t="shared" si="0"/>
        <v>7.6275072000000002</v>
      </c>
      <c r="F6" s="374" t="s">
        <v>369</v>
      </c>
      <c r="G6" s="49"/>
      <c r="H6" s="49"/>
    </row>
    <row r="7" spans="1:8" ht="15.75" customHeight="1">
      <c r="A7" s="49"/>
      <c r="B7" s="49"/>
      <c r="C7" s="49"/>
      <c r="D7" s="49"/>
      <c r="E7" s="49"/>
      <c r="F7" s="49"/>
      <c r="G7" s="49"/>
      <c r="H7" s="49"/>
    </row>
    <row r="8" spans="1:8" ht="15.75" customHeight="1">
      <c r="A8" s="49"/>
      <c r="B8" s="151" t="s">
        <v>176</v>
      </c>
      <c r="C8" s="152" t="s">
        <v>177</v>
      </c>
      <c r="D8" s="152" t="s">
        <v>178</v>
      </c>
      <c r="E8" s="152" t="s">
        <v>179</v>
      </c>
      <c r="F8" s="152" t="s">
        <v>131</v>
      </c>
      <c r="G8" s="186" t="s">
        <v>122</v>
      </c>
      <c r="H8" s="49"/>
    </row>
    <row r="9" spans="1:8" ht="13">
      <c r="A9" s="230"/>
      <c r="B9" s="380" t="s">
        <v>370</v>
      </c>
      <c r="C9" s="230"/>
      <c r="D9" s="231">
        <f>450*8760/1000000</f>
        <v>3.9420000000000002</v>
      </c>
      <c r="E9" s="230"/>
      <c r="F9" s="232" t="s">
        <v>371</v>
      </c>
      <c r="G9" s="233"/>
      <c r="H9" s="230"/>
    </row>
    <row r="10" spans="1:8" ht="14">
      <c r="A10" s="230"/>
      <c r="B10" s="380" t="s">
        <v>370</v>
      </c>
      <c r="C10" s="230"/>
      <c r="D10" s="231">
        <f>337*8760*1.45/1000000</f>
        <v>4.2805739999999997</v>
      </c>
      <c r="E10" s="230"/>
      <c r="F10" s="232" t="s">
        <v>372</v>
      </c>
      <c r="G10" s="233" t="s">
        <v>373</v>
      </c>
      <c r="H10" s="230"/>
    </row>
    <row r="11" spans="1:8" ht="14">
      <c r="A11" s="230"/>
      <c r="B11" s="380" t="s">
        <v>370</v>
      </c>
      <c r="C11" s="230"/>
      <c r="D11" s="231">
        <f>309*8760/1000000</f>
        <v>2.7068400000000001</v>
      </c>
      <c r="E11" s="230"/>
      <c r="F11" s="232" t="s">
        <v>374</v>
      </c>
      <c r="G11" s="233" t="s">
        <v>375</v>
      </c>
      <c r="H11" s="230"/>
    </row>
    <row r="12" spans="1:8" ht="28">
      <c r="A12" s="230"/>
      <c r="B12" s="380" t="s">
        <v>370</v>
      </c>
      <c r="C12" s="230"/>
      <c r="D12" s="231">
        <f>230*1.64*1.4*8760/1000000</f>
        <v>4.6259807999999998</v>
      </c>
      <c r="E12" s="230"/>
      <c r="F12" s="232" t="s">
        <v>376</v>
      </c>
      <c r="G12" s="233" t="s">
        <v>377</v>
      </c>
      <c r="H12" s="230"/>
    </row>
    <row r="13" spans="1:8" ht="14">
      <c r="A13" s="230"/>
      <c r="B13" s="380" t="s">
        <v>370</v>
      </c>
      <c r="C13" s="230"/>
      <c r="D13" s="231">
        <f>2550000*1.6/1000000</f>
        <v>4.08</v>
      </c>
      <c r="E13" s="230"/>
      <c r="F13" s="232" t="s">
        <v>378</v>
      </c>
      <c r="G13" s="233" t="s">
        <v>379</v>
      </c>
      <c r="H13" s="230"/>
    </row>
    <row r="14" spans="1:8" ht="70">
      <c r="A14" s="49"/>
      <c r="B14" s="381" t="s">
        <v>380</v>
      </c>
      <c r="C14" s="49"/>
      <c r="D14" s="135">
        <f>(199.9*8760)*1.45*1.248/1000000</f>
        <v>3.1688339903999996</v>
      </c>
      <c r="E14" s="49"/>
      <c r="F14" s="295" t="s">
        <v>381</v>
      </c>
      <c r="G14" s="306" t="s">
        <v>382</v>
      </c>
      <c r="H14" s="49"/>
    </row>
    <row r="15" spans="1:8" ht="56">
      <c r="A15" s="49"/>
      <c r="B15" s="381" t="s">
        <v>380</v>
      </c>
      <c r="C15" s="49"/>
      <c r="D15" s="135">
        <f>(250*8760)*1.6*1.4/1000000</f>
        <v>4.9055999999999997</v>
      </c>
      <c r="E15" s="49"/>
      <c r="F15" s="295" t="s">
        <v>383</v>
      </c>
      <c r="G15" s="306" t="s">
        <v>384</v>
      </c>
      <c r="H15" s="49"/>
    </row>
    <row r="16" spans="1:8" ht="28">
      <c r="A16" s="49"/>
      <c r="B16" s="381" t="s">
        <v>380</v>
      </c>
      <c r="C16" s="49"/>
      <c r="D16" s="135">
        <f>399.1*1.45*8760/1000000</f>
        <v>5.0693682000000004</v>
      </c>
      <c r="E16" s="49"/>
      <c r="F16" s="295" t="s">
        <v>385</v>
      </c>
      <c r="G16" s="306" t="s">
        <v>386</v>
      </c>
      <c r="H16" s="49"/>
    </row>
    <row r="17" spans="1:8" ht="182">
      <c r="A17" s="49"/>
      <c r="B17" s="381" t="s">
        <v>387</v>
      </c>
      <c r="C17" s="135"/>
      <c r="D17" s="135">
        <f>1544.25*8760/1000000/2.5</f>
        <v>5.4110519999999998</v>
      </c>
      <c r="E17" s="135"/>
      <c r="F17" s="234" t="s">
        <v>388</v>
      </c>
      <c r="G17" s="306" t="s">
        <v>389</v>
      </c>
      <c r="H17" s="49"/>
    </row>
    <row r="18" spans="1:8" ht="306">
      <c r="A18" s="49"/>
      <c r="B18" s="381" t="s">
        <v>390</v>
      </c>
      <c r="C18" s="135"/>
      <c r="D18" s="135">
        <f>1814*8760/1000000/2.5</f>
        <v>6.3562560000000001</v>
      </c>
      <c r="E18" s="135"/>
      <c r="F18" s="234" t="s">
        <v>391</v>
      </c>
      <c r="G18" s="306" t="s">
        <v>392</v>
      </c>
      <c r="H18" s="49"/>
    </row>
    <row r="19" spans="1:8" ht="126">
      <c r="A19" s="229"/>
      <c r="B19" s="382" t="s">
        <v>87</v>
      </c>
      <c r="C19" s="375"/>
      <c r="D19" s="376">
        <f>38*1.45/(30000/8000)</f>
        <v>14.693333333333333</v>
      </c>
      <c r="E19" s="375"/>
      <c r="F19" s="377" t="s">
        <v>393</v>
      </c>
      <c r="G19" s="378" t="s">
        <v>394</v>
      </c>
      <c r="H19" s="229"/>
    </row>
    <row r="20" spans="1:8" ht="15.75" customHeight="1">
      <c r="A20" s="49"/>
      <c r="B20" s="49"/>
      <c r="C20" s="49"/>
      <c r="D20" s="49"/>
      <c r="E20" s="49"/>
      <c r="F20" s="49"/>
      <c r="G20" s="49"/>
      <c r="H20" s="49"/>
    </row>
    <row r="23" spans="1:8" ht="118" customHeight="1">
      <c r="B23" s="65" t="s">
        <v>525</v>
      </c>
      <c r="C23" s="65"/>
      <c r="D23" s="65"/>
      <c r="E23" s="65"/>
      <c r="F23" s="65"/>
      <c r="G23" s="65"/>
      <c r="H23" s="65"/>
    </row>
    <row r="24" spans="1:8" ht="14">
      <c r="B24" s="383"/>
      <c r="C24" s="384"/>
      <c r="D24" s="384"/>
      <c r="E24" s="384"/>
      <c r="F24" s="384"/>
      <c r="G24" s="384"/>
      <c r="H24" s="384"/>
    </row>
    <row r="25" spans="1:8" ht="96" customHeight="1">
      <c r="B25" s="65" t="s">
        <v>526</v>
      </c>
      <c r="C25" s="65"/>
      <c r="D25" s="65"/>
      <c r="E25" s="65"/>
      <c r="F25" s="65"/>
      <c r="G25" s="65"/>
      <c r="H25" s="65"/>
    </row>
  </sheetData>
  <mergeCells count="2">
    <mergeCell ref="B23:H23"/>
    <mergeCell ref="B25:H25"/>
  </mergeCells>
  <hyperlinks>
    <hyperlink ref="H1" location="Index!A1" display="←" xr:uid="{00000000-0004-0000-0C00-000000000000}"/>
    <hyperlink ref="F9" r:id="rId1" xr:uid="{00000000-0004-0000-0C00-000001000000}"/>
    <hyperlink ref="F10" r:id="rId2" xr:uid="{00000000-0004-0000-0C00-000002000000}"/>
    <hyperlink ref="F11" r:id="rId3" xr:uid="{00000000-0004-0000-0C00-000003000000}"/>
    <hyperlink ref="F12" r:id="rId4" xr:uid="{00000000-0004-0000-0C00-000004000000}"/>
    <hyperlink ref="F13" r:id="rId5" xr:uid="{00000000-0004-0000-0C00-000005000000}"/>
    <hyperlink ref="F14" r:id="rId6" xr:uid="{00000000-0004-0000-0C00-000006000000}"/>
    <hyperlink ref="F15" r:id="rId7" xr:uid="{00000000-0004-0000-0C00-000007000000}"/>
    <hyperlink ref="F16" r:id="rId8" xr:uid="{00000000-0004-0000-0C00-000008000000}"/>
    <hyperlink ref="F17" r:id="rId9" xr:uid="{00000000-0004-0000-0C00-000009000000}"/>
    <hyperlink ref="F18" r:id="rId10" xr:uid="{00000000-0004-0000-0C00-00000A000000}"/>
    <hyperlink ref="F19" r:id="rId11" xr:uid="{00000000-0004-0000-0C00-00000B000000}"/>
    <hyperlink ref="G19" r:id="rId12" xr:uid="{00000000-0004-0000-0C00-00000C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51"/>
  <sheetViews>
    <sheetView workbookViewId="0">
      <selection activeCell="L32" sqref="L32"/>
    </sheetView>
  </sheetViews>
  <sheetFormatPr baseColWidth="10" defaultColWidth="12.6640625" defaultRowHeight="15.75" customHeight="1"/>
  <cols>
    <col min="1" max="1" width="3.5" style="43" customWidth="1"/>
    <col min="2" max="3" width="22.1640625" style="43" customWidth="1"/>
    <col min="4" max="7" width="12.6640625" style="43"/>
    <col min="8" max="8" width="28.83203125" style="43" customWidth="1"/>
    <col min="9" max="9" width="2.83203125" style="43" customWidth="1"/>
    <col min="10" max="16384" width="12.6640625" style="43"/>
  </cols>
  <sheetData>
    <row r="1" spans="1:9" ht="15.75" customHeight="1">
      <c r="A1" s="49"/>
      <c r="B1" s="49"/>
      <c r="C1" s="49"/>
      <c r="D1" s="49"/>
      <c r="E1" s="49"/>
      <c r="F1" s="49"/>
      <c r="G1" s="49"/>
      <c r="H1" s="49"/>
      <c r="I1" s="137" t="s">
        <v>43</v>
      </c>
    </row>
    <row r="2" spans="1:9" ht="15.75" customHeight="1">
      <c r="A2" s="49"/>
      <c r="B2" s="119" t="s">
        <v>36</v>
      </c>
      <c r="C2" s="190" t="s">
        <v>395</v>
      </c>
      <c r="D2" s="152" t="s">
        <v>239</v>
      </c>
      <c r="E2" s="152" t="s">
        <v>242</v>
      </c>
      <c r="F2" s="152" t="s">
        <v>241</v>
      </c>
      <c r="G2" s="186" t="s">
        <v>240</v>
      </c>
      <c r="H2" s="49"/>
    </row>
    <row r="3" spans="1:9" ht="15.75" customHeight="1">
      <c r="A3" s="49"/>
      <c r="B3" s="188" t="s">
        <v>177</v>
      </c>
      <c r="C3" s="390">
        <f t="shared" ref="C3:G3" si="0">C4-5</f>
        <v>102.96</v>
      </c>
      <c r="D3" s="391">
        <f t="shared" si="0"/>
        <v>131.20352941176469</v>
      </c>
      <c r="E3" s="391">
        <f t="shared" si="0"/>
        <v>105.86274509803923</v>
      </c>
      <c r="F3" s="391">
        <f t="shared" si="0"/>
        <v>107.17529411764704</v>
      </c>
      <c r="G3" s="391">
        <f t="shared" si="0"/>
        <v>119.18941176470587</v>
      </c>
      <c r="H3" s="81"/>
    </row>
    <row r="4" spans="1:9" ht="15.75" customHeight="1">
      <c r="B4" s="389" t="s">
        <v>201</v>
      </c>
      <c r="C4" s="392">
        <f>C15*($G$49/$G$49)</f>
        <v>107.96</v>
      </c>
      <c r="D4" s="393">
        <f>D15*($G$48/$G$49)</f>
        <v>136.20352941176469</v>
      </c>
      <c r="E4" s="393">
        <f>E15*($G$47/$G$49)</f>
        <v>110.86274509803923</v>
      </c>
      <c r="F4" s="393">
        <f t="shared" ref="F4:G4" si="1">F15*($G$48/$G$49)</f>
        <v>112.17529411764704</v>
      </c>
      <c r="G4" s="393">
        <f t="shared" si="1"/>
        <v>124.18941176470587</v>
      </c>
      <c r="H4" s="81" t="s">
        <v>396</v>
      </c>
    </row>
    <row r="5" spans="1:9" ht="15.75" customHeight="1">
      <c r="B5" s="147" t="s">
        <v>179</v>
      </c>
      <c r="C5" s="394">
        <f>C4+5</f>
        <v>112.96</v>
      </c>
      <c r="D5" s="395">
        <f>D4+10</f>
        <v>146.20352941176469</v>
      </c>
      <c r="E5" s="395">
        <f>E4+5</f>
        <v>115.86274509803923</v>
      </c>
      <c r="F5" s="395">
        <f>F4-5</f>
        <v>107.17529411764704</v>
      </c>
      <c r="G5" s="395">
        <f>G4+5</f>
        <v>129.18941176470588</v>
      </c>
      <c r="H5" s="81"/>
    </row>
    <row r="7" spans="1:9" ht="15.75" customHeight="1">
      <c r="A7" s="49"/>
      <c r="B7" s="119" t="s">
        <v>397</v>
      </c>
      <c r="C7" s="190" t="s">
        <v>395</v>
      </c>
      <c r="D7" s="152" t="s">
        <v>239</v>
      </c>
      <c r="E7" s="152" t="s">
        <v>242</v>
      </c>
      <c r="F7" s="152" t="s">
        <v>241</v>
      </c>
      <c r="G7" s="186" t="s">
        <v>240</v>
      </c>
      <c r="H7" s="49"/>
    </row>
    <row r="8" spans="1:9" ht="15.75" customHeight="1">
      <c r="A8" s="49"/>
      <c r="B8" s="188" t="s">
        <v>177</v>
      </c>
      <c r="C8" s="390">
        <f t="shared" ref="C8:G8" si="2">C9-5</f>
        <v>102.5</v>
      </c>
      <c r="D8" s="391">
        <f t="shared" si="2"/>
        <v>129.4877450980392</v>
      </c>
      <c r="E8" s="391">
        <f t="shared" si="2"/>
        <v>105.1797385620915</v>
      </c>
      <c r="F8" s="391">
        <f t="shared" si="2"/>
        <v>106.45343137254902</v>
      </c>
      <c r="G8" s="391">
        <f t="shared" si="2"/>
        <v>117.9705882352941</v>
      </c>
      <c r="H8" s="81"/>
    </row>
    <row r="9" spans="1:9" ht="15.75" customHeight="1">
      <c r="A9" s="49"/>
      <c r="B9" s="389" t="s">
        <v>201</v>
      </c>
      <c r="C9" s="392">
        <f>C16*($G$49/$G$49)</f>
        <v>107.5</v>
      </c>
      <c r="D9" s="393">
        <f>D16*($G$48/$G$49)</f>
        <v>134.4877450980392</v>
      </c>
      <c r="E9" s="393">
        <f>E16*($G$47/$G$49)</f>
        <v>110.1797385620915</v>
      </c>
      <c r="F9" s="393">
        <f t="shared" ref="F9:G9" si="3">F16*($G$48/$G$49)</f>
        <v>111.45343137254902</v>
      </c>
      <c r="G9" s="393">
        <f t="shared" si="3"/>
        <v>122.9705882352941</v>
      </c>
      <c r="H9" s="81" t="s">
        <v>396</v>
      </c>
    </row>
    <row r="10" spans="1:9" ht="15.75" customHeight="1">
      <c r="A10" s="49"/>
      <c r="B10" s="147" t="s">
        <v>179</v>
      </c>
      <c r="C10" s="394">
        <f>C9+5</f>
        <v>112.5</v>
      </c>
      <c r="D10" s="395">
        <f>D9+10</f>
        <v>144.4877450980392</v>
      </c>
      <c r="E10" s="395">
        <f t="shared" ref="E10:G10" si="4">E9+5</f>
        <v>115.1797385620915</v>
      </c>
      <c r="F10" s="395">
        <f t="shared" si="4"/>
        <v>116.45343137254902</v>
      </c>
      <c r="G10" s="395">
        <f t="shared" si="4"/>
        <v>127.9705882352941</v>
      </c>
      <c r="H10" s="81"/>
    </row>
    <row r="11" spans="1:9" ht="15.75" customHeight="1">
      <c r="A11" s="49"/>
    </row>
    <row r="12" spans="1:9" ht="15.75" customHeight="1">
      <c r="A12" s="49"/>
      <c r="B12" s="49"/>
      <c r="C12" s="49"/>
      <c r="D12" s="386"/>
      <c r="E12" s="386"/>
      <c r="F12" s="386"/>
      <c r="G12" s="386"/>
      <c r="H12" s="386"/>
      <c r="I12" s="49"/>
    </row>
    <row r="13" spans="1:9" ht="15.75" customHeight="1">
      <c r="A13" s="82"/>
      <c r="B13" s="82"/>
      <c r="C13" s="82"/>
      <c r="D13" s="385"/>
      <c r="E13" s="385"/>
      <c r="F13" s="385"/>
      <c r="G13" s="385"/>
      <c r="H13" s="385"/>
      <c r="I13" s="82"/>
    </row>
    <row r="14" spans="1:9" ht="15.75" customHeight="1">
      <c r="A14" s="49"/>
      <c r="B14" s="387" t="s">
        <v>398</v>
      </c>
      <c r="C14" s="152" t="s">
        <v>395</v>
      </c>
      <c r="D14" s="152" t="s">
        <v>239</v>
      </c>
      <c r="E14" s="152" t="s">
        <v>242</v>
      </c>
      <c r="F14" s="152" t="s">
        <v>241</v>
      </c>
      <c r="G14" s="186" t="s">
        <v>240</v>
      </c>
      <c r="I14" s="49"/>
    </row>
    <row r="15" spans="1:9" ht="15.75" customHeight="1">
      <c r="A15" s="49"/>
      <c r="B15" s="189" t="s">
        <v>36</v>
      </c>
      <c r="C15" s="390">
        <f>(D30*D24)+(E30*E24)+(F30*F24)</f>
        <v>107.96</v>
      </c>
      <c r="D15" s="391">
        <f>(D33*D24)+(E33*E24)+(F33*F24)</f>
        <v>125.16</v>
      </c>
      <c r="E15" s="391">
        <f>(D28*D24)+(E28*E24)+(F28*F24)</f>
        <v>102.80000000000001</v>
      </c>
      <c r="F15" s="391">
        <f>(D31*D24)+(E31*E24)+(F31*F24)</f>
        <v>103.08</v>
      </c>
      <c r="G15" s="391">
        <f>(D32*D24)+(E32*E24)+(F32*F24)</f>
        <v>114.11999999999999</v>
      </c>
      <c r="H15" s="141"/>
      <c r="I15" s="49"/>
    </row>
    <row r="16" spans="1:9" ht="15.75" customHeight="1">
      <c r="A16" s="49"/>
      <c r="B16" s="147" t="s">
        <v>397</v>
      </c>
      <c r="C16" s="394">
        <f>(D30*D25)+(E30*E25)+(F30*F25)</f>
        <v>107.5</v>
      </c>
      <c r="D16" s="395">
        <f>(D33*D25)+(E33*E25)+(F33*F25)</f>
        <v>123.58333333333333</v>
      </c>
      <c r="E16" s="395">
        <f>(D28*D25)+(E28*E25)+(F28*F25)</f>
        <v>102.16666666666667</v>
      </c>
      <c r="F16" s="395">
        <f>(D31*D25)+(E31*E25)+(F31*F25)</f>
        <v>102.41666666666667</v>
      </c>
      <c r="G16" s="396">
        <f>(D32*D25)+(E32*E25)+(F32*F25)</f>
        <v>113</v>
      </c>
      <c r="I16" s="49"/>
    </row>
    <row r="17" spans="1:9" ht="15.75" customHeight="1">
      <c r="A17" s="49"/>
    </row>
    <row r="18" spans="1:9" ht="15.75" customHeight="1">
      <c r="A18" s="49"/>
      <c r="B18" s="49"/>
      <c r="C18" s="49"/>
      <c r="D18" s="49"/>
      <c r="E18" s="49"/>
      <c r="F18" s="49"/>
      <c r="G18" s="49"/>
      <c r="H18" s="49"/>
      <c r="I18" s="49"/>
    </row>
    <row r="19" spans="1:9" ht="15.75" customHeight="1">
      <c r="A19" s="89"/>
      <c r="B19" s="388" t="s">
        <v>399</v>
      </c>
      <c r="C19" s="89"/>
      <c r="D19" s="398" t="s">
        <v>400</v>
      </c>
      <c r="E19" s="398" t="s">
        <v>401</v>
      </c>
      <c r="F19" s="398" t="s">
        <v>402</v>
      </c>
      <c r="G19" s="398" t="s">
        <v>403</v>
      </c>
      <c r="H19" s="89"/>
      <c r="I19" s="89"/>
    </row>
    <row r="20" spans="1:9" ht="15.75" customHeight="1">
      <c r="A20" s="49"/>
      <c r="B20" s="188" t="s">
        <v>404</v>
      </c>
      <c r="C20" s="399" t="s">
        <v>405</v>
      </c>
      <c r="D20" s="215">
        <v>0.56999999999999995</v>
      </c>
      <c r="E20" s="215">
        <v>0.06</v>
      </c>
      <c r="F20" s="216">
        <v>0.38</v>
      </c>
      <c r="G20" s="49"/>
      <c r="H20" s="49"/>
      <c r="I20" s="49"/>
    </row>
    <row r="21" spans="1:9" ht="15.75" customHeight="1">
      <c r="A21" s="49"/>
      <c r="B21" s="189" t="s">
        <v>406</v>
      </c>
      <c r="C21" s="400" t="s">
        <v>407</v>
      </c>
      <c r="D21" s="206">
        <v>0.73</v>
      </c>
      <c r="E21" s="206">
        <v>0.02</v>
      </c>
      <c r="F21" s="207">
        <v>0.24</v>
      </c>
      <c r="G21" s="49"/>
      <c r="H21" s="49"/>
      <c r="I21" s="49"/>
    </row>
    <row r="22" spans="1:9" ht="15.75" customHeight="1">
      <c r="A22" s="49"/>
      <c r="B22" s="147" t="s">
        <v>408</v>
      </c>
      <c r="C22" s="401" t="s">
        <v>409</v>
      </c>
      <c r="D22" s="170">
        <v>0.85</v>
      </c>
      <c r="E22" s="170">
        <v>0.01</v>
      </c>
      <c r="F22" s="209">
        <v>0.13</v>
      </c>
      <c r="G22" s="49"/>
      <c r="H22" s="49"/>
      <c r="I22" s="49"/>
    </row>
    <row r="23" spans="1:9" ht="15.75" customHeight="1">
      <c r="A23" s="49"/>
      <c r="B23" s="49"/>
      <c r="C23" s="49"/>
      <c r="D23" s="49"/>
      <c r="E23" s="49"/>
      <c r="F23" s="49"/>
      <c r="G23" s="49"/>
      <c r="H23" s="49"/>
      <c r="I23" s="49"/>
    </row>
    <row r="24" spans="1:9" ht="15.75" customHeight="1">
      <c r="A24" s="49"/>
      <c r="B24" s="191" t="s">
        <v>410</v>
      </c>
      <c r="C24" s="402" t="s">
        <v>411</v>
      </c>
      <c r="D24" s="215">
        <f>1-(E24+F24)</f>
        <v>0.6399999999999999</v>
      </c>
      <c r="E24" s="215">
        <v>0.08</v>
      </c>
      <c r="F24" s="216">
        <v>0.28000000000000003</v>
      </c>
      <c r="G24" s="49"/>
      <c r="H24" s="49" t="s">
        <v>412</v>
      </c>
      <c r="I24" s="49"/>
    </row>
    <row r="25" spans="1:9" ht="15.75" customHeight="1">
      <c r="A25" s="49"/>
      <c r="B25" s="397" t="s">
        <v>413</v>
      </c>
      <c r="C25" s="317" t="s">
        <v>414</v>
      </c>
      <c r="D25" s="395">
        <f t="shared" ref="D25:F25" si="5">AVERAGE(D20:D22)</f>
        <v>0.71666666666666667</v>
      </c>
      <c r="E25" s="170">
        <f t="shared" si="5"/>
        <v>0.03</v>
      </c>
      <c r="F25" s="209">
        <f t="shared" si="5"/>
        <v>0.25</v>
      </c>
      <c r="G25" s="49"/>
      <c r="H25" s="49" t="s">
        <v>412</v>
      </c>
      <c r="I25" s="49"/>
    </row>
    <row r="26" spans="1:9" ht="15.75" customHeight="1">
      <c r="A26" s="49"/>
      <c r="B26" s="49"/>
      <c r="C26" s="49"/>
      <c r="D26" s="49"/>
      <c r="E26" s="49"/>
      <c r="F26" s="49"/>
      <c r="G26" s="49"/>
      <c r="H26" s="49"/>
      <c r="I26" s="49"/>
    </row>
    <row r="27" spans="1:9" ht="15.75" customHeight="1">
      <c r="A27" s="89"/>
      <c r="B27" s="388" t="s">
        <v>415</v>
      </c>
      <c r="C27" s="89"/>
      <c r="D27" s="398" t="s">
        <v>400</v>
      </c>
      <c r="E27" s="398" t="s">
        <v>401</v>
      </c>
      <c r="F27" s="398" t="s">
        <v>402</v>
      </c>
      <c r="G27" s="398" t="s">
        <v>403</v>
      </c>
      <c r="H27" s="89"/>
      <c r="I27" s="89"/>
    </row>
    <row r="28" spans="1:9" ht="15.75" customHeight="1">
      <c r="A28" s="49"/>
      <c r="B28" s="54" t="s">
        <v>416</v>
      </c>
      <c r="C28" s="400" t="s">
        <v>417</v>
      </c>
      <c r="D28" s="206">
        <v>100</v>
      </c>
      <c r="E28" s="206">
        <v>100</v>
      </c>
      <c r="F28" s="206">
        <v>110</v>
      </c>
      <c r="G28" s="206">
        <v>107</v>
      </c>
      <c r="H28" s="49"/>
      <c r="I28" s="49"/>
    </row>
    <row r="29" spans="1:9" ht="15.75" customHeight="1">
      <c r="A29" s="49"/>
      <c r="B29" s="54" t="s">
        <v>418</v>
      </c>
      <c r="C29" s="400" t="s">
        <v>417</v>
      </c>
      <c r="D29" s="206">
        <v>105</v>
      </c>
      <c r="E29" s="206">
        <v>100</v>
      </c>
      <c r="F29" s="206">
        <v>127</v>
      </c>
      <c r="G29" s="206">
        <v>120</v>
      </c>
      <c r="H29" s="49"/>
      <c r="I29" s="49"/>
    </row>
    <row r="30" spans="1:9" ht="15.75" customHeight="1">
      <c r="A30" s="49"/>
      <c r="B30" s="54" t="s">
        <v>419</v>
      </c>
      <c r="C30" s="400" t="s">
        <v>417</v>
      </c>
      <c r="D30" s="206">
        <v>105</v>
      </c>
      <c r="E30" s="206">
        <v>100</v>
      </c>
      <c r="F30" s="206">
        <v>117</v>
      </c>
      <c r="G30" s="206">
        <v>113</v>
      </c>
      <c r="H30" s="49"/>
      <c r="I30" s="49"/>
    </row>
    <row r="31" spans="1:9" ht="15.75" customHeight="1">
      <c r="A31" s="49"/>
      <c r="B31" s="54" t="s">
        <v>420</v>
      </c>
      <c r="C31" s="400" t="s">
        <v>417</v>
      </c>
      <c r="D31" s="206">
        <v>100</v>
      </c>
      <c r="E31" s="206">
        <v>100</v>
      </c>
      <c r="F31" s="206">
        <v>111</v>
      </c>
      <c r="G31" s="206">
        <v>108</v>
      </c>
      <c r="H31" s="49"/>
      <c r="I31" s="49"/>
    </row>
    <row r="32" spans="1:9" ht="15.75" customHeight="1">
      <c r="A32" s="49"/>
      <c r="B32" s="54" t="s">
        <v>421</v>
      </c>
      <c r="C32" s="400" t="s">
        <v>417</v>
      </c>
      <c r="D32" s="206">
        <v>105</v>
      </c>
      <c r="E32" s="206">
        <v>100</v>
      </c>
      <c r="F32" s="206">
        <v>139</v>
      </c>
      <c r="G32" s="206">
        <v>129</v>
      </c>
      <c r="H32" s="49"/>
      <c r="I32" s="49"/>
    </row>
    <row r="33" spans="1:9" ht="15.75" customHeight="1">
      <c r="A33" s="49"/>
      <c r="B33" s="54" t="s">
        <v>422</v>
      </c>
      <c r="C33" s="400" t="s">
        <v>417</v>
      </c>
      <c r="D33" s="206">
        <v>110</v>
      </c>
      <c r="E33" s="206">
        <v>100</v>
      </c>
      <c r="F33" s="206">
        <v>167</v>
      </c>
      <c r="G33" s="206">
        <v>150</v>
      </c>
      <c r="H33" s="49"/>
      <c r="I33" s="49"/>
    </row>
    <row r="34" spans="1:9" ht="15.75" customHeight="1">
      <c r="A34" s="49"/>
      <c r="B34" s="49"/>
      <c r="C34" s="49"/>
      <c r="D34" s="49"/>
      <c r="E34" s="49"/>
      <c r="F34" s="49"/>
      <c r="G34" s="49"/>
      <c r="H34" s="49"/>
      <c r="I34" s="49"/>
    </row>
    <row r="35" spans="1:9" ht="15.75" customHeight="1">
      <c r="A35" s="89"/>
      <c r="B35" s="388" t="s">
        <v>423</v>
      </c>
      <c r="C35" s="89"/>
      <c r="D35" s="89"/>
      <c r="E35" s="89"/>
      <c r="F35" s="89"/>
      <c r="G35" s="89"/>
      <c r="H35" s="89"/>
      <c r="I35" s="89"/>
    </row>
    <row r="36" spans="1:9" ht="15.75" customHeight="1">
      <c r="A36" s="49"/>
      <c r="B36" s="119"/>
      <c r="C36" s="47"/>
      <c r="D36" s="190" t="s">
        <v>395</v>
      </c>
      <c r="E36" s="152" t="s">
        <v>239</v>
      </c>
      <c r="F36" s="152" t="s">
        <v>242</v>
      </c>
      <c r="G36" s="152" t="s">
        <v>241</v>
      </c>
      <c r="H36" s="186" t="s">
        <v>240</v>
      </c>
      <c r="I36" s="49"/>
    </row>
    <row r="37" spans="1:9" ht="15.75" customHeight="1">
      <c r="A37" s="49"/>
      <c r="B37" s="191" t="s">
        <v>36</v>
      </c>
      <c r="C37" s="399" t="s">
        <v>424</v>
      </c>
      <c r="D37" s="391">
        <v>110</v>
      </c>
      <c r="E37" s="391">
        <f>160*(E48/100)</f>
        <v>160.68799999999999</v>
      </c>
      <c r="F37" s="391">
        <f>115*(E47/100)</f>
        <v>127.61549999999998</v>
      </c>
      <c r="G37" s="391">
        <f>100*(E48/100)</f>
        <v>100.42999999999999</v>
      </c>
      <c r="H37" s="403">
        <f>110*(E48/100)</f>
        <v>110.473</v>
      </c>
      <c r="I37" s="49"/>
    </row>
    <row r="38" spans="1:9" ht="15.75" customHeight="1">
      <c r="A38" s="49"/>
      <c r="B38" s="389" t="s">
        <v>36</v>
      </c>
      <c r="C38" s="400" t="s">
        <v>425</v>
      </c>
      <c r="D38" s="393" t="s">
        <v>426</v>
      </c>
      <c r="E38" s="393">
        <f>170*(C50/100)</f>
        <v>171.7</v>
      </c>
      <c r="F38" s="393">
        <f>120*(119/100)</f>
        <v>142.79999999999998</v>
      </c>
      <c r="G38" s="393">
        <f>100*(104/100)</f>
        <v>104</v>
      </c>
      <c r="H38" s="404">
        <f>108*(C48/100)</f>
        <v>112.32000000000001</v>
      </c>
      <c r="I38" s="49"/>
    </row>
    <row r="39" spans="1:9" ht="15.75" customHeight="1">
      <c r="A39" s="49"/>
      <c r="B39" s="397" t="s">
        <v>36</v>
      </c>
      <c r="C39" s="401" t="s">
        <v>427</v>
      </c>
      <c r="D39" s="395" t="s">
        <v>426</v>
      </c>
      <c r="E39" s="395">
        <f>190*(C50/100)</f>
        <v>191.9</v>
      </c>
      <c r="F39" s="395">
        <f>120*(C49/100)</f>
        <v>133.20000000000002</v>
      </c>
      <c r="G39" s="395">
        <f>100*(C50/100)</f>
        <v>101</v>
      </c>
      <c r="H39" s="396">
        <f>125*(C50/100)</f>
        <v>126.25</v>
      </c>
      <c r="I39" s="49"/>
    </row>
    <row r="40" spans="1:9" ht="15.75" customHeight="1">
      <c r="A40" s="49"/>
      <c r="B40" s="49"/>
      <c r="C40" s="49"/>
      <c r="D40" s="49"/>
      <c r="E40" s="49"/>
      <c r="F40" s="49"/>
      <c r="G40" s="49"/>
      <c r="H40" s="49"/>
      <c r="I40" s="49"/>
    </row>
    <row r="41" spans="1:9" ht="15.75" customHeight="1">
      <c r="A41" s="49"/>
      <c r="B41" s="191" t="s">
        <v>397</v>
      </c>
      <c r="C41" s="399" t="s">
        <v>428</v>
      </c>
      <c r="D41" s="215">
        <v>100</v>
      </c>
      <c r="E41" s="402" t="s">
        <v>426</v>
      </c>
      <c r="F41" s="215">
        <v>100</v>
      </c>
      <c r="G41" s="215" t="s">
        <v>426</v>
      </c>
      <c r="H41" s="216" t="s">
        <v>426</v>
      </c>
      <c r="I41" s="49"/>
    </row>
    <row r="42" spans="1:9" ht="15.75" customHeight="1">
      <c r="A42" s="49"/>
      <c r="B42" s="397" t="s">
        <v>397</v>
      </c>
      <c r="C42" s="401" t="s">
        <v>417</v>
      </c>
      <c r="D42" s="170">
        <v>115</v>
      </c>
      <c r="E42" s="170">
        <v>150</v>
      </c>
      <c r="F42" s="170">
        <v>100</v>
      </c>
      <c r="G42" s="170">
        <v>100</v>
      </c>
      <c r="H42" s="209">
        <v>125</v>
      </c>
      <c r="I42" s="49"/>
    </row>
    <row r="43" spans="1:9" ht="15.75" customHeight="1">
      <c r="A43" s="49"/>
      <c r="B43" s="49"/>
      <c r="C43" s="49"/>
      <c r="D43" s="49"/>
      <c r="E43" s="49"/>
      <c r="F43" s="49"/>
      <c r="G43" s="49"/>
      <c r="H43" s="49"/>
      <c r="I43" s="49"/>
    </row>
    <row r="44" spans="1:9" ht="15.75" customHeight="1">
      <c r="A44" s="82"/>
      <c r="B44" s="82"/>
      <c r="C44" s="82"/>
      <c r="D44" s="82"/>
      <c r="E44" s="82"/>
      <c r="F44" s="82"/>
      <c r="G44" s="82"/>
      <c r="H44" s="82"/>
      <c r="I44" s="82"/>
    </row>
    <row r="45" spans="1:9" ht="15.75" customHeight="1">
      <c r="A45" s="49"/>
      <c r="B45" s="47" t="s">
        <v>425</v>
      </c>
      <c r="C45" s="49"/>
      <c r="D45" s="47" t="s">
        <v>424</v>
      </c>
      <c r="E45" s="49"/>
      <c r="F45" s="47" t="s">
        <v>417</v>
      </c>
      <c r="G45" s="49"/>
      <c r="H45" s="49"/>
      <c r="I45" s="49"/>
    </row>
    <row r="46" spans="1:9" ht="15.75" customHeight="1">
      <c r="A46" s="49"/>
      <c r="B46" s="398" t="s">
        <v>429</v>
      </c>
      <c r="C46" s="367"/>
      <c r="D46" s="398" t="s">
        <v>429</v>
      </c>
      <c r="E46" s="367"/>
      <c r="F46" s="398" t="s">
        <v>429</v>
      </c>
      <c r="G46" s="367"/>
      <c r="H46" s="49"/>
      <c r="I46" s="49"/>
    </row>
    <row r="47" spans="1:9" ht="15.75" customHeight="1">
      <c r="A47" s="49"/>
      <c r="B47" s="55" t="s">
        <v>430</v>
      </c>
      <c r="C47" s="206">
        <v>119</v>
      </c>
      <c r="D47" s="55" t="s">
        <v>430</v>
      </c>
      <c r="E47" s="56">
        <v>110.97</v>
      </c>
      <c r="F47" s="55" t="s">
        <v>431</v>
      </c>
      <c r="G47" s="206">
        <v>110</v>
      </c>
      <c r="H47" s="49"/>
      <c r="I47" s="49"/>
    </row>
    <row r="48" spans="1:9" ht="15.75" customHeight="1">
      <c r="A48" s="49"/>
      <c r="B48" s="55" t="s">
        <v>432</v>
      </c>
      <c r="C48" s="206">
        <v>104</v>
      </c>
      <c r="D48" s="55" t="s">
        <v>432</v>
      </c>
      <c r="E48" s="56">
        <v>100.43</v>
      </c>
      <c r="F48" s="55" t="s">
        <v>433</v>
      </c>
      <c r="G48" s="206">
        <v>111</v>
      </c>
      <c r="H48" s="49"/>
      <c r="I48" s="49"/>
    </row>
    <row r="49" spans="1:9" ht="15.75" customHeight="1">
      <c r="A49" s="49"/>
      <c r="B49" s="55" t="s">
        <v>434</v>
      </c>
      <c r="C49" s="206">
        <v>111</v>
      </c>
      <c r="D49" s="55" t="s">
        <v>435</v>
      </c>
      <c r="E49" s="56">
        <v>100</v>
      </c>
      <c r="F49" s="55" t="s">
        <v>436</v>
      </c>
      <c r="G49" s="206">
        <v>102</v>
      </c>
      <c r="H49" s="49"/>
      <c r="I49" s="49"/>
    </row>
    <row r="50" spans="1:9" ht="15.75" customHeight="1">
      <c r="A50" s="49"/>
      <c r="B50" s="55" t="s">
        <v>437</v>
      </c>
      <c r="C50" s="206">
        <v>101</v>
      </c>
      <c r="D50" s="55"/>
      <c r="E50" s="55"/>
      <c r="F50" s="55"/>
      <c r="G50" s="55"/>
      <c r="H50" s="49"/>
      <c r="I50" s="49"/>
    </row>
    <row r="51" spans="1:9" ht="15.75" customHeight="1">
      <c r="A51" s="49"/>
      <c r="B51" s="49"/>
      <c r="C51" s="49"/>
      <c r="D51" s="49"/>
      <c r="E51" s="49"/>
      <c r="F51" s="49"/>
      <c r="G51" s="49"/>
      <c r="H51" s="49"/>
      <c r="I51" s="49"/>
    </row>
  </sheetData>
  <hyperlinks>
    <hyperlink ref="I1" location="Index!A1" display="←" xr:uid="{00000000-0004-0000-0D00-000000000000}"/>
    <hyperlink ref="C20" r:id="rId1" xr:uid="{00000000-0004-0000-0D00-000001000000}"/>
    <hyperlink ref="C21" r:id="rId2" xr:uid="{00000000-0004-0000-0D00-000002000000}"/>
    <hyperlink ref="C22" r:id="rId3" xr:uid="{00000000-0004-0000-0D00-000003000000}"/>
    <hyperlink ref="C28" r:id="rId4" xr:uid="{00000000-0004-0000-0D00-000004000000}"/>
    <hyperlink ref="C29" r:id="rId5" xr:uid="{00000000-0004-0000-0D00-000005000000}"/>
    <hyperlink ref="C30" r:id="rId6" xr:uid="{00000000-0004-0000-0D00-000006000000}"/>
    <hyperlink ref="C31" r:id="rId7" xr:uid="{00000000-0004-0000-0D00-000007000000}"/>
    <hyperlink ref="C32" r:id="rId8" xr:uid="{00000000-0004-0000-0D00-000008000000}"/>
    <hyperlink ref="C33" r:id="rId9" xr:uid="{00000000-0004-0000-0D00-000009000000}"/>
    <hyperlink ref="C37" r:id="rId10" xr:uid="{00000000-0004-0000-0D00-00000A000000}"/>
    <hyperlink ref="C38" r:id="rId11" xr:uid="{00000000-0004-0000-0D00-00000B000000}"/>
    <hyperlink ref="C39" r:id="rId12" xr:uid="{00000000-0004-0000-0D00-00000C000000}"/>
    <hyperlink ref="C41" r:id="rId13" xr:uid="{00000000-0004-0000-0D00-00000D000000}"/>
    <hyperlink ref="C42" r:id="rId14" xr:uid="{00000000-0004-0000-0D00-00000E000000}"/>
    <hyperlink ref="B45" r:id="rId15" xr:uid="{00000000-0004-0000-0D00-00000F000000}"/>
    <hyperlink ref="D45" r:id="rId16" xr:uid="{00000000-0004-0000-0D00-000010000000}"/>
    <hyperlink ref="F45" r:id="rId17" xr:uid="{00000000-0004-0000-0D00-00001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U50"/>
  <sheetViews>
    <sheetView workbookViewId="0">
      <selection activeCell="C37" sqref="C37"/>
    </sheetView>
  </sheetViews>
  <sheetFormatPr baseColWidth="10" defaultColWidth="12.6640625" defaultRowHeight="15.75" customHeight="1"/>
  <cols>
    <col min="1" max="1" width="3.6640625" style="43" customWidth="1"/>
    <col min="2" max="2" width="34" style="43" customWidth="1"/>
    <col min="3" max="3" width="15.5" style="43" customWidth="1"/>
    <col min="4" max="4" width="25.83203125" style="43" customWidth="1"/>
    <col min="5" max="18" width="12.6640625" style="43"/>
    <col min="19" max="19" width="12.6640625" style="43" customWidth="1"/>
    <col min="20" max="20" width="12.5" style="43" customWidth="1"/>
    <col min="21" max="21" width="4.6640625" style="43" customWidth="1"/>
    <col min="22" max="16384" width="12.6640625" style="43"/>
  </cols>
  <sheetData>
    <row r="1" spans="1:21" ht="15.75" customHeight="1">
      <c r="A1" s="137" t="s">
        <v>43</v>
      </c>
      <c r="H1" s="136"/>
    </row>
    <row r="2" spans="1:21" ht="15.75" customHeight="1">
      <c r="B2" s="119" t="s">
        <v>438</v>
      </c>
      <c r="H2" s="136"/>
    </row>
    <row r="3" spans="1:21" ht="15.75" customHeight="1">
      <c r="A3" s="136"/>
      <c r="B3" s="274"/>
      <c r="H3" s="136"/>
    </row>
    <row r="4" spans="1:21" ht="15.75" customHeight="1">
      <c r="A4" s="140"/>
      <c r="B4" s="140"/>
      <c r="C4" s="140"/>
      <c r="D4" s="140"/>
      <c r="E4" s="140"/>
      <c r="F4" s="140"/>
      <c r="G4" s="140"/>
      <c r="H4" s="140"/>
      <c r="I4" s="140"/>
      <c r="J4" s="140"/>
      <c r="K4" s="140"/>
      <c r="L4" s="140"/>
      <c r="M4" s="140"/>
      <c r="N4" s="140"/>
      <c r="O4" s="140"/>
      <c r="P4" s="140"/>
      <c r="Q4" s="140"/>
      <c r="R4" s="140"/>
      <c r="S4" s="140"/>
      <c r="T4" s="140"/>
      <c r="U4" s="140"/>
    </row>
    <row r="5" spans="1:21" ht="15.75" customHeight="1">
      <c r="B5" s="308" t="s">
        <v>287</v>
      </c>
      <c r="C5" s="309" t="s">
        <v>288</v>
      </c>
      <c r="D5" s="193" t="s">
        <v>305</v>
      </c>
      <c r="E5" s="192" t="s">
        <v>289</v>
      </c>
      <c r="F5" s="192" t="s">
        <v>290</v>
      </c>
      <c r="G5" s="192" t="s">
        <v>291</v>
      </c>
      <c r="H5" s="192" t="s">
        <v>292</v>
      </c>
      <c r="I5" s="192" t="s">
        <v>293</v>
      </c>
      <c r="J5" s="192" t="s">
        <v>294</v>
      </c>
      <c r="K5" s="192" t="s">
        <v>439</v>
      </c>
      <c r="L5" s="192" t="s">
        <v>440</v>
      </c>
      <c r="M5" s="192" t="s">
        <v>295</v>
      </c>
      <c r="N5" s="192" t="s">
        <v>296</v>
      </c>
      <c r="O5" s="192" t="s">
        <v>297</v>
      </c>
      <c r="P5" s="192" t="s">
        <v>298</v>
      </c>
      <c r="Q5" s="192" t="s">
        <v>299</v>
      </c>
      <c r="R5" s="192" t="s">
        <v>300</v>
      </c>
      <c r="S5" s="192" t="s">
        <v>441</v>
      </c>
      <c r="T5" s="193" t="s">
        <v>442</v>
      </c>
      <c r="U5" s="49"/>
    </row>
    <row r="6" spans="1:21" ht="15.75" customHeight="1">
      <c r="A6" s="136"/>
      <c r="B6" s="405" t="s">
        <v>177</v>
      </c>
      <c r="C6" s="402" t="s">
        <v>234</v>
      </c>
      <c r="D6" s="406" t="s">
        <v>34</v>
      </c>
      <c r="E6" s="402">
        <f t="shared" ref="E6:T6" si="0">E16*E17</f>
        <v>5.1508799999999999</v>
      </c>
      <c r="F6" s="402">
        <f t="shared" si="0"/>
        <v>7.0640640000000001</v>
      </c>
      <c r="G6" s="402">
        <f t="shared" si="0"/>
        <v>5.1508799999999999</v>
      </c>
      <c r="H6" s="402">
        <f t="shared" si="0"/>
        <v>7.0640640000000001</v>
      </c>
      <c r="I6" s="402">
        <f t="shared" si="0"/>
        <v>5.1508799999999999</v>
      </c>
      <c r="J6" s="402">
        <f t="shared" si="0"/>
        <v>7.0640640000000001</v>
      </c>
      <c r="K6" s="402">
        <f t="shared" si="0"/>
        <v>5.1508799999999999</v>
      </c>
      <c r="L6" s="402">
        <f t="shared" si="0"/>
        <v>7.0640640000000001</v>
      </c>
      <c r="M6" s="402">
        <f t="shared" si="0"/>
        <v>5.1508799999999999</v>
      </c>
      <c r="N6" s="402">
        <f t="shared" si="0"/>
        <v>7.0640640000000001</v>
      </c>
      <c r="O6" s="402">
        <f t="shared" si="0"/>
        <v>5.1508799999999999</v>
      </c>
      <c r="P6" s="402">
        <f t="shared" si="0"/>
        <v>7.0640640000000001</v>
      </c>
      <c r="Q6" s="402">
        <f t="shared" si="0"/>
        <v>5.1508799999999999</v>
      </c>
      <c r="R6" s="402">
        <f t="shared" si="0"/>
        <v>7.0640640000000001</v>
      </c>
      <c r="S6" s="402">
        <f t="shared" si="0"/>
        <v>5.1508799999999999</v>
      </c>
      <c r="T6" s="406">
        <f t="shared" si="0"/>
        <v>7.0640640000000001</v>
      </c>
      <c r="U6" s="49"/>
    </row>
    <row r="7" spans="1:21" ht="15.75" customHeight="1">
      <c r="B7" s="314"/>
      <c r="C7" s="317" t="s">
        <v>234</v>
      </c>
      <c r="D7" s="225" t="s">
        <v>443</v>
      </c>
      <c r="E7" s="317">
        <f t="shared" ref="E7:T7" si="1">E18*E19</f>
        <v>0.1</v>
      </c>
      <c r="F7" s="317">
        <f t="shared" si="1"/>
        <v>0.1</v>
      </c>
      <c r="G7" s="317">
        <f t="shared" si="1"/>
        <v>3.2208749999999999</v>
      </c>
      <c r="H7" s="317">
        <f t="shared" si="1"/>
        <v>3.2208749999999999</v>
      </c>
      <c r="I7" s="317">
        <f t="shared" si="1"/>
        <v>3.2208749999999999</v>
      </c>
      <c r="J7" s="317">
        <f t="shared" si="1"/>
        <v>3.2208749999999999</v>
      </c>
      <c r="K7" s="317">
        <f t="shared" si="1"/>
        <v>0.1</v>
      </c>
      <c r="L7" s="317">
        <f t="shared" si="1"/>
        <v>0.1</v>
      </c>
      <c r="M7" s="317">
        <f t="shared" si="1"/>
        <v>3.2208749999999999</v>
      </c>
      <c r="N7" s="317">
        <f t="shared" si="1"/>
        <v>3.2208749999999999</v>
      </c>
      <c r="O7" s="317">
        <f t="shared" si="1"/>
        <v>3.2208749999999999</v>
      </c>
      <c r="P7" s="317">
        <f t="shared" si="1"/>
        <v>3.2208749999999999</v>
      </c>
      <c r="Q7" s="317">
        <f t="shared" si="1"/>
        <v>3.2208749999999999</v>
      </c>
      <c r="R7" s="317">
        <f t="shared" si="1"/>
        <v>3.2208749999999999</v>
      </c>
      <c r="S7" s="317">
        <f t="shared" si="1"/>
        <v>3.2208749999999999</v>
      </c>
      <c r="T7" s="225">
        <f t="shared" si="1"/>
        <v>3.2208749999999999</v>
      </c>
      <c r="U7" s="49"/>
    </row>
    <row r="8" spans="1:21" ht="15.75" customHeight="1">
      <c r="A8" s="136"/>
      <c r="B8" s="405" t="s">
        <v>304</v>
      </c>
      <c r="C8" s="402" t="s">
        <v>234</v>
      </c>
      <c r="D8" s="406" t="s">
        <v>34</v>
      </c>
      <c r="E8" s="402">
        <f t="shared" ref="E8:T8" si="2">E20*E21</f>
        <v>6.0874874999999999</v>
      </c>
      <c r="F8" s="402">
        <f t="shared" si="2"/>
        <v>8.2789829999999984</v>
      </c>
      <c r="G8" s="402">
        <f t="shared" si="2"/>
        <v>6.0874874999999999</v>
      </c>
      <c r="H8" s="402">
        <f t="shared" si="2"/>
        <v>8.2789829999999984</v>
      </c>
      <c r="I8" s="402">
        <f t="shared" si="2"/>
        <v>6.0874874999999999</v>
      </c>
      <c r="J8" s="402">
        <f t="shared" si="2"/>
        <v>8.2789829999999984</v>
      </c>
      <c r="K8" s="402">
        <f t="shared" si="2"/>
        <v>6.0874874999999999</v>
      </c>
      <c r="L8" s="402">
        <f t="shared" si="2"/>
        <v>8.2789829999999984</v>
      </c>
      <c r="M8" s="402">
        <f t="shared" si="2"/>
        <v>6.0874874999999999</v>
      </c>
      <c r="N8" s="402">
        <f t="shared" si="2"/>
        <v>8.2789829999999984</v>
      </c>
      <c r="O8" s="402">
        <f t="shared" si="2"/>
        <v>6.0874874999999999</v>
      </c>
      <c r="P8" s="402">
        <f t="shared" si="2"/>
        <v>8.2789829999999984</v>
      </c>
      <c r="Q8" s="402">
        <f t="shared" si="2"/>
        <v>6.0874874999999999</v>
      </c>
      <c r="R8" s="402">
        <f t="shared" si="2"/>
        <v>8.2789829999999984</v>
      </c>
      <c r="S8" s="402">
        <f t="shared" si="2"/>
        <v>6.0874874999999999</v>
      </c>
      <c r="T8" s="406">
        <f t="shared" si="2"/>
        <v>8.2789829999999984</v>
      </c>
      <c r="U8" s="47"/>
    </row>
    <row r="9" spans="1:21" ht="15.75" customHeight="1">
      <c r="B9" s="314"/>
      <c r="C9" s="317" t="s">
        <v>234</v>
      </c>
      <c r="D9" s="225" t="s">
        <v>443</v>
      </c>
      <c r="E9" s="317">
        <f t="shared" ref="E9:T9" si="3">E18*E23</f>
        <v>0.1</v>
      </c>
      <c r="F9" s="317">
        <f t="shared" si="3"/>
        <v>0.1</v>
      </c>
      <c r="G9" s="317">
        <f t="shared" si="3"/>
        <v>3.4509374999999998</v>
      </c>
      <c r="H9" s="317">
        <f t="shared" si="3"/>
        <v>3.4509374999999998</v>
      </c>
      <c r="I9" s="317">
        <f t="shared" si="3"/>
        <v>3.4509374999999998</v>
      </c>
      <c r="J9" s="317">
        <f t="shared" si="3"/>
        <v>3.4509374999999998</v>
      </c>
      <c r="K9" s="317">
        <f t="shared" si="3"/>
        <v>0.1</v>
      </c>
      <c r="L9" s="317">
        <f t="shared" si="3"/>
        <v>0.1</v>
      </c>
      <c r="M9" s="317">
        <f t="shared" si="3"/>
        <v>3.4509374999999998</v>
      </c>
      <c r="N9" s="317">
        <f t="shared" si="3"/>
        <v>3.4509374999999998</v>
      </c>
      <c r="O9" s="317">
        <f t="shared" si="3"/>
        <v>3.4509374999999998</v>
      </c>
      <c r="P9" s="317">
        <f t="shared" si="3"/>
        <v>3.4509374999999998</v>
      </c>
      <c r="Q9" s="317">
        <f t="shared" si="3"/>
        <v>3.4509374999999998</v>
      </c>
      <c r="R9" s="317">
        <f t="shared" si="3"/>
        <v>3.4509374999999998</v>
      </c>
      <c r="S9" s="317">
        <f t="shared" si="3"/>
        <v>3.4509374999999998</v>
      </c>
      <c r="T9" s="225">
        <f t="shared" si="3"/>
        <v>3.4509374999999998</v>
      </c>
      <c r="U9" s="49"/>
    </row>
    <row r="10" spans="1:21" ht="15.75" customHeight="1">
      <c r="A10" s="136"/>
      <c r="B10" s="312" t="s">
        <v>179</v>
      </c>
      <c r="C10" s="55" t="s">
        <v>234</v>
      </c>
      <c r="D10" s="220" t="s">
        <v>34</v>
      </c>
      <c r="E10" s="55">
        <f t="shared" ref="E10:T10" si="4">E24*E25</f>
        <v>7.6275599999999999</v>
      </c>
      <c r="F10" s="55">
        <f t="shared" si="4"/>
        <v>10.297206000000001</v>
      </c>
      <c r="G10" s="55">
        <f t="shared" si="4"/>
        <v>7.6275599999999999</v>
      </c>
      <c r="H10" s="55">
        <f t="shared" si="4"/>
        <v>10.297206000000001</v>
      </c>
      <c r="I10" s="55">
        <f t="shared" si="4"/>
        <v>7.6275599999999999</v>
      </c>
      <c r="J10" s="55">
        <f t="shared" si="4"/>
        <v>10.297206000000001</v>
      </c>
      <c r="K10" s="55">
        <f t="shared" si="4"/>
        <v>7.6275599999999999</v>
      </c>
      <c r="L10" s="55">
        <f t="shared" si="4"/>
        <v>10.297206000000001</v>
      </c>
      <c r="M10" s="55">
        <f t="shared" si="4"/>
        <v>7.6275599999999999</v>
      </c>
      <c r="N10" s="55">
        <f t="shared" si="4"/>
        <v>10.297206000000001</v>
      </c>
      <c r="O10" s="55">
        <f t="shared" si="4"/>
        <v>7.6275599999999999</v>
      </c>
      <c r="P10" s="55">
        <f t="shared" si="4"/>
        <v>10.297206000000001</v>
      </c>
      <c r="Q10" s="55">
        <f t="shared" si="4"/>
        <v>7.6275599999999999</v>
      </c>
      <c r="R10" s="55">
        <f t="shared" si="4"/>
        <v>10.297206000000001</v>
      </c>
      <c r="S10" s="55">
        <f t="shared" si="4"/>
        <v>7.6275599999999999</v>
      </c>
      <c r="T10" s="220">
        <f t="shared" si="4"/>
        <v>10.297206000000001</v>
      </c>
      <c r="U10" s="47"/>
    </row>
    <row r="11" spans="1:21" ht="15.75" customHeight="1">
      <c r="B11" s="314"/>
      <c r="C11" s="317" t="s">
        <v>234</v>
      </c>
      <c r="D11" s="225" t="s">
        <v>443</v>
      </c>
      <c r="E11" s="317">
        <f t="shared" ref="E11:T11" si="5">E26*E27</f>
        <v>0.1</v>
      </c>
      <c r="F11" s="317">
        <f t="shared" si="5"/>
        <v>0.1</v>
      </c>
      <c r="G11" s="317">
        <f t="shared" si="5"/>
        <v>5.52</v>
      </c>
      <c r="H11" s="317">
        <f t="shared" si="5"/>
        <v>5.52</v>
      </c>
      <c r="I11" s="317">
        <f t="shared" si="5"/>
        <v>5.52</v>
      </c>
      <c r="J11" s="317">
        <f t="shared" si="5"/>
        <v>5.52</v>
      </c>
      <c r="K11" s="317">
        <f t="shared" si="5"/>
        <v>0.1</v>
      </c>
      <c r="L11" s="317">
        <f t="shared" si="5"/>
        <v>0.1</v>
      </c>
      <c r="M11" s="317">
        <f t="shared" si="5"/>
        <v>5.52</v>
      </c>
      <c r="N11" s="317">
        <f t="shared" si="5"/>
        <v>5.52</v>
      </c>
      <c r="O11" s="317">
        <f t="shared" si="5"/>
        <v>5.52</v>
      </c>
      <c r="P11" s="317">
        <f t="shared" si="5"/>
        <v>5.52</v>
      </c>
      <c r="Q11" s="317">
        <f t="shared" si="5"/>
        <v>5.52</v>
      </c>
      <c r="R11" s="317">
        <f t="shared" si="5"/>
        <v>5.52</v>
      </c>
      <c r="S11" s="317">
        <f t="shared" si="5"/>
        <v>5.52</v>
      </c>
      <c r="T11" s="225">
        <f t="shared" si="5"/>
        <v>5.52</v>
      </c>
      <c r="U11" s="49"/>
    </row>
    <row r="12" spans="1:21" ht="15.75" customHeight="1">
      <c r="D12" s="49"/>
      <c r="E12" s="49"/>
      <c r="F12" s="49"/>
      <c r="G12" s="49"/>
      <c r="H12" s="49"/>
      <c r="I12" s="49"/>
      <c r="J12" s="49"/>
      <c r="K12" s="49"/>
      <c r="L12" s="49"/>
      <c r="M12" s="49"/>
      <c r="N12" s="49"/>
      <c r="O12" s="49"/>
      <c r="P12" s="49"/>
      <c r="Q12" s="49"/>
      <c r="R12" s="49"/>
      <c r="S12" s="49"/>
      <c r="T12" s="49"/>
      <c r="U12" s="49"/>
    </row>
    <row r="13" spans="1:21" ht="15.75" customHeight="1">
      <c r="D13" s="49"/>
      <c r="E13" s="49"/>
      <c r="F13" s="49"/>
      <c r="G13" s="49"/>
      <c r="H13" s="49"/>
      <c r="I13" s="49"/>
      <c r="J13" s="49"/>
      <c r="K13" s="49"/>
      <c r="L13" s="49"/>
      <c r="M13" s="49"/>
      <c r="N13" s="49"/>
      <c r="O13" s="49"/>
      <c r="P13" s="49"/>
      <c r="Q13" s="49"/>
      <c r="R13" s="49"/>
      <c r="S13" s="49"/>
      <c r="T13" s="89"/>
      <c r="U13" s="89"/>
    </row>
    <row r="14" spans="1:21" ht="15.75" customHeight="1">
      <c r="A14" s="140"/>
      <c r="B14" s="140"/>
      <c r="C14" s="140"/>
      <c r="D14" s="140"/>
      <c r="E14" s="140"/>
      <c r="F14" s="140"/>
      <c r="G14" s="140"/>
      <c r="H14" s="140"/>
      <c r="I14" s="140"/>
      <c r="J14" s="140"/>
      <c r="K14" s="140"/>
      <c r="L14" s="140"/>
      <c r="M14" s="140"/>
      <c r="N14" s="140"/>
      <c r="O14" s="140"/>
      <c r="P14" s="140"/>
      <c r="Q14" s="140"/>
      <c r="R14" s="140"/>
      <c r="S14" s="140"/>
    </row>
    <row r="15" spans="1:21" ht="15.75" customHeight="1">
      <c r="B15" s="308" t="s">
        <v>287</v>
      </c>
      <c r="C15" s="309" t="s">
        <v>288</v>
      </c>
      <c r="D15" s="193" t="s">
        <v>305</v>
      </c>
      <c r="E15" s="192" t="s">
        <v>289</v>
      </c>
      <c r="F15" s="192" t="s">
        <v>290</v>
      </c>
      <c r="G15" s="192" t="s">
        <v>291</v>
      </c>
      <c r="H15" s="192" t="s">
        <v>292</v>
      </c>
      <c r="I15" s="192" t="s">
        <v>293</v>
      </c>
      <c r="J15" s="192" t="s">
        <v>294</v>
      </c>
      <c r="K15" s="192" t="s">
        <v>439</v>
      </c>
      <c r="L15" s="192" t="s">
        <v>440</v>
      </c>
      <c r="M15" s="192" t="s">
        <v>295</v>
      </c>
      <c r="N15" s="192" t="s">
        <v>296</v>
      </c>
      <c r="O15" s="192" t="s">
        <v>297</v>
      </c>
      <c r="P15" s="192" t="s">
        <v>298</v>
      </c>
      <c r="Q15" s="192" t="s">
        <v>299</v>
      </c>
      <c r="R15" s="192" t="s">
        <v>300</v>
      </c>
      <c r="S15" s="192" t="s">
        <v>441</v>
      </c>
      <c r="T15" s="193" t="s">
        <v>442</v>
      </c>
      <c r="U15" s="49"/>
    </row>
    <row r="16" spans="1:21" ht="15.75" customHeight="1">
      <c r="A16" s="136"/>
      <c r="B16" s="405" t="s">
        <v>177</v>
      </c>
      <c r="C16" s="402" t="s">
        <v>234</v>
      </c>
      <c r="D16" s="406" t="s">
        <v>34</v>
      </c>
      <c r="E16" s="215">
        <v>4.9055999999999997</v>
      </c>
      <c r="F16" s="215">
        <v>5.8867200000000004</v>
      </c>
      <c r="G16" s="215">
        <v>4.9055999999999997</v>
      </c>
      <c r="H16" s="215">
        <v>5.8867200000000004</v>
      </c>
      <c r="I16" s="215">
        <v>4.9055999999999997</v>
      </c>
      <c r="J16" s="215">
        <v>5.8867200000000004</v>
      </c>
      <c r="K16" s="215">
        <v>4.9055999999999997</v>
      </c>
      <c r="L16" s="215">
        <v>5.8867200000000004</v>
      </c>
      <c r="M16" s="215">
        <v>4.9055999999999997</v>
      </c>
      <c r="N16" s="215">
        <v>5.8867200000000004</v>
      </c>
      <c r="O16" s="215">
        <v>4.9055999999999997</v>
      </c>
      <c r="P16" s="215">
        <v>5.8867200000000004</v>
      </c>
      <c r="Q16" s="215">
        <v>4.9055999999999997</v>
      </c>
      <c r="R16" s="215">
        <v>5.8867200000000004</v>
      </c>
      <c r="S16" s="276">
        <v>4.9055999999999997</v>
      </c>
      <c r="T16" s="286">
        <v>5.8867200000000004</v>
      </c>
    </row>
    <row r="17" spans="1:21" ht="15.75" customHeight="1">
      <c r="A17" s="136"/>
      <c r="B17" s="313"/>
      <c r="C17" s="55" t="s">
        <v>444</v>
      </c>
      <c r="D17" s="165" t="s">
        <v>445</v>
      </c>
      <c r="E17" s="206">
        <v>1.05</v>
      </c>
      <c r="F17" s="206">
        <v>1.2</v>
      </c>
      <c r="G17" s="206">
        <v>1.05</v>
      </c>
      <c r="H17" s="206">
        <v>1.2</v>
      </c>
      <c r="I17" s="206">
        <v>1.05</v>
      </c>
      <c r="J17" s="206">
        <v>1.2</v>
      </c>
      <c r="K17" s="206">
        <v>1.05</v>
      </c>
      <c r="L17" s="206">
        <v>1.2</v>
      </c>
      <c r="M17" s="206">
        <v>1.05</v>
      </c>
      <c r="N17" s="206">
        <v>1.2</v>
      </c>
      <c r="O17" s="206">
        <v>1.05</v>
      </c>
      <c r="P17" s="206">
        <v>1.2</v>
      </c>
      <c r="Q17" s="206">
        <v>1.05</v>
      </c>
      <c r="R17" s="206">
        <v>1.2</v>
      </c>
      <c r="S17" s="206">
        <v>1.05</v>
      </c>
      <c r="T17" s="207">
        <v>1.2</v>
      </c>
    </row>
    <row r="18" spans="1:21" ht="15.75" customHeight="1">
      <c r="B18" s="313"/>
      <c r="C18" s="55" t="s">
        <v>234</v>
      </c>
      <c r="D18" s="220" t="s">
        <v>443</v>
      </c>
      <c r="E18" s="206">
        <v>0.1</v>
      </c>
      <c r="F18" s="206">
        <v>0.1</v>
      </c>
      <c r="G18" s="206">
        <v>3.0674999999999999</v>
      </c>
      <c r="H18" s="206">
        <v>3.0674999999999999</v>
      </c>
      <c r="I18" s="206">
        <v>3.0674999999999999</v>
      </c>
      <c r="J18" s="206">
        <v>3.0674999999999999</v>
      </c>
      <c r="K18" s="206">
        <v>0.1</v>
      </c>
      <c r="L18" s="206">
        <v>0.1</v>
      </c>
      <c r="M18" s="206">
        <v>3.0674999999999999</v>
      </c>
      <c r="N18" s="206">
        <v>3.0674999999999999</v>
      </c>
      <c r="O18" s="206">
        <v>3.0674999999999999</v>
      </c>
      <c r="P18" s="206">
        <v>3.0674999999999999</v>
      </c>
      <c r="Q18" s="206">
        <v>3.0674999999999999</v>
      </c>
      <c r="R18" s="206">
        <v>3.0674999999999999</v>
      </c>
      <c r="S18" s="161">
        <v>3.0674999999999999</v>
      </c>
      <c r="T18" s="165">
        <v>3.0674999999999999</v>
      </c>
    </row>
    <row r="19" spans="1:21" ht="15.75" customHeight="1">
      <c r="B19" s="314"/>
      <c r="C19" s="317" t="s">
        <v>444</v>
      </c>
      <c r="D19" s="225" t="s">
        <v>446</v>
      </c>
      <c r="E19" s="170">
        <v>1</v>
      </c>
      <c r="F19" s="170">
        <v>1</v>
      </c>
      <c r="G19" s="170">
        <v>1.05</v>
      </c>
      <c r="H19" s="170">
        <v>1.05</v>
      </c>
      <c r="I19" s="170">
        <v>1.05</v>
      </c>
      <c r="J19" s="170">
        <v>1.05</v>
      </c>
      <c r="K19" s="166">
        <v>1</v>
      </c>
      <c r="L19" s="166">
        <v>1</v>
      </c>
      <c r="M19" s="170">
        <v>1.05</v>
      </c>
      <c r="N19" s="170">
        <v>1.05</v>
      </c>
      <c r="O19" s="170">
        <v>1.05</v>
      </c>
      <c r="P19" s="170">
        <v>1.05</v>
      </c>
      <c r="Q19" s="170">
        <v>1.05</v>
      </c>
      <c r="R19" s="170">
        <v>1.05</v>
      </c>
      <c r="S19" s="170">
        <v>1.05</v>
      </c>
      <c r="T19" s="209">
        <v>1.05</v>
      </c>
    </row>
    <row r="20" spans="1:21" ht="15.75" customHeight="1">
      <c r="A20" s="136"/>
      <c r="B20" s="405" t="s">
        <v>201</v>
      </c>
      <c r="C20" s="402" t="s">
        <v>234</v>
      </c>
      <c r="D20" s="406" t="s">
        <v>34</v>
      </c>
      <c r="E20" s="215">
        <v>5.4111000000000002</v>
      </c>
      <c r="F20" s="215">
        <v>6.4933199999999998</v>
      </c>
      <c r="G20" s="215">
        <v>5.4111000000000002</v>
      </c>
      <c r="H20" s="215">
        <v>6.4933199999999998</v>
      </c>
      <c r="I20" s="215">
        <v>5.4111000000000002</v>
      </c>
      <c r="J20" s="215">
        <v>6.4933199999999998</v>
      </c>
      <c r="K20" s="215">
        <v>5.4111000000000002</v>
      </c>
      <c r="L20" s="215">
        <v>6.4933199999999998</v>
      </c>
      <c r="M20" s="215">
        <v>5.4111000000000002</v>
      </c>
      <c r="N20" s="215">
        <v>6.4933199999999998</v>
      </c>
      <c r="O20" s="215">
        <v>5.4111000000000002</v>
      </c>
      <c r="P20" s="215">
        <v>6.4933199999999998</v>
      </c>
      <c r="Q20" s="215">
        <v>5.4111000000000002</v>
      </c>
      <c r="R20" s="215">
        <v>6.4933199999999998</v>
      </c>
      <c r="S20" s="276">
        <v>5.4111000000000002</v>
      </c>
      <c r="T20" s="286">
        <v>6.4933199999999998</v>
      </c>
      <c r="U20" s="136"/>
    </row>
    <row r="21" spans="1:21" ht="15.75" customHeight="1">
      <c r="A21" s="136"/>
      <c r="B21" s="313"/>
      <c r="C21" s="55" t="s">
        <v>444</v>
      </c>
      <c r="D21" s="165" t="s">
        <v>445</v>
      </c>
      <c r="E21" s="206">
        <v>1.125</v>
      </c>
      <c r="F21" s="206">
        <v>1.2749999999999999</v>
      </c>
      <c r="G21" s="206">
        <v>1.125</v>
      </c>
      <c r="H21" s="206">
        <v>1.2749999999999999</v>
      </c>
      <c r="I21" s="206">
        <v>1.125</v>
      </c>
      <c r="J21" s="206">
        <v>1.2749999999999999</v>
      </c>
      <c r="K21" s="206">
        <v>1.125</v>
      </c>
      <c r="L21" s="206">
        <v>1.2749999999999999</v>
      </c>
      <c r="M21" s="206">
        <v>1.125</v>
      </c>
      <c r="N21" s="206">
        <v>1.2749999999999999</v>
      </c>
      <c r="O21" s="206">
        <v>1.125</v>
      </c>
      <c r="P21" s="206">
        <v>1.2749999999999999</v>
      </c>
      <c r="Q21" s="206">
        <v>1.125</v>
      </c>
      <c r="R21" s="206">
        <v>1.2749999999999999</v>
      </c>
      <c r="S21" s="206">
        <v>1.125</v>
      </c>
      <c r="T21" s="207">
        <v>1.2749999999999999</v>
      </c>
    </row>
    <row r="22" spans="1:21" ht="15.75" customHeight="1">
      <c r="B22" s="313"/>
      <c r="C22" s="55" t="s">
        <v>234</v>
      </c>
      <c r="D22" s="220" t="s">
        <v>443</v>
      </c>
      <c r="E22" s="161">
        <v>0.1</v>
      </c>
      <c r="F22" s="161">
        <v>0.1</v>
      </c>
      <c r="G22" s="161">
        <v>3.8344</v>
      </c>
      <c r="H22" s="161">
        <v>3.8344</v>
      </c>
      <c r="I22" s="161">
        <v>3.8344</v>
      </c>
      <c r="J22" s="161">
        <v>3.8344</v>
      </c>
      <c r="K22" s="161">
        <v>0.1</v>
      </c>
      <c r="L22" s="161">
        <v>0.1</v>
      </c>
      <c r="M22" s="161">
        <v>3.8344</v>
      </c>
      <c r="N22" s="161">
        <v>3.8344</v>
      </c>
      <c r="O22" s="161">
        <v>3.8344</v>
      </c>
      <c r="P22" s="161">
        <v>3.8344</v>
      </c>
      <c r="Q22" s="161">
        <v>3.8344</v>
      </c>
      <c r="R22" s="161">
        <v>3.8344</v>
      </c>
      <c r="S22" s="161">
        <v>3.8344</v>
      </c>
      <c r="T22" s="165">
        <v>3.8344</v>
      </c>
    </row>
    <row r="23" spans="1:21" ht="15.75" customHeight="1">
      <c r="B23" s="314"/>
      <c r="C23" s="317" t="s">
        <v>444</v>
      </c>
      <c r="D23" s="225" t="s">
        <v>446</v>
      </c>
      <c r="E23" s="170">
        <v>1</v>
      </c>
      <c r="F23" s="170">
        <v>1</v>
      </c>
      <c r="G23" s="170">
        <v>1.125</v>
      </c>
      <c r="H23" s="170">
        <v>1.125</v>
      </c>
      <c r="I23" s="170">
        <v>1.125</v>
      </c>
      <c r="J23" s="170">
        <v>1.125</v>
      </c>
      <c r="K23" s="170">
        <v>1</v>
      </c>
      <c r="L23" s="170">
        <v>1</v>
      </c>
      <c r="M23" s="170">
        <v>1.125</v>
      </c>
      <c r="N23" s="170">
        <v>1.125</v>
      </c>
      <c r="O23" s="170">
        <v>1.125</v>
      </c>
      <c r="P23" s="170">
        <v>1.125</v>
      </c>
      <c r="Q23" s="170">
        <v>1.125</v>
      </c>
      <c r="R23" s="170">
        <v>1.125</v>
      </c>
      <c r="S23" s="170">
        <v>1.125</v>
      </c>
      <c r="T23" s="209">
        <v>1.125</v>
      </c>
    </row>
    <row r="24" spans="1:21" ht="15.75" customHeight="1">
      <c r="A24" s="136"/>
      <c r="B24" s="312" t="s">
        <v>179</v>
      </c>
      <c r="C24" s="55" t="s">
        <v>234</v>
      </c>
      <c r="D24" s="220" t="s">
        <v>34</v>
      </c>
      <c r="E24" s="206">
        <v>6.3563000000000001</v>
      </c>
      <c r="F24" s="206">
        <v>7.6275599999999999</v>
      </c>
      <c r="G24" s="206">
        <v>6.3563000000000001</v>
      </c>
      <c r="H24" s="206">
        <v>7.6275599999999999</v>
      </c>
      <c r="I24" s="206">
        <v>6.3563000000000001</v>
      </c>
      <c r="J24" s="206">
        <v>7.6275599999999999</v>
      </c>
      <c r="K24" s="206">
        <v>6.3563000000000001</v>
      </c>
      <c r="L24" s="206">
        <v>7.6275599999999999</v>
      </c>
      <c r="M24" s="206">
        <v>6.3563000000000001</v>
      </c>
      <c r="N24" s="206">
        <v>7.6275599999999999</v>
      </c>
      <c r="O24" s="206">
        <v>6.3563000000000001</v>
      </c>
      <c r="P24" s="206">
        <v>7.6275599999999999</v>
      </c>
      <c r="Q24" s="206">
        <v>6.3563000000000001</v>
      </c>
      <c r="R24" s="206">
        <v>7.6275599999999999</v>
      </c>
      <c r="S24" s="206">
        <v>6.3563000000000001</v>
      </c>
      <c r="T24" s="207">
        <v>7.6275599999999999</v>
      </c>
      <c r="U24" s="47"/>
    </row>
    <row r="25" spans="1:21" ht="15.75" customHeight="1">
      <c r="A25" s="136"/>
      <c r="B25" s="313"/>
      <c r="C25" s="55" t="s">
        <v>444</v>
      </c>
      <c r="D25" s="165" t="s">
        <v>445</v>
      </c>
      <c r="E25" s="206">
        <v>1.2</v>
      </c>
      <c r="F25" s="206">
        <v>1.35</v>
      </c>
      <c r="G25" s="206">
        <v>1.2</v>
      </c>
      <c r="H25" s="206">
        <v>1.35</v>
      </c>
      <c r="I25" s="206">
        <v>1.2</v>
      </c>
      <c r="J25" s="206">
        <v>1.35</v>
      </c>
      <c r="K25" s="206">
        <v>1.2</v>
      </c>
      <c r="L25" s="206">
        <v>1.35</v>
      </c>
      <c r="M25" s="206">
        <v>1.2</v>
      </c>
      <c r="N25" s="206">
        <v>1.35</v>
      </c>
      <c r="O25" s="206">
        <v>1.2</v>
      </c>
      <c r="P25" s="206">
        <v>1.35</v>
      </c>
      <c r="Q25" s="206">
        <v>1.2</v>
      </c>
      <c r="R25" s="206">
        <v>1.35</v>
      </c>
      <c r="S25" s="206">
        <v>1.2</v>
      </c>
      <c r="T25" s="207">
        <v>1.35</v>
      </c>
      <c r="U25" s="47"/>
    </row>
    <row r="26" spans="1:21" ht="15.75" customHeight="1">
      <c r="B26" s="313"/>
      <c r="C26" s="55" t="s">
        <v>234</v>
      </c>
      <c r="D26" s="220" t="s">
        <v>443</v>
      </c>
      <c r="E26" s="206">
        <v>0.1</v>
      </c>
      <c r="F26" s="206">
        <v>0.1</v>
      </c>
      <c r="G26" s="206">
        <v>4.5999999999999996</v>
      </c>
      <c r="H26" s="206">
        <v>4.5999999999999996</v>
      </c>
      <c r="I26" s="206">
        <v>4.5999999999999996</v>
      </c>
      <c r="J26" s="206">
        <v>4.5999999999999996</v>
      </c>
      <c r="K26" s="206">
        <v>0.1</v>
      </c>
      <c r="L26" s="206">
        <v>0.1</v>
      </c>
      <c r="M26" s="206">
        <v>4.5999999999999996</v>
      </c>
      <c r="N26" s="206">
        <v>4.5999999999999996</v>
      </c>
      <c r="O26" s="206">
        <v>4.5999999999999996</v>
      </c>
      <c r="P26" s="206">
        <v>4.5999999999999996</v>
      </c>
      <c r="Q26" s="206">
        <v>4.5999999999999996</v>
      </c>
      <c r="R26" s="206">
        <v>4.5999999999999996</v>
      </c>
      <c r="S26" s="55">
        <v>4.5999999999999996</v>
      </c>
      <c r="T26" s="220">
        <v>4.5999999999999996</v>
      </c>
      <c r="U26" s="49"/>
    </row>
    <row r="27" spans="1:21" ht="15.75" customHeight="1">
      <c r="B27" s="314"/>
      <c r="C27" s="317" t="s">
        <v>444</v>
      </c>
      <c r="D27" s="225" t="s">
        <v>446</v>
      </c>
      <c r="E27" s="170">
        <v>1</v>
      </c>
      <c r="F27" s="170">
        <v>1</v>
      </c>
      <c r="G27" s="170">
        <v>1.2</v>
      </c>
      <c r="H27" s="170">
        <v>1.2</v>
      </c>
      <c r="I27" s="170">
        <v>1.2</v>
      </c>
      <c r="J27" s="170">
        <v>1.2</v>
      </c>
      <c r="K27" s="170">
        <v>1</v>
      </c>
      <c r="L27" s="170">
        <v>1</v>
      </c>
      <c r="M27" s="170">
        <v>1.2</v>
      </c>
      <c r="N27" s="170">
        <v>1.2</v>
      </c>
      <c r="O27" s="170">
        <v>1.2</v>
      </c>
      <c r="P27" s="170">
        <v>1.2</v>
      </c>
      <c r="Q27" s="170">
        <v>1.2</v>
      </c>
      <c r="R27" s="170">
        <v>1.2</v>
      </c>
      <c r="S27" s="170">
        <v>1.2</v>
      </c>
      <c r="T27" s="209">
        <v>1.2</v>
      </c>
      <c r="U27" s="49"/>
    </row>
    <row r="28" spans="1:21" ht="15.75" customHeight="1">
      <c r="D28" s="49"/>
      <c r="E28" s="49"/>
      <c r="F28" s="49"/>
      <c r="G28" s="49"/>
      <c r="H28" s="49"/>
      <c r="I28" s="49"/>
      <c r="J28" s="49"/>
      <c r="K28" s="49"/>
      <c r="L28" s="49"/>
      <c r="M28" s="49"/>
      <c r="N28" s="49"/>
      <c r="O28" s="49"/>
      <c r="P28" s="49"/>
      <c r="Q28" s="49"/>
      <c r="R28" s="49"/>
      <c r="S28" s="49"/>
      <c r="T28" s="49"/>
      <c r="U28" s="49"/>
    </row>
    <row r="29" spans="1:21" ht="15.75" customHeight="1">
      <c r="D29" s="49"/>
      <c r="E29" s="49"/>
      <c r="F29" s="49"/>
      <c r="G29" s="49"/>
      <c r="H29" s="49"/>
      <c r="I29" s="49"/>
      <c r="J29" s="49"/>
      <c r="K29" s="49"/>
      <c r="L29" s="49"/>
      <c r="M29" s="49"/>
      <c r="N29" s="49"/>
      <c r="O29" s="49"/>
      <c r="P29" s="49"/>
      <c r="Q29" s="49"/>
      <c r="R29" s="49"/>
      <c r="S29" s="49"/>
      <c r="T29" s="49"/>
      <c r="U29" s="49"/>
    </row>
    <row r="30" spans="1:21" ht="15.75" customHeight="1">
      <c r="D30" s="49"/>
      <c r="E30" s="49"/>
      <c r="F30" s="49"/>
      <c r="G30" s="49"/>
      <c r="H30" s="49"/>
      <c r="I30" s="49"/>
      <c r="J30" s="49"/>
      <c r="K30" s="49"/>
      <c r="L30" s="49"/>
      <c r="M30" s="49"/>
      <c r="N30" s="49"/>
      <c r="O30" s="49"/>
      <c r="P30" s="49"/>
      <c r="Q30" s="49"/>
      <c r="R30" s="49"/>
      <c r="S30" s="49"/>
      <c r="T30" s="49"/>
      <c r="U30" s="49"/>
    </row>
    <row r="31" spans="1:21" ht="15.75" customHeight="1">
      <c r="A31" s="140"/>
      <c r="B31" s="140"/>
      <c r="C31" s="140"/>
      <c r="D31" s="82"/>
      <c r="E31" s="82"/>
      <c r="F31" s="82"/>
      <c r="G31" s="82"/>
      <c r="H31" s="82"/>
      <c r="I31" s="82"/>
      <c r="J31" s="82"/>
      <c r="K31" s="82"/>
      <c r="L31" s="82"/>
      <c r="M31" s="82"/>
      <c r="N31" s="82"/>
      <c r="O31" s="82"/>
      <c r="P31" s="82"/>
      <c r="Q31" s="82"/>
      <c r="R31" s="82"/>
      <c r="S31" s="82"/>
      <c r="T31" s="49"/>
      <c r="U31" s="49"/>
    </row>
    <row r="32" spans="1:21" ht="15.75" customHeight="1">
      <c r="B32" s="274" t="s">
        <v>125</v>
      </c>
    </row>
    <row r="34" spans="2:21" ht="15.75" customHeight="1">
      <c r="B34" s="49" t="s">
        <v>447</v>
      </c>
      <c r="C34" s="49"/>
      <c r="D34" s="49"/>
      <c r="E34" s="49"/>
      <c r="F34" s="49"/>
      <c r="G34" s="49"/>
      <c r="H34" s="49"/>
      <c r="I34" s="49"/>
      <c r="J34" s="49"/>
      <c r="K34" s="49"/>
      <c r="L34" s="49"/>
      <c r="M34" s="49"/>
      <c r="N34" s="49"/>
      <c r="O34" s="49"/>
      <c r="P34" s="49"/>
      <c r="Q34" s="49"/>
      <c r="R34" s="49"/>
      <c r="S34" s="49"/>
      <c r="T34" s="49"/>
      <c r="U34" s="49"/>
    </row>
    <row r="35" spans="2:21" ht="15.75" customHeight="1">
      <c r="B35" s="318" t="s">
        <v>235</v>
      </c>
      <c r="C35" s="322" t="s">
        <v>236</v>
      </c>
      <c r="D35" s="300" t="s">
        <v>177</v>
      </c>
      <c r="E35" s="300" t="s">
        <v>201</v>
      </c>
      <c r="F35" s="300" t="s">
        <v>179</v>
      </c>
      <c r="G35" s="318" t="s">
        <v>122</v>
      </c>
      <c r="H35" s="49"/>
      <c r="I35" s="49"/>
      <c r="J35" s="47" t="s">
        <v>448</v>
      </c>
      <c r="K35" s="49"/>
      <c r="L35" s="49"/>
      <c r="M35" s="49"/>
      <c r="N35" s="49"/>
      <c r="O35" s="49"/>
      <c r="P35" s="49"/>
      <c r="Q35" s="49"/>
      <c r="R35" s="49"/>
      <c r="S35" s="49"/>
      <c r="T35" s="49"/>
      <c r="U35" s="49"/>
    </row>
    <row r="36" spans="2:21" ht="56">
      <c r="B36" s="320" t="s">
        <v>449</v>
      </c>
      <c r="C36" s="323" t="s">
        <v>450</v>
      </c>
      <c r="D36" s="56">
        <v>1.05</v>
      </c>
      <c r="E36" s="409">
        <f t="shared" ref="E36:E38" si="6">AVERAGE(D36,F36)</f>
        <v>1.125</v>
      </c>
      <c r="F36" s="56">
        <v>1.2</v>
      </c>
      <c r="G36" s="410" t="s">
        <v>451</v>
      </c>
      <c r="H36" s="49"/>
      <c r="I36" s="49"/>
      <c r="J36" s="49"/>
      <c r="K36" s="49"/>
      <c r="L36" s="49"/>
      <c r="M36" s="49"/>
      <c r="N36" s="49"/>
      <c r="O36" s="49"/>
      <c r="P36" s="49"/>
      <c r="Q36" s="49"/>
      <c r="R36" s="49"/>
      <c r="S36" s="49"/>
      <c r="T36" s="49"/>
      <c r="U36" s="49"/>
    </row>
    <row r="37" spans="2:21" ht="42">
      <c r="B37" s="320" t="s">
        <v>452</v>
      </c>
      <c r="C37" s="323" t="s">
        <v>450</v>
      </c>
      <c r="D37" s="56">
        <v>1.2</v>
      </c>
      <c r="E37" s="409">
        <f t="shared" si="6"/>
        <v>1.2749999999999999</v>
      </c>
      <c r="F37" s="56">
        <v>1.35</v>
      </c>
      <c r="G37" s="410" t="s">
        <v>453</v>
      </c>
      <c r="H37" s="49"/>
      <c r="I37" s="49"/>
      <c r="J37" s="49"/>
      <c r="K37" s="49"/>
      <c r="L37" s="49"/>
      <c r="M37" s="49"/>
      <c r="N37" s="49"/>
      <c r="O37" s="49"/>
      <c r="P37" s="49"/>
      <c r="Q37" s="49"/>
      <c r="R37" s="49"/>
      <c r="S37" s="49"/>
      <c r="T37" s="49"/>
      <c r="U37" s="49"/>
    </row>
    <row r="38" spans="2:21" ht="56">
      <c r="B38" s="407" t="s">
        <v>454</v>
      </c>
      <c r="C38" s="324" t="s">
        <v>450</v>
      </c>
      <c r="D38" s="411">
        <v>1.05</v>
      </c>
      <c r="E38" s="412">
        <f t="shared" si="6"/>
        <v>1.125</v>
      </c>
      <c r="F38" s="411">
        <v>1.2</v>
      </c>
      <c r="G38" s="328" t="s">
        <v>455</v>
      </c>
      <c r="H38" s="49"/>
      <c r="I38" s="49"/>
      <c r="J38" s="49"/>
      <c r="K38" s="49"/>
      <c r="L38" s="49"/>
      <c r="M38" s="49"/>
      <c r="N38" s="49"/>
      <c r="O38" s="49"/>
      <c r="P38" s="49"/>
      <c r="Q38" s="49"/>
      <c r="R38" s="49"/>
      <c r="S38" s="49"/>
      <c r="T38" s="49"/>
      <c r="U38" s="49"/>
    </row>
    <row r="39" spans="2:21" ht="15.75" customHeight="1">
      <c r="B39" s="49"/>
      <c r="C39" s="49"/>
      <c r="D39" s="49"/>
      <c r="E39" s="49"/>
      <c r="F39" s="49"/>
      <c r="G39" s="49"/>
      <c r="H39" s="49"/>
      <c r="I39" s="49"/>
      <c r="J39" s="49"/>
      <c r="K39" s="49"/>
      <c r="L39" s="49"/>
      <c r="M39" s="49"/>
      <c r="N39" s="49"/>
      <c r="O39" s="49"/>
      <c r="P39" s="49"/>
      <c r="Q39" s="49"/>
      <c r="R39" s="49"/>
      <c r="S39" s="49"/>
      <c r="T39" s="49"/>
      <c r="U39" s="49"/>
    </row>
    <row r="40" spans="2:21" ht="15.75" customHeight="1">
      <c r="B40" s="226" t="s">
        <v>243</v>
      </c>
      <c r="C40" s="49"/>
      <c r="D40" s="49"/>
      <c r="E40" s="49"/>
      <c r="F40" s="49"/>
      <c r="G40" s="49"/>
      <c r="H40" s="49"/>
      <c r="I40" s="49"/>
      <c r="J40" s="49"/>
      <c r="K40" s="49"/>
      <c r="L40" s="49"/>
      <c r="M40" s="49"/>
      <c r="N40" s="49"/>
      <c r="O40" s="49"/>
      <c r="P40" s="49"/>
      <c r="Q40" s="49"/>
      <c r="R40" s="49"/>
      <c r="S40" s="49"/>
      <c r="T40" s="49"/>
      <c r="U40" s="49"/>
    </row>
    <row r="41" spans="2:21" ht="15.75" customHeight="1">
      <c r="B41" s="318" t="s">
        <v>235</v>
      </c>
      <c r="C41" s="319" t="s">
        <v>236</v>
      </c>
      <c r="D41" s="300" t="s">
        <v>177</v>
      </c>
      <c r="E41" s="300" t="s">
        <v>201</v>
      </c>
      <c r="F41" s="300" t="s">
        <v>179</v>
      </c>
      <c r="G41" s="319" t="s">
        <v>122</v>
      </c>
      <c r="H41" s="319" t="s">
        <v>131</v>
      </c>
      <c r="I41" s="299" t="s">
        <v>245</v>
      </c>
      <c r="J41" s="49"/>
      <c r="K41" s="49"/>
      <c r="L41" s="49"/>
      <c r="M41" s="49"/>
      <c r="N41" s="49"/>
      <c r="O41" s="49"/>
      <c r="P41" s="49"/>
      <c r="Q41" s="49"/>
      <c r="R41" s="49"/>
      <c r="S41" s="49"/>
      <c r="T41" s="49"/>
      <c r="U41" s="49"/>
    </row>
    <row r="42" spans="2:21" ht="140">
      <c r="B42" s="320" t="s">
        <v>456</v>
      </c>
      <c r="C42" s="57" t="s">
        <v>457</v>
      </c>
      <c r="D42" s="206">
        <v>1.2</v>
      </c>
      <c r="E42" s="206">
        <v>1.6</v>
      </c>
      <c r="F42" s="206">
        <v>2.1</v>
      </c>
      <c r="G42" s="57" t="s">
        <v>458</v>
      </c>
      <c r="H42" s="413" t="s">
        <v>459</v>
      </c>
      <c r="I42" s="220" t="s">
        <v>460</v>
      </c>
      <c r="J42" s="49"/>
      <c r="K42" s="49"/>
      <c r="L42" s="49"/>
      <c r="M42" s="49"/>
      <c r="N42" s="49"/>
      <c r="O42" s="49"/>
      <c r="P42" s="49"/>
      <c r="Q42" s="49"/>
      <c r="R42" s="49"/>
      <c r="S42" s="49"/>
      <c r="T42" s="49"/>
      <c r="U42" s="49"/>
    </row>
    <row r="43" spans="2:21" ht="84">
      <c r="B43" s="320" t="s">
        <v>456</v>
      </c>
      <c r="C43" s="57" t="s">
        <v>457</v>
      </c>
      <c r="D43" s="55"/>
      <c r="E43" s="55"/>
      <c r="F43" s="206">
        <v>2</v>
      </c>
      <c r="G43" s="57" t="s">
        <v>461</v>
      </c>
      <c r="H43" s="413" t="s">
        <v>462</v>
      </c>
      <c r="I43" s="220"/>
      <c r="J43" s="49"/>
      <c r="K43" s="49"/>
      <c r="L43" s="49"/>
      <c r="M43" s="49"/>
      <c r="N43" s="49"/>
      <c r="O43" s="49"/>
      <c r="P43" s="49"/>
      <c r="Q43" s="49"/>
      <c r="R43" s="49"/>
      <c r="S43" s="49"/>
      <c r="T43" s="49"/>
      <c r="U43" s="49"/>
    </row>
    <row r="44" spans="2:21" ht="224">
      <c r="B44" s="320" t="s">
        <v>463</v>
      </c>
      <c r="C44" s="57" t="s">
        <v>464</v>
      </c>
      <c r="D44" s="55"/>
      <c r="E44" s="206">
        <v>8.1999999999999993</v>
      </c>
      <c r="F44" s="55"/>
      <c r="G44" s="57" t="s">
        <v>465</v>
      </c>
      <c r="H44" s="413" t="s">
        <v>466</v>
      </c>
      <c r="I44" s="220" t="s">
        <v>467</v>
      </c>
      <c r="J44" s="49"/>
      <c r="K44" s="49"/>
      <c r="L44" s="49"/>
      <c r="M44" s="49"/>
      <c r="N44" s="49"/>
      <c r="O44" s="49"/>
      <c r="P44" s="49"/>
      <c r="Q44" s="49"/>
      <c r="R44" s="49"/>
      <c r="S44" s="49"/>
      <c r="T44" s="49"/>
      <c r="U44" s="49"/>
    </row>
    <row r="45" spans="2:21" ht="306">
      <c r="B45" s="320" t="s">
        <v>468</v>
      </c>
      <c r="C45" s="57" t="s">
        <v>469</v>
      </c>
      <c r="D45" s="206">
        <v>0</v>
      </c>
      <c r="E45" s="206">
        <f t="shared" ref="E45:E48" si="7">AVERAGE(D45,F45)</f>
        <v>10</v>
      </c>
      <c r="F45" s="206">
        <v>20</v>
      </c>
      <c r="G45" s="57" t="s">
        <v>470</v>
      </c>
      <c r="H45" s="413" t="s">
        <v>471</v>
      </c>
      <c r="I45" s="220" t="s">
        <v>472</v>
      </c>
      <c r="J45" s="49"/>
      <c r="K45" s="49"/>
      <c r="L45" s="49"/>
      <c r="M45" s="49"/>
      <c r="N45" s="49"/>
      <c r="O45" s="49"/>
      <c r="P45" s="49"/>
      <c r="Q45" s="49"/>
      <c r="R45" s="49"/>
      <c r="S45" s="49"/>
      <c r="T45" s="49"/>
      <c r="U45" s="49"/>
    </row>
    <row r="46" spans="2:21" ht="306">
      <c r="B46" s="320" t="s">
        <v>473</v>
      </c>
      <c r="C46" s="57" t="s">
        <v>474</v>
      </c>
      <c r="D46" s="206">
        <v>20</v>
      </c>
      <c r="E46" s="206">
        <f t="shared" si="7"/>
        <v>27.5</v>
      </c>
      <c r="F46" s="206">
        <v>35</v>
      </c>
      <c r="G46" s="57" t="s">
        <v>475</v>
      </c>
      <c r="H46" s="414" t="s">
        <v>476</v>
      </c>
      <c r="I46" s="220" t="s">
        <v>467</v>
      </c>
      <c r="J46" s="49"/>
      <c r="K46" s="49"/>
      <c r="L46" s="49"/>
      <c r="M46" s="49"/>
      <c r="N46" s="49"/>
      <c r="O46" s="49"/>
      <c r="P46" s="49"/>
      <c r="Q46" s="49"/>
      <c r="R46" s="49"/>
      <c r="S46" s="49"/>
      <c r="T46" s="49"/>
      <c r="U46" s="49"/>
    </row>
    <row r="47" spans="2:21" ht="332">
      <c r="B47" s="320" t="s">
        <v>473</v>
      </c>
      <c r="C47" s="57" t="s">
        <v>474</v>
      </c>
      <c r="D47" s="206">
        <v>5</v>
      </c>
      <c r="E47" s="206">
        <f t="shared" si="7"/>
        <v>12.5</v>
      </c>
      <c r="F47" s="206">
        <v>20</v>
      </c>
      <c r="G47" s="57" t="s">
        <v>477</v>
      </c>
      <c r="H47" s="414" t="s">
        <v>478</v>
      </c>
      <c r="I47" s="220" t="s">
        <v>479</v>
      </c>
      <c r="J47" s="49"/>
      <c r="K47" s="49"/>
      <c r="L47" s="49"/>
      <c r="M47" s="49"/>
      <c r="N47" s="49"/>
      <c r="O47" s="49"/>
      <c r="P47" s="49"/>
      <c r="Q47" s="49"/>
      <c r="R47" s="49"/>
      <c r="S47" s="49"/>
      <c r="T47" s="49"/>
      <c r="U47" s="49"/>
    </row>
    <row r="48" spans="2:21" ht="168">
      <c r="B48" s="408" t="s">
        <v>480</v>
      </c>
      <c r="C48" s="57" t="s">
        <v>481</v>
      </c>
      <c r="D48" s="206">
        <v>0</v>
      </c>
      <c r="E48" s="415">
        <f t="shared" si="7"/>
        <v>7.4999999999999997E-3</v>
      </c>
      <c r="F48" s="415">
        <v>1.4999999999999999E-2</v>
      </c>
      <c r="G48" s="57" t="s">
        <v>482</v>
      </c>
      <c r="H48" s="413" t="s">
        <v>483</v>
      </c>
      <c r="I48" s="220"/>
      <c r="J48" s="49"/>
      <c r="K48" s="49"/>
      <c r="L48" s="49"/>
      <c r="M48" s="49"/>
      <c r="N48" s="49"/>
      <c r="O48" s="49"/>
      <c r="P48" s="49"/>
      <c r="Q48" s="49"/>
      <c r="R48" s="49"/>
      <c r="S48" s="49"/>
      <c r="T48" s="49"/>
      <c r="U48" s="49"/>
    </row>
    <row r="49" spans="2:21" ht="56">
      <c r="B49" s="408" t="s">
        <v>480</v>
      </c>
      <c r="C49" s="416" t="s">
        <v>481</v>
      </c>
      <c r="D49" s="317"/>
      <c r="E49" s="417">
        <v>2.5000000000000001E-3</v>
      </c>
      <c r="F49" s="317"/>
      <c r="G49" s="317"/>
      <c r="H49" s="418" t="s">
        <v>484</v>
      </c>
      <c r="I49" s="225"/>
      <c r="J49" s="49"/>
      <c r="K49" s="49"/>
      <c r="L49" s="49"/>
      <c r="M49" s="49"/>
      <c r="N49" s="49"/>
      <c r="O49" s="49"/>
      <c r="P49" s="49"/>
      <c r="Q49" s="49"/>
      <c r="R49" s="49"/>
      <c r="S49" s="49"/>
      <c r="T49" s="49"/>
      <c r="U49" s="49"/>
    </row>
    <row r="50" spans="2:21" ht="15.75" customHeight="1">
      <c r="B50" s="49"/>
      <c r="C50" s="49"/>
      <c r="D50" s="49"/>
      <c r="E50" s="49"/>
      <c r="F50" s="49"/>
      <c r="G50" s="49"/>
      <c r="H50" s="49"/>
      <c r="I50" s="49"/>
      <c r="J50" s="49"/>
      <c r="K50" s="49"/>
      <c r="L50" s="49"/>
      <c r="M50" s="49"/>
      <c r="N50" s="49"/>
      <c r="O50" s="49"/>
      <c r="P50" s="49"/>
      <c r="Q50" s="49"/>
      <c r="R50" s="49"/>
      <c r="S50" s="49"/>
      <c r="T50" s="49"/>
      <c r="U50" s="49"/>
    </row>
  </sheetData>
  <mergeCells count="6">
    <mergeCell ref="B24:B27"/>
    <mergeCell ref="B6:B7"/>
    <mergeCell ref="B8:B9"/>
    <mergeCell ref="B10:B11"/>
    <mergeCell ref="B16:B19"/>
    <mergeCell ref="B20:B23"/>
  </mergeCells>
  <hyperlinks>
    <hyperlink ref="A1" location="Index!A1" display="←" xr:uid="{00000000-0004-0000-0E00-000000000000}"/>
    <hyperlink ref="J35" r:id="rId1" xr:uid="{00000000-0004-0000-0E00-000001000000}"/>
    <hyperlink ref="H42" r:id="rId2" xr:uid="{00000000-0004-0000-0E00-000002000000}"/>
    <hyperlink ref="H43" r:id="rId3" xr:uid="{00000000-0004-0000-0E00-000003000000}"/>
    <hyperlink ref="H44" r:id="rId4" xr:uid="{00000000-0004-0000-0E00-000004000000}"/>
    <hyperlink ref="H45" r:id="rId5" xr:uid="{00000000-0004-0000-0E00-000005000000}"/>
    <hyperlink ref="H46" r:id="rId6" xr:uid="{00000000-0004-0000-0E00-000006000000}"/>
    <hyperlink ref="H47" r:id="rId7" xr:uid="{00000000-0004-0000-0E00-000007000000}"/>
    <hyperlink ref="H48" r:id="rId8" xr:uid="{00000000-0004-0000-0E00-000008000000}"/>
    <hyperlink ref="H49" r:id="rId9" xr:uid="{00000000-0004-0000-0E00-000009000000}"/>
  </hyperlinks>
  <pageMargins left="0.7" right="0.7" top="0.75" bottom="0.75" header="0.3" footer="0.3"/>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U52"/>
  <sheetViews>
    <sheetView topLeftCell="A2" workbookViewId="0">
      <selection activeCell="K12" sqref="K12"/>
    </sheetView>
  </sheetViews>
  <sheetFormatPr baseColWidth="10" defaultColWidth="12.6640625" defaultRowHeight="15.75" customHeight="1"/>
  <cols>
    <col min="1" max="1" width="4.33203125" style="43" customWidth="1"/>
    <col min="2" max="2" width="20.5" style="43" customWidth="1"/>
    <col min="3" max="3" width="12.6640625" style="43"/>
    <col min="4" max="4" width="16.1640625" style="43" customWidth="1"/>
    <col min="5" max="6" width="12.6640625" style="43"/>
    <col min="7" max="7" width="12.6640625" style="43" customWidth="1"/>
    <col min="8" max="13" width="12.6640625" style="43"/>
    <col min="14" max="14" width="13.6640625" style="43" customWidth="1"/>
    <col min="15" max="18" width="12.6640625" style="43"/>
    <col min="19" max="19" width="13.83203125" style="43" customWidth="1"/>
    <col min="20" max="20" width="12.6640625" style="43"/>
    <col min="21" max="21" width="4.1640625" style="43" customWidth="1"/>
    <col min="22" max="16384" width="12.6640625" style="43"/>
  </cols>
  <sheetData>
    <row r="1" spans="1:21" ht="15.75" customHeight="1">
      <c r="A1" s="137" t="s">
        <v>43</v>
      </c>
      <c r="H1" s="136"/>
    </row>
    <row r="2" spans="1:21" ht="15.75" customHeight="1">
      <c r="B2" s="274" t="s">
        <v>485</v>
      </c>
      <c r="H2" s="136"/>
    </row>
    <row r="3" spans="1:21" ht="15.75" customHeight="1">
      <c r="H3" s="136"/>
    </row>
    <row r="4" spans="1:21" ht="15.75" customHeight="1">
      <c r="B4" s="308" t="s">
        <v>287</v>
      </c>
      <c r="C4" s="309" t="s">
        <v>288</v>
      </c>
      <c r="D4" s="309" t="s">
        <v>2</v>
      </c>
      <c r="E4" s="308" t="s">
        <v>289</v>
      </c>
      <c r="F4" s="309" t="s">
        <v>290</v>
      </c>
      <c r="G4" s="309" t="s">
        <v>291</v>
      </c>
      <c r="H4" s="309" t="s">
        <v>292</v>
      </c>
      <c r="I4" s="309" t="s">
        <v>293</v>
      </c>
      <c r="J4" s="309" t="s">
        <v>294</v>
      </c>
      <c r="K4" s="309" t="s">
        <v>439</v>
      </c>
      <c r="L4" s="309" t="s">
        <v>440</v>
      </c>
      <c r="M4" s="309" t="s">
        <v>295</v>
      </c>
      <c r="N4" s="309" t="s">
        <v>296</v>
      </c>
      <c r="O4" s="309" t="s">
        <v>297</v>
      </c>
      <c r="P4" s="309" t="s">
        <v>298</v>
      </c>
      <c r="Q4" s="309" t="s">
        <v>299</v>
      </c>
      <c r="R4" s="309" t="s">
        <v>300</v>
      </c>
      <c r="S4" s="309" t="s">
        <v>301</v>
      </c>
      <c r="T4" s="310" t="s">
        <v>302</v>
      </c>
    </row>
    <row r="5" spans="1:21" ht="15.75" customHeight="1">
      <c r="B5" s="405" t="s">
        <v>177</v>
      </c>
      <c r="C5" s="402" t="s">
        <v>67</v>
      </c>
      <c r="D5" s="276" t="s">
        <v>481</v>
      </c>
      <c r="E5" s="143">
        <f t="shared" ref="E5:T5" si="0">E14+E15</f>
        <v>5.5E-2</v>
      </c>
      <c r="F5" s="276">
        <f t="shared" si="0"/>
        <v>0.06</v>
      </c>
      <c r="G5" s="276">
        <f t="shared" si="0"/>
        <v>5.5E-2</v>
      </c>
      <c r="H5" s="276">
        <f t="shared" si="0"/>
        <v>0.06</v>
      </c>
      <c r="I5" s="276">
        <f t="shared" si="0"/>
        <v>5.5E-2</v>
      </c>
      <c r="J5" s="276">
        <f t="shared" si="0"/>
        <v>0.06</v>
      </c>
      <c r="K5" s="276">
        <f t="shared" si="0"/>
        <v>5.5E-2</v>
      </c>
      <c r="L5" s="276">
        <f t="shared" si="0"/>
        <v>0.06</v>
      </c>
      <c r="M5" s="276">
        <f t="shared" si="0"/>
        <v>5.5E-2</v>
      </c>
      <c r="N5" s="276">
        <f t="shared" si="0"/>
        <v>0.06</v>
      </c>
      <c r="O5" s="276">
        <f t="shared" si="0"/>
        <v>5.5E-2</v>
      </c>
      <c r="P5" s="276">
        <f t="shared" si="0"/>
        <v>0.06</v>
      </c>
      <c r="Q5" s="276">
        <f t="shared" si="0"/>
        <v>5.5E-2</v>
      </c>
      <c r="R5" s="276">
        <f t="shared" si="0"/>
        <v>0.06</v>
      </c>
      <c r="S5" s="276">
        <f t="shared" si="0"/>
        <v>5.5E-2</v>
      </c>
      <c r="T5" s="286">
        <f t="shared" si="0"/>
        <v>0.06</v>
      </c>
    </row>
    <row r="6" spans="1:21" ht="15.75" customHeight="1">
      <c r="B6" s="314"/>
      <c r="C6" s="317" t="s">
        <v>67</v>
      </c>
      <c r="D6" s="166" t="s">
        <v>486</v>
      </c>
      <c r="E6" s="145">
        <f t="shared" ref="E6:T6" si="1">E16+E17</f>
        <v>4.4999999999999998E-2</v>
      </c>
      <c r="F6" s="166">
        <f t="shared" si="1"/>
        <v>4.4999999999999998E-2</v>
      </c>
      <c r="G6" s="166">
        <f t="shared" si="1"/>
        <v>5.5E-2</v>
      </c>
      <c r="H6" s="166">
        <f t="shared" si="1"/>
        <v>0.06</v>
      </c>
      <c r="I6" s="166">
        <f t="shared" si="1"/>
        <v>4.4999999999999998E-2</v>
      </c>
      <c r="J6" s="166">
        <f t="shared" si="1"/>
        <v>4.4999999999999998E-2</v>
      </c>
      <c r="K6" s="166">
        <f t="shared" si="1"/>
        <v>4.4999999999999998E-2</v>
      </c>
      <c r="L6" s="166">
        <f t="shared" si="1"/>
        <v>4.4999999999999998E-2</v>
      </c>
      <c r="M6" s="166">
        <f t="shared" si="1"/>
        <v>4.4999999999999998E-2</v>
      </c>
      <c r="N6" s="166">
        <f t="shared" si="1"/>
        <v>4.4999999999999998E-2</v>
      </c>
      <c r="O6" s="166">
        <f t="shared" si="1"/>
        <v>4.4999999999999998E-2</v>
      </c>
      <c r="P6" s="166">
        <f t="shared" si="1"/>
        <v>4.4999999999999998E-2</v>
      </c>
      <c r="Q6" s="166">
        <f t="shared" si="1"/>
        <v>5.5E-2</v>
      </c>
      <c r="R6" s="166">
        <f t="shared" si="1"/>
        <v>0.06</v>
      </c>
      <c r="S6" s="166">
        <f t="shared" si="1"/>
        <v>4.4999999999999998E-2</v>
      </c>
      <c r="T6" s="316">
        <f t="shared" si="1"/>
        <v>4.4999999999999998E-2</v>
      </c>
    </row>
    <row r="7" spans="1:21" ht="15.75" customHeight="1">
      <c r="B7" s="405" t="s">
        <v>304</v>
      </c>
      <c r="C7" s="402" t="s">
        <v>67</v>
      </c>
      <c r="D7" s="276" t="s">
        <v>481</v>
      </c>
      <c r="E7" s="143">
        <f t="shared" ref="E7:T7" si="2">E18+E19</f>
        <v>0.06</v>
      </c>
      <c r="F7" s="276">
        <f t="shared" si="2"/>
        <v>6.3E-2</v>
      </c>
      <c r="G7" s="276">
        <f t="shared" si="2"/>
        <v>0.06</v>
      </c>
      <c r="H7" s="276">
        <f t="shared" si="2"/>
        <v>6.3E-2</v>
      </c>
      <c r="I7" s="276">
        <f t="shared" si="2"/>
        <v>0.06</v>
      </c>
      <c r="J7" s="276">
        <f t="shared" si="2"/>
        <v>6.3E-2</v>
      </c>
      <c r="K7" s="276">
        <f t="shared" si="2"/>
        <v>0.06</v>
      </c>
      <c r="L7" s="276">
        <f t="shared" si="2"/>
        <v>6.3E-2</v>
      </c>
      <c r="M7" s="276">
        <f t="shared" si="2"/>
        <v>0.06</v>
      </c>
      <c r="N7" s="276">
        <f t="shared" si="2"/>
        <v>6.3E-2</v>
      </c>
      <c r="O7" s="276">
        <f t="shared" si="2"/>
        <v>0.06</v>
      </c>
      <c r="P7" s="276">
        <f t="shared" si="2"/>
        <v>6.3E-2</v>
      </c>
      <c r="Q7" s="276">
        <f t="shared" si="2"/>
        <v>0.06</v>
      </c>
      <c r="R7" s="276">
        <f t="shared" si="2"/>
        <v>6.3E-2</v>
      </c>
      <c r="S7" s="276">
        <f t="shared" si="2"/>
        <v>0.06</v>
      </c>
      <c r="T7" s="286">
        <f t="shared" si="2"/>
        <v>6.3E-2</v>
      </c>
    </row>
    <row r="8" spans="1:21" ht="15.75" customHeight="1">
      <c r="B8" s="314"/>
      <c r="C8" s="317" t="s">
        <v>67</v>
      </c>
      <c r="D8" s="166" t="s">
        <v>486</v>
      </c>
      <c r="E8" s="145">
        <f t="shared" ref="E8:T8" si="3">E20+E21</f>
        <v>4.4999999999999998E-2</v>
      </c>
      <c r="F8" s="166">
        <f t="shared" si="3"/>
        <v>4.4999999999999998E-2</v>
      </c>
      <c r="G8" s="166">
        <f t="shared" si="3"/>
        <v>0.06</v>
      </c>
      <c r="H8" s="166">
        <f t="shared" si="3"/>
        <v>6.3E-2</v>
      </c>
      <c r="I8" s="166">
        <f t="shared" si="3"/>
        <v>4.4999999999999998E-2</v>
      </c>
      <c r="J8" s="166">
        <f t="shared" si="3"/>
        <v>4.4999999999999998E-2</v>
      </c>
      <c r="K8" s="166">
        <f t="shared" si="3"/>
        <v>4.4999999999999998E-2</v>
      </c>
      <c r="L8" s="166">
        <f t="shared" si="3"/>
        <v>4.4999999999999998E-2</v>
      </c>
      <c r="M8" s="166">
        <f t="shared" si="3"/>
        <v>4.4999999999999998E-2</v>
      </c>
      <c r="N8" s="166">
        <f t="shared" si="3"/>
        <v>4.4999999999999998E-2</v>
      </c>
      <c r="O8" s="166">
        <f t="shared" si="3"/>
        <v>4.4999999999999998E-2</v>
      </c>
      <c r="P8" s="166">
        <f t="shared" si="3"/>
        <v>4.4999999999999998E-2</v>
      </c>
      <c r="Q8" s="166">
        <f t="shared" si="3"/>
        <v>0.06</v>
      </c>
      <c r="R8" s="166">
        <f t="shared" si="3"/>
        <v>6.3E-2</v>
      </c>
      <c r="S8" s="166">
        <f t="shared" si="3"/>
        <v>4.4999999999999998E-2</v>
      </c>
      <c r="T8" s="316">
        <f t="shared" si="3"/>
        <v>4.4999999999999998E-2</v>
      </c>
    </row>
    <row r="9" spans="1:21" ht="15.75" customHeight="1">
      <c r="B9" s="312" t="s">
        <v>179</v>
      </c>
      <c r="C9" s="55" t="s">
        <v>67</v>
      </c>
      <c r="D9" s="161" t="s">
        <v>481</v>
      </c>
      <c r="E9" s="144">
        <f t="shared" ref="E9:T9" si="4">E22+E23</f>
        <v>6.5000000000000002E-2</v>
      </c>
      <c r="F9" s="161">
        <f t="shared" si="4"/>
        <v>7.0000000000000007E-2</v>
      </c>
      <c r="G9" s="161">
        <f t="shared" si="4"/>
        <v>6.5000000000000002E-2</v>
      </c>
      <c r="H9" s="161">
        <f t="shared" si="4"/>
        <v>7.0000000000000007E-2</v>
      </c>
      <c r="I9" s="161">
        <f t="shared" si="4"/>
        <v>6.5000000000000002E-2</v>
      </c>
      <c r="J9" s="161">
        <f t="shared" si="4"/>
        <v>7.0000000000000007E-2</v>
      </c>
      <c r="K9" s="161">
        <f t="shared" si="4"/>
        <v>6.5000000000000002E-2</v>
      </c>
      <c r="L9" s="161">
        <f t="shared" si="4"/>
        <v>7.0000000000000007E-2</v>
      </c>
      <c r="M9" s="161">
        <f t="shared" si="4"/>
        <v>6.5000000000000002E-2</v>
      </c>
      <c r="N9" s="161">
        <f t="shared" si="4"/>
        <v>7.0000000000000007E-2</v>
      </c>
      <c r="O9" s="161">
        <f t="shared" si="4"/>
        <v>6.5000000000000002E-2</v>
      </c>
      <c r="P9" s="161">
        <f t="shared" si="4"/>
        <v>7.0000000000000007E-2</v>
      </c>
      <c r="Q9" s="161">
        <f t="shared" si="4"/>
        <v>6.5000000000000002E-2</v>
      </c>
      <c r="R9" s="161">
        <f t="shared" si="4"/>
        <v>7.0000000000000007E-2</v>
      </c>
      <c r="S9" s="161">
        <f t="shared" si="4"/>
        <v>6.5000000000000002E-2</v>
      </c>
      <c r="T9" s="165">
        <f t="shared" si="4"/>
        <v>7.0000000000000007E-2</v>
      </c>
    </row>
    <row r="10" spans="1:21" ht="15.75" customHeight="1">
      <c r="B10" s="314"/>
      <c r="C10" s="317" t="s">
        <v>67</v>
      </c>
      <c r="D10" s="166" t="s">
        <v>486</v>
      </c>
      <c r="E10" s="145">
        <f t="shared" ref="E10:T10" si="5">E24+E25</f>
        <v>4.4999999999999998E-2</v>
      </c>
      <c r="F10" s="166">
        <f t="shared" si="5"/>
        <v>4.4999999999999998E-2</v>
      </c>
      <c r="G10" s="166">
        <f t="shared" si="5"/>
        <v>6.5000000000000002E-2</v>
      </c>
      <c r="H10" s="166">
        <f t="shared" si="5"/>
        <v>7.0000000000000007E-2</v>
      </c>
      <c r="I10" s="166">
        <f t="shared" si="5"/>
        <v>4.4999999999999998E-2</v>
      </c>
      <c r="J10" s="166">
        <f t="shared" si="5"/>
        <v>4.4999999999999998E-2</v>
      </c>
      <c r="K10" s="166">
        <f t="shared" si="5"/>
        <v>4.4999999999999998E-2</v>
      </c>
      <c r="L10" s="166">
        <f t="shared" si="5"/>
        <v>4.4999999999999998E-2</v>
      </c>
      <c r="M10" s="166">
        <f t="shared" si="5"/>
        <v>4.4999999999999998E-2</v>
      </c>
      <c r="N10" s="166">
        <f t="shared" si="5"/>
        <v>4.4999999999999998E-2</v>
      </c>
      <c r="O10" s="166">
        <f t="shared" si="5"/>
        <v>4.4999999999999998E-2</v>
      </c>
      <c r="P10" s="166">
        <f t="shared" si="5"/>
        <v>4.4999999999999998E-2</v>
      </c>
      <c r="Q10" s="166">
        <f t="shared" si="5"/>
        <v>6.5000000000000002E-2</v>
      </c>
      <c r="R10" s="166">
        <f t="shared" si="5"/>
        <v>7.0000000000000007E-2</v>
      </c>
      <c r="S10" s="166">
        <f t="shared" si="5"/>
        <v>4.4999999999999998E-2</v>
      </c>
      <c r="T10" s="316">
        <f t="shared" si="5"/>
        <v>4.4999999999999998E-2</v>
      </c>
    </row>
    <row r="11" spans="1:21" ht="15.75" customHeight="1">
      <c r="H11" s="136"/>
    </row>
    <row r="12" spans="1:21" ht="15.75" customHeight="1">
      <c r="A12" s="140"/>
      <c r="B12" s="140"/>
      <c r="C12" s="140"/>
      <c r="D12" s="140"/>
      <c r="E12" s="140"/>
      <c r="F12" s="140"/>
      <c r="G12" s="140"/>
      <c r="H12" s="140"/>
      <c r="I12" s="140"/>
      <c r="J12" s="140"/>
      <c r="K12" s="140"/>
      <c r="L12" s="140"/>
      <c r="M12" s="140"/>
      <c r="N12" s="140"/>
      <c r="O12" s="140"/>
      <c r="P12" s="140"/>
      <c r="Q12" s="140"/>
      <c r="R12" s="140"/>
      <c r="S12" s="140"/>
      <c r="T12" s="140"/>
      <c r="U12" s="140"/>
    </row>
    <row r="13" spans="1:21" ht="15.75" customHeight="1">
      <c r="B13" s="148" t="s">
        <v>287</v>
      </c>
      <c r="C13" s="420" t="s">
        <v>288</v>
      </c>
      <c r="D13" s="186" t="s">
        <v>305</v>
      </c>
      <c r="E13" s="190" t="s">
        <v>289</v>
      </c>
      <c r="F13" s="152" t="s">
        <v>290</v>
      </c>
      <c r="G13" s="152" t="s">
        <v>291</v>
      </c>
      <c r="H13" s="152" t="s">
        <v>292</v>
      </c>
      <c r="I13" s="152" t="s">
        <v>293</v>
      </c>
      <c r="J13" s="152" t="s">
        <v>294</v>
      </c>
      <c r="K13" s="152" t="s">
        <v>439</v>
      </c>
      <c r="L13" s="152" t="s">
        <v>440</v>
      </c>
      <c r="M13" s="152" t="s">
        <v>295</v>
      </c>
      <c r="N13" s="152" t="s">
        <v>296</v>
      </c>
      <c r="O13" s="152" t="s">
        <v>297</v>
      </c>
      <c r="P13" s="152" t="s">
        <v>298</v>
      </c>
      <c r="Q13" s="152" t="s">
        <v>299</v>
      </c>
      <c r="R13" s="152" t="s">
        <v>300</v>
      </c>
      <c r="S13" s="152" t="s">
        <v>301</v>
      </c>
      <c r="T13" s="186" t="s">
        <v>302</v>
      </c>
      <c r="U13" s="49"/>
    </row>
    <row r="14" spans="1:21" ht="15.75" customHeight="1">
      <c r="A14" s="136"/>
      <c r="B14" s="312" t="s">
        <v>177</v>
      </c>
      <c r="C14" s="55" t="s">
        <v>67</v>
      </c>
      <c r="D14" s="220" t="s">
        <v>481</v>
      </c>
      <c r="E14" s="421">
        <v>4.4999999999999998E-2</v>
      </c>
      <c r="F14" s="206">
        <v>4.4999999999999998E-2</v>
      </c>
      <c r="G14" s="206">
        <v>4.4999999999999998E-2</v>
      </c>
      <c r="H14" s="206">
        <v>4.4999999999999998E-2</v>
      </c>
      <c r="I14" s="206">
        <v>4.4999999999999998E-2</v>
      </c>
      <c r="J14" s="206">
        <v>4.4999999999999998E-2</v>
      </c>
      <c r="K14" s="206">
        <f t="shared" ref="K14:L14" si="6">E14</f>
        <v>4.4999999999999998E-2</v>
      </c>
      <c r="L14" s="206">
        <f t="shared" si="6"/>
        <v>4.4999999999999998E-2</v>
      </c>
      <c r="M14" s="206">
        <v>4.4999999999999998E-2</v>
      </c>
      <c r="N14" s="206">
        <v>4.4999999999999998E-2</v>
      </c>
      <c r="O14" s="206">
        <v>4.4999999999999998E-2</v>
      </c>
      <c r="P14" s="206">
        <v>4.4999999999999998E-2</v>
      </c>
      <c r="Q14" s="206">
        <v>4.4999999999999998E-2</v>
      </c>
      <c r="R14" s="206">
        <v>4.4999999999999998E-2</v>
      </c>
      <c r="S14" s="206">
        <v>4.4999999999999998E-2</v>
      </c>
      <c r="T14" s="207">
        <v>4.4999999999999998E-2</v>
      </c>
    </row>
    <row r="15" spans="1:21" ht="15.75" customHeight="1">
      <c r="A15" s="136"/>
      <c r="B15" s="313"/>
      <c r="C15" s="55" t="s">
        <v>67</v>
      </c>
      <c r="D15" s="220" t="s">
        <v>487</v>
      </c>
      <c r="E15" s="421">
        <v>0.01</v>
      </c>
      <c r="F15" s="206">
        <v>1.4999999999999999E-2</v>
      </c>
      <c r="G15" s="206">
        <v>0.01</v>
      </c>
      <c r="H15" s="206">
        <v>1.4999999999999999E-2</v>
      </c>
      <c r="I15" s="206">
        <v>0.01</v>
      </c>
      <c r="J15" s="206">
        <v>1.4999999999999999E-2</v>
      </c>
      <c r="K15" s="206">
        <f t="shared" ref="K15:L15" si="7">E15</f>
        <v>0.01</v>
      </c>
      <c r="L15" s="206">
        <f t="shared" si="7"/>
        <v>1.4999999999999999E-2</v>
      </c>
      <c r="M15" s="206">
        <v>0.01</v>
      </c>
      <c r="N15" s="206">
        <v>1.4999999999999999E-2</v>
      </c>
      <c r="O15" s="206">
        <v>0.01</v>
      </c>
      <c r="P15" s="206">
        <v>1.4999999999999999E-2</v>
      </c>
      <c r="Q15" s="206">
        <v>0.01</v>
      </c>
      <c r="R15" s="206">
        <v>1.4999999999999999E-2</v>
      </c>
      <c r="S15" s="206">
        <v>0.01</v>
      </c>
      <c r="T15" s="207">
        <v>1.4999999999999999E-2</v>
      </c>
    </row>
    <row r="16" spans="1:21" ht="15.75" customHeight="1">
      <c r="B16" s="313"/>
      <c r="C16" s="55" t="s">
        <v>67</v>
      </c>
      <c r="D16" s="220" t="s">
        <v>488</v>
      </c>
      <c r="E16" s="421">
        <v>4.4999999999999998E-2</v>
      </c>
      <c r="F16" s="206">
        <v>4.4999999999999998E-2</v>
      </c>
      <c r="G16" s="206">
        <v>4.4999999999999998E-2</v>
      </c>
      <c r="H16" s="206">
        <v>4.4999999999999998E-2</v>
      </c>
      <c r="I16" s="206">
        <v>4.4999999999999998E-2</v>
      </c>
      <c r="J16" s="206">
        <v>4.4999999999999998E-2</v>
      </c>
      <c r="K16" s="206">
        <f t="shared" ref="K16:L16" si="8">E16</f>
        <v>4.4999999999999998E-2</v>
      </c>
      <c r="L16" s="206">
        <f t="shared" si="8"/>
        <v>4.4999999999999998E-2</v>
      </c>
      <c r="M16" s="206">
        <v>4.4999999999999998E-2</v>
      </c>
      <c r="N16" s="206">
        <v>4.4999999999999998E-2</v>
      </c>
      <c r="O16" s="206">
        <v>4.4999999999999998E-2</v>
      </c>
      <c r="P16" s="206">
        <v>4.4999999999999998E-2</v>
      </c>
      <c r="Q16" s="206">
        <v>4.4999999999999998E-2</v>
      </c>
      <c r="R16" s="206">
        <v>4.4999999999999998E-2</v>
      </c>
      <c r="S16" s="206">
        <v>4.4999999999999998E-2</v>
      </c>
      <c r="T16" s="207">
        <v>4.4999999999999998E-2</v>
      </c>
    </row>
    <row r="17" spans="1:21" ht="15.75" customHeight="1">
      <c r="B17" s="313"/>
      <c r="C17" s="55" t="s">
        <v>67</v>
      </c>
      <c r="D17" s="220" t="s">
        <v>489</v>
      </c>
      <c r="E17" s="421">
        <v>0</v>
      </c>
      <c r="F17" s="206">
        <v>0</v>
      </c>
      <c r="G17" s="206">
        <v>0.01</v>
      </c>
      <c r="H17" s="206">
        <v>1.4999999999999999E-2</v>
      </c>
      <c r="I17" s="206">
        <v>0</v>
      </c>
      <c r="J17" s="206">
        <v>0</v>
      </c>
      <c r="K17" s="206">
        <f t="shared" ref="K17:L17" si="9">E17</f>
        <v>0</v>
      </c>
      <c r="L17" s="206">
        <f t="shared" si="9"/>
        <v>0</v>
      </c>
      <c r="M17" s="206">
        <v>0</v>
      </c>
      <c r="N17" s="206">
        <v>0</v>
      </c>
      <c r="O17" s="206">
        <v>0</v>
      </c>
      <c r="P17" s="206">
        <v>0</v>
      </c>
      <c r="Q17" s="206">
        <v>0.01</v>
      </c>
      <c r="R17" s="206">
        <v>1.4999999999999999E-2</v>
      </c>
      <c r="S17" s="206">
        <v>0</v>
      </c>
      <c r="T17" s="207">
        <v>0</v>
      </c>
    </row>
    <row r="18" spans="1:21" ht="15.75" customHeight="1">
      <c r="A18" s="136"/>
      <c r="B18" s="405" t="s">
        <v>201</v>
      </c>
      <c r="C18" s="402" t="s">
        <v>67</v>
      </c>
      <c r="D18" s="406" t="s">
        <v>481</v>
      </c>
      <c r="E18" s="422">
        <v>4.4999999999999998E-2</v>
      </c>
      <c r="F18" s="215">
        <v>4.4999999999999998E-2</v>
      </c>
      <c r="G18" s="215">
        <v>4.4999999999999998E-2</v>
      </c>
      <c r="H18" s="215">
        <v>4.4999999999999998E-2</v>
      </c>
      <c r="I18" s="215">
        <v>4.4999999999999998E-2</v>
      </c>
      <c r="J18" s="215">
        <v>4.4999999999999998E-2</v>
      </c>
      <c r="K18" s="215">
        <f t="shared" ref="K18:L18" si="10">E18</f>
        <v>4.4999999999999998E-2</v>
      </c>
      <c r="L18" s="215">
        <f t="shared" si="10"/>
        <v>4.4999999999999998E-2</v>
      </c>
      <c r="M18" s="215">
        <v>4.4999999999999998E-2</v>
      </c>
      <c r="N18" s="215">
        <v>4.4999999999999998E-2</v>
      </c>
      <c r="O18" s="215">
        <v>4.4999999999999998E-2</v>
      </c>
      <c r="P18" s="215">
        <v>4.4999999999999998E-2</v>
      </c>
      <c r="Q18" s="215">
        <v>4.4999999999999998E-2</v>
      </c>
      <c r="R18" s="215">
        <v>4.4999999999999998E-2</v>
      </c>
      <c r="S18" s="215">
        <v>4.4999999999999998E-2</v>
      </c>
      <c r="T18" s="216">
        <v>4.4999999999999998E-2</v>
      </c>
    </row>
    <row r="19" spans="1:21" ht="15.75" customHeight="1">
      <c r="A19" s="136"/>
      <c r="B19" s="313"/>
      <c r="C19" s="55" t="s">
        <v>67</v>
      </c>
      <c r="D19" s="220" t="s">
        <v>487</v>
      </c>
      <c r="E19" s="421">
        <v>1.4999999999999999E-2</v>
      </c>
      <c r="F19" s="206">
        <v>1.7999999999999999E-2</v>
      </c>
      <c r="G19" s="206">
        <v>1.4999999999999999E-2</v>
      </c>
      <c r="H19" s="206">
        <v>1.7999999999999999E-2</v>
      </c>
      <c r="I19" s="206">
        <v>1.4999999999999999E-2</v>
      </c>
      <c r="J19" s="206">
        <v>1.7999999999999999E-2</v>
      </c>
      <c r="K19" s="206">
        <f t="shared" ref="K19:L19" si="11">E19</f>
        <v>1.4999999999999999E-2</v>
      </c>
      <c r="L19" s="206">
        <f t="shared" si="11"/>
        <v>1.7999999999999999E-2</v>
      </c>
      <c r="M19" s="206">
        <v>1.4999999999999999E-2</v>
      </c>
      <c r="N19" s="206">
        <v>1.7999999999999999E-2</v>
      </c>
      <c r="O19" s="206">
        <v>1.4999999999999999E-2</v>
      </c>
      <c r="P19" s="206">
        <v>1.7999999999999999E-2</v>
      </c>
      <c r="Q19" s="206">
        <v>1.4999999999999999E-2</v>
      </c>
      <c r="R19" s="206">
        <v>1.7999999999999999E-2</v>
      </c>
      <c r="S19" s="206">
        <v>1.4999999999999999E-2</v>
      </c>
      <c r="T19" s="207">
        <v>1.7999999999999999E-2</v>
      </c>
    </row>
    <row r="20" spans="1:21" ht="15.75" customHeight="1">
      <c r="B20" s="313"/>
      <c r="C20" s="55" t="s">
        <v>67</v>
      </c>
      <c r="D20" s="220" t="s">
        <v>488</v>
      </c>
      <c r="E20" s="421">
        <v>4.4999999999999998E-2</v>
      </c>
      <c r="F20" s="206">
        <v>4.4999999999999998E-2</v>
      </c>
      <c r="G20" s="206">
        <v>4.4999999999999998E-2</v>
      </c>
      <c r="H20" s="206">
        <v>4.4999999999999998E-2</v>
      </c>
      <c r="I20" s="206">
        <v>4.4999999999999998E-2</v>
      </c>
      <c r="J20" s="206">
        <v>4.4999999999999998E-2</v>
      </c>
      <c r="K20" s="206">
        <f t="shared" ref="K20:L20" si="12">E20</f>
        <v>4.4999999999999998E-2</v>
      </c>
      <c r="L20" s="206">
        <f t="shared" si="12"/>
        <v>4.4999999999999998E-2</v>
      </c>
      <c r="M20" s="206">
        <v>4.4999999999999998E-2</v>
      </c>
      <c r="N20" s="206">
        <v>4.4999999999999998E-2</v>
      </c>
      <c r="O20" s="206">
        <v>4.4999999999999998E-2</v>
      </c>
      <c r="P20" s="206">
        <v>4.4999999999999998E-2</v>
      </c>
      <c r="Q20" s="206">
        <v>4.4999999999999998E-2</v>
      </c>
      <c r="R20" s="206">
        <v>4.4999999999999998E-2</v>
      </c>
      <c r="S20" s="206">
        <v>4.4999999999999998E-2</v>
      </c>
      <c r="T20" s="207">
        <v>4.4999999999999998E-2</v>
      </c>
    </row>
    <row r="21" spans="1:21" ht="15.75" customHeight="1">
      <c r="B21" s="314"/>
      <c r="C21" s="317" t="s">
        <v>67</v>
      </c>
      <c r="D21" s="225" t="s">
        <v>489</v>
      </c>
      <c r="E21" s="423">
        <v>0</v>
      </c>
      <c r="F21" s="170">
        <v>0</v>
      </c>
      <c r="G21" s="170">
        <v>1.4999999999999999E-2</v>
      </c>
      <c r="H21" s="170">
        <v>1.7999999999999999E-2</v>
      </c>
      <c r="I21" s="170">
        <v>0</v>
      </c>
      <c r="J21" s="170">
        <v>0</v>
      </c>
      <c r="K21" s="170">
        <f t="shared" ref="K21:L21" si="13">E21</f>
        <v>0</v>
      </c>
      <c r="L21" s="170">
        <f t="shared" si="13"/>
        <v>0</v>
      </c>
      <c r="M21" s="170">
        <v>0</v>
      </c>
      <c r="N21" s="170">
        <v>0</v>
      </c>
      <c r="O21" s="170">
        <v>0</v>
      </c>
      <c r="P21" s="170">
        <v>0</v>
      </c>
      <c r="Q21" s="170">
        <v>1.4999999999999999E-2</v>
      </c>
      <c r="R21" s="170">
        <v>1.7999999999999999E-2</v>
      </c>
      <c r="S21" s="170">
        <v>0</v>
      </c>
      <c r="T21" s="209">
        <v>0</v>
      </c>
    </row>
    <row r="22" spans="1:21" ht="15.75" customHeight="1">
      <c r="A22" s="136"/>
      <c r="B22" s="312" t="s">
        <v>179</v>
      </c>
      <c r="C22" s="55" t="s">
        <v>67</v>
      </c>
      <c r="D22" s="220" t="s">
        <v>481</v>
      </c>
      <c r="E22" s="421">
        <v>4.4999999999999998E-2</v>
      </c>
      <c r="F22" s="206">
        <v>4.4999999999999998E-2</v>
      </c>
      <c r="G22" s="206">
        <v>4.4999999999999998E-2</v>
      </c>
      <c r="H22" s="206">
        <v>4.4999999999999998E-2</v>
      </c>
      <c r="I22" s="206">
        <v>4.4999999999999998E-2</v>
      </c>
      <c r="J22" s="206">
        <v>4.4999999999999998E-2</v>
      </c>
      <c r="K22" s="206">
        <f t="shared" ref="K22:L22" si="14">E22</f>
        <v>4.4999999999999998E-2</v>
      </c>
      <c r="L22" s="206">
        <f t="shared" si="14"/>
        <v>4.4999999999999998E-2</v>
      </c>
      <c r="M22" s="206">
        <v>4.4999999999999998E-2</v>
      </c>
      <c r="N22" s="206">
        <v>4.4999999999999998E-2</v>
      </c>
      <c r="O22" s="206">
        <v>4.4999999999999998E-2</v>
      </c>
      <c r="P22" s="206">
        <v>4.4999999999999998E-2</v>
      </c>
      <c r="Q22" s="206">
        <v>4.4999999999999998E-2</v>
      </c>
      <c r="R22" s="206">
        <v>4.4999999999999998E-2</v>
      </c>
      <c r="S22" s="206">
        <v>4.4999999999999998E-2</v>
      </c>
      <c r="T22" s="207">
        <v>4.4999999999999998E-2</v>
      </c>
      <c r="U22" s="47"/>
    </row>
    <row r="23" spans="1:21" ht="15.75" customHeight="1">
      <c r="A23" s="136"/>
      <c r="B23" s="313"/>
      <c r="C23" s="55" t="s">
        <v>67</v>
      </c>
      <c r="D23" s="220" t="s">
        <v>487</v>
      </c>
      <c r="E23" s="421">
        <v>0.02</v>
      </c>
      <c r="F23" s="206">
        <v>2.5000000000000001E-2</v>
      </c>
      <c r="G23" s="206">
        <v>0.02</v>
      </c>
      <c r="H23" s="206">
        <v>2.5000000000000001E-2</v>
      </c>
      <c r="I23" s="206">
        <v>0.02</v>
      </c>
      <c r="J23" s="206">
        <v>2.5000000000000001E-2</v>
      </c>
      <c r="K23" s="206">
        <f t="shared" ref="K23:L23" si="15">E23</f>
        <v>0.02</v>
      </c>
      <c r="L23" s="206">
        <f t="shared" si="15"/>
        <v>2.5000000000000001E-2</v>
      </c>
      <c r="M23" s="206">
        <v>0.02</v>
      </c>
      <c r="N23" s="206">
        <v>2.5000000000000001E-2</v>
      </c>
      <c r="O23" s="206">
        <v>0.02</v>
      </c>
      <c r="P23" s="206">
        <v>2.5000000000000001E-2</v>
      </c>
      <c r="Q23" s="206">
        <v>0.02</v>
      </c>
      <c r="R23" s="206">
        <v>2.5000000000000001E-2</v>
      </c>
      <c r="S23" s="206">
        <v>0.02</v>
      </c>
      <c r="T23" s="207">
        <v>2.5000000000000001E-2</v>
      </c>
      <c r="U23" s="47"/>
    </row>
    <row r="24" spans="1:21" ht="15.75" customHeight="1">
      <c r="B24" s="313"/>
      <c r="C24" s="55" t="s">
        <v>67</v>
      </c>
      <c r="D24" s="220" t="s">
        <v>488</v>
      </c>
      <c r="E24" s="421">
        <v>4.4999999999999998E-2</v>
      </c>
      <c r="F24" s="206">
        <v>4.4999999999999998E-2</v>
      </c>
      <c r="G24" s="206">
        <v>4.4999999999999998E-2</v>
      </c>
      <c r="H24" s="206">
        <v>4.4999999999999998E-2</v>
      </c>
      <c r="I24" s="206">
        <v>4.4999999999999998E-2</v>
      </c>
      <c r="J24" s="206">
        <v>4.4999999999999998E-2</v>
      </c>
      <c r="K24" s="206">
        <f t="shared" ref="K24:L24" si="16">E24</f>
        <v>4.4999999999999998E-2</v>
      </c>
      <c r="L24" s="206">
        <f t="shared" si="16"/>
        <v>4.4999999999999998E-2</v>
      </c>
      <c r="M24" s="206">
        <v>4.4999999999999998E-2</v>
      </c>
      <c r="N24" s="206">
        <v>4.4999999999999998E-2</v>
      </c>
      <c r="O24" s="206">
        <v>4.4999999999999998E-2</v>
      </c>
      <c r="P24" s="206">
        <v>4.4999999999999998E-2</v>
      </c>
      <c r="Q24" s="206">
        <v>4.4999999999999998E-2</v>
      </c>
      <c r="R24" s="206">
        <v>4.4999999999999998E-2</v>
      </c>
      <c r="S24" s="206">
        <v>4.4999999999999998E-2</v>
      </c>
      <c r="T24" s="207">
        <v>4.4999999999999998E-2</v>
      </c>
      <c r="U24" s="49"/>
    </row>
    <row r="25" spans="1:21" ht="15.75" customHeight="1">
      <c r="B25" s="314"/>
      <c r="C25" s="317" t="s">
        <v>67</v>
      </c>
      <c r="D25" s="225" t="s">
        <v>489</v>
      </c>
      <c r="E25" s="423">
        <v>0</v>
      </c>
      <c r="F25" s="170">
        <v>0</v>
      </c>
      <c r="G25" s="170">
        <v>0.02</v>
      </c>
      <c r="H25" s="170">
        <v>2.5000000000000001E-2</v>
      </c>
      <c r="I25" s="170">
        <v>0</v>
      </c>
      <c r="J25" s="170">
        <v>0</v>
      </c>
      <c r="K25" s="170">
        <f t="shared" ref="K25:L25" si="17">E25</f>
        <v>0</v>
      </c>
      <c r="L25" s="170">
        <f t="shared" si="17"/>
        <v>0</v>
      </c>
      <c r="M25" s="170">
        <v>0</v>
      </c>
      <c r="N25" s="170">
        <v>0</v>
      </c>
      <c r="O25" s="170">
        <v>0</v>
      </c>
      <c r="P25" s="170">
        <v>0</v>
      </c>
      <c r="Q25" s="170">
        <v>0.02</v>
      </c>
      <c r="R25" s="170">
        <v>2.5000000000000001E-2</v>
      </c>
      <c r="S25" s="170">
        <v>0</v>
      </c>
      <c r="T25" s="209">
        <v>0</v>
      </c>
      <c r="U25" s="49"/>
    </row>
    <row r="26" spans="1:21" ht="15.75" customHeight="1">
      <c r="D26" s="49"/>
      <c r="E26" s="49"/>
      <c r="F26" s="49"/>
      <c r="G26" s="49"/>
      <c r="H26" s="49"/>
      <c r="I26" s="49"/>
      <c r="J26" s="49"/>
      <c r="K26" s="49"/>
      <c r="L26" s="49"/>
      <c r="M26" s="49"/>
      <c r="N26" s="49"/>
      <c r="O26" s="49"/>
      <c r="P26" s="49"/>
      <c r="Q26" s="49"/>
      <c r="R26" s="49"/>
      <c r="S26" s="49"/>
      <c r="T26" s="49"/>
      <c r="U26" s="49"/>
    </row>
    <row r="27" spans="1:21" ht="15.75" customHeight="1">
      <c r="A27" s="140"/>
      <c r="B27" s="140"/>
      <c r="C27" s="140"/>
      <c r="D27" s="82"/>
      <c r="E27" s="82"/>
      <c r="F27" s="82"/>
      <c r="G27" s="82"/>
      <c r="H27" s="82"/>
      <c r="I27" s="82"/>
      <c r="J27" s="82"/>
      <c r="K27" s="82"/>
      <c r="L27" s="82"/>
      <c r="M27" s="82"/>
      <c r="N27" s="82"/>
      <c r="O27" s="82"/>
      <c r="P27" s="82"/>
      <c r="Q27" s="82"/>
      <c r="R27" s="82"/>
      <c r="S27" s="82"/>
      <c r="T27" s="82"/>
      <c r="U27" s="82"/>
    </row>
    <row r="28" spans="1:21" ht="15.75" customHeight="1">
      <c r="B28" s="274" t="s">
        <v>125</v>
      </c>
      <c r="D28" s="49"/>
      <c r="E28" s="49"/>
      <c r="F28" s="49"/>
      <c r="G28" s="49"/>
      <c r="H28" s="49"/>
      <c r="I28" s="49"/>
      <c r="J28" s="49"/>
      <c r="K28" s="49"/>
      <c r="L28" s="49"/>
      <c r="M28" s="49"/>
      <c r="N28" s="49"/>
      <c r="O28" s="49"/>
      <c r="P28" s="49"/>
      <c r="Q28" s="49"/>
      <c r="R28" s="49"/>
      <c r="S28" s="49"/>
      <c r="T28" s="49"/>
      <c r="U28" s="49"/>
    </row>
    <row r="29" spans="1:21" ht="15.75" customHeight="1">
      <c r="A29" s="49"/>
      <c r="B29" s="49"/>
      <c r="C29" s="49"/>
      <c r="D29" s="49"/>
      <c r="E29" s="49"/>
      <c r="F29" s="49"/>
      <c r="G29" s="49"/>
      <c r="H29" s="49"/>
      <c r="I29" s="49"/>
      <c r="J29" s="49"/>
      <c r="K29" s="49"/>
      <c r="L29" s="49"/>
      <c r="M29" s="49"/>
      <c r="N29" s="49"/>
      <c r="O29" s="49"/>
      <c r="P29" s="49"/>
      <c r="Q29" s="49"/>
      <c r="R29" s="49"/>
      <c r="S29" s="49"/>
      <c r="T29" s="49"/>
      <c r="U29" s="49"/>
    </row>
    <row r="30" spans="1:21" ht="15.75" customHeight="1">
      <c r="A30" s="49"/>
      <c r="B30" s="226" t="s">
        <v>490</v>
      </c>
      <c r="C30" s="49"/>
      <c r="D30" s="49"/>
      <c r="E30" s="49"/>
      <c r="F30" s="49"/>
      <c r="G30" s="49"/>
      <c r="H30" s="49"/>
      <c r="I30" s="119" t="s">
        <v>447</v>
      </c>
      <c r="J30" s="49"/>
      <c r="K30" s="49"/>
      <c r="L30" s="49"/>
      <c r="M30" s="49"/>
      <c r="N30" s="49"/>
      <c r="T30" s="49"/>
      <c r="U30" s="49"/>
    </row>
    <row r="31" spans="1:21" ht="15.75" customHeight="1">
      <c r="A31" s="49"/>
      <c r="B31" s="318" t="s">
        <v>235</v>
      </c>
      <c r="C31" s="322" t="s">
        <v>236</v>
      </c>
      <c r="D31" s="300" t="s">
        <v>177</v>
      </c>
      <c r="E31" s="300" t="s">
        <v>201</v>
      </c>
      <c r="F31" s="300" t="s">
        <v>179</v>
      </c>
      <c r="G31" s="318" t="s">
        <v>122</v>
      </c>
      <c r="H31" s="49"/>
      <c r="I31" s="318" t="s">
        <v>235</v>
      </c>
      <c r="J31" s="322" t="s">
        <v>236</v>
      </c>
      <c r="K31" s="300" t="s">
        <v>177</v>
      </c>
      <c r="L31" s="300" t="s">
        <v>201</v>
      </c>
      <c r="M31" s="300" t="s">
        <v>179</v>
      </c>
      <c r="N31" s="318" t="s">
        <v>122</v>
      </c>
      <c r="T31" s="49"/>
      <c r="U31" s="49"/>
    </row>
    <row r="32" spans="1:21" ht="15.75" customHeight="1">
      <c r="A32" s="49"/>
      <c r="B32" s="320" t="s">
        <v>491</v>
      </c>
      <c r="C32" s="323" t="s">
        <v>67</v>
      </c>
      <c r="D32" s="424">
        <v>1</v>
      </c>
      <c r="E32" s="325">
        <v>1.5</v>
      </c>
      <c r="F32" s="424">
        <v>2</v>
      </c>
      <c r="G32" s="410" t="s">
        <v>492</v>
      </c>
      <c r="H32" s="49"/>
      <c r="I32" s="320" t="s">
        <v>449</v>
      </c>
      <c r="J32" s="323" t="s">
        <v>450</v>
      </c>
      <c r="K32" s="56">
        <v>1.05</v>
      </c>
      <c r="L32" s="409">
        <f t="shared" ref="L32:L34" si="18">AVERAGE(K32,M32)</f>
        <v>1.125</v>
      </c>
      <c r="M32" s="56">
        <v>1.2</v>
      </c>
      <c r="N32" s="410" t="s">
        <v>451</v>
      </c>
      <c r="T32" s="49"/>
      <c r="U32" s="49"/>
    </row>
    <row r="33" spans="1:21" ht="15.75" customHeight="1">
      <c r="A33" s="49"/>
      <c r="B33" s="320" t="s">
        <v>493</v>
      </c>
      <c r="C33" s="323" t="s">
        <v>67</v>
      </c>
      <c r="D33" s="424">
        <v>1.5</v>
      </c>
      <c r="E33" s="325">
        <v>1.8</v>
      </c>
      <c r="F33" s="424">
        <v>2.5</v>
      </c>
      <c r="G33" s="410" t="s">
        <v>494</v>
      </c>
      <c r="H33" s="49"/>
      <c r="I33" s="320" t="s">
        <v>452</v>
      </c>
      <c r="J33" s="323" t="s">
        <v>450</v>
      </c>
      <c r="K33" s="56">
        <v>1.2</v>
      </c>
      <c r="L33" s="409">
        <f t="shared" si="18"/>
        <v>1.2749999999999999</v>
      </c>
      <c r="M33" s="56">
        <v>1.35</v>
      </c>
      <c r="N33" s="410" t="s">
        <v>453</v>
      </c>
      <c r="T33" s="49"/>
      <c r="U33" s="49"/>
    </row>
    <row r="34" spans="1:21" ht="15.75" customHeight="1">
      <c r="A34" s="49"/>
      <c r="B34" s="82"/>
      <c r="C34" s="82"/>
      <c r="D34" s="419"/>
      <c r="E34" s="419"/>
      <c r="F34" s="419"/>
      <c r="G34" s="82"/>
      <c r="H34" s="49"/>
      <c r="I34" s="408" t="s">
        <v>495</v>
      </c>
      <c r="J34" s="324" t="s">
        <v>450</v>
      </c>
      <c r="K34" s="411">
        <v>1</v>
      </c>
      <c r="L34" s="412">
        <f t="shared" si="18"/>
        <v>1.05</v>
      </c>
      <c r="M34" s="411">
        <v>1.1000000000000001</v>
      </c>
      <c r="N34" s="328" t="s">
        <v>455</v>
      </c>
      <c r="T34" s="49"/>
      <c r="U34" s="49"/>
    </row>
    <row r="35" spans="1:21" ht="15.75" customHeight="1">
      <c r="A35" s="49"/>
      <c r="B35" s="119"/>
      <c r="C35" s="49"/>
      <c r="D35" s="49"/>
      <c r="E35" s="49"/>
      <c r="F35" s="49"/>
      <c r="G35" s="49"/>
      <c r="H35" s="49"/>
      <c r="J35" s="49"/>
      <c r="K35" s="49"/>
      <c r="L35" s="49"/>
      <c r="M35" s="49"/>
      <c r="N35" s="49"/>
      <c r="O35" s="49"/>
      <c r="P35" s="49"/>
      <c r="Q35" s="49"/>
      <c r="R35" s="49"/>
      <c r="S35" s="49"/>
      <c r="T35" s="49"/>
      <c r="U35" s="49"/>
    </row>
    <row r="36" spans="1:21" ht="15.75" customHeight="1">
      <c r="A36" s="49"/>
      <c r="B36" s="119" t="s">
        <v>125</v>
      </c>
      <c r="C36" s="49"/>
      <c r="D36" s="49"/>
      <c r="E36" s="49"/>
      <c r="F36" s="49"/>
      <c r="G36" s="49"/>
      <c r="H36" s="49"/>
      <c r="J36" s="49"/>
      <c r="K36" s="49"/>
      <c r="L36" s="49"/>
      <c r="M36" s="49"/>
      <c r="N36" s="49"/>
      <c r="O36" s="49"/>
      <c r="P36" s="49"/>
      <c r="Q36" s="49"/>
      <c r="R36" s="49"/>
      <c r="S36" s="49"/>
      <c r="T36" s="49"/>
      <c r="U36" s="49"/>
    </row>
    <row r="37" spans="1:21" ht="15.75" customHeight="1">
      <c r="A37" s="49"/>
      <c r="B37" s="226"/>
      <c r="C37" s="49"/>
      <c r="D37" s="49"/>
      <c r="E37" s="49"/>
      <c r="F37" s="49"/>
      <c r="G37" s="49"/>
      <c r="H37" s="49"/>
      <c r="J37" s="49"/>
      <c r="K37" s="226"/>
      <c r="L37" s="49"/>
      <c r="M37" s="49"/>
      <c r="N37" s="49"/>
      <c r="O37" s="49"/>
      <c r="P37" s="49"/>
      <c r="Q37" s="49"/>
      <c r="R37" s="49"/>
    </row>
    <row r="38" spans="1:21" ht="15.75" customHeight="1">
      <c r="A38" s="49"/>
      <c r="B38" s="318" t="s">
        <v>235</v>
      </c>
      <c r="C38" s="319" t="s">
        <v>236</v>
      </c>
      <c r="D38" s="300" t="s">
        <v>177</v>
      </c>
      <c r="E38" s="300" t="s">
        <v>201</v>
      </c>
      <c r="F38" s="300" t="s">
        <v>179</v>
      </c>
      <c r="G38" s="319" t="s">
        <v>122</v>
      </c>
      <c r="H38" s="319" t="s">
        <v>131</v>
      </c>
      <c r="I38" s="299" t="s">
        <v>245</v>
      </c>
      <c r="J38" s="49"/>
    </row>
    <row r="39" spans="1:21" ht="15.75" customHeight="1">
      <c r="A39" s="49"/>
      <c r="B39" s="320" t="s">
        <v>463</v>
      </c>
      <c r="C39" s="57" t="s">
        <v>464</v>
      </c>
      <c r="D39" s="206">
        <v>1.8</v>
      </c>
      <c r="E39" s="206">
        <f t="shared" ref="E39:E40" si="19">AVERAGE(D39,F39)</f>
        <v>2.0499999999999998</v>
      </c>
      <c r="F39" s="206">
        <v>2.2999999999999998</v>
      </c>
      <c r="G39" s="57" t="s">
        <v>465</v>
      </c>
      <c r="H39" s="413" t="s">
        <v>466</v>
      </c>
      <c r="I39" s="220" t="s">
        <v>467</v>
      </c>
      <c r="J39" s="49"/>
    </row>
    <row r="40" spans="1:21" ht="15.75" customHeight="1">
      <c r="A40" s="49"/>
      <c r="B40" s="320" t="s">
        <v>480</v>
      </c>
      <c r="C40" s="57" t="s">
        <v>481</v>
      </c>
      <c r="D40" s="206">
        <v>0</v>
      </c>
      <c r="E40" s="415">
        <f t="shared" si="19"/>
        <v>7.4999999999999997E-3</v>
      </c>
      <c r="F40" s="415">
        <v>1.4999999999999999E-2</v>
      </c>
      <c r="G40" s="57" t="s">
        <v>482</v>
      </c>
      <c r="H40" s="413" t="s">
        <v>483</v>
      </c>
      <c r="I40" s="220"/>
      <c r="J40" s="49"/>
    </row>
    <row r="41" spans="1:21" ht="15.75" customHeight="1">
      <c r="A41" s="49"/>
      <c r="B41" s="320" t="s">
        <v>480</v>
      </c>
      <c r="C41" s="57" t="s">
        <v>496</v>
      </c>
      <c r="D41" s="206">
        <v>1.5</v>
      </c>
      <c r="E41" s="415">
        <v>0.02</v>
      </c>
      <c r="F41" s="206">
        <v>2.5</v>
      </c>
      <c r="G41" s="57" t="s">
        <v>497</v>
      </c>
      <c r="H41" s="413" t="s">
        <v>498</v>
      </c>
      <c r="I41" s="207">
        <v>35</v>
      </c>
      <c r="J41" s="49"/>
    </row>
    <row r="42" spans="1:21" ht="15.75" customHeight="1">
      <c r="A42" s="49"/>
      <c r="B42" s="408" t="s">
        <v>480</v>
      </c>
      <c r="C42" s="416" t="s">
        <v>481</v>
      </c>
      <c r="D42" s="317"/>
      <c r="E42" s="417">
        <v>2.5000000000000001E-3</v>
      </c>
      <c r="F42" s="317"/>
      <c r="G42" s="416" t="s">
        <v>499</v>
      </c>
      <c r="H42" s="418" t="s">
        <v>484</v>
      </c>
      <c r="I42" s="209">
        <v>4</v>
      </c>
      <c r="J42" s="49"/>
    </row>
    <row r="43" spans="1:21" ht="15.75" customHeight="1">
      <c r="A43" s="49"/>
      <c r="B43" s="49"/>
      <c r="C43" s="49"/>
      <c r="D43" s="49"/>
      <c r="E43" s="49"/>
      <c r="F43" s="49"/>
      <c r="G43" s="49"/>
      <c r="H43" s="49"/>
      <c r="I43" s="49"/>
      <c r="J43" s="49"/>
    </row>
    <row r="44" spans="1:21" ht="15.75" customHeight="1">
      <c r="A44" s="49"/>
      <c r="B44" s="318" t="s">
        <v>235</v>
      </c>
      <c r="C44" s="319" t="s">
        <v>236</v>
      </c>
      <c r="D44" s="300" t="s">
        <v>177</v>
      </c>
      <c r="E44" s="300" t="s">
        <v>201</v>
      </c>
      <c r="F44" s="300" t="s">
        <v>179</v>
      </c>
      <c r="G44" s="319" t="s">
        <v>122</v>
      </c>
      <c r="H44" s="319" t="s">
        <v>131</v>
      </c>
      <c r="I44" s="299" t="s">
        <v>245</v>
      </c>
      <c r="J44" s="49"/>
    </row>
    <row r="45" spans="1:21" ht="15.75" customHeight="1">
      <c r="A45" s="49"/>
      <c r="B45" s="320" t="s">
        <v>456</v>
      </c>
      <c r="C45" s="57" t="s">
        <v>457</v>
      </c>
      <c r="D45" s="206">
        <v>1.2</v>
      </c>
      <c r="E45" s="206">
        <v>1.6</v>
      </c>
      <c r="F45" s="206">
        <v>2.1</v>
      </c>
      <c r="G45" s="57" t="s">
        <v>458</v>
      </c>
      <c r="H45" s="413" t="s">
        <v>459</v>
      </c>
      <c r="I45" s="220" t="s">
        <v>460</v>
      </c>
      <c r="J45" s="49"/>
    </row>
    <row r="46" spans="1:21" ht="15.75" customHeight="1">
      <c r="A46" s="49"/>
      <c r="B46" s="320" t="s">
        <v>456</v>
      </c>
      <c r="C46" s="57" t="s">
        <v>457</v>
      </c>
      <c r="D46" s="55"/>
      <c r="E46" s="55"/>
      <c r="F46" s="206">
        <v>2</v>
      </c>
      <c r="G46" s="57" t="s">
        <v>461</v>
      </c>
      <c r="H46" s="413" t="s">
        <v>462</v>
      </c>
      <c r="I46" s="220"/>
      <c r="J46" s="49"/>
    </row>
    <row r="47" spans="1:21" ht="15.75" customHeight="1">
      <c r="A47" s="49"/>
      <c r="B47" s="320" t="s">
        <v>463</v>
      </c>
      <c r="C47" s="57" t="s">
        <v>464</v>
      </c>
      <c r="D47" s="55"/>
      <c r="E47" s="206">
        <v>8.1999999999999993</v>
      </c>
      <c r="F47" s="55"/>
      <c r="G47" s="57" t="s">
        <v>465</v>
      </c>
      <c r="H47" s="413" t="s">
        <v>466</v>
      </c>
      <c r="I47" s="220" t="s">
        <v>467</v>
      </c>
      <c r="J47" s="49"/>
      <c r="K47" s="49"/>
      <c r="L47" s="49"/>
      <c r="M47" s="49"/>
      <c r="N47" s="49"/>
      <c r="O47" s="49"/>
      <c r="P47" s="49"/>
      <c r="Q47" s="49"/>
      <c r="R47" s="49"/>
      <c r="S47" s="49"/>
      <c r="T47" s="49"/>
      <c r="U47" s="49"/>
    </row>
    <row r="48" spans="1:21" ht="15.75" customHeight="1">
      <c r="B48" s="320" t="s">
        <v>468</v>
      </c>
      <c r="C48" s="57" t="s">
        <v>469</v>
      </c>
      <c r="D48" s="206">
        <v>0</v>
      </c>
      <c r="E48" s="206">
        <f t="shared" ref="E48:E51" si="20">AVERAGE(D48,F48)</f>
        <v>10</v>
      </c>
      <c r="F48" s="206">
        <v>20</v>
      </c>
      <c r="G48" s="57" t="s">
        <v>470</v>
      </c>
      <c r="H48" s="413" t="s">
        <v>471</v>
      </c>
      <c r="I48" s="220" t="s">
        <v>472</v>
      </c>
    </row>
    <row r="49" spans="2:9" ht="15.75" customHeight="1">
      <c r="B49" s="320" t="s">
        <v>473</v>
      </c>
      <c r="C49" s="57" t="s">
        <v>474</v>
      </c>
      <c r="D49" s="206">
        <v>20</v>
      </c>
      <c r="E49" s="206">
        <f t="shared" si="20"/>
        <v>27.5</v>
      </c>
      <c r="F49" s="206">
        <v>35</v>
      </c>
      <c r="G49" s="57" t="s">
        <v>475</v>
      </c>
      <c r="H49" s="414" t="s">
        <v>500</v>
      </c>
      <c r="I49" s="220" t="s">
        <v>467</v>
      </c>
    </row>
    <row r="50" spans="2:9" ht="15.75" customHeight="1">
      <c r="B50" s="320" t="s">
        <v>473</v>
      </c>
      <c r="C50" s="57" t="s">
        <v>474</v>
      </c>
      <c r="D50" s="206">
        <v>5</v>
      </c>
      <c r="E50" s="206">
        <f t="shared" si="20"/>
        <v>12.5</v>
      </c>
      <c r="F50" s="206">
        <v>20</v>
      </c>
      <c r="G50" s="57" t="s">
        <v>477</v>
      </c>
      <c r="H50" s="414" t="s">
        <v>501</v>
      </c>
      <c r="I50" s="220" t="s">
        <v>479</v>
      </c>
    </row>
    <row r="51" spans="2:9" ht="15.75" customHeight="1">
      <c r="B51" s="408" t="s">
        <v>480</v>
      </c>
      <c r="C51" s="57" t="s">
        <v>481</v>
      </c>
      <c r="D51" s="206">
        <v>0</v>
      </c>
      <c r="E51" s="415">
        <f t="shared" si="20"/>
        <v>7.4999999999999997E-3</v>
      </c>
      <c r="F51" s="415">
        <v>1.4999999999999999E-2</v>
      </c>
      <c r="G51" s="57" t="s">
        <v>482</v>
      </c>
      <c r="H51" s="413" t="s">
        <v>483</v>
      </c>
      <c r="I51" s="220"/>
    </row>
    <row r="52" spans="2:9" ht="15.75" customHeight="1">
      <c r="B52" s="408" t="s">
        <v>480</v>
      </c>
      <c r="C52" s="416" t="s">
        <v>481</v>
      </c>
      <c r="D52" s="317"/>
      <c r="E52" s="417">
        <v>2.5000000000000001E-3</v>
      </c>
      <c r="F52" s="317"/>
      <c r="G52" s="317"/>
      <c r="H52" s="418" t="s">
        <v>484</v>
      </c>
      <c r="I52" s="225"/>
    </row>
  </sheetData>
  <mergeCells count="6">
    <mergeCell ref="B22:B25"/>
    <mergeCell ref="B5:B6"/>
    <mergeCell ref="B7:B8"/>
    <mergeCell ref="B9:B10"/>
    <mergeCell ref="B14:B17"/>
    <mergeCell ref="B18:B21"/>
  </mergeCells>
  <hyperlinks>
    <hyperlink ref="A1" location="Index!A1" display="←" xr:uid="{00000000-0004-0000-0F00-000000000000}"/>
    <hyperlink ref="H39" r:id="rId1" xr:uid="{00000000-0004-0000-0F00-000001000000}"/>
    <hyperlink ref="H45" r:id="rId2" xr:uid="{00000000-0004-0000-0F00-000002000000}"/>
    <hyperlink ref="H40" r:id="rId3" xr:uid="{00000000-0004-0000-0F00-000003000000}"/>
    <hyperlink ref="H46" r:id="rId4" xr:uid="{00000000-0004-0000-0F00-000004000000}"/>
    <hyperlink ref="H41" r:id="rId5" xr:uid="{00000000-0004-0000-0F00-000005000000}"/>
    <hyperlink ref="H47" r:id="rId6" xr:uid="{00000000-0004-0000-0F00-000006000000}"/>
    <hyperlink ref="H42" r:id="rId7" xr:uid="{00000000-0004-0000-0F00-000007000000}"/>
    <hyperlink ref="H48" r:id="rId8" xr:uid="{00000000-0004-0000-0F00-000008000000}"/>
    <hyperlink ref="H49" r:id="rId9" xr:uid="{00000000-0004-0000-0F00-000009000000}"/>
    <hyperlink ref="H50" r:id="rId10" xr:uid="{00000000-0004-0000-0F00-00000A000000}"/>
    <hyperlink ref="H51" r:id="rId11" xr:uid="{00000000-0004-0000-0F00-00000B000000}"/>
    <hyperlink ref="H52" r:id="rId12" xr:uid="{00000000-0004-0000-0F00-00000C000000}"/>
  </hyperlinks>
  <pageMargins left="0.7" right="0.7" top="0.75" bottom="0.75" header="0.3" footer="0.3"/>
  <drawing r:id="rId1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B1:G17"/>
  <sheetViews>
    <sheetView workbookViewId="0">
      <selection activeCell="B16" sqref="B16:F16"/>
    </sheetView>
  </sheetViews>
  <sheetFormatPr baseColWidth="10" defaultColWidth="12.6640625" defaultRowHeight="15.75" customHeight="1"/>
  <cols>
    <col min="1" max="1" width="4.33203125" style="43" customWidth="1"/>
    <col min="2" max="2" width="34.1640625" style="43" customWidth="1"/>
    <col min="3" max="3" width="12.6640625" style="43"/>
    <col min="4" max="4" width="13.6640625" style="43" bestFit="1" customWidth="1"/>
    <col min="5" max="5" width="51.5" style="43" bestFit="1" customWidth="1"/>
    <col min="6" max="6" width="12.6640625" style="43"/>
    <col min="7" max="7" width="5" style="43" customWidth="1"/>
    <col min="8" max="16384" width="12.6640625" style="43"/>
  </cols>
  <sheetData>
    <row r="1" spans="2:7" ht="15.75" customHeight="1">
      <c r="B1" s="47"/>
    </row>
    <row r="2" spans="2:7" ht="15.75" customHeight="1">
      <c r="B2" s="47"/>
    </row>
    <row r="3" spans="2:7" ht="15.75" customHeight="1">
      <c r="B3" s="48" t="s">
        <v>519</v>
      </c>
      <c r="C3" s="54" t="s">
        <v>502</v>
      </c>
      <c r="D3" s="54" t="s">
        <v>244</v>
      </c>
      <c r="E3" s="54" t="s">
        <v>122</v>
      </c>
      <c r="F3" s="54" t="s">
        <v>131</v>
      </c>
    </row>
    <row r="4" spans="2:7" ht="15.75" customHeight="1">
      <c r="B4" s="54" t="s">
        <v>503</v>
      </c>
      <c r="C4" s="55" t="s">
        <v>504</v>
      </c>
      <c r="D4" s="56">
        <v>4819.0330000000004</v>
      </c>
      <c r="E4" s="57" t="s">
        <v>505</v>
      </c>
      <c r="F4" s="58" t="s">
        <v>520</v>
      </c>
      <c r="G4" s="49"/>
    </row>
    <row r="5" spans="2:7" ht="15.75" customHeight="1">
      <c r="B5" s="54" t="s">
        <v>506</v>
      </c>
      <c r="C5" s="55" t="s">
        <v>507</v>
      </c>
      <c r="D5" s="59">
        <v>159800</v>
      </c>
      <c r="E5" s="55" t="s">
        <v>508</v>
      </c>
      <c r="F5" s="58" t="s">
        <v>519</v>
      </c>
      <c r="G5" s="49"/>
    </row>
    <row r="6" spans="2:7" ht="15.75" customHeight="1">
      <c r="B6" s="49"/>
      <c r="C6" s="49"/>
      <c r="D6" s="49"/>
      <c r="E6" s="49"/>
      <c r="G6" s="49"/>
    </row>
    <row r="7" spans="2:7" ht="15.75" customHeight="1">
      <c r="B7" s="54" t="s">
        <v>509</v>
      </c>
      <c r="C7" s="55" t="s">
        <v>510</v>
      </c>
      <c r="D7" s="56">
        <f>D4*D5</f>
        <v>770081473.4000001</v>
      </c>
      <c r="E7" s="55"/>
      <c r="F7" s="60"/>
      <c r="G7" s="49"/>
    </row>
    <row r="8" spans="2:7" ht="15.75" customHeight="1">
      <c r="B8" s="54" t="s">
        <v>511</v>
      </c>
      <c r="C8" s="55" t="s">
        <v>512</v>
      </c>
      <c r="D8" s="56">
        <f>(19426-1920)*1000</f>
        <v>17506000</v>
      </c>
      <c r="E8" s="55" t="s">
        <v>513</v>
      </c>
      <c r="F8" s="58" t="s">
        <v>521</v>
      </c>
      <c r="G8" s="49"/>
    </row>
    <row r="9" spans="2:7" ht="15.75" customHeight="1">
      <c r="B9" s="63" t="s">
        <v>514</v>
      </c>
      <c r="C9" s="61" t="s">
        <v>515</v>
      </c>
      <c r="D9" s="62">
        <f>D7/D8</f>
        <v>43.989573483377136</v>
      </c>
      <c r="E9" s="55"/>
      <c r="F9" s="55"/>
      <c r="G9" s="49"/>
    </row>
    <row r="11" spans="2:7" ht="9" customHeight="1"/>
    <row r="12" spans="2:7" ht="68" customHeight="1">
      <c r="B12" s="65" t="s">
        <v>522</v>
      </c>
      <c r="C12" s="65"/>
      <c r="D12" s="65"/>
      <c r="E12" s="65"/>
      <c r="F12" s="65"/>
    </row>
    <row r="13" spans="2:7" ht="13">
      <c r="B13" s="66"/>
      <c r="C13" s="66"/>
      <c r="D13" s="66"/>
      <c r="E13" s="66"/>
      <c r="F13" s="66"/>
    </row>
    <row r="14" spans="2:7" ht="54" customHeight="1">
      <c r="B14" s="65" t="s">
        <v>523</v>
      </c>
      <c r="C14" s="65"/>
      <c r="D14" s="65"/>
      <c r="E14" s="65"/>
      <c r="F14" s="65"/>
    </row>
    <row r="15" spans="2:7" ht="13">
      <c r="B15" s="66"/>
      <c r="C15" s="66"/>
      <c r="D15" s="66"/>
      <c r="E15" s="66"/>
      <c r="F15" s="66"/>
    </row>
    <row r="16" spans="2:7" ht="38" customHeight="1">
      <c r="B16" s="65" t="s">
        <v>524</v>
      </c>
      <c r="C16" s="65"/>
      <c r="D16" s="65"/>
      <c r="E16" s="65"/>
      <c r="F16" s="65"/>
    </row>
    <row r="17" ht="13"/>
  </sheetData>
  <mergeCells count="3">
    <mergeCell ref="B12:F12"/>
    <mergeCell ref="B14:F14"/>
    <mergeCell ref="B16:F16"/>
  </mergeCells>
  <hyperlinks>
    <hyperlink ref="B3" r:id="rId1" xr:uid="{7017C5EB-C943-BD4F-9742-56ADE664E530}"/>
    <hyperlink ref="F4" r:id="rId2" xr:uid="{EF042E9D-C2CF-FA4A-ACA2-9C7B18E9141B}"/>
    <hyperlink ref="F5" r:id="rId3" xr:uid="{C97FD4D1-EC20-4246-B3EC-020029C53E5C}"/>
    <hyperlink ref="F8" r:id="rId4" xr:uid="{097C2691-81C7-E148-BFCB-850D705217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104"/>
  <sheetViews>
    <sheetView topLeftCell="A61" workbookViewId="0">
      <selection activeCell="H91" sqref="H91"/>
    </sheetView>
  </sheetViews>
  <sheetFormatPr baseColWidth="10" defaultColWidth="12.6640625" defaultRowHeight="15.75" customHeight="1"/>
  <cols>
    <col min="1" max="1" width="12.6640625" style="43"/>
    <col min="2" max="2" width="20.33203125" style="43" customWidth="1"/>
    <col min="3" max="3" width="12.6640625" style="43"/>
    <col min="4" max="4" width="4.1640625" style="43" customWidth="1"/>
    <col min="5" max="15" width="12.6640625" style="43"/>
    <col min="16" max="16" width="3.83203125" style="43" customWidth="1"/>
    <col min="17" max="19" width="12.6640625" style="43"/>
    <col min="20" max="20" width="5.1640625" style="43" customWidth="1"/>
    <col min="21" max="16384" width="12.6640625" style="43"/>
  </cols>
  <sheetData>
    <row r="1" spans="1:20" ht="14">
      <c r="A1" s="72" t="s">
        <v>43</v>
      </c>
      <c r="B1" s="49"/>
      <c r="C1" s="49"/>
      <c r="D1" s="49"/>
      <c r="E1" s="49"/>
      <c r="F1" s="49"/>
      <c r="G1" s="49"/>
      <c r="H1" s="49"/>
      <c r="I1" s="49"/>
      <c r="J1" s="49"/>
      <c r="K1" s="49"/>
      <c r="L1" s="49"/>
      <c r="M1" s="49"/>
      <c r="N1" s="49"/>
      <c r="O1" s="49"/>
      <c r="P1" s="49"/>
      <c r="Q1" s="49"/>
      <c r="R1" s="49"/>
      <c r="S1" s="49"/>
      <c r="T1" s="49"/>
    </row>
    <row r="2" spans="1:20" ht="13">
      <c r="A2" s="49"/>
      <c r="B2" s="73" t="s">
        <v>44</v>
      </c>
      <c r="C2" s="49"/>
      <c r="D2" s="49"/>
      <c r="E2" s="49"/>
      <c r="F2" s="49"/>
      <c r="G2" s="49"/>
      <c r="H2" s="49"/>
      <c r="I2" s="49"/>
      <c r="J2" s="49"/>
      <c r="K2" s="49"/>
      <c r="L2" s="49"/>
      <c r="M2" s="49"/>
      <c r="N2" s="49"/>
      <c r="O2" s="49"/>
      <c r="P2" s="49"/>
      <c r="Q2" s="49"/>
      <c r="R2" s="49"/>
      <c r="S2" s="49"/>
      <c r="T2" s="49"/>
    </row>
    <row r="3" spans="1:20" ht="13">
      <c r="A3" s="49"/>
      <c r="B3" s="49"/>
      <c r="C3" s="49"/>
      <c r="D3" s="49"/>
      <c r="E3" s="49"/>
      <c r="F3" s="49"/>
      <c r="G3" s="49"/>
      <c r="H3" s="49"/>
      <c r="I3" s="49"/>
      <c r="J3" s="49"/>
      <c r="K3" s="49"/>
      <c r="L3" s="49"/>
      <c r="M3" s="49"/>
      <c r="N3" s="49"/>
      <c r="O3" s="49"/>
      <c r="P3" s="49"/>
      <c r="Q3" s="49"/>
      <c r="R3" s="49"/>
      <c r="S3" s="49"/>
      <c r="T3" s="49"/>
    </row>
    <row r="4" spans="1:20" ht="13">
      <c r="A4" s="49"/>
      <c r="B4" s="74" t="s">
        <v>45</v>
      </c>
      <c r="C4" s="16">
        <v>0.85</v>
      </c>
      <c r="D4" s="49"/>
      <c r="E4" s="49"/>
      <c r="F4" s="49"/>
      <c r="G4" s="49"/>
      <c r="H4" s="49"/>
      <c r="I4" s="49"/>
      <c r="J4" s="49"/>
      <c r="K4" s="49"/>
      <c r="L4" s="49"/>
      <c r="M4" s="49"/>
      <c r="N4" s="49"/>
      <c r="O4" s="49"/>
      <c r="P4" s="49"/>
      <c r="Q4" s="49"/>
      <c r="R4" s="49"/>
      <c r="S4" s="49"/>
      <c r="T4" s="49"/>
    </row>
    <row r="5" spans="1:20" ht="13">
      <c r="A5" s="49"/>
      <c r="B5" s="75" t="s">
        <v>46</v>
      </c>
      <c r="C5" s="17">
        <f>C4-0.05</f>
        <v>0.79999999999999993</v>
      </c>
      <c r="D5" s="49"/>
      <c r="E5" s="49"/>
      <c r="F5" s="49"/>
      <c r="G5" s="94" t="s">
        <v>47</v>
      </c>
      <c r="H5" s="49"/>
      <c r="I5" s="49"/>
      <c r="J5" s="49"/>
      <c r="K5" s="95" t="s">
        <v>48</v>
      </c>
      <c r="L5" s="49"/>
      <c r="M5" s="49"/>
      <c r="N5" s="49"/>
      <c r="O5" s="49"/>
      <c r="P5" s="49"/>
      <c r="Q5" s="119" t="s">
        <v>49</v>
      </c>
      <c r="R5" s="49"/>
      <c r="S5" s="49"/>
      <c r="T5" s="49"/>
    </row>
    <row r="6" spans="1:20" ht="13">
      <c r="A6" s="49"/>
      <c r="B6" s="49"/>
      <c r="C6" s="49"/>
      <c r="D6" s="49"/>
      <c r="E6" s="49"/>
      <c r="F6" s="49"/>
      <c r="G6" s="49"/>
      <c r="H6" s="49"/>
      <c r="I6" s="49"/>
      <c r="J6" s="49"/>
      <c r="K6" s="49"/>
      <c r="L6" s="49"/>
      <c r="M6" s="49"/>
      <c r="N6" s="49"/>
      <c r="O6" s="49"/>
      <c r="P6" s="49"/>
      <c r="Q6" s="49"/>
      <c r="R6" s="49"/>
      <c r="S6" s="49"/>
      <c r="T6" s="49"/>
    </row>
    <row r="7" spans="1:20" ht="15">
      <c r="A7" s="49"/>
      <c r="B7" s="76" t="s">
        <v>50</v>
      </c>
      <c r="C7" s="53">
        <v>69.900000000000006</v>
      </c>
      <c r="D7" s="49"/>
      <c r="E7" s="83" t="s">
        <v>51</v>
      </c>
      <c r="F7" s="82"/>
      <c r="G7" s="84" t="s">
        <v>52</v>
      </c>
      <c r="H7" s="85"/>
      <c r="I7" s="86" t="s">
        <v>53</v>
      </c>
      <c r="J7" s="87"/>
      <c r="K7" s="84" t="s">
        <v>54</v>
      </c>
      <c r="L7" s="85"/>
      <c r="M7" s="86" t="s">
        <v>55</v>
      </c>
      <c r="N7" s="85"/>
      <c r="O7" s="49"/>
      <c r="P7" s="49"/>
      <c r="Q7" s="88" t="s">
        <v>56</v>
      </c>
      <c r="R7" s="87"/>
      <c r="S7" s="85"/>
      <c r="T7" s="49"/>
    </row>
    <row r="8" spans="1:20" ht="15">
      <c r="A8" s="49"/>
      <c r="B8" s="49"/>
      <c r="C8" s="49"/>
      <c r="D8" s="49"/>
      <c r="E8" s="75"/>
      <c r="F8" s="89"/>
      <c r="G8" s="75" t="s">
        <v>57</v>
      </c>
      <c r="H8" s="90"/>
      <c r="I8" s="89" t="s">
        <v>58</v>
      </c>
      <c r="J8" s="89"/>
      <c r="K8" s="75" t="s">
        <v>32</v>
      </c>
      <c r="L8" s="90"/>
      <c r="M8" s="89" t="s">
        <v>59</v>
      </c>
      <c r="N8" s="90"/>
      <c r="O8" s="49"/>
      <c r="P8" s="49"/>
      <c r="Q8" s="91" t="s">
        <v>60</v>
      </c>
      <c r="R8" s="92" t="s">
        <v>61</v>
      </c>
      <c r="S8" s="93" t="s">
        <v>62</v>
      </c>
      <c r="T8" s="49"/>
    </row>
    <row r="9" spans="1:20" ht="15">
      <c r="A9" s="49"/>
      <c r="B9" s="77" t="s">
        <v>63</v>
      </c>
      <c r="C9" s="20">
        <v>62</v>
      </c>
      <c r="D9" s="49"/>
      <c r="E9" s="51" t="s">
        <v>64</v>
      </c>
      <c r="F9" s="52" t="s">
        <v>65</v>
      </c>
      <c r="G9" s="51" t="s">
        <v>66</v>
      </c>
      <c r="H9" s="96" t="s">
        <v>67</v>
      </c>
      <c r="I9" s="52" t="s">
        <v>66</v>
      </c>
      <c r="J9" s="52" t="s">
        <v>67</v>
      </c>
      <c r="K9" s="51" t="s">
        <v>66</v>
      </c>
      <c r="L9" s="96" t="s">
        <v>67</v>
      </c>
      <c r="M9" s="51" t="s">
        <v>66</v>
      </c>
      <c r="N9" s="96" t="s">
        <v>67</v>
      </c>
      <c r="O9" s="49"/>
      <c r="P9" s="49"/>
      <c r="Q9" s="120">
        <v>69.94</v>
      </c>
      <c r="R9" s="121">
        <v>30.06</v>
      </c>
      <c r="S9" s="122">
        <v>0</v>
      </c>
      <c r="T9" s="49"/>
    </row>
    <row r="10" spans="1:20" ht="15">
      <c r="A10" s="49"/>
      <c r="B10" s="78" t="s">
        <v>68</v>
      </c>
      <c r="C10" s="21">
        <f>C9/C7</f>
        <v>0.88698140200286113</v>
      </c>
      <c r="D10" s="49"/>
      <c r="E10" s="81" t="s">
        <v>60</v>
      </c>
      <c r="F10" s="49" t="s">
        <v>69</v>
      </c>
      <c r="G10" s="97">
        <f>(C9*10)*0.95</f>
        <v>589</v>
      </c>
      <c r="H10" s="98">
        <f t="shared" ref="H10:H11" si="0">G10/1000</f>
        <v>0.58899999999999997</v>
      </c>
      <c r="I10" s="99">
        <f t="shared" ref="I10:I12" si="1">G10</f>
        <v>589</v>
      </c>
      <c r="J10" s="100">
        <f>I10/$I16</f>
        <v>0.62</v>
      </c>
      <c r="K10" s="101">
        <f>I10-K15</f>
        <v>35.340000000000032</v>
      </c>
      <c r="L10" s="123">
        <f>K10/K16</f>
        <v>5.1063829787234095E-2</v>
      </c>
      <c r="M10" s="101">
        <f>K10</f>
        <v>35.340000000000032</v>
      </c>
      <c r="N10" s="123">
        <f>M10/M16</f>
        <v>5.4255319148936221E-2</v>
      </c>
      <c r="O10" s="49"/>
      <c r="P10" s="49"/>
      <c r="Q10" s="120">
        <v>69</v>
      </c>
      <c r="R10" s="121">
        <v>29.66</v>
      </c>
      <c r="S10" s="122">
        <v>1.34</v>
      </c>
      <c r="T10" s="49"/>
    </row>
    <row r="11" spans="1:20" ht="15">
      <c r="A11" s="49" t="s">
        <v>70</v>
      </c>
      <c r="B11" s="79" t="s">
        <v>71</v>
      </c>
      <c r="C11" s="21">
        <f>(92+96)/2/100</f>
        <v>0.94</v>
      </c>
      <c r="D11" s="49"/>
      <c r="E11" s="81" t="s">
        <v>62</v>
      </c>
      <c r="F11" s="49" t="s">
        <v>69</v>
      </c>
      <c r="G11" s="102">
        <f>1000-G10-G12-G14</f>
        <v>107.70472103004298</v>
      </c>
      <c r="H11" s="103">
        <f t="shared" si="0"/>
        <v>0.10770472103004297</v>
      </c>
      <c r="I11" s="104">
        <f t="shared" si="1"/>
        <v>107.70472103004298</v>
      </c>
      <c r="J11" s="105">
        <f>I11/I16</f>
        <v>0.11337339055793998</v>
      </c>
      <c r="K11" s="102">
        <f>I11</f>
        <v>107.70472103004298</v>
      </c>
      <c r="L11" s="103">
        <f>1-L10-L12-L15</f>
        <v>0.13431515421674345</v>
      </c>
      <c r="M11" s="102">
        <f>N11*M16</f>
        <v>52.245866236905734</v>
      </c>
      <c r="N11" s="103">
        <f>1-N10-N12-N15</f>
        <v>8.0209851355290018E-2</v>
      </c>
      <c r="O11" s="49"/>
      <c r="P11" s="49"/>
      <c r="Q11" s="120">
        <v>68</v>
      </c>
      <c r="R11" s="121">
        <v>29.23</v>
      </c>
      <c r="S11" s="122">
        <v>2.77</v>
      </c>
      <c r="T11" s="49"/>
    </row>
    <row r="12" spans="1:20" ht="15">
      <c r="A12" s="49"/>
      <c r="B12" s="80" t="s">
        <v>72</v>
      </c>
      <c r="C12" s="21">
        <v>0.05</v>
      </c>
      <c r="D12" s="49"/>
      <c r="E12" s="81" t="s">
        <v>73</v>
      </c>
      <c r="F12" s="49" t="s">
        <v>69</v>
      </c>
      <c r="G12" s="97">
        <f>(((C9/C7)*30.06)*10)*0.95</f>
        <v>253.29527896995702</v>
      </c>
      <c r="H12" s="100">
        <f>G12/G16</f>
        <v>0.25329527896995702</v>
      </c>
      <c r="I12" s="97">
        <f t="shared" si="1"/>
        <v>253.29527896995702</v>
      </c>
      <c r="J12" s="100">
        <f>1-SUM(J10:J11)</f>
        <v>0.26662660944206007</v>
      </c>
      <c r="K12" s="101">
        <f>K10/$S$34-K10</f>
        <v>10.118839645447224</v>
      </c>
      <c r="L12" s="124">
        <f>K12/K16</f>
        <v>1.4621015996022432E-2</v>
      </c>
      <c r="M12" s="101">
        <f>K12</f>
        <v>10.118839645447224</v>
      </c>
      <c r="N12" s="123">
        <f>M12/M16</f>
        <v>1.5534829495773833E-2</v>
      </c>
      <c r="O12" s="49"/>
      <c r="P12" s="49"/>
      <c r="Q12" s="120">
        <v>67.5</v>
      </c>
      <c r="R12" s="121">
        <v>29.01</v>
      </c>
      <c r="S12" s="122">
        <v>3.49</v>
      </c>
      <c r="T12" s="49"/>
    </row>
    <row r="13" spans="1:20" ht="15">
      <c r="A13" s="49"/>
      <c r="B13" s="81" t="s">
        <v>74</v>
      </c>
      <c r="C13" s="22">
        <v>1</v>
      </c>
      <c r="D13" s="49"/>
      <c r="E13" s="81" t="s">
        <v>75</v>
      </c>
      <c r="F13" s="49" t="s">
        <v>69</v>
      </c>
      <c r="G13" s="102">
        <v>0</v>
      </c>
      <c r="H13" s="103">
        <f>G13/G16</f>
        <v>0</v>
      </c>
      <c r="I13" s="104">
        <v>0</v>
      </c>
      <c r="J13" s="105">
        <v>0</v>
      </c>
      <c r="K13" s="102">
        <v>0</v>
      </c>
      <c r="L13" s="105">
        <f>K13/K16</f>
        <v>0</v>
      </c>
      <c r="M13" s="102">
        <v>0</v>
      </c>
      <c r="N13" s="103">
        <v>0</v>
      </c>
      <c r="O13" s="49"/>
      <c r="P13" s="49"/>
      <c r="Q13" s="120">
        <v>67</v>
      </c>
      <c r="R13" s="121">
        <v>28.8</v>
      </c>
      <c r="S13" s="122">
        <v>4.2</v>
      </c>
      <c r="T13" s="49"/>
    </row>
    <row r="14" spans="1:20" ht="15">
      <c r="A14" s="49"/>
      <c r="B14" s="82"/>
      <c r="C14" s="82"/>
      <c r="D14" s="49"/>
      <c r="E14" s="81" t="s">
        <v>76</v>
      </c>
      <c r="F14" s="49" t="s">
        <v>69</v>
      </c>
      <c r="G14" s="102">
        <v>50</v>
      </c>
      <c r="H14" s="103">
        <f>G14/G16</f>
        <v>0.05</v>
      </c>
      <c r="I14" s="104">
        <v>0</v>
      </c>
      <c r="J14" s="105">
        <v>0</v>
      </c>
      <c r="K14" s="102">
        <v>0</v>
      </c>
      <c r="L14" s="105">
        <v>0</v>
      </c>
      <c r="M14" s="102">
        <v>0</v>
      </c>
      <c r="N14" s="103">
        <v>0</v>
      </c>
      <c r="O14" s="49"/>
      <c r="P14" s="49"/>
      <c r="Q14" s="120">
        <v>66</v>
      </c>
      <c r="R14" s="121">
        <v>28.37</v>
      </c>
      <c r="S14" s="122">
        <v>5.63</v>
      </c>
      <c r="T14" s="49"/>
    </row>
    <row r="15" spans="1:20" ht="15">
      <c r="A15" s="49"/>
      <c r="B15" s="49"/>
      <c r="C15" s="49"/>
      <c r="D15" s="49"/>
      <c r="E15" s="81" t="s">
        <v>77</v>
      </c>
      <c r="F15" s="49" t="s">
        <v>69</v>
      </c>
      <c r="G15" s="102">
        <v>0</v>
      </c>
      <c r="H15" s="103">
        <v>0</v>
      </c>
      <c r="I15" s="104">
        <v>0</v>
      </c>
      <c r="J15" s="105">
        <v>0</v>
      </c>
      <c r="K15" s="102">
        <f>(C11)*I10</f>
        <v>553.66</v>
      </c>
      <c r="L15" s="23">
        <v>0.8</v>
      </c>
      <c r="M15" s="102">
        <f>K15</f>
        <v>553.66</v>
      </c>
      <c r="N15" s="24">
        <v>0.85</v>
      </c>
      <c r="O15" s="49"/>
      <c r="P15" s="49"/>
      <c r="Q15" s="129">
        <v>65</v>
      </c>
      <c r="R15" s="130">
        <v>27.94</v>
      </c>
      <c r="S15" s="131">
        <v>7.06</v>
      </c>
      <c r="T15" s="49"/>
    </row>
    <row r="16" spans="1:20" ht="13">
      <c r="A16" s="49"/>
      <c r="B16" s="49"/>
      <c r="C16" s="49"/>
      <c r="D16" s="49"/>
      <c r="E16" s="51" t="s">
        <v>78</v>
      </c>
      <c r="F16" s="52"/>
      <c r="G16" s="106">
        <f t="shared" ref="G16:H16" si="2">SUM(G10:G15)</f>
        <v>1000</v>
      </c>
      <c r="H16" s="107">
        <f t="shared" si="2"/>
        <v>1</v>
      </c>
      <c r="I16" s="108">
        <f>G16*(1-C12)</f>
        <v>950</v>
      </c>
      <c r="J16" s="108">
        <f>SUM(J10:J15)</f>
        <v>1</v>
      </c>
      <c r="K16" s="106">
        <f>K15/L15</f>
        <v>692.07499999999993</v>
      </c>
      <c r="L16" s="107">
        <f>SUM(L10:L15)</f>
        <v>1</v>
      </c>
      <c r="M16" s="106">
        <f>M15/N15</f>
        <v>651.36470588235295</v>
      </c>
      <c r="N16" s="107">
        <f>SUM(N10:N15)</f>
        <v>1</v>
      </c>
      <c r="O16" s="128" t="s">
        <v>79</v>
      </c>
      <c r="P16" s="49"/>
      <c r="Q16" s="49"/>
      <c r="R16" s="49"/>
      <c r="S16" s="49"/>
      <c r="T16" s="49"/>
    </row>
    <row r="17" spans="1:20" ht="15">
      <c r="A17" s="49"/>
      <c r="B17" s="49"/>
      <c r="C17" s="49"/>
      <c r="D17" s="49"/>
      <c r="E17" s="109" t="s">
        <v>80</v>
      </c>
      <c r="F17" s="89"/>
      <c r="G17" s="110"/>
      <c r="H17" s="111"/>
      <c r="I17" s="112">
        <f>G16/I16</f>
        <v>1.0526315789473684</v>
      </c>
      <c r="J17" s="113"/>
      <c r="K17" s="114">
        <f>I16/K16</f>
        <v>1.3726835964310229</v>
      </c>
      <c r="L17" s="111"/>
      <c r="M17" s="114">
        <f>K16/M16</f>
        <v>1.0624999999999998</v>
      </c>
      <c r="N17" s="111"/>
      <c r="O17" s="28">
        <f>G16/M16</f>
        <v>1.5352382328504859</v>
      </c>
      <c r="P17" s="49"/>
      <c r="Q17" s="88" t="s">
        <v>81</v>
      </c>
      <c r="R17" s="87"/>
      <c r="S17" s="85"/>
      <c r="T17" s="49"/>
    </row>
    <row r="18" spans="1:20" ht="15">
      <c r="A18" s="49"/>
      <c r="B18" s="49"/>
      <c r="C18" s="49"/>
      <c r="D18" s="49"/>
      <c r="E18" s="49"/>
      <c r="F18" s="49"/>
      <c r="G18" s="67"/>
      <c r="H18" s="68"/>
      <c r="I18" s="67"/>
      <c r="J18" s="68"/>
      <c r="K18" s="67"/>
      <c r="L18" s="68"/>
      <c r="M18" s="67"/>
      <c r="N18" s="68"/>
      <c r="O18" s="49"/>
      <c r="P18" s="49"/>
      <c r="Q18" s="91" t="s">
        <v>60</v>
      </c>
      <c r="R18" s="92" t="s">
        <v>61</v>
      </c>
      <c r="S18" s="93" t="s">
        <v>62</v>
      </c>
      <c r="T18" s="49"/>
    </row>
    <row r="19" spans="1:20" ht="15">
      <c r="A19" s="49"/>
      <c r="B19" s="76" t="s">
        <v>50</v>
      </c>
      <c r="C19" s="53">
        <v>69.900000000000006</v>
      </c>
      <c r="D19" s="49"/>
      <c r="E19" s="83" t="s">
        <v>82</v>
      </c>
      <c r="F19" s="82"/>
      <c r="G19" s="115" t="s">
        <v>52</v>
      </c>
      <c r="H19" s="85"/>
      <c r="I19" s="116" t="s">
        <v>83</v>
      </c>
      <c r="J19" s="87"/>
      <c r="K19" s="115" t="s">
        <v>84</v>
      </c>
      <c r="L19" s="85"/>
      <c r="M19" s="116" t="s">
        <v>85</v>
      </c>
      <c r="N19" s="85"/>
      <c r="O19" s="49"/>
      <c r="P19" s="49"/>
      <c r="Q19" s="120">
        <v>72.36</v>
      </c>
      <c r="R19" s="121">
        <v>27.64</v>
      </c>
      <c r="S19" s="122">
        <v>0</v>
      </c>
      <c r="T19" s="49"/>
    </row>
    <row r="20" spans="1:20" ht="15">
      <c r="A20" s="49"/>
      <c r="B20" s="49"/>
      <c r="C20" s="49"/>
      <c r="D20" s="49"/>
      <c r="E20" s="75"/>
      <c r="F20" s="89"/>
      <c r="G20" s="110" t="s">
        <v>57</v>
      </c>
      <c r="H20" s="111"/>
      <c r="I20" s="113" t="s">
        <v>86</v>
      </c>
      <c r="J20" s="113"/>
      <c r="K20" s="110" t="s">
        <v>32</v>
      </c>
      <c r="L20" s="111"/>
      <c r="M20" s="113" t="s">
        <v>59</v>
      </c>
      <c r="N20" s="111"/>
      <c r="O20" s="67"/>
      <c r="P20" s="49"/>
      <c r="Q20" s="120">
        <v>71</v>
      </c>
      <c r="R20" s="121">
        <v>27.12</v>
      </c>
      <c r="S20" s="122">
        <v>1.88</v>
      </c>
      <c r="T20" s="49"/>
    </row>
    <row r="21" spans="1:20" ht="15">
      <c r="A21" s="49"/>
      <c r="B21" s="77" t="s">
        <v>63</v>
      </c>
      <c r="C21" s="20">
        <f>C9</f>
        <v>62</v>
      </c>
      <c r="D21" s="49"/>
      <c r="E21" s="51" t="s">
        <v>64</v>
      </c>
      <c r="F21" s="52" t="s">
        <v>65</v>
      </c>
      <c r="G21" s="51" t="s">
        <v>66</v>
      </c>
      <c r="H21" s="96" t="s">
        <v>67</v>
      </c>
      <c r="I21" s="52" t="s">
        <v>66</v>
      </c>
      <c r="J21" s="52" t="s">
        <v>67</v>
      </c>
      <c r="K21" s="51" t="s">
        <v>66</v>
      </c>
      <c r="L21" s="96" t="s">
        <v>67</v>
      </c>
      <c r="M21" s="51" t="s">
        <v>66</v>
      </c>
      <c r="N21" s="96" t="s">
        <v>67</v>
      </c>
      <c r="O21" s="49"/>
      <c r="P21" s="49"/>
      <c r="Q21" s="120">
        <v>70</v>
      </c>
      <c r="R21" s="121">
        <v>26.74</v>
      </c>
      <c r="S21" s="122">
        <v>3.26</v>
      </c>
      <c r="T21" s="49"/>
    </row>
    <row r="22" spans="1:20" ht="15">
      <c r="A22" s="49"/>
      <c r="B22" s="78" t="s">
        <v>68</v>
      </c>
      <c r="C22" s="21">
        <f>C21/C19</f>
        <v>0.88698140200286113</v>
      </c>
      <c r="D22" s="49"/>
      <c r="E22" s="81" t="s">
        <v>60</v>
      </c>
      <c r="F22" s="49" t="s">
        <v>69</v>
      </c>
      <c r="G22" s="97">
        <f>(C21*10)*0.95</f>
        <v>589</v>
      </c>
      <c r="H22" s="98">
        <f t="shared" ref="H22:H23" si="3">G22/1000</f>
        <v>0.58899999999999997</v>
      </c>
      <c r="I22" s="67"/>
      <c r="J22" s="68"/>
      <c r="K22" s="101">
        <f>G22-K27</f>
        <v>26.504999999999995</v>
      </c>
      <c r="L22" s="123">
        <f>K22/K28</f>
        <v>3.7696335078534017E-2</v>
      </c>
      <c r="M22" s="101">
        <f>K22</f>
        <v>26.504999999999995</v>
      </c>
      <c r="N22" s="123">
        <f>M22/M28</f>
        <v>4.0052356020942405E-2</v>
      </c>
      <c r="O22" s="49"/>
      <c r="P22" s="49"/>
      <c r="Q22" s="120">
        <v>69.5</v>
      </c>
      <c r="R22" s="121">
        <v>26.55</v>
      </c>
      <c r="S22" s="122">
        <v>3.95</v>
      </c>
      <c r="T22" s="49"/>
    </row>
    <row r="23" spans="1:20" ht="15">
      <c r="A23" s="49" t="s">
        <v>87</v>
      </c>
      <c r="B23" s="79" t="s">
        <v>71</v>
      </c>
      <c r="C23" s="21">
        <f>(95+96)/2/100</f>
        <v>0.95499999999999996</v>
      </c>
      <c r="D23" s="49"/>
      <c r="E23" s="81" t="s">
        <v>62</v>
      </c>
      <c r="F23" s="49" t="s">
        <v>69</v>
      </c>
      <c r="G23" s="102">
        <f>1000-G22-G24-G26</f>
        <v>107.70472103004298</v>
      </c>
      <c r="H23" s="103">
        <f t="shared" si="3"/>
        <v>0.10770472103004297</v>
      </c>
      <c r="I23" s="67"/>
      <c r="J23" s="68"/>
      <c r="K23" s="102">
        <f>G23</f>
        <v>107.70472103004298</v>
      </c>
      <c r="L23" s="103">
        <f>1-L22-L24-L27</f>
        <v>0.15151014002387886</v>
      </c>
      <c r="M23" s="102">
        <f>N23*M28</f>
        <v>65.169693795326353</v>
      </c>
      <c r="N23" s="103">
        <f>1-N22-N24-N27</f>
        <v>9.8479523775371169E-2</v>
      </c>
      <c r="O23" s="49"/>
      <c r="P23" s="49"/>
      <c r="Q23" s="120">
        <v>69</v>
      </c>
      <c r="R23" s="121">
        <v>26.36</v>
      </c>
      <c r="S23" s="122">
        <v>4.6399999999999997</v>
      </c>
      <c r="T23" s="49"/>
    </row>
    <row r="24" spans="1:20" ht="15">
      <c r="A24" s="49"/>
      <c r="B24" s="80" t="s">
        <v>72</v>
      </c>
      <c r="C24" s="21">
        <v>0.05</v>
      </c>
      <c r="D24" s="49"/>
      <c r="E24" s="81" t="s">
        <v>73</v>
      </c>
      <c r="F24" s="49" t="s">
        <v>69</v>
      </c>
      <c r="G24" s="97">
        <f>(((C21/C19)*30.06)*10)*0.95</f>
        <v>253.29527896995702</v>
      </c>
      <c r="H24" s="100">
        <f>G24/G28</f>
        <v>0.25329527896995702</v>
      </c>
      <c r="I24" s="117"/>
      <c r="J24" s="68"/>
      <c r="K24" s="101">
        <f>K22/$S$34-K22</f>
        <v>7.5891297340854109</v>
      </c>
      <c r="L24" s="124">
        <f>K24/K28</f>
        <v>1.0793524897587229E-2</v>
      </c>
      <c r="M24" s="101">
        <f>K24</f>
        <v>7.5891297340854109</v>
      </c>
      <c r="N24" s="123">
        <f>M24/M28</f>
        <v>1.1468120203686432E-2</v>
      </c>
      <c r="O24" s="49"/>
      <c r="P24" s="49"/>
      <c r="Q24" s="120">
        <v>68</v>
      </c>
      <c r="R24" s="121">
        <v>25.97</v>
      </c>
      <c r="S24" s="122">
        <v>6.03</v>
      </c>
      <c r="T24" s="49"/>
    </row>
    <row r="25" spans="1:20" ht="15">
      <c r="A25" s="49"/>
      <c r="B25" s="81" t="s">
        <v>74</v>
      </c>
      <c r="C25" s="22">
        <f>C13</f>
        <v>1</v>
      </c>
      <c r="D25" s="49"/>
      <c r="E25" s="81" t="s">
        <v>75</v>
      </c>
      <c r="F25" s="49" t="s">
        <v>69</v>
      </c>
      <c r="G25" s="102">
        <v>0</v>
      </c>
      <c r="H25" s="103">
        <f>G25/G28</f>
        <v>0</v>
      </c>
      <c r="I25" s="67"/>
      <c r="J25" s="67"/>
      <c r="K25" s="102">
        <v>0</v>
      </c>
      <c r="L25" s="105">
        <f>K25/K28</f>
        <v>0</v>
      </c>
      <c r="M25" s="102">
        <v>0</v>
      </c>
      <c r="N25" s="103">
        <v>0</v>
      </c>
      <c r="O25" s="49"/>
      <c r="P25" s="49"/>
      <c r="Q25" s="120">
        <v>67</v>
      </c>
      <c r="R25" s="121">
        <v>25.59</v>
      </c>
      <c r="S25" s="122">
        <v>7.41</v>
      </c>
      <c r="T25" s="49"/>
    </row>
    <row r="26" spans="1:20" ht="15">
      <c r="A26" s="49"/>
      <c r="B26" s="82"/>
      <c r="C26" s="82"/>
      <c r="D26" s="49"/>
      <c r="E26" s="81" t="s">
        <v>76</v>
      </c>
      <c r="F26" s="49" t="s">
        <v>69</v>
      </c>
      <c r="G26" s="102">
        <v>50</v>
      </c>
      <c r="H26" s="103">
        <f>G26/G28</f>
        <v>0.05</v>
      </c>
      <c r="I26" s="67"/>
      <c r="J26" s="67"/>
      <c r="K26" s="102">
        <v>0</v>
      </c>
      <c r="L26" s="105">
        <v>0</v>
      </c>
      <c r="M26" s="102">
        <v>0</v>
      </c>
      <c r="N26" s="103">
        <v>0</v>
      </c>
      <c r="O26" s="49"/>
      <c r="P26" s="49"/>
      <c r="Q26" s="120">
        <v>66</v>
      </c>
      <c r="R26" s="121">
        <v>25.21</v>
      </c>
      <c r="S26" s="122">
        <v>8.7899999999999991</v>
      </c>
      <c r="T26" s="49"/>
    </row>
    <row r="27" spans="1:20" ht="15">
      <c r="A27" s="49"/>
      <c r="B27" s="49"/>
      <c r="C27" s="135"/>
      <c r="D27" s="49"/>
      <c r="E27" s="81" t="s">
        <v>77</v>
      </c>
      <c r="F27" s="49" t="s">
        <v>69</v>
      </c>
      <c r="G27" s="102">
        <v>0</v>
      </c>
      <c r="H27" s="103">
        <v>0</v>
      </c>
      <c r="I27" s="67"/>
      <c r="J27" s="67"/>
      <c r="K27" s="102">
        <f>(C23)*G22</f>
        <v>562.495</v>
      </c>
      <c r="L27" s="23">
        <f>$C$5</f>
        <v>0.79999999999999993</v>
      </c>
      <c r="M27" s="102">
        <f>K27</f>
        <v>562.495</v>
      </c>
      <c r="N27" s="24">
        <f>$C$4</f>
        <v>0.85</v>
      </c>
      <c r="O27" s="15"/>
      <c r="P27" s="49"/>
      <c r="Q27" s="129">
        <v>65</v>
      </c>
      <c r="R27" s="130">
        <v>24.83</v>
      </c>
      <c r="S27" s="131">
        <v>10.17</v>
      </c>
      <c r="T27" s="49"/>
    </row>
    <row r="28" spans="1:20" ht="13">
      <c r="A28" s="49"/>
      <c r="B28" s="49"/>
      <c r="C28" s="49"/>
      <c r="D28" s="49"/>
      <c r="E28" s="51" t="s">
        <v>78</v>
      </c>
      <c r="F28" s="52"/>
      <c r="G28" s="106">
        <f t="shared" ref="G28:H28" si="4">SUM(G22:G27)</f>
        <v>1000</v>
      </c>
      <c r="H28" s="107">
        <f t="shared" si="4"/>
        <v>1</v>
      </c>
      <c r="I28" s="118"/>
      <c r="J28" s="118"/>
      <c r="K28" s="106">
        <f>K27/L27</f>
        <v>703.11875000000009</v>
      </c>
      <c r="L28" s="25">
        <f>SUM(L22:L27)</f>
        <v>1</v>
      </c>
      <c r="M28" s="106">
        <f>M27/N27</f>
        <v>661.75882352941176</v>
      </c>
      <c r="N28" s="107">
        <f>SUM(N22:N27)</f>
        <v>1</v>
      </c>
      <c r="O28" s="26" t="s">
        <v>79</v>
      </c>
      <c r="P28" s="49"/>
      <c r="Q28" s="49"/>
      <c r="R28" s="49"/>
      <c r="S28" s="49"/>
      <c r="T28" s="49"/>
    </row>
    <row r="29" spans="1:20" ht="13">
      <c r="A29" s="49"/>
      <c r="B29" s="49"/>
      <c r="C29" s="49"/>
      <c r="D29" s="49"/>
      <c r="E29" s="109" t="s">
        <v>80</v>
      </c>
      <c r="F29" s="89"/>
      <c r="G29" s="110"/>
      <c r="H29" s="111"/>
      <c r="I29" s="112">
        <v>1</v>
      </c>
      <c r="J29" s="113"/>
      <c r="K29" s="114">
        <f>G28/K28</f>
        <v>1.4222348643099048</v>
      </c>
      <c r="L29" s="27"/>
      <c r="M29" s="114">
        <f>K28/M28</f>
        <v>1.0625000000000002</v>
      </c>
      <c r="N29" s="111"/>
      <c r="O29" s="28">
        <f>G28/M28/C25</f>
        <v>1.5111245433292742</v>
      </c>
      <c r="P29" s="49"/>
      <c r="Q29" s="74" t="s">
        <v>60</v>
      </c>
      <c r="R29" s="82" t="s">
        <v>88</v>
      </c>
      <c r="S29" s="132">
        <v>55.844999999999999</v>
      </c>
      <c r="T29" s="49"/>
    </row>
    <row r="30" spans="1:20" ht="13">
      <c r="A30" s="49"/>
      <c r="B30" s="49"/>
      <c r="C30" s="49"/>
      <c r="D30" s="49"/>
      <c r="E30" s="49"/>
      <c r="F30" s="49"/>
      <c r="G30" s="67"/>
      <c r="H30" s="68"/>
      <c r="I30" s="67"/>
      <c r="J30" s="67"/>
      <c r="K30" s="67"/>
      <c r="L30" s="68"/>
      <c r="M30" s="67"/>
      <c r="N30" s="68"/>
      <c r="O30" s="49"/>
      <c r="P30" s="49"/>
      <c r="Q30" s="81" t="s">
        <v>61</v>
      </c>
      <c r="R30" s="49" t="s">
        <v>88</v>
      </c>
      <c r="S30" s="133">
        <v>15.99</v>
      </c>
      <c r="T30" s="49"/>
    </row>
    <row r="31" spans="1:20" ht="13">
      <c r="A31" s="49"/>
      <c r="B31" s="73" t="s">
        <v>89</v>
      </c>
      <c r="C31" s="49"/>
      <c r="D31" s="49"/>
      <c r="E31" s="49"/>
      <c r="F31" s="49"/>
      <c r="G31" s="67"/>
      <c r="H31" s="67"/>
      <c r="I31" s="67"/>
      <c r="J31" s="67"/>
      <c r="K31" s="67"/>
      <c r="L31" s="67"/>
      <c r="M31" s="67"/>
      <c r="N31" s="67"/>
      <c r="O31" s="49"/>
      <c r="P31" s="49"/>
      <c r="Q31" s="81" t="s">
        <v>90</v>
      </c>
      <c r="R31" s="49" t="s">
        <v>88</v>
      </c>
      <c r="S31" s="133">
        <f>S29*2+(S30*3)</f>
        <v>159.66</v>
      </c>
      <c r="T31" s="49"/>
    </row>
    <row r="32" spans="1:20" ht="13">
      <c r="A32" s="49"/>
      <c r="B32" s="49"/>
      <c r="C32" s="49"/>
      <c r="D32" s="49"/>
      <c r="E32" s="49"/>
      <c r="F32" s="49"/>
      <c r="G32" s="67"/>
      <c r="H32" s="67"/>
      <c r="I32" s="67"/>
      <c r="J32" s="67"/>
      <c r="K32" s="67"/>
      <c r="L32" s="67"/>
      <c r="M32" s="67"/>
      <c r="N32" s="67"/>
      <c r="O32" s="67"/>
      <c r="P32" s="49"/>
      <c r="Q32" s="81" t="s">
        <v>75</v>
      </c>
      <c r="R32" s="49" t="s">
        <v>88</v>
      </c>
      <c r="S32" s="133">
        <f>S29+S30</f>
        <v>71.834999999999994</v>
      </c>
      <c r="T32" s="49"/>
    </row>
    <row r="33" spans="1:20" ht="13">
      <c r="A33" s="49"/>
      <c r="B33" s="76" t="s">
        <v>91</v>
      </c>
      <c r="C33" s="18">
        <v>72.36</v>
      </c>
      <c r="D33" s="49"/>
      <c r="E33" s="83" t="s">
        <v>92</v>
      </c>
      <c r="F33" s="82"/>
      <c r="G33" s="84" t="s">
        <v>52</v>
      </c>
      <c r="H33" s="85"/>
      <c r="I33" s="86" t="s">
        <v>83</v>
      </c>
      <c r="J33" s="87"/>
      <c r="K33" s="84" t="s">
        <v>84</v>
      </c>
      <c r="L33" s="85"/>
      <c r="M33" s="86" t="s">
        <v>85</v>
      </c>
      <c r="N33" s="85"/>
      <c r="O33" s="49"/>
      <c r="P33" s="49"/>
      <c r="Q33" s="81" t="s">
        <v>93</v>
      </c>
      <c r="R33" s="49" t="s">
        <v>88</v>
      </c>
      <c r="S33" s="133">
        <f>S29*3+S30*4</f>
        <v>231.495</v>
      </c>
      <c r="T33" s="49"/>
    </row>
    <row r="34" spans="1:20" ht="13">
      <c r="A34" s="49"/>
      <c r="B34" s="49"/>
      <c r="C34" s="15"/>
      <c r="D34" s="49"/>
      <c r="E34" s="75"/>
      <c r="F34" s="89"/>
      <c r="G34" s="75" t="s">
        <v>57</v>
      </c>
      <c r="H34" s="90"/>
      <c r="I34" s="89" t="s">
        <v>58</v>
      </c>
      <c r="J34" s="89"/>
      <c r="K34" s="75" t="s">
        <v>32</v>
      </c>
      <c r="L34" s="90"/>
      <c r="M34" s="89" t="s">
        <v>94</v>
      </c>
      <c r="N34" s="90"/>
      <c r="O34" s="49"/>
      <c r="P34" s="49"/>
      <c r="Q34" s="81" t="s">
        <v>95</v>
      </c>
      <c r="R34" s="49" t="s">
        <v>67</v>
      </c>
      <c r="S34" s="133">
        <f>S29/S32</f>
        <v>0.7774065566924202</v>
      </c>
      <c r="T34" s="49"/>
    </row>
    <row r="35" spans="1:20" ht="13">
      <c r="A35" s="49"/>
      <c r="B35" s="77" t="s">
        <v>96</v>
      </c>
      <c r="C35" s="20">
        <v>68</v>
      </c>
      <c r="D35" s="49"/>
      <c r="E35" s="51" t="s">
        <v>64</v>
      </c>
      <c r="F35" s="52" t="s">
        <v>65</v>
      </c>
      <c r="G35" s="51" t="s">
        <v>66</v>
      </c>
      <c r="H35" s="96" t="s">
        <v>67</v>
      </c>
      <c r="I35" s="52" t="s">
        <v>66</v>
      </c>
      <c r="J35" s="52" t="s">
        <v>67</v>
      </c>
      <c r="K35" s="51" t="s">
        <v>66</v>
      </c>
      <c r="L35" s="96" t="s">
        <v>67</v>
      </c>
      <c r="M35" s="52"/>
      <c r="N35" s="96"/>
      <c r="O35" s="49"/>
      <c r="P35" s="49"/>
      <c r="Q35" s="81" t="s">
        <v>97</v>
      </c>
      <c r="R35" s="49" t="s">
        <v>67</v>
      </c>
      <c r="S35" s="133">
        <f>S29*2/S31</f>
        <v>0.69954904171364152</v>
      </c>
      <c r="T35" s="49"/>
    </row>
    <row r="36" spans="1:20" ht="13">
      <c r="A36" s="49"/>
      <c r="B36" s="78" t="s">
        <v>68</v>
      </c>
      <c r="C36" s="21">
        <f>C35/C33</f>
        <v>0.9397457158651189</v>
      </c>
      <c r="D36" s="49"/>
      <c r="E36" s="81" t="s">
        <v>60</v>
      </c>
      <c r="F36" s="49" t="s">
        <v>69</v>
      </c>
      <c r="G36" s="97">
        <f>(C35*10)*0.95</f>
        <v>646</v>
      </c>
      <c r="H36" s="98">
        <f t="shared" ref="H36:H37" si="5">G36/1000</f>
        <v>0.64600000000000002</v>
      </c>
      <c r="I36" s="99">
        <f t="shared" ref="I36:I38" si="6">G36</f>
        <v>646</v>
      </c>
      <c r="J36" s="100">
        <f>I36/$I42</f>
        <v>0.68</v>
      </c>
      <c r="K36" s="101">
        <f>G36-K41</f>
        <v>38.759999999999991</v>
      </c>
      <c r="L36" s="123">
        <f>K36/K42</f>
        <v>5.4255319148936158E-2</v>
      </c>
      <c r="M36" s="117"/>
      <c r="N36" s="125"/>
      <c r="O36" s="49"/>
      <c r="P36" s="49"/>
      <c r="Q36" s="75" t="s">
        <v>98</v>
      </c>
      <c r="R36" s="89" t="s">
        <v>67</v>
      </c>
      <c r="S36" s="134">
        <f>S29*3/S33</f>
        <v>0.72370893539817271</v>
      </c>
      <c r="T36" s="49"/>
    </row>
    <row r="37" spans="1:20" ht="13">
      <c r="A37" s="49" t="s">
        <v>70</v>
      </c>
      <c r="B37" s="79" t="s">
        <v>71</v>
      </c>
      <c r="C37" s="21">
        <f>(92+96)/2/100</f>
        <v>0.94</v>
      </c>
      <c r="D37" s="49"/>
      <c r="E37" s="81" t="s">
        <v>62</v>
      </c>
      <c r="F37" s="49" t="s">
        <v>69</v>
      </c>
      <c r="G37" s="102">
        <f>1000-G36-G38-G40</f>
        <v>35.636815920398021</v>
      </c>
      <c r="H37" s="103">
        <f t="shared" si="5"/>
        <v>3.5636815920398024E-2</v>
      </c>
      <c r="I37" s="104">
        <f t="shared" si="6"/>
        <v>35.636815920398021</v>
      </c>
      <c r="J37" s="105">
        <f>I37/I42</f>
        <v>3.7512437810945286E-2</v>
      </c>
      <c r="K37" s="102">
        <f>G37</f>
        <v>35.636815920398021</v>
      </c>
      <c r="L37" s="103">
        <f>1-L36-L38-L41</f>
        <v>8.0209851355290129E-2</v>
      </c>
      <c r="M37" s="117"/>
      <c r="N37" s="125"/>
      <c r="O37" s="49"/>
      <c r="P37" s="49"/>
      <c r="Q37" s="49"/>
      <c r="R37" s="49"/>
      <c r="S37" s="49"/>
      <c r="T37" s="49"/>
    </row>
    <row r="38" spans="1:20" ht="13">
      <c r="A38" s="49"/>
      <c r="B38" s="80" t="s">
        <v>72</v>
      </c>
      <c r="C38" s="21">
        <v>0.05</v>
      </c>
      <c r="D38" s="49"/>
      <c r="E38" s="81" t="s">
        <v>73</v>
      </c>
      <c r="F38" s="49" t="s">
        <v>69</v>
      </c>
      <c r="G38" s="97">
        <f>(((C35/C33)*30.06)*10)*0.95</f>
        <v>268.36318407960198</v>
      </c>
      <c r="H38" s="100">
        <f>G38/G42</f>
        <v>0.26836318407960197</v>
      </c>
      <c r="I38" s="97">
        <f t="shared" si="6"/>
        <v>268.36318407960198</v>
      </c>
      <c r="J38" s="100">
        <f>1-SUM(J36:J37)</f>
        <v>0.28248756218905469</v>
      </c>
      <c r="K38" s="101">
        <f>K36/$S$34-K36</f>
        <v>11.098082191780811</v>
      </c>
      <c r="L38" s="124">
        <f>K38/K42</f>
        <v>1.5534829495773813E-2</v>
      </c>
      <c r="M38" s="117"/>
      <c r="N38" s="125"/>
      <c r="O38" s="49"/>
      <c r="P38" s="49"/>
      <c r="Q38" s="49"/>
      <c r="R38" s="49"/>
      <c r="S38" s="49"/>
      <c r="T38" s="49"/>
    </row>
    <row r="39" spans="1:20" ht="13">
      <c r="A39" s="49"/>
      <c r="B39" s="81" t="s">
        <v>74</v>
      </c>
      <c r="C39" s="29">
        <v>1</v>
      </c>
      <c r="D39" s="49"/>
      <c r="E39" s="81" t="s">
        <v>75</v>
      </c>
      <c r="F39" s="49" t="s">
        <v>69</v>
      </c>
      <c r="G39" s="102">
        <v>0</v>
      </c>
      <c r="H39" s="103">
        <f>G39/G42</f>
        <v>0</v>
      </c>
      <c r="I39" s="104">
        <v>0</v>
      </c>
      <c r="J39" s="105">
        <v>0</v>
      </c>
      <c r="K39" s="102">
        <v>0</v>
      </c>
      <c r="L39" s="105">
        <f>K39/K42</f>
        <v>0</v>
      </c>
      <c r="M39" s="117"/>
      <c r="N39" s="125"/>
      <c r="O39" s="49"/>
      <c r="P39" s="49"/>
      <c r="Q39" s="49"/>
      <c r="R39" s="49"/>
      <c r="S39" s="49"/>
      <c r="T39" s="49"/>
    </row>
    <row r="40" spans="1:20" ht="13">
      <c r="A40" s="49"/>
      <c r="B40" s="82"/>
      <c r="C40" s="19"/>
      <c r="D40" s="49"/>
      <c r="E40" s="81" t="s">
        <v>76</v>
      </c>
      <c r="F40" s="49" t="s">
        <v>69</v>
      </c>
      <c r="G40" s="102">
        <v>50</v>
      </c>
      <c r="H40" s="103">
        <f>G40/G42</f>
        <v>0.05</v>
      </c>
      <c r="I40" s="104">
        <v>0</v>
      </c>
      <c r="J40" s="105">
        <v>0</v>
      </c>
      <c r="K40" s="102">
        <v>0</v>
      </c>
      <c r="L40" s="105">
        <v>0</v>
      </c>
      <c r="M40" s="117"/>
      <c r="N40" s="125"/>
      <c r="O40" s="49"/>
      <c r="P40" s="49"/>
      <c r="Q40" s="49"/>
      <c r="R40" s="49"/>
      <c r="S40" s="49"/>
      <c r="T40" s="49"/>
    </row>
    <row r="41" spans="1:20" ht="13">
      <c r="A41" s="49"/>
      <c r="B41" s="49"/>
      <c r="C41" s="135"/>
      <c r="D41" s="49"/>
      <c r="E41" s="81" t="s">
        <v>77</v>
      </c>
      <c r="F41" s="49" t="s">
        <v>69</v>
      </c>
      <c r="G41" s="102">
        <v>0</v>
      </c>
      <c r="H41" s="103">
        <v>0</v>
      </c>
      <c r="I41" s="104">
        <v>0</v>
      </c>
      <c r="J41" s="105">
        <v>0</v>
      </c>
      <c r="K41" s="102">
        <f>(C37)*G36</f>
        <v>607.24</v>
      </c>
      <c r="L41" s="24">
        <v>0.85</v>
      </c>
      <c r="M41" s="117"/>
      <c r="N41" s="125"/>
      <c r="O41" s="15"/>
      <c r="P41" s="49"/>
      <c r="Q41" s="49"/>
      <c r="R41" s="49"/>
      <c r="S41" s="49"/>
      <c r="T41" s="49"/>
    </row>
    <row r="42" spans="1:20" ht="13">
      <c r="A42" s="49"/>
      <c r="B42" s="49"/>
      <c r="C42" s="49"/>
      <c r="D42" s="49"/>
      <c r="E42" s="51" t="s">
        <v>78</v>
      </c>
      <c r="F42" s="52"/>
      <c r="G42" s="106">
        <f t="shared" ref="G42:H42" si="7">SUM(G36:G41)</f>
        <v>1000</v>
      </c>
      <c r="H42" s="107">
        <f t="shared" si="7"/>
        <v>1</v>
      </c>
      <c r="I42" s="108">
        <f>G42*(1-C38)</f>
        <v>950</v>
      </c>
      <c r="J42" s="108">
        <f>SUM(J36:J41)</f>
        <v>1</v>
      </c>
      <c r="K42" s="106">
        <f>K41/L41</f>
        <v>714.4</v>
      </c>
      <c r="L42" s="25">
        <f>SUM(L36:L41)</f>
        <v>1</v>
      </c>
      <c r="M42" s="118"/>
      <c r="N42" s="126"/>
      <c r="O42" s="26" t="s">
        <v>79</v>
      </c>
      <c r="P42" s="49"/>
      <c r="Q42" s="49"/>
      <c r="R42" s="49"/>
      <c r="S42" s="49"/>
      <c r="T42" s="49"/>
    </row>
    <row r="43" spans="1:20" ht="13">
      <c r="A43" s="49"/>
      <c r="B43" s="49"/>
      <c r="C43" s="49"/>
      <c r="D43" s="49"/>
      <c r="E43" s="109" t="s">
        <v>80</v>
      </c>
      <c r="F43" s="89"/>
      <c r="G43" s="110"/>
      <c r="H43" s="111"/>
      <c r="I43" s="112">
        <f>G42/I42</f>
        <v>1.0526315789473684</v>
      </c>
      <c r="J43" s="113"/>
      <c r="K43" s="114">
        <f>G42/K42</f>
        <v>1.3997760358342666</v>
      </c>
      <c r="L43" s="27"/>
      <c r="M43" s="112">
        <v>1</v>
      </c>
      <c r="N43" s="111"/>
      <c r="O43" s="28">
        <f>G42/K42/C39</f>
        <v>1.3997760358342666</v>
      </c>
      <c r="P43" s="49"/>
      <c r="Q43" s="49"/>
      <c r="R43" s="49"/>
      <c r="S43" s="49"/>
      <c r="T43" s="49"/>
    </row>
    <row r="44" spans="1:20" ht="13">
      <c r="A44" s="49"/>
      <c r="B44" s="49"/>
      <c r="C44" s="49"/>
      <c r="D44" s="49"/>
      <c r="E44" s="49"/>
      <c r="F44" s="49"/>
      <c r="G44" s="67"/>
      <c r="H44" s="68"/>
      <c r="I44" s="67"/>
      <c r="J44" s="68"/>
      <c r="K44" s="67"/>
      <c r="L44" s="68"/>
      <c r="M44" s="67"/>
      <c r="N44" s="68"/>
      <c r="O44" s="49"/>
      <c r="P44" s="49"/>
      <c r="Q44" s="49"/>
      <c r="R44" s="49"/>
      <c r="S44" s="49"/>
      <c r="T44" s="49"/>
    </row>
    <row r="45" spans="1:20" ht="13">
      <c r="A45" s="49"/>
      <c r="B45" s="76" t="s">
        <v>91</v>
      </c>
      <c r="C45" s="18">
        <v>72.400000000000006</v>
      </c>
      <c r="D45" s="49"/>
      <c r="E45" s="83" t="s">
        <v>99</v>
      </c>
      <c r="F45" s="82"/>
      <c r="G45" s="115" t="s">
        <v>52</v>
      </c>
      <c r="H45" s="85"/>
      <c r="I45" s="116" t="s">
        <v>83</v>
      </c>
      <c r="J45" s="87"/>
      <c r="K45" s="115" t="s">
        <v>84</v>
      </c>
      <c r="L45" s="85"/>
      <c r="M45" s="116" t="s">
        <v>85</v>
      </c>
      <c r="N45" s="85"/>
      <c r="O45" s="49"/>
      <c r="P45" s="49"/>
      <c r="Q45" s="49"/>
      <c r="R45" s="49"/>
      <c r="S45" s="49"/>
      <c r="T45" s="49"/>
    </row>
    <row r="46" spans="1:20" ht="13">
      <c r="A46" s="49"/>
      <c r="B46" s="49"/>
      <c r="C46" s="15"/>
      <c r="D46" s="49"/>
      <c r="E46" s="75"/>
      <c r="F46" s="89"/>
      <c r="G46" s="110" t="s">
        <v>57</v>
      </c>
      <c r="H46" s="111"/>
      <c r="I46" s="113" t="s">
        <v>58</v>
      </c>
      <c r="J46" s="113"/>
      <c r="K46" s="110" t="s">
        <v>32</v>
      </c>
      <c r="L46" s="111"/>
      <c r="M46" s="113" t="s">
        <v>94</v>
      </c>
      <c r="N46" s="111"/>
      <c r="O46" s="67"/>
      <c r="P46" s="49"/>
      <c r="Q46" s="49"/>
      <c r="R46" s="49"/>
      <c r="S46" s="49"/>
      <c r="T46" s="49"/>
    </row>
    <row r="47" spans="1:20" ht="13">
      <c r="A47" s="49"/>
      <c r="B47" s="77" t="s">
        <v>96</v>
      </c>
      <c r="C47" s="20">
        <f>C35</f>
        <v>68</v>
      </c>
      <c r="D47" s="49"/>
      <c r="E47" s="51" t="s">
        <v>64</v>
      </c>
      <c r="F47" s="52" t="s">
        <v>65</v>
      </c>
      <c r="G47" s="51" t="s">
        <v>66</v>
      </c>
      <c r="H47" s="96" t="s">
        <v>67</v>
      </c>
      <c r="I47" s="52" t="s">
        <v>66</v>
      </c>
      <c r="J47" s="52" t="s">
        <v>67</v>
      </c>
      <c r="K47" s="51" t="s">
        <v>66</v>
      </c>
      <c r="L47" s="96" t="s">
        <v>67</v>
      </c>
      <c r="M47" s="52"/>
      <c r="N47" s="96"/>
      <c r="O47" s="49"/>
      <c r="P47" s="49"/>
      <c r="Q47" s="49"/>
      <c r="R47" s="49"/>
      <c r="S47" s="49"/>
      <c r="T47" s="49"/>
    </row>
    <row r="48" spans="1:20" ht="13">
      <c r="A48" s="49"/>
      <c r="B48" s="78" t="s">
        <v>68</v>
      </c>
      <c r="C48" s="21">
        <f>C47/C45</f>
        <v>0.93922651933701651</v>
      </c>
      <c r="D48" s="49"/>
      <c r="E48" s="81" t="s">
        <v>60</v>
      </c>
      <c r="F48" s="49" t="s">
        <v>69</v>
      </c>
      <c r="G48" s="97">
        <f>(C47*10)*0.95</f>
        <v>646</v>
      </c>
      <c r="H48" s="98">
        <f t="shared" ref="H48:H49" si="8">G48/1000</f>
        <v>0.64600000000000002</v>
      </c>
      <c r="I48" s="67"/>
      <c r="J48" s="68"/>
      <c r="K48" s="101">
        <f>G48-K53</f>
        <v>29.07000000000005</v>
      </c>
      <c r="L48" s="123">
        <f>K48/K54</f>
        <v>4.0052356020942481E-2</v>
      </c>
      <c r="M48" s="117"/>
      <c r="N48" s="125"/>
      <c r="O48" s="49"/>
      <c r="P48" s="49"/>
      <c r="Q48" s="49"/>
      <c r="R48" s="49"/>
      <c r="S48" s="49"/>
      <c r="T48" s="49"/>
    </row>
    <row r="49" spans="1:20" ht="13">
      <c r="A49" s="49" t="s">
        <v>87</v>
      </c>
      <c r="B49" s="79" t="s">
        <v>71</v>
      </c>
      <c r="C49" s="21">
        <f>(95+96)/2/100</f>
        <v>0.95499999999999996</v>
      </c>
      <c r="D49" s="49"/>
      <c r="E49" s="81" t="s">
        <v>62</v>
      </c>
      <c r="F49" s="49" t="s">
        <v>69</v>
      </c>
      <c r="G49" s="102">
        <f>1000-G48-G50-G52</f>
        <v>35.785082872928228</v>
      </c>
      <c r="H49" s="103">
        <f t="shared" si="8"/>
        <v>3.5785082872928226E-2</v>
      </c>
      <c r="I49" s="67"/>
      <c r="J49" s="68"/>
      <c r="K49" s="102">
        <f>G49</f>
        <v>35.785082872928228</v>
      </c>
      <c r="L49" s="103">
        <f>1-L48-L50-L53</f>
        <v>9.8479523775371058E-2</v>
      </c>
      <c r="M49" s="117"/>
      <c r="N49" s="125"/>
      <c r="O49" s="49"/>
      <c r="P49" s="49"/>
      <c r="Q49" s="49"/>
      <c r="R49" s="49"/>
      <c r="S49" s="49"/>
      <c r="T49" s="49"/>
    </row>
    <row r="50" spans="1:20" ht="13">
      <c r="A50" s="49"/>
      <c r="B50" s="80" t="s">
        <v>72</v>
      </c>
      <c r="C50" s="21">
        <v>0.05</v>
      </c>
      <c r="D50" s="49"/>
      <c r="E50" s="81" t="s">
        <v>73</v>
      </c>
      <c r="F50" s="49" t="s">
        <v>69</v>
      </c>
      <c r="G50" s="97">
        <f>(((C47/C45)*30.06)*10)*0.95</f>
        <v>268.21491712707177</v>
      </c>
      <c r="H50" s="100">
        <f>G50/G54</f>
        <v>0.26821491712707179</v>
      </c>
      <c r="I50" s="117"/>
      <c r="J50" s="68"/>
      <c r="K50" s="101">
        <f>K48/$S$34-K48</f>
        <v>8.3235616438356246</v>
      </c>
      <c r="L50" s="124">
        <f>K50/K54</f>
        <v>1.146812020368645E-2</v>
      </c>
      <c r="M50" s="117"/>
      <c r="N50" s="125"/>
      <c r="O50" s="49"/>
      <c r="P50" s="49"/>
      <c r="Q50" s="49"/>
      <c r="R50" s="49"/>
      <c r="S50" s="49"/>
      <c r="T50" s="49"/>
    </row>
    <row r="51" spans="1:20" ht="13">
      <c r="A51" s="49"/>
      <c r="B51" s="81" t="s">
        <v>74</v>
      </c>
      <c r="C51" s="29">
        <v>1</v>
      </c>
      <c r="D51" s="49"/>
      <c r="E51" s="81" t="s">
        <v>75</v>
      </c>
      <c r="F51" s="49" t="s">
        <v>69</v>
      </c>
      <c r="G51" s="102">
        <v>0</v>
      </c>
      <c r="H51" s="103">
        <f>G51/G54</f>
        <v>0</v>
      </c>
      <c r="I51" s="67"/>
      <c r="J51" s="67"/>
      <c r="K51" s="102">
        <v>0</v>
      </c>
      <c r="L51" s="103">
        <f>K51/K54</f>
        <v>0</v>
      </c>
      <c r="M51" s="67"/>
      <c r="N51" s="127"/>
      <c r="O51" s="49"/>
      <c r="P51" s="49"/>
      <c r="Q51" s="49"/>
      <c r="R51" s="49"/>
      <c r="S51" s="49"/>
      <c r="T51" s="49"/>
    </row>
    <row r="52" spans="1:20" ht="13">
      <c r="A52" s="49"/>
      <c r="B52" s="82"/>
      <c r="C52" s="82"/>
      <c r="D52" s="49"/>
      <c r="E52" s="81" t="s">
        <v>76</v>
      </c>
      <c r="F52" s="49" t="s">
        <v>69</v>
      </c>
      <c r="G52" s="102">
        <v>50</v>
      </c>
      <c r="H52" s="103">
        <f>G52/G54</f>
        <v>0.05</v>
      </c>
      <c r="I52" s="67"/>
      <c r="J52" s="67"/>
      <c r="K52" s="102">
        <v>0</v>
      </c>
      <c r="L52" s="103">
        <v>0</v>
      </c>
      <c r="M52" s="67"/>
      <c r="N52" s="127"/>
      <c r="O52" s="49"/>
      <c r="P52" s="49"/>
      <c r="Q52" s="49"/>
      <c r="R52" s="49"/>
      <c r="S52" s="49"/>
      <c r="T52" s="49"/>
    </row>
    <row r="53" spans="1:20" ht="13">
      <c r="A53" s="49"/>
      <c r="B53" s="49"/>
      <c r="C53" s="135"/>
      <c r="D53" s="49"/>
      <c r="E53" s="81" t="s">
        <v>77</v>
      </c>
      <c r="F53" s="49" t="s">
        <v>69</v>
      </c>
      <c r="G53" s="102">
        <v>0</v>
      </c>
      <c r="H53" s="103">
        <v>0</v>
      </c>
      <c r="I53" s="67"/>
      <c r="J53" s="67"/>
      <c r="K53" s="102">
        <f>(C49)*G48</f>
        <v>616.92999999999995</v>
      </c>
      <c r="L53" s="24">
        <v>0.85</v>
      </c>
      <c r="M53" s="67"/>
      <c r="N53" s="127"/>
      <c r="O53" s="15"/>
      <c r="P53" s="49"/>
      <c r="Q53" s="49"/>
      <c r="R53" s="49"/>
      <c r="S53" s="49"/>
      <c r="T53" s="49"/>
    </row>
    <row r="54" spans="1:20" ht="13">
      <c r="A54" s="49"/>
      <c r="B54" s="49"/>
      <c r="C54" s="49"/>
      <c r="D54" s="49"/>
      <c r="E54" s="51" t="s">
        <v>78</v>
      </c>
      <c r="F54" s="52"/>
      <c r="G54" s="106">
        <f t="shared" ref="G54:H54" si="9">SUM(G48:G53)</f>
        <v>1000</v>
      </c>
      <c r="H54" s="107">
        <f t="shared" si="9"/>
        <v>1</v>
      </c>
      <c r="I54" s="118"/>
      <c r="J54" s="118"/>
      <c r="K54" s="106">
        <f>K53/L53</f>
        <v>725.8</v>
      </c>
      <c r="L54" s="107">
        <f>SUM(L48:L53)</f>
        <v>1</v>
      </c>
      <c r="M54" s="118"/>
      <c r="N54" s="126"/>
      <c r="O54" s="26" t="s">
        <v>79</v>
      </c>
      <c r="P54" s="49"/>
      <c r="Q54" s="49"/>
      <c r="R54" s="49"/>
      <c r="S54" s="49"/>
      <c r="T54" s="49"/>
    </row>
    <row r="55" spans="1:20" ht="13">
      <c r="A55" s="49"/>
      <c r="B55" s="49"/>
      <c r="C55" s="49"/>
      <c r="D55" s="49"/>
      <c r="E55" s="109" t="s">
        <v>80</v>
      </c>
      <c r="F55" s="89"/>
      <c r="G55" s="110"/>
      <c r="H55" s="111"/>
      <c r="I55" s="112">
        <v>1</v>
      </c>
      <c r="J55" s="113"/>
      <c r="K55" s="114">
        <f>G54/K54</f>
        <v>1.3777900248002206</v>
      </c>
      <c r="L55" s="111"/>
      <c r="M55" s="112">
        <v>1</v>
      </c>
      <c r="N55" s="111"/>
      <c r="O55" s="28">
        <f>G54/K54</f>
        <v>1.3777900248002206</v>
      </c>
      <c r="P55" s="49"/>
      <c r="Q55" s="49"/>
      <c r="R55" s="49"/>
      <c r="S55" s="49"/>
      <c r="T55" s="49"/>
    </row>
    <row r="56" spans="1:20" ht="13">
      <c r="A56" s="49"/>
      <c r="B56" s="49"/>
      <c r="C56" s="49"/>
      <c r="D56" s="49"/>
      <c r="E56" s="49"/>
      <c r="F56" s="49"/>
      <c r="G56" s="67"/>
      <c r="H56" s="68"/>
      <c r="I56" s="67"/>
      <c r="J56" s="67"/>
      <c r="K56" s="67"/>
      <c r="L56" s="68"/>
      <c r="M56" s="67"/>
      <c r="N56" s="67"/>
      <c r="O56" s="49"/>
      <c r="P56" s="49"/>
      <c r="Q56" s="49"/>
      <c r="R56" s="49"/>
      <c r="S56" s="49"/>
      <c r="T56" s="49"/>
    </row>
    <row r="57" spans="1:20" ht="13">
      <c r="A57" s="49"/>
      <c r="B57" s="73" t="s">
        <v>100</v>
      </c>
      <c r="C57" s="49"/>
      <c r="D57" s="49"/>
      <c r="E57" s="49"/>
      <c r="F57" s="49"/>
      <c r="G57" s="67"/>
      <c r="H57" s="67"/>
      <c r="I57" s="67"/>
      <c r="J57" s="67"/>
      <c r="K57" s="67"/>
      <c r="L57" s="67"/>
      <c r="M57" s="67"/>
      <c r="N57" s="67"/>
      <c r="O57" s="49"/>
      <c r="P57" s="49"/>
      <c r="Q57" s="49"/>
      <c r="R57" s="49"/>
      <c r="S57" s="49"/>
      <c r="T57" s="49"/>
    </row>
    <row r="58" spans="1:20" ht="13">
      <c r="A58" s="49"/>
      <c r="B58" s="49"/>
      <c r="C58" s="49"/>
      <c r="D58" s="49"/>
      <c r="E58" s="49"/>
      <c r="F58" s="49"/>
      <c r="G58" s="67"/>
      <c r="H58" s="67"/>
      <c r="I58" s="67"/>
      <c r="J58" s="67"/>
      <c r="K58" s="67"/>
      <c r="L58" s="67"/>
      <c r="M58" s="67"/>
      <c r="N58" s="67"/>
      <c r="O58" s="67"/>
      <c r="P58" s="49"/>
      <c r="Q58" s="49"/>
      <c r="R58" s="49"/>
      <c r="S58" s="49"/>
      <c r="T58" s="49"/>
    </row>
    <row r="59" spans="1:20" ht="13">
      <c r="A59" s="49"/>
      <c r="B59" s="76" t="s">
        <v>91</v>
      </c>
      <c r="C59" s="18">
        <v>72.36</v>
      </c>
      <c r="D59" s="49"/>
      <c r="E59" s="83" t="s">
        <v>101</v>
      </c>
      <c r="F59" s="82"/>
      <c r="G59" s="84" t="s">
        <v>52</v>
      </c>
      <c r="H59" s="85"/>
      <c r="I59" s="86" t="s">
        <v>83</v>
      </c>
      <c r="J59" s="87"/>
      <c r="K59" s="84" t="s">
        <v>84</v>
      </c>
      <c r="L59" s="85"/>
      <c r="M59" s="86" t="s">
        <v>85</v>
      </c>
      <c r="N59" s="85"/>
      <c r="O59" s="49"/>
      <c r="P59" s="49"/>
      <c r="Q59" s="49"/>
      <c r="R59" s="49"/>
      <c r="S59" s="49"/>
      <c r="T59" s="49"/>
    </row>
    <row r="60" spans="1:20" ht="13">
      <c r="A60" s="49"/>
      <c r="B60" s="49"/>
      <c r="C60" s="15"/>
      <c r="D60" s="49"/>
      <c r="E60" s="75"/>
      <c r="F60" s="89"/>
      <c r="G60" s="75" t="s">
        <v>57</v>
      </c>
      <c r="H60" s="90"/>
      <c r="I60" s="89" t="s">
        <v>58</v>
      </c>
      <c r="J60" s="89"/>
      <c r="K60" s="75" t="s">
        <v>32</v>
      </c>
      <c r="L60" s="90"/>
      <c r="M60" s="89" t="s">
        <v>94</v>
      </c>
      <c r="N60" s="90"/>
      <c r="O60" s="49"/>
      <c r="P60" s="49"/>
      <c r="Q60" s="49"/>
      <c r="R60" s="49"/>
      <c r="S60" s="49"/>
      <c r="T60" s="49"/>
    </row>
    <row r="61" spans="1:20" ht="13">
      <c r="A61" s="49"/>
      <c r="B61" s="77" t="s">
        <v>96</v>
      </c>
      <c r="C61" s="20">
        <v>70</v>
      </c>
      <c r="D61" s="49"/>
      <c r="E61" s="51" t="s">
        <v>64</v>
      </c>
      <c r="F61" s="52" t="s">
        <v>65</v>
      </c>
      <c r="G61" s="51" t="s">
        <v>66</v>
      </c>
      <c r="H61" s="96" t="s">
        <v>67</v>
      </c>
      <c r="I61" s="52" t="s">
        <v>66</v>
      </c>
      <c r="J61" s="52" t="s">
        <v>67</v>
      </c>
      <c r="K61" s="51" t="s">
        <v>66</v>
      </c>
      <c r="L61" s="96" t="s">
        <v>67</v>
      </c>
      <c r="M61" s="52"/>
      <c r="N61" s="96"/>
      <c r="O61" s="49"/>
      <c r="P61" s="49"/>
      <c r="Q61" s="49"/>
      <c r="R61" s="49"/>
      <c r="S61" s="49"/>
      <c r="T61" s="49"/>
    </row>
    <row r="62" spans="1:20" ht="13">
      <c r="A62" s="49"/>
      <c r="B62" s="78" t="s">
        <v>68</v>
      </c>
      <c r="C62" s="21">
        <f>C61/C59</f>
        <v>0.96738529574350474</v>
      </c>
      <c r="D62" s="49"/>
      <c r="E62" s="81" t="s">
        <v>60</v>
      </c>
      <c r="F62" s="49" t="s">
        <v>69</v>
      </c>
      <c r="G62" s="97">
        <f>(C61*10)*0.95</f>
        <v>665</v>
      </c>
      <c r="H62" s="98">
        <f t="shared" ref="H62:H63" si="10">G62/1000</f>
        <v>0.66500000000000004</v>
      </c>
      <c r="I62" s="99">
        <f t="shared" ref="I62:I64" si="11">G62</f>
        <v>665</v>
      </c>
      <c r="J62" s="100">
        <f>I62/$I68</f>
        <v>0.7</v>
      </c>
      <c r="K62" s="101">
        <f>G62-K67</f>
        <v>39.900000000000091</v>
      </c>
      <c r="L62" s="123">
        <f>K62/K68</f>
        <v>5.4255319148936297E-2</v>
      </c>
      <c r="M62" s="117"/>
      <c r="N62" s="125"/>
      <c r="O62" s="49"/>
      <c r="P62" s="49"/>
      <c r="Q62" s="49"/>
      <c r="R62" s="49"/>
      <c r="S62" s="49"/>
      <c r="T62" s="49"/>
    </row>
    <row r="63" spans="1:20" ht="13">
      <c r="A63" s="49" t="s">
        <v>70</v>
      </c>
      <c r="B63" s="79" t="s">
        <v>71</v>
      </c>
      <c r="C63" s="21">
        <f>(92+96)/2/100</f>
        <v>0.94</v>
      </c>
      <c r="D63" s="49"/>
      <c r="E63" s="81" t="s">
        <v>62</v>
      </c>
      <c r="F63" s="49" t="s">
        <v>69</v>
      </c>
      <c r="G63" s="102">
        <f>1000-G62-G64-G66</f>
        <v>8.7437810945273782</v>
      </c>
      <c r="H63" s="103">
        <f t="shared" si="10"/>
        <v>8.7437810945273781E-3</v>
      </c>
      <c r="I63" s="104">
        <f t="shared" si="11"/>
        <v>8.7437810945273782</v>
      </c>
      <c r="J63" s="105">
        <f>I63/I68</f>
        <v>9.203980099502504E-3</v>
      </c>
      <c r="K63" s="102">
        <f>G63</f>
        <v>8.7437810945273782</v>
      </c>
      <c r="L63" s="103">
        <f>1-L62-L64-L67</f>
        <v>8.0209851355289796E-2</v>
      </c>
      <c r="M63" s="117"/>
      <c r="N63" s="125"/>
      <c r="O63" s="49"/>
      <c r="P63" s="49"/>
      <c r="Q63" s="49"/>
      <c r="R63" s="49"/>
      <c r="S63" s="49"/>
      <c r="T63" s="49"/>
    </row>
    <row r="64" spans="1:20" ht="13">
      <c r="A64" s="49"/>
      <c r="B64" s="80" t="s">
        <v>72</v>
      </c>
      <c r="C64" s="21">
        <v>0.05</v>
      </c>
      <c r="D64" s="49"/>
      <c r="E64" s="81" t="s">
        <v>73</v>
      </c>
      <c r="F64" s="49" t="s">
        <v>69</v>
      </c>
      <c r="G64" s="97">
        <f>(((C61/C59)*30.06)*10)*0.95</f>
        <v>276.25621890547262</v>
      </c>
      <c r="H64" s="100">
        <f>G64/G68</f>
        <v>0.27625621890547264</v>
      </c>
      <c r="I64" s="97">
        <f t="shared" si="11"/>
        <v>276.25621890547262</v>
      </c>
      <c r="J64" s="100">
        <f>1-SUM(J62:J63)</f>
        <v>0.29079601990049753</v>
      </c>
      <c r="K64" s="101">
        <f>K62/$S$34-K62</f>
        <v>11.42449637389204</v>
      </c>
      <c r="L64" s="124">
        <f>K64/K68</f>
        <v>1.5534829495773853E-2</v>
      </c>
      <c r="M64" s="117"/>
      <c r="N64" s="125"/>
      <c r="O64" s="49"/>
      <c r="P64" s="49"/>
      <c r="Q64" s="49"/>
      <c r="R64" s="49"/>
      <c r="S64" s="49"/>
      <c r="T64" s="49"/>
    </row>
    <row r="65" spans="1:20" ht="13">
      <c r="A65" s="49"/>
      <c r="B65" s="81" t="s">
        <v>74</v>
      </c>
      <c r="C65" s="29">
        <v>1</v>
      </c>
      <c r="D65" s="49"/>
      <c r="E65" s="81" t="s">
        <v>75</v>
      </c>
      <c r="F65" s="49" t="s">
        <v>69</v>
      </c>
      <c r="G65" s="102">
        <v>0</v>
      </c>
      <c r="H65" s="103">
        <f>G65/G68</f>
        <v>0</v>
      </c>
      <c r="I65" s="104">
        <v>0</v>
      </c>
      <c r="J65" s="105">
        <v>0</v>
      </c>
      <c r="K65" s="102">
        <v>0</v>
      </c>
      <c r="L65" s="105">
        <f>K65/K68</f>
        <v>0</v>
      </c>
      <c r="M65" s="117"/>
      <c r="N65" s="125"/>
      <c r="O65" s="49"/>
      <c r="P65" s="49"/>
      <c r="Q65" s="49"/>
      <c r="R65" s="49"/>
      <c r="S65" s="49"/>
      <c r="T65" s="49"/>
    </row>
    <row r="66" spans="1:20" ht="13">
      <c r="A66" s="49"/>
      <c r="B66" s="82"/>
      <c r="C66" s="82"/>
      <c r="D66" s="49"/>
      <c r="E66" s="81" t="s">
        <v>76</v>
      </c>
      <c r="F66" s="49" t="s">
        <v>69</v>
      </c>
      <c r="G66" s="102">
        <v>50</v>
      </c>
      <c r="H66" s="103">
        <f>G66/G68</f>
        <v>0.05</v>
      </c>
      <c r="I66" s="104">
        <v>0</v>
      </c>
      <c r="J66" s="105">
        <v>0</v>
      </c>
      <c r="K66" s="102">
        <v>0</v>
      </c>
      <c r="L66" s="105">
        <v>0</v>
      </c>
      <c r="M66" s="117"/>
      <c r="N66" s="125"/>
      <c r="O66" s="49"/>
      <c r="P66" s="49"/>
      <c r="Q66" s="49"/>
      <c r="R66" s="49"/>
      <c r="S66" s="49"/>
      <c r="T66" s="49"/>
    </row>
    <row r="67" spans="1:20" ht="13">
      <c r="A67" s="49"/>
      <c r="B67" s="49"/>
      <c r="C67" s="135"/>
      <c r="D67" s="49"/>
      <c r="E67" s="81" t="s">
        <v>77</v>
      </c>
      <c r="F67" s="49" t="s">
        <v>69</v>
      </c>
      <c r="G67" s="102">
        <v>0</v>
      </c>
      <c r="H67" s="103">
        <v>0</v>
      </c>
      <c r="I67" s="104">
        <v>0</v>
      </c>
      <c r="J67" s="105">
        <v>0</v>
      </c>
      <c r="K67" s="102">
        <f>(C63)*G62</f>
        <v>625.09999999999991</v>
      </c>
      <c r="L67" s="24">
        <v>0.85</v>
      </c>
      <c r="M67" s="117"/>
      <c r="N67" s="125"/>
      <c r="O67" s="49"/>
      <c r="P67" s="49"/>
      <c r="Q67" s="49"/>
      <c r="R67" s="49"/>
      <c r="S67" s="49"/>
      <c r="T67" s="49"/>
    </row>
    <row r="68" spans="1:20" ht="13">
      <c r="A68" s="49"/>
      <c r="B68" s="49"/>
      <c r="C68" s="49"/>
      <c r="D68" s="49"/>
      <c r="E68" s="51" t="s">
        <v>78</v>
      </c>
      <c r="F68" s="52"/>
      <c r="G68" s="106">
        <f t="shared" ref="G68:H68" si="12">SUM(G62:G67)</f>
        <v>1000</v>
      </c>
      <c r="H68" s="107">
        <f t="shared" si="12"/>
        <v>1</v>
      </c>
      <c r="I68" s="108">
        <f>G68*(1-C64)</f>
        <v>950</v>
      </c>
      <c r="J68" s="108">
        <f>SUM(J62:J67)</f>
        <v>1</v>
      </c>
      <c r="K68" s="106">
        <f>K67/L67</f>
        <v>735.41176470588232</v>
      </c>
      <c r="L68" s="25">
        <f>SUM(L62:L67)</f>
        <v>1</v>
      </c>
      <c r="M68" s="118"/>
      <c r="N68" s="126"/>
      <c r="O68" s="128" t="s">
        <v>79</v>
      </c>
      <c r="P68" s="49"/>
      <c r="Q68" s="49"/>
      <c r="R68" s="49"/>
      <c r="S68" s="49"/>
      <c r="T68" s="49"/>
    </row>
    <row r="69" spans="1:20" ht="13">
      <c r="A69" s="49"/>
      <c r="B69" s="49"/>
      <c r="C69" s="49"/>
      <c r="D69" s="49"/>
      <c r="E69" s="109" t="s">
        <v>80</v>
      </c>
      <c r="F69" s="89"/>
      <c r="G69" s="110"/>
      <c r="H69" s="111"/>
      <c r="I69" s="112">
        <f>G68/I68</f>
        <v>1.0526315789473684</v>
      </c>
      <c r="J69" s="113"/>
      <c r="K69" s="114">
        <f>G68/K68</f>
        <v>1.3597824348104304</v>
      </c>
      <c r="L69" s="27"/>
      <c r="M69" s="112">
        <v>1</v>
      </c>
      <c r="N69" s="111"/>
      <c r="O69" s="28">
        <f>G68/K68/C65</f>
        <v>1.3597824348104304</v>
      </c>
      <c r="P69" s="49"/>
      <c r="Q69" s="49"/>
      <c r="R69" s="49"/>
      <c r="S69" s="49"/>
      <c r="T69" s="49"/>
    </row>
    <row r="70" spans="1:20" ht="13">
      <c r="A70" s="49"/>
      <c r="B70" s="49"/>
      <c r="C70" s="15"/>
      <c r="D70" s="49"/>
      <c r="E70" s="49"/>
      <c r="F70" s="49"/>
      <c r="G70" s="67"/>
      <c r="H70" s="68"/>
      <c r="I70" s="67"/>
      <c r="J70" s="68"/>
      <c r="K70" s="67"/>
      <c r="L70" s="68"/>
      <c r="M70" s="67"/>
      <c r="N70" s="68"/>
      <c r="O70" s="49"/>
      <c r="P70" s="49"/>
      <c r="Q70" s="49"/>
      <c r="R70" s="49"/>
      <c r="S70" s="49"/>
      <c r="T70" s="49"/>
    </row>
    <row r="71" spans="1:20" ht="13">
      <c r="A71" s="49"/>
      <c r="B71" s="76" t="s">
        <v>91</v>
      </c>
      <c r="C71" s="18">
        <v>72.400000000000006</v>
      </c>
      <c r="D71" s="49"/>
      <c r="E71" s="83" t="s">
        <v>102</v>
      </c>
      <c r="F71" s="82"/>
      <c r="G71" s="115" t="s">
        <v>52</v>
      </c>
      <c r="H71" s="85"/>
      <c r="I71" s="116" t="s">
        <v>83</v>
      </c>
      <c r="J71" s="87"/>
      <c r="K71" s="115" t="s">
        <v>84</v>
      </c>
      <c r="L71" s="85"/>
      <c r="M71" s="116" t="s">
        <v>85</v>
      </c>
      <c r="N71" s="85"/>
      <c r="O71" s="49"/>
      <c r="P71" s="49"/>
      <c r="Q71" s="49"/>
      <c r="R71" s="49"/>
      <c r="S71" s="49"/>
      <c r="T71" s="49"/>
    </row>
    <row r="72" spans="1:20" ht="13">
      <c r="A72" s="49"/>
      <c r="B72" s="49"/>
      <c r="C72" s="15"/>
      <c r="D72" s="49"/>
      <c r="E72" s="75"/>
      <c r="F72" s="89"/>
      <c r="G72" s="110" t="s">
        <v>57</v>
      </c>
      <c r="H72" s="111"/>
      <c r="I72" s="113" t="s">
        <v>58</v>
      </c>
      <c r="J72" s="113"/>
      <c r="K72" s="110" t="s">
        <v>32</v>
      </c>
      <c r="L72" s="111"/>
      <c r="M72" s="113" t="s">
        <v>94</v>
      </c>
      <c r="N72" s="111"/>
      <c r="O72" s="67"/>
      <c r="P72" s="49"/>
      <c r="Q72" s="49"/>
      <c r="R72" s="49"/>
      <c r="S72" s="49"/>
      <c r="T72" s="49"/>
    </row>
    <row r="73" spans="1:20" ht="13">
      <c r="A73" s="49"/>
      <c r="B73" s="77" t="s">
        <v>96</v>
      </c>
      <c r="C73" s="20">
        <f>C61</f>
        <v>70</v>
      </c>
      <c r="D73" s="49"/>
      <c r="E73" s="51" t="s">
        <v>64</v>
      </c>
      <c r="F73" s="52" t="s">
        <v>65</v>
      </c>
      <c r="G73" s="51" t="s">
        <v>66</v>
      </c>
      <c r="H73" s="96" t="s">
        <v>67</v>
      </c>
      <c r="I73" s="52" t="s">
        <v>66</v>
      </c>
      <c r="J73" s="52" t="s">
        <v>67</v>
      </c>
      <c r="K73" s="51" t="s">
        <v>66</v>
      </c>
      <c r="L73" s="96" t="s">
        <v>67</v>
      </c>
      <c r="M73" s="52"/>
      <c r="N73" s="96"/>
      <c r="O73" s="49"/>
      <c r="P73" s="49"/>
      <c r="Q73" s="49"/>
      <c r="R73" s="49"/>
      <c r="S73" s="49"/>
      <c r="T73" s="49"/>
    </row>
    <row r="74" spans="1:20" ht="13">
      <c r="A74" s="49"/>
      <c r="B74" s="78" t="s">
        <v>68</v>
      </c>
      <c r="C74" s="21">
        <f>C73/C71</f>
        <v>0.96685082872928174</v>
      </c>
      <c r="D74" s="49"/>
      <c r="E74" s="81" t="s">
        <v>60</v>
      </c>
      <c r="F74" s="49" t="s">
        <v>69</v>
      </c>
      <c r="G74" s="97">
        <f>(C73*10)*0.95</f>
        <v>665</v>
      </c>
      <c r="H74" s="98">
        <f t="shared" ref="H74:H75" si="13">G74/1000</f>
        <v>0.66500000000000004</v>
      </c>
      <c r="I74" s="67"/>
      <c r="J74" s="68"/>
      <c r="K74" s="101">
        <f>G74-K79</f>
        <v>29.925000000000068</v>
      </c>
      <c r="L74" s="123">
        <f>K74/K80</f>
        <v>4.0052356020942502E-2</v>
      </c>
      <c r="M74" s="117"/>
      <c r="N74" s="125"/>
      <c r="O74" s="49"/>
      <c r="P74" s="49"/>
      <c r="Q74" s="49"/>
      <c r="R74" s="49"/>
      <c r="S74" s="49"/>
      <c r="T74" s="49"/>
    </row>
    <row r="75" spans="1:20" ht="13">
      <c r="A75" s="49" t="s">
        <v>87</v>
      </c>
      <c r="B75" s="79" t="s">
        <v>71</v>
      </c>
      <c r="C75" s="21">
        <f>(95+96)/2/100</f>
        <v>0.95499999999999996</v>
      </c>
      <c r="D75" s="49"/>
      <c r="E75" s="81" t="s">
        <v>62</v>
      </c>
      <c r="F75" s="49" t="s">
        <v>69</v>
      </c>
      <c r="G75" s="102">
        <f>1000-G74-G76-G78</f>
        <v>8.896408839779042</v>
      </c>
      <c r="H75" s="103">
        <f t="shared" si="13"/>
        <v>8.8964088397790412E-3</v>
      </c>
      <c r="I75" s="67"/>
      <c r="J75" s="68"/>
      <c r="K75" s="102">
        <f>G75</f>
        <v>8.896408839779042</v>
      </c>
      <c r="L75" s="103">
        <f>1-L74-L76-L79</f>
        <v>9.8479523775371058E-2</v>
      </c>
      <c r="M75" s="117"/>
      <c r="N75" s="125"/>
      <c r="O75" s="49"/>
      <c r="P75" s="49"/>
      <c r="Q75" s="49"/>
      <c r="R75" s="49"/>
      <c r="S75" s="49"/>
      <c r="T75" s="49"/>
    </row>
    <row r="76" spans="1:20" ht="13">
      <c r="A76" s="49"/>
      <c r="B76" s="80" t="s">
        <v>72</v>
      </c>
      <c r="C76" s="21">
        <v>0.05</v>
      </c>
      <c r="D76" s="49"/>
      <c r="E76" s="81" t="s">
        <v>73</v>
      </c>
      <c r="F76" s="49" t="s">
        <v>69</v>
      </c>
      <c r="G76" s="97">
        <f>(((C73/C71)*30.06)*10)*0.95</f>
        <v>276.10359116022096</v>
      </c>
      <c r="H76" s="100">
        <f>G76/G80</f>
        <v>0.27610359116022098</v>
      </c>
      <c r="I76" s="117"/>
      <c r="J76" s="68"/>
      <c r="K76" s="101">
        <f>K74/$S$34-K74</f>
        <v>8.5683722804190339</v>
      </c>
      <c r="L76" s="124">
        <f>K76/K80</f>
        <v>1.146812020368646E-2</v>
      </c>
      <c r="M76" s="117"/>
      <c r="N76" s="125"/>
      <c r="O76" s="49"/>
      <c r="P76" s="49"/>
      <c r="Q76" s="49"/>
      <c r="R76" s="49"/>
      <c r="S76" s="49"/>
      <c r="T76" s="49"/>
    </row>
    <row r="77" spans="1:20" ht="13">
      <c r="A77" s="49"/>
      <c r="B77" s="81" t="s">
        <v>74</v>
      </c>
      <c r="C77" s="29">
        <v>1</v>
      </c>
      <c r="D77" s="49"/>
      <c r="E77" s="81" t="s">
        <v>75</v>
      </c>
      <c r="F77" s="49" t="s">
        <v>69</v>
      </c>
      <c r="G77" s="102">
        <v>0</v>
      </c>
      <c r="H77" s="103">
        <f>G77/G80</f>
        <v>0</v>
      </c>
      <c r="I77" s="67"/>
      <c r="J77" s="67"/>
      <c r="K77" s="102">
        <v>0</v>
      </c>
      <c r="L77" s="103">
        <f>K77/K80</f>
        <v>0</v>
      </c>
      <c r="M77" s="67"/>
      <c r="N77" s="127"/>
      <c r="O77" s="49"/>
      <c r="P77" s="49"/>
      <c r="Q77" s="49"/>
      <c r="R77" s="49"/>
      <c r="S77" s="49"/>
      <c r="T77" s="49"/>
    </row>
    <row r="78" spans="1:20" ht="13">
      <c r="A78" s="49"/>
      <c r="B78" s="82"/>
      <c r="C78" s="82"/>
      <c r="D78" s="49"/>
      <c r="E78" s="81" t="s">
        <v>76</v>
      </c>
      <c r="F78" s="49" t="s">
        <v>69</v>
      </c>
      <c r="G78" s="102">
        <v>50</v>
      </c>
      <c r="H78" s="103">
        <f>G78/G80</f>
        <v>0.05</v>
      </c>
      <c r="I78" s="67"/>
      <c r="J78" s="67"/>
      <c r="K78" s="102">
        <v>0</v>
      </c>
      <c r="L78" s="103">
        <v>0</v>
      </c>
      <c r="M78" s="67"/>
      <c r="N78" s="127"/>
      <c r="O78" s="49"/>
      <c r="P78" s="49"/>
      <c r="Q78" s="49"/>
      <c r="R78" s="49"/>
      <c r="S78" s="49"/>
      <c r="T78" s="49"/>
    </row>
    <row r="79" spans="1:20" ht="13">
      <c r="A79" s="49"/>
      <c r="B79" s="49"/>
      <c r="C79" s="135"/>
      <c r="D79" s="49"/>
      <c r="E79" s="81" t="s">
        <v>77</v>
      </c>
      <c r="F79" s="49" t="s">
        <v>69</v>
      </c>
      <c r="G79" s="102">
        <v>0</v>
      </c>
      <c r="H79" s="103">
        <v>0</v>
      </c>
      <c r="I79" s="67"/>
      <c r="J79" s="67"/>
      <c r="K79" s="102">
        <f>(C75)*G74</f>
        <v>635.07499999999993</v>
      </c>
      <c r="L79" s="24">
        <v>0.85</v>
      </c>
      <c r="M79" s="67"/>
      <c r="N79" s="127"/>
      <c r="O79" s="15"/>
      <c r="P79" s="49"/>
      <c r="Q79" s="49"/>
      <c r="R79" s="49"/>
      <c r="S79" s="49"/>
      <c r="T79" s="49"/>
    </row>
    <row r="80" spans="1:20" ht="13">
      <c r="A80" s="49"/>
      <c r="B80" s="49"/>
      <c r="C80" s="49"/>
      <c r="D80" s="49"/>
      <c r="E80" s="51" t="s">
        <v>78</v>
      </c>
      <c r="F80" s="52"/>
      <c r="G80" s="106">
        <f t="shared" ref="G80:H80" si="14">SUM(G74:G79)</f>
        <v>1000</v>
      </c>
      <c r="H80" s="107">
        <f t="shared" si="14"/>
        <v>1</v>
      </c>
      <c r="I80" s="118"/>
      <c r="J80" s="118"/>
      <c r="K80" s="106">
        <f>K79/L79</f>
        <v>747.14705882352939</v>
      </c>
      <c r="L80" s="25">
        <f>SUM(L74:L79)</f>
        <v>1</v>
      </c>
      <c r="M80" s="118"/>
      <c r="N80" s="126"/>
      <c r="O80" s="26" t="s">
        <v>79</v>
      </c>
      <c r="P80" s="49"/>
      <c r="Q80" s="49"/>
      <c r="R80" s="49"/>
      <c r="S80" s="49"/>
      <c r="T80" s="49"/>
    </row>
    <row r="81" spans="1:20" ht="13">
      <c r="A81" s="49"/>
      <c r="B81" s="49"/>
      <c r="C81" s="49"/>
      <c r="D81" s="49"/>
      <c r="E81" s="109" t="s">
        <v>80</v>
      </c>
      <c r="F81" s="89"/>
      <c r="G81" s="110"/>
      <c r="H81" s="111"/>
      <c r="I81" s="112">
        <v>1</v>
      </c>
      <c r="J81" s="113"/>
      <c r="K81" s="114">
        <f>G80/K80</f>
        <v>1.3384245955202141</v>
      </c>
      <c r="L81" s="27"/>
      <c r="M81" s="112">
        <v>1</v>
      </c>
      <c r="N81" s="111"/>
      <c r="O81" s="28">
        <f>G80/K80</f>
        <v>1.3384245955202141</v>
      </c>
      <c r="P81" s="49"/>
      <c r="Q81" s="49"/>
      <c r="R81" s="49"/>
      <c r="S81" s="49"/>
      <c r="T81" s="49"/>
    </row>
    <row r="82" spans="1:20" ht="13">
      <c r="A82" s="49"/>
      <c r="B82" s="49"/>
      <c r="C82" s="49"/>
      <c r="D82" s="49"/>
      <c r="E82" s="49"/>
      <c r="F82" s="49"/>
      <c r="G82" s="67"/>
      <c r="H82" s="68"/>
      <c r="I82" s="67"/>
      <c r="J82" s="67"/>
      <c r="K82" s="67"/>
      <c r="L82" s="68"/>
      <c r="M82" s="67"/>
      <c r="N82" s="67"/>
      <c r="O82" s="49"/>
      <c r="P82" s="49"/>
      <c r="Q82" s="49"/>
      <c r="R82" s="49"/>
      <c r="S82" s="49"/>
      <c r="T82" s="49"/>
    </row>
    <row r="83" spans="1:20" ht="45" hidden="1">
      <c r="A83" s="49"/>
      <c r="B83" s="49"/>
      <c r="C83" s="49"/>
      <c r="D83" s="49"/>
      <c r="E83" s="49"/>
      <c r="F83" s="69" t="s">
        <v>103</v>
      </c>
      <c r="G83" s="70" t="s">
        <v>104</v>
      </c>
      <c r="H83" s="70" t="s">
        <v>105</v>
      </c>
      <c r="I83" s="70" t="s">
        <v>106</v>
      </c>
      <c r="J83" s="70" t="s">
        <v>107</v>
      </c>
      <c r="K83" s="70" t="s">
        <v>108</v>
      </c>
      <c r="L83" s="67"/>
      <c r="M83" s="67"/>
      <c r="N83" s="67"/>
      <c r="O83" s="49"/>
      <c r="P83" s="49"/>
      <c r="Q83" s="49"/>
      <c r="R83" s="49"/>
      <c r="S83" s="49"/>
      <c r="T83" s="49"/>
    </row>
    <row r="84" spans="1:20" ht="30" hidden="1">
      <c r="A84" s="49"/>
      <c r="B84" s="49"/>
      <c r="C84" s="49"/>
      <c r="D84" s="49"/>
      <c r="E84" s="49"/>
      <c r="F84" s="69" t="s">
        <v>109</v>
      </c>
      <c r="G84" s="70" t="s">
        <v>110</v>
      </c>
      <c r="H84" s="71">
        <f>C9</f>
        <v>62</v>
      </c>
      <c r="I84" s="71">
        <f>C10*100</f>
        <v>88.698140200286119</v>
      </c>
      <c r="J84" s="71">
        <f>C11</f>
        <v>0.94</v>
      </c>
      <c r="K84" s="71">
        <f>O17</f>
        <v>1.5352382328504859</v>
      </c>
      <c r="L84" s="67"/>
      <c r="M84" s="67"/>
      <c r="N84" s="67"/>
      <c r="O84" s="67"/>
      <c r="P84" s="49"/>
      <c r="Q84" s="49"/>
      <c r="R84" s="49"/>
      <c r="S84" s="49"/>
      <c r="T84" s="49"/>
    </row>
    <row r="85" spans="1:20" ht="15" hidden="1">
      <c r="A85" s="49"/>
      <c r="B85" s="49"/>
      <c r="C85" s="49"/>
      <c r="D85" s="49"/>
      <c r="E85" s="49"/>
      <c r="F85" s="69" t="s">
        <v>111</v>
      </c>
      <c r="G85" s="69" t="s">
        <v>110</v>
      </c>
      <c r="H85" s="71">
        <f>C21</f>
        <v>62</v>
      </c>
      <c r="I85" s="71">
        <f>C22*100</f>
        <v>88.698140200286119</v>
      </c>
      <c r="J85" s="71">
        <f>C23</f>
        <v>0.95499999999999996</v>
      </c>
      <c r="K85" s="71">
        <f>O29</f>
        <v>1.5111245433292742</v>
      </c>
      <c r="L85" s="49"/>
      <c r="M85" s="49"/>
      <c r="N85" s="49"/>
      <c r="O85" s="49"/>
      <c r="P85" s="49"/>
      <c r="Q85" s="49"/>
      <c r="R85" s="49"/>
      <c r="S85" s="49"/>
      <c r="T85" s="49"/>
    </row>
    <row r="86" spans="1:20" ht="45" hidden="1">
      <c r="A86" s="49"/>
      <c r="B86" s="49"/>
      <c r="C86" s="49"/>
      <c r="D86" s="49"/>
      <c r="E86" s="49"/>
      <c r="F86" s="69" t="s">
        <v>112</v>
      </c>
      <c r="G86" s="69" t="s">
        <v>113</v>
      </c>
      <c r="H86" s="71">
        <f>C35</f>
        <v>68</v>
      </c>
      <c r="I86" s="71">
        <f>C36*100</f>
        <v>93.974571586511885</v>
      </c>
      <c r="J86" s="71">
        <f>C37</f>
        <v>0.94</v>
      </c>
      <c r="K86" s="71">
        <f>O43</f>
        <v>1.3997760358342666</v>
      </c>
      <c r="L86" s="49"/>
      <c r="M86" s="49"/>
      <c r="N86" s="49"/>
      <c r="O86" s="49"/>
      <c r="P86" s="49"/>
      <c r="Q86" s="49"/>
      <c r="R86" s="49"/>
      <c r="S86" s="49"/>
      <c r="T86" s="49"/>
    </row>
    <row r="87" spans="1:20" ht="45" hidden="1">
      <c r="A87" s="49"/>
      <c r="B87" s="49"/>
      <c r="C87" s="49"/>
      <c r="D87" s="49"/>
      <c r="E87" s="49"/>
      <c r="F87" s="69" t="s">
        <v>114</v>
      </c>
      <c r="G87" s="69" t="s">
        <v>113</v>
      </c>
      <c r="H87" s="71">
        <f>C47</f>
        <v>68</v>
      </c>
      <c r="I87" s="71">
        <f>C48*100</f>
        <v>93.922651933701644</v>
      </c>
      <c r="J87" s="71">
        <f>C49</f>
        <v>0.95499999999999996</v>
      </c>
      <c r="K87" s="71">
        <f>O55</f>
        <v>1.3777900248002206</v>
      </c>
      <c r="L87" s="49"/>
      <c r="M87" s="49"/>
      <c r="N87" s="49"/>
      <c r="O87" s="49"/>
      <c r="P87" s="49"/>
      <c r="Q87" s="49"/>
      <c r="R87" s="49"/>
      <c r="S87" s="49"/>
      <c r="T87" s="49"/>
    </row>
    <row r="88" spans="1:20" ht="30" hidden="1">
      <c r="A88" s="49"/>
      <c r="B88" s="49"/>
      <c r="C88" s="49"/>
      <c r="D88" s="49"/>
      <c r="E88" s="49"/>
      <c r="F88" s="69" t="s">
        <v>115</v>
      </c>
      <c r="G88" s="69" t="s">
        <v>113</v>
      </c>
      <c r="H88" s="71">
        <f>C61</f>
        <v>70</v>
      </c>
      <c r="I88" s="71">
        <f>C62*100</f>
        <v>96.73852957435048</v>
      </c>
      <c r="J88" s="71">
        <f>C63</f>
        <v>0.94</v>
      </c>
      <c r="K88" s="71">
        <f>O69</f>
        <v>1.3597824348104304</v>
      </c>
      <c r="L88" s="49"/>
      <c r="M88" s="49"/>
      <c r="N88" s="49"/>
      <c r="O88" s="49"/>
      <c r="P88" s="49"/>
      <c r="Q88" s="49"/>
      <c r="R88" s="49"/>
      <c r="S88" s="49"/>
      <c r="T88" s="49"/>
    </row>
    <row r="89" spans="1:20" ht="30" hidden="1">
      <c r="A89" s="49"/>
      <c r="B89" s="49"/>
      <c r="C89" s="49"/>
      <c r="D89" s="49"/>
      <c r="E89" s="49"/>
      <c r="F89" s="69" t="s">
        <v>116</v>
      </c>
      <c r="G89" s="69" t="s">
        <v>113</v>
      </c>
      <c r="H89" s="71">
        <f>C73</f>
        <v>70</v>
      </c>
      <c r="I89" s="71">
        <f>C74*100</f>
        <v>96.685082872928177</v>
      </c>
      <c r="J89" s="71">
        <f>C75</f>
        <v>0.95499999999999996</v>
      </c>
      <c r="K89" s="71">
        <f>O81</f>
        <v>1.3384245955202141</v>
      </c>
      <c r="L89" s="49"/>
      <c r="M89" s="49"/>
      <c r="N89" s="49"/>
      <c r="O89" s="49"/>
      <c r="P89" s="49"/>
      <c r="Q89" s="49"/>
      <c r="R89" s="49"/>
      <c r="S89" s="49"/>
      <c r="T89" s="49"/>
    </row>
    <row r="92" spans="1:20" ht="27" customHeight="1">
      <c r="B92" s="65" t="s">
        <v>537</v>
      </c>
      <c r="C92" s="65"/>
      <c r="D92" s="65"/>
      <c r="E92" s="65"/>
      <c r="F92" s="65"/>
      <c r="G92" s="65"/>
      <c r="H92" s="65"/>
      <c r="I92" s="65"/>
      <c r="J92" s="65"/>
      <c r="K92" s="65"/>
      <c r="L92" s="65"/>
      <c r="M92" s="65"/>
      <c r="N92" s="65"/>
    </row>
    <row r="93" spans="1:20" ht="15.75" customHeight="1">
      <c r="B93" s="66"/>
      <c r="C93" s="66"/>
      <c r="D93" s="66"/>
      <c r="E93" s="66"/>
      <c r="F93" s="66"/>
      <c r="G93" s="66"/>
      <c r="H93" s="66"/>
      <c r="I93" s="66"/>
      <c r="J93" s="66"/>
      <c r="K93" s="66"/>
      <c r="L93" s="66"/>
      <c r="M93" s="66"/>
      <c r="N93" s="66"/>
    </row>
    <row r="94" spans="1:20" ht="31" customHeight="1">
      <c r="B94" s="65" t="s">
        <v>538</v>
      </c>
      <c r="C94" s="65"/>
      <c r="D94" s="65"/>
      <c r="E94" s="65"/>
      <c r="F94" s="65"/>
      <c r="G94" s="65"/>
      <c r="H94" s="65"/>
      <c r="I94" s="65"/>
      <c r="J94" s="65"/>
      <c r="K94" s="65"/>
      <c r="L94" s="65"/>
      <c r="M94" s="65"/>
      <c r="N94" s="65"/>
    </row>
    <row r="95" spans="1:20" ht="15.75" customHeight="1">
      <c r="B95" s="66"/>
      <c r="C95" s="66"/>
      <c r="D95" s="66"/>
      <c r="E95" s="66"/>
      <c r="F95" s="66"/>
      <c r="G95" s="66"/>
      <c r="H95" s="66"/>
      <c r="I95" s="66"/>
      <c r="J95" s="66"/>
      <c r="K95" s="66"/>
      <c r="L95" s="66"/>
      <c r="M95" s="66"/>
      <c r="N95" s="66"/>
    </row>
    <row r="96" spans="1:20" ht="15.75" customHeight="1">
      <c r="B96" s="65" t="s">
        <v>539</v>
      </c>
      <c r="C96" s="65"/>
      <c r="D96" s="65"/>
      <c r="E96" s="65"/>
      <c r="F96" s="65"/>
      <c r="G96" s="65"/>
      <c r="H96" s="65"/>
      <c r="I96" s="65"/>
      <c r="J96" s="65"/>
      <c r="K96" s="65"/>
      <c r="L96" s="65"/>
      <c r="M96" s="65"/>
      <c r="N96" s="65"/>
    </row>
    <row r="97" spans="2:14" ht="36" customHeight="1">
      <c r="C97" s="65" t="s">
        <v>540</v>
      </c>
      <c r="D97" s="65"/>
      <c r="E97" s="65"/>
      <c r="F97" s="65"/>
      <c r="G97" s="65"/>
      <c r="H97" s="65"/>
      <c r="I97" s="65"/>
      <c r="J97" s="65"/>
      <c r="K97" s="65"/>
      <c r="L97" s="65"/>
      <c r="M97" s="65"/>
      <c r="N97" s="65"/>
    </row>
    <row r="98" spans="2:14" ht="51" customHeight="1">
      <c r="C98" s="65" t="s">
        <v>541</v>
      </c>
      <c r="D98" s="65"/>
      <c r="E98" s="65"/>
      <c r="F98" s="65"/>
      <c r="G98" s="65"/>
      <c r="H98" s="65"/>
      <c r="I98" s="65"/>
      <c r="J98" s="65"/>
      <c r="K98" s="65"/>
      <c r="L98" s="65"/>
      <c r="M98" s="65"/>
      <c r="N98" s="65"/>
    </row>
    <row r="99" spans="2:14" ht="21" customHeight="1">
      <c r="C99" s="65" t="s">
        <v>542</v>
      </c>
      <c r="D99" s="65"/>
      <c r="E99" s="65"/>
      <c r="F99" s="65"/>
      <c r="G99" s="65"/>
      <c r="H99" s="65"/>
      <c r="I99" s="65"/>
      <c r="J99" s="65"/>
      <c r="K99" s="65"/>
      <c r="L99" s="65"/>
      <c r="M99" s="65"/>
      <c r="N99" s="65"/>
    </row>
    <row r="100" spans="2:14" ht="15.75" customHeight="1">
      <c r="C100" s="65" t="s">
        <v>543</v>
      </c>
      <c r="D100" s="65"/>
      <c r="E100" s="65"/>
      <c r="F100" s="65"/>
      <c r="G100" s="65"/>
      <c r="H100" s="65"/>
      <c r="I100" s="65"/>
      <c r="J100" s="65"/>
      <c r="K100" s="65"/>
      <c r="L100" s="65"/>
      <c r="M100" s="65"/>
      <c r="N100" s="65"/>
    </row>
    <row r="101" spans="2:14" ht="18" customHeight="1">
      <c r="C101" s="65" t="s">
        <v>544</v>
      </c>
      <c r="D101" s="65"/>
      <c r="E101" s="65"/>
      <c r="F101" s="65"/>
      <c r="G101" s="65"/>
      <c r="H101" s="65"/>
      <c r="I101" s="65"/>
      <c r="J101" s="65"/>
      <c r="K101" s="65"/>
      <c r="L101" s="65"/>
      <c r="M101" s="65"/>
      <c r="N101" s="65"/>
    </row>
    <row r="102" spans="2:14" ht="49" customHeight="1">
      <c r="C102" s="65" t="s">
        <v>545</v>
      </c>
      <c r="D102" s="65"/>
      <c r="E102" s="65"/>
      <c r="F102" s="65"/>
      <c r="G102" s="65"/>
      <c r="H102" s="65"/>
      <c r="I102" s="65"/>
      <c r="J102" s="65"/>
      <c r="K102" s="65"/>
      <c r="L102" s="65"/>
      <c r="M102" s="65"/>
      <c r="N102" s="65"/>
    </row>
    <row r="103" spans="2:14" ht="17" customHeight="1">
      <c r="C103" s="65" t="s">
        <v>546</v>
      </c>
      <c r="D103" s="65"/>
      <c r="E103" s="65"/>
      <c r="F103" s="65"/>
      <c r="G103" s="65"/>
      <c r="H103" s="65"/>
      <c r="I103" s="65"/>
      <c r="J103" s="65"/>
      <c r="K103" s="65"/>
      <c r="L103" s="65"/>
      <c r="M103" s="65"/>
      <c r="N103" s="65"/>
    </row>
    <row r="104" spans="2:14" ht="15.75" customHeight="1">
      <c r="B104" s="64"/>
      <c r="C104" s="64"/>
      <c r="D104" s="64"/>
      <c r="E104" s="64"/>
      <c r="F104" s="64"/>
      <c r="G104" s="64"/>
      <c r="H104" s="64"/>
      <c r="I104" s="64"/>
      <c r="J104" s="64"/>
      <c r="K104" s="64"/>
      <c r="L104" s="64"/>
      <c r="M104" s="64"/>
      <c r="N104" s="64"/>
    </row>
  </sheetData>
  <mergeCells count="36">
    <mergeCell ref="C97:N97"/>
    <mergeCell ref="C98:N98"/>
    <mergeCell ref="C99:N99"/>
    <mergeCell ref="C100:N100"/>
    <mergeCell ref="C101:N101"/>
    <mergeCell ref="C102:N102"/>
    <mergeCell ref="C103:N103"/>
    <mergeCell ref="B96:N96"/>
    <mergeCell ref="M59:N59"/>
    <mergeCell ref="G71:H71"/>
    <mergeCell ref="M71:N71"/>
    <mergeCell ref="B92:N92"/>
    <mergeCell ref="B94:N94"/>
    <mergeCell ref="I71:J71"/>
    <mergeCell ref="K71:L71"/>
    <mergeCell ref="I45:J45"/>
    <mergeCell ref="K45:L45"/>
    <mergeCell ref="G59:H59"/>
    <mergeCell ref="I59:J59"/>
    <mergeCell ref="K59:L59"/>
    <mergeCell ref="G33:H33"/>
    <mergeCell ref="I33:J33"/>
    <mergeCell ref="K33:L33"/>
    <mergeCell ref="M33:N33"/>
    <mergeCell ref="G45:H45"/>
    <mergeCell ref="M45:N45"/>
    <mergeCell ref="Q17:S17"/>
    <mergeCell ref="G19:H19"/>
    <mergeCell ref="M19:N19"/>
    <mergeCell ref="I19:J19"/>
    <mergeCell ref="K19:L19"/>
    <mergeCell ref="G7:H7"/>
    <mergeCell ref="I7:J7"/>
    <mergeCell ref="K7:L7"/>
    <mergeCell ref="M7:N7"/>
    <mergeCell ref="Q7:S7"/>
  </mergeCells>
  <hyperlinks>
    <hyperlink ref="A1" location="Index!A1" display="←" xr:uid="{00000000-0004-0000-0100-000000000000}"/>
    <hyperlink ref="B7" r:id="rId1" location=":~:text=Pure%20hematite%20contains%2069.9%25%20Fe,Hamersley%20province%20of%20Western%20Australia." xr:uid="{00000000-0004-0000-0100-000001000000}"/>
    <hyperlink ref="B10" r:id="rId2" location=":~:text=Pure%20hematite%20contains%2069.9%25%20Fe,Hamersley%20province%20of%20Western%20Australia." xr:uid="{00000000-0004-0000-0100-000002000000}"/>
    <hyperlink ref="B11" r:id="rId3" xr:uid="{00000000-0004-0000-0100-000003000000}"/>
    <hyperlink ref="B19" r:id="rId4" location=":~:text=Pure%20hematite%20contains%2069.9%25%20Fe,Hamersley%20province%20of%20Western%20Australia." xr:uid="{00000000-0004-0000-0100-000004000000}"/>
    <hyperlink ref="B22" r:id="rId5" location=":~:text=Pure%20hematite%20contains%2069.9%25%20Fe,Hamersley%20province%20of%20Western%20Australia." xr:uid="{00000000-0004-0000-0100-000005000000}"/>
    <hyperlink ref="B23" r:id="rId6" xr:uid="{00000000-0004-0000-0100-000006000000}"/>
    <hyperlink ref="B33" r:id="rId7" xr:uid="{00000000-0004-0000-0100-000007000000}"/>
    <hyperlink ref="B36" r:id="rId8" xr:uid="{00000000-0004-0000-0100-000008000000}"/>
    <hyperlink ref="B37" r:id="rId9" xr:uid="{00000000-0004-0000-0100-000009000000}"/>
    <hyperlink ref="B45" r:id="rId10" xr:uid="{00000000-0004-0000-0100-00000A000000}"/>
    <hyperlink ref="B48" r:id="rId11" xr:uid="{00000000-0004-0000-0100-00000B000000}"/>
    <hyperlink ref="B49" r:id="rId12" xr:uid="{00000000-0004-0000-0100-00000C000000}"/>
    <hyperlink ref="B59" r:id="rId13" xr:uid="{00000000-0004-0000-0100-00000D000000}"/>
    <hyperlink ref="B62" r:id="rId14" xr:uid="{00000000-0004-0000-0100-00000E000000}"/>
    <hyperlink ref="B63" r:id="rId15" xr:uid="{00000000-0004-0000-0100-00000F000000}"/>
    <hyperlink ref="B71" r:id="rId16" xr:uid="{00000000-0004-0000-0100-000010000000}"/>
    <hyperlink ref="B74" r:id="rId17" xr:uid="{00000000-0004-0000-0100-000011000000}"/>
    <hyperlink ref="B75" r:id="rId18"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36"/>
  <sheetViews>
    <sheetView workbookViewId="0">
      <selection activeCell="B8" sqref="B8:H33"/>
    </sheetView>
  </sheetViews>
  <sheetFormatPr baseColWidth="10" defaultColWidth="12.6640625" defaultRowHeight="15.75" customHeight="1"/>
  <cols>
    <col min="1" max="1" width="3.83203125" style="43" customWidth="1"/>
    <col min="2" max="4" width="12.6640625" style="43"/>
    <col min="5" max="5" width="13.6640625" style="43" customWidth="1"/>
    <col min="6" max="6" width="15.33203125" style="43" customWidth="1"/>
    <col min="7" max="7" width="14.6640625" style="43" customWidth="1"/>
    <col min="8" max="8" width="39.1640625" style="43" bestFit="1" customWidth="1"/>
    <col min="9" max="9" width="12.6640625" style="43"/>
    <col min="10" max="10" width="3.83203125" style="43" customWidth="1"/>
    <col min="11" max="16384" width="12.6640625" style="43"/>
  </cols>
  <sheetData>
    <row r="1" spans="1:10" ht="15.75" customHeight="1">
      <c r="A1" s="49"/>
      <c r="B1" s="49"/>
      <c r="C1" s="49"/>
      <c r="D1" s="49"/>
      <c r="E1" s="49"/>
      <c r="F1" s="49"/>
      <c r="G1" s="49"/>
      <c r="H1" s="49"/>
      <c r="I1" s="49"/>
      <c r="J1" s="137" t="s">
        <v>43</v>
      </c>
    </row>
    <row r="2" spans="1:10" ht="15.75" customHeight="1">
      <c r="A2" s="49"/>
      <c r="B2" s="119" t="s">
        <v>10</v>
      </c>
      <c r="D2" s="49"/>
      <c r="E2" s="49"/>
      <c r="F2" s="49"/>
      <c r="G2" s="49"/>
      <c r="H2" s="49"/>
      <c r="I2" s="49"/>
      <c r="J2" s="49"/>
    </row>
    <row r="3" spans="1:10" ht="15.75" customHeight="1">
      <c r="A3" s="49"/>
      <c r="B3" s="119"/>
      <c r="C3" s="119"/>
      <c r="D3" s="119"/>
      <c r="E3" s="119"/>
      <c r="F3" s="119"/>
      <c r="G3" s="119"/>
      <c r="H3" s="119"/>
      <c r="I3" s="119"/>
    </row>
    <row r="4" spans="1:10" ht="15.75" customHeight="1">
      <c r="A4" s="49"/>
      <c r="B4" s="151" t="s">
        <v>118</v>
      </c>
      <c r="C4" s="152" t="s">
        <v>65</v>
      </c>
      <c r="D4" s="152" t="s">
        <v>119</v>
      </c>
      <c r="E4" s="152" t="s">
        <v>120</v>
      </c>
      <c r="F4" s="152" t="s">
        <v>121</v>
      </c>
      <c r="G4" s="153" t="s">
        <v>122</v>
      </c>
      <c r="H4" s="154"/>
      <c r="I4" s="155"/>
    </row>
    <row r="5" spans="1:10" ht="42" customHeight="1">
      <c r="A5" s="49"/>
      <c r="B5" s="156">
        <v>2030</v>
      </c>
      <c r="C5" s="170" t="s">
        <v>123</v>
      </c>
      <c r="D5" s="171">
        <v>50</v>
      </c>
      <c r="E5" s="170">
        <f>AVERAGE(D5,F5)</f>
        <v>55</v>
      </c>
      <c r="F5" s="171">
        <v>60</v>
      </c>
      <c r="G5" s="172" t="s">
        <v>124</v>
      </c>
      <c r="H5" s="173"/>
      <c r="I5" s="174"/>
    </row>
    <row r="6" spans="1:10" ht="15.75" customHeight="1">
      <c r="A6" s="49"/>
      <c r="B6" s="49"/>
      <c r="C6" s="49"/>
      <c r="D6" s="49"/>
      <c r="E6" s="49"/>
      <c r="F6" s="49"/>
      <c r="G6" s="49"/>
      <c r="H6" s="49"/>
      <c r="I6" s="49"/>
      <c r="J6" s="49"/>
    </row>
    <row r="7" spans="1:10" ht="15.75" customHeight="1">
      <c r="A7" s="49"/>
      <c r="B7" s="119" t="s">
        <v>125</v>
      </c>
      <c r="C7" s="49"/>
      <c r="D7" s="49"/>
      <c r="E7" s="49"/>
      <c r="F7" s="49"/>
      <c r="H7" s="49"/>
      <c r="I7" s="49"/>
      <c r="J7" s="49"/>
    </row>
    <row r="8" spans="1:10" ht="38" customHeight="1">
      <c r="A8" s="49"/>
      <c r="B8" s="146" t="s">
        <v>118</v>
      </c>
      <c r="C8" s="157" t="s">
        <v>126</v>
      </c>
      <c r="D8" s="158" t="s">
        <v>127</v>
      </c>
      <c r="E8" s="158" t="s">
        <v>128</v>
      </c>
      <c r="F8" s="158" t="s">
        <v>129</v>
      </c>
      <c r="G8" s="158" t="s">
        <v>130</v>
      </c>
      <c r="H8" s="157" t="s">
        <v>131</v>
      </c>
      <c r="I8" s="142" t="s">
        <v>122</v>
      </c>
      <c r="J8" s="49"/>
    </row>
    <row r="9" spans="1:10" ht="15.75" customHeight="1">
      <c r="A9" s="49"/>
      <c r="B9" s="159">
        <v>2020</v>
      </c>
      <c r="C9" s="161" t="s">
        <v>132</v>
      </c>
      <c r="D9" s="161">
        <v>47</v>
      </c>
      <c r="E9" s="161">
        <v>66</v>
      </c>
      <c r="F9" s="161">
        <v>50</v>
      </c>
      <c r="G9" s="161">
        <v>78</v>
      </c>
      <c r="H9" s="162" t="s">
        <v>133</v>
      </c>
      <c r="I9" s="163" t="s">
        <v>134</v>
      </c>
      <c r="J9" s="49"/>
    </row>
    <row r="10" spans="1:10" ht="15.75" customHeight="1">
      <c r="A10" s="49"/>
      <c r="B10" s="159">
        <v>2050</v>
      </c>
      <c r="C10" s="161" t="s">
        <v>132</v>
      </c>
      <c r="D10" s="161">
        <v>0</v>
      </c>
      <c r="E10" s="161">
        <v>42</v>
      </c>
      <c r="F10" s="161">
        <v>0</v>
      </c>
      <c r="G10" s="161">
        <v>45</v>
      </c>
      <c r="H10" s="162" t="s">
        <v>133</v>
      </c>
      <c r="I10" s="163" t="s">
        <v>134</v>
      </c>
      <c r="J10" s="49"/>
    </row>
    <row r="11" spans="1:10" ht="15.75" customHeight="1">
      <c r="A11" s="49"/>
      <c r="B11" s="159">
        <v>2020</v>
      </c>
      <c r="C11" s="161" t="s">
        <v>119</v>
      </c>
      <c r="D11" s="161">
        <v>47</v>
      </c>
      <c r="E11" s="161">
        <v>66</v>
      </c>
      <c r="F11" s="164">
        <v>50</v>
      </c>
      <c r="G11" s="161">
        <v>83</v>
      </c>
      <c r="H11" s="162" t="s">
        <v>133</v>
      </c>
      <c r="I11" s="163" t="s">
        <v>134</v>
      </c>
      <c r="J11" s="49"/>
    </row>
    <row r="12" spans="1:10" ht="15.75" customHeight="1">
      <c r="A12" s="49"/>
      <c r="B12" s="159">
        <v>2050</v>
      </c>
      <c r="C12" s="161" t="s">
        <v>119</v>
      </c>
      <c r="D12" s="161">
        <v>0</v>
      </c>
      <c r="E12" s="161">
        <v>42</v>
      </c>
      <c r="F12" s="161">
        <v>0</v>
      </c>
      <c r="G12" s="161">
        <v>45</v>
      </c>
      <c r="H12" s="162" t="s">
        <v>133</v>
      </c>
      <c r="I12" s="163" t="s">
        <v>134</v>
      </c>
      <c r="J12" s="49"/>
    </row>
    <row r="13" spans="1:10" ht="15.75" customHeight="1">
      <c r="A13" s="49"/>
      <c r="B13" s="159">
        <v>2020</v>
      </c>
      <c r="C13" s="161" t="s">
        <v>120</v>
      </c>
      <c r="D13" s="161">
        <v>51.5</v>
      </c>
      <c r="E13" s="161">
        <v>66</v>
      </c>
      <c r="F13" s="161">
        <v>57</v>
      </c>
      <c r="G13" s="161">
        <v>69</v>
      </c>
      <c r="H13" s="162" t="s">
        <v>133</v>
      </c>
      <c r="I13" s="163" t="s">
        <v>134</v>
      </c>
      <c r="J13" s="49"/>
    </row>
    <row r="14" spans="1:10" ht="15.75" customHeight="1">
      <c r="A14" s="49"/>
      <c r="B14" s="159">
        <v>2050</v>
      </c>
      <c r="C14" s="161" t="s">
        <v>120</v>
      </c>
      <c r="D14" s="161">
        <v>0</v>
      </c>
      <c r="E14" s="161">
        <v>42</v>
      </c>
      <c r="F14" s="161">
        <v>0</v>
      </c>
      <c r="G14" s="161">
        <v>45</v>
      </c>
      <c r="H14" s="162" t="s">
        <v>133</v>
      </c>
      <c r="I14" s="163" t="s">
        <v>134</v>
      </c>
      <c r="J14" s="49"/>
    </row>
    <row r="15" spans="1:10" ht="15.75" customHeight="1">
      <c r="A15" s="49"/>
      <c r="B15" s="159">
        <v>2020</v>
      </c>
      <c r="C15" s="161" t="s">
        <v>121</v>
      </c>
      <c r="D15" s="161">
        <v>35</v>
      </c>
      <c r="E15" s="161">
        <v>55</v>
      </c>
      <c r="F15" s="161">
        <v>45</v>
      </c>
      <c r="G15" s="161">
        <v>55</v>
      </c>
      <c r="H15" s="162" t="s">
        <v>133</v>
      </c>
      <c r="I15" s="163" t="s">
        <v>134</v>
      </c>
      <c r="J15" s="49"/>
    </row>
    <row r="16" spans="1:10" ht="15.75" customHeight="1">
      <c r="A16" s="49"/>
      <c r="B16" s="159">
        <v>2050</v>
      </c>
      <c r="C16" s="161" t="s">
        <v>121</v>
      </c>
      <c r="D16" s="161">
        <v>0</v>
      </c>
      <c r="E16" s="161">
        <v>35</v>
      </c>
      <c r="F16" s="161">
        <v>0</v>
      </c>
      <c r="G16" s="161">
        <v>40</v>
      </c>
      <c r="H16" s="162" t="s">
        <v>133</v>
      </c>
      <c r="I16" s="163" t="s">
        <v>134</v>
      </c>
      <c r="J16" s="49"/>
    </row>
    <row r="17" spans="1:10" ht="15.75" customHeight="1">
      <c r="A17" s="49"/>
      <c r="B17" s="159">
        <v>2022</v>
      </c>
      <c r="C17" s="161" t="s">
        <v>132</v>
      </c>
      <c r="D17" s="161">
        <v>48</v>
      </c>
      <c r="E17" s="161">
        <v>64</v>
      </c>
      <c r="F17" s="60"/>
      <c r="G17" s="60"/>
      <c r="H17" s="162" t="s">
        <v>135</v>
      </c>
      <c r="I17" s="163" t="s">
        <v>136</v>
      </c>
      <c r="J17" s="49"/>
    </row>
    <row r="18" spans="1:10" ht="15.75" customHeight="1">
      <c r="A18" s="49"/>
      <c r="B18" s="159">
        <v>2022</v>
      </c>
      <c r="C18" s="161" t="s">
        <v>119</v>
      </c>
      <c r="D18" s="161">
        <v>43</v>
      </c>
      <c r="E18" s="161">
        <v>60</v>
      </c>
      <c r="F18" s="60"/>
      <c r="G18" s="60"/>
      <c r="H18" s="162" t="s">
        <v>135</v>
      </c>
      <c r="I18" s="163" t="s">
        <v>136</v>
      </c>
      <c r="J18" s="49"/>
    </row>
    <row r="19" spans="1:10" ht="15.75" customHeight="1">
      <c r="A19" s="49"/>
      <c r="B19" s="159">
        <v>2022</v>
      </c>
      <c r="C19" s="161" t="s">
        <v>121</v>
      </c>
      <c r="D19" s="161">
        <v>40</v>
      </c>
      <c r="E19" s="161">
        <v>45</v>
      </c>
      <c r="F19" s="60"/>
      <c r="G19" s="60"/>
      <c r="H19" s="162" t="s">
        <v>135</v>
      </c>
      <c r="I19" s="163" t="s">
        <v>136</v>
      </c>
      <c r="J19" s="49"/>
    </row>
    <row r="20" spans="1:10" ht="15.75" customHeight="1">
      <c r="A20" s="49"/>
      <c r="B20" s="159">
        <v>2022</v>
      </c>
      <c r="C20" s="161" t="s">
        <v>119</v>
      </c>
      <c r="D20" s="161">
        <v>51</v>
      </c>
      <c r="E20" s="161">
        <v>51</v>
      </c>
      <c r="F20" s="161">
        <v>55</v>
      </c>
      <c r="G20" s="161">
        <v>55</v>
      </c>
      <c r="H20" s="162" t="s">
        <v>137</v>
      </c>
      <c r="I20" s="165"/>
      <c r="J20" s="49"/>
    </row>
    <row r="21" spans="1:10" ht="15.75" customHeight="1">
      <c r="A21" s="49"/>
      <c r="B21" s="159">
        <v>2031</v>
      </c>
      <c r="C21" s="161" t="s">
        <v>119</v>
      </c>
      <c r="D21" s="161">
        <v>43</v>
      </c>
      <c r="E21" s="161">
        <v>43</v>
      </c>
      <c r="F21" s="161">
        <v>46</v>
      </c>
      <c r="G21" s="161">
        <v>46</v>
      </c>
      <c r="H21" s="162" t="s">
        <v>137</v>
      </c>
      <c r="I21" s="165"/>
      <c r="J21" s="49"/>
    </row>
    <row r="22" spans="1:10" ht="15.75" customHeight="1">
      <c r="A22" s="49"/>
      <c r="B22" s="159">
        <v>2022</v>
      </c>
      <c r="C22" s="161" t="s">
        <v>132</v>
      </c>
      <c r="D22" s="161">
        <v>51</v>
      </c>
      <c r="E22" s="161">
        <v>51</v>
      </c>
      <c r="F22" s="161">
        <v>55</v>
      </c>
      <c r="G22" s="161">
        <v>55</v>
      </c>
      <c r="H22" s="162" t="s">
        <v>137</v>
      </c>
      <c r="I22" s="165"/>
      <c r="J22" s="49"/>
    </row>
    <row r="23" spans="1:10" ht="15.75" customHeight="1">
      <c r="A23" s="49"/>
      <c r="B23" s="159">
        <v>2031</v>
      </c>
      <c r="C23" s="161" t="s">
        <v>132</v>
      </c>
      <c r="D23" s="161">
        <v>45</v>
      </c>
      <c r="E23" s="161">
        <v>45</v>
      </c>
      <c r="F23" s="161">
        <v>48</v>
      </c>
      <c r="G23" s="161">
        <v>48</v>
      </c>
      <c r="H23" s="162" t="s">
        <v>137</v>
      </c>
      <c r="I23" s="165"/>
      <c r="J23" s="49"/>
    </row>
    <row r="24" spans="1:10" ht="15.75" customHeight="1">
      <c r="A24" s="49"/>
      <c r="B24" s="159">
        <v>2023</v>
      </c>
      <c r="C24" s="161" t="s">
        <v>120</v>
      </c>
      <c r="D24" s="161">
        <v>45.2</v>
      </c>
      <c r="E24" s="161">
        <v>45.2</v>
      </c>
      <c r="F24" s="161">
        <v>51.4</v>
      </c>
      <c r="G24" s="161">
        <v>51.4</v>
      </c>
      <c r="H24" s="162" t="s">
        <v>138</v>
      </c>
      <c r="I24" s="163" t="s">
        <v>139</v>
      </c>
      <c r="J24" s="49"/>
    </row>
    <row r="25" spans="1:10" ht="15.75" customHeight="1">
      <c r="A25" s="49"/>
      <c r="B25" s="159" t="s">
        <v>140</v>
      </c>
      <c r="C25" s="161" t="s">
        <v>120</v>
      </c>
      <c r="D25" s="161">
        <v>44.6</v>
      </c>
      <c r="E25" s="161">
        <v>44.6</v>
      </c>
      <c r="F25" s="161">
        <v>47</v>
      </c>
      <c r="G25" s="161">
        <v>47</v>
      </c>
      <c r="H25" s="162" t="s">
        <v>138</v>
      </c>
      <c r="I25" s="163" t="s">
        <v>141</v>
      </c>
      <c r="J25" s="49"/>
    </row>
    <row r="26" spans="1:10" ht="15.75" customHeight="1">
      <c r="A26" s="49"/>
      <c r="B26" s="159">
        <v>2023</v>
      </c>
      <c r="C26" s="161" t="s">
        <v>121</v>
      </c>
      <c r="D26" s="161">
        <v>33.299999999999997</v>
      </c>
      <c r="E26" s="161">
        <v>33.299999999999997</v>
      </c>
      <c r="F26" s="161">
        <v>40</v>
      </c>
      <c r="G26" s="161">
        <v>40</v>
      </c>
      <c r="H26" s="162" t="s">
        <v>142</v>
      </c>
      <c r="I26" s="163" t="s">
        <v>143</v>
      </c>
      <c r="J26" s="49"/>
    </row>
    <row r="27" spans="1:10" ht="15.75" customHeight="1">
      <c r="A27" s="49"/>
      <c r="B27" s="159">
        <v>2023</v>
      </c>
      <c r="C27" s="161" t="s">
        <v>121</v>
      </c>
      <c r="D27" s="60"/>
      <c r="E27" s="60"/>
      <c r="F27" s="161" t="s">
        <v>144</v>
      </c>
      <c r="G27" s="161" t="s">
        <v>145</v>
      </c>
      <c r="H27" s="162" t="s">
        <v>146</v>
      </c>
      <c r="I27" s="163" t="s">
        <v>147</v>
      </c>
      <c r="J27" s="49"/>
    </row>
    <row r="28" spans="1:10" ht="15.75" customHeight="1">
      <c r="A28" s="49"/>
      <c r="B28" s="159">
        <v>2023</v>
      </c>
      <c r="C28" s="161" t="s">
        <v>132</v>
      </c>
      <c r="D28" s="60"/>
      <c r="E28" s="60"/>
      <c r="F28" s="161">
        <v>50</v>
      </c>
      <c r="G28" s="161">
        <v>78</v>
      </c>
      <c r="H28" s="162" t="s">
        <v>146</v>
      </c>
      <c r="I28" s="163" t="s">
        <v>147</v>
      </c>
      <c r="J28" s="49"/>
    </row>
    <row r="29" spans="1:10" ht="15.75" customHeight="1">
      <c r="A29" s="49"/>
      <c r="B29" s="159">
        <v>2023</v>
      </c>
      <c r="C29" s="161" t="s">
        <v>119</v>
      </c>
      <c r="D29" s="60"/>
      <c r="E29" s="60"/>
      <c r="F29" s="161">
        <v>50</v>
      </c>
      <c r="G29" s="161">
        <v>83</v>
      </c>
      <c r="H29" s="162" t="s">
        <v>146</v>
      </c>
      <c r="I29" s="163" t="s">
        <v>147</v>
      </c>
      <c r="J29" s="49"/>
    </row>
    <row r="30" spans="1:10" ht="15.75" customHeight="1">
      <c r="A30" s="49"/>
      <c r="B30" s="159">
        <v>2023</v>
      </c>
      <c r="C30" s="161" t="s">
        <v>120</v>
      </c>
      <c r="D30" s="60"/>
      <c r="E30" s="60"/>
      <c r="F30" s="161">
        <v>57</v>
      </c>
      <c r="G30" s="161">
        <v>69</v>
      </c>
      <c r="H30" s="162" t="s">
        <v>146</v>
      </c>
      <c r="I30" s="163" t="s">
        <v>147</v>
      </c>
      <c r="J30" s="49"/>
    </row>
    <row r="31" spans="1:10" ht="15.75" customHeight="1">
      <c r="A31" s="49"/>
      <c r="B31" s="159">
        <v>2020</v>
      </c>
      <c r="C31" s="161" t="s">
        <v>132</v>
      </c>
      <c r="D31" s="161">
        <v>48.3</v>
      </c>
      <c r="E31" s="60"/>
      <c r="F31" s="60"/>
      <c r="G31" s="60"/>
      <c r="H31" s="162" t="s">
        <v>148</v>
      </c>
      <c r="I31" s="163" t="s">
        <v>149</v>
      </c>
      <c r="J31" s="49"/>
    </row>
    <row r="32" spans="1:10" ht="15.75" customHeight="1">
      <c r="A32" s="49"/>
      <c r="B32" s="159">
        <v>2030</v>
      </c>
      <c r="C32" s="161" t="s">
        <v>132</v>
      </c>
      <c r="D32" s="161">
        <v>45.6</v>
      </c>
      <c r="E32" s="60"/>
      <c r="F32" s="60"/>
      <c r="G32" s="60"/>
      <c r="H32" s="162" t="s">
        <v>148</v>
      </c>
      <c r="I32" s="163" t="s">
        <v>149</v>
      </c>
      <c r="J32" s="49"/>
    </row>
    <row r="33" spans="1:10" ht="15.75" customHeight="1">
      <c r="A33" s="49"/>
      <c r="B33" s="159">
        <v>2020</v>
      </c>
      <c r="C33" s="161" t="s">
        <v>119</v>
      </c>
      <c r="D33" s="161">
        <v>51</v>
      </c>
      <c r="E33" s="60"/>
      <c r="F33" s="60"/>
      <c r="G33" s="60"/>
      <c r="H33" s="162" t="s">
        <v>148</v>
      </c>
      <c r="I33" s="163" t="s">
        <v>149</v>
      </c>
      <c r="J33" s="49"/>
    </row>
    <row r="34" spans="1:10" ht="15.75" customHeight="1">
      <c r="A34" s="49"/>
      <c r="B34" s="159">
        <v>2030</v>
      </c>
      <c r="C34" s="161" t="s">
        <v>119</v>
      </c>
      <c r="D34" s="161">
        <v>45.7</v>
      </c>
      <c r="E34" s="60"/>
      <c r="F34" s="60"/>
      <c r="G34" s="60"/>
      <c r="H34" s="162" t="s">
        <v>148</v>
      </c>
      <c r="I34" s="163" t="s">
        <v>149</v>
      </c>
      <c r="J34" s="49"/>
    </row>
    <row r="35" spans="1:10" ht="15.75" customHeight="1">
      <c r="A35" s="49"/>
      <c r="B35" s="160">
        <v>2024</v>
      </c>
      <c r="C35" s="166" t="s">
        <v>119</v>
      </c>
      <c r="D35" s="166"/>
      <c r="E35" s="166"/>
      <c r="F35" s="167">
        <v>60</v>
      </c>
      <c r="G35" s="166"/>
      <c r="H35" s="168" t="s">
        <v>117</v>
      </c>
      <c r="I35" s="169" t="s">
        <v>150</v>
      </c>
      <c r="J35" s="49"/>
    </row>
    <row r="36" spans="1:10" ht="15.75" customHeight="1">
      <c r="A36" s="49"/>
      <c r="B36" s="49"/>
      <c r="C36" s="49"/>
      <c r="D36" s="49"/>
      <c r="E36" s="49"/>
      <c r="F36" s="49"/>
      <c r="G36" s="49"/>
      <c r="H36" s="49"/>
      <c r="I36" s="49"/>
      <c r="J36" s="49"/>
    </row>
  </sheetData>
  <mergeCells count="2">
    <mergeCell ref="G4:I4"/>
    <mergeCell ref="G5:I5"/>
  </mergeCells>
  <hyperlinks>
    <hyperlink ref="J1" location="Index!A1" display="←" xr:uid="{00000000-0004-0000-0300-000000000000}"/>
    <hyperlink ref="H9" r:id="rId1" xr:uid="{00000000-0004-0000-0300-000001000000}"/>
    <hyperlink ref="H10" r:id="rId2" xr:uid="{00000000-0004-0000-0300-000002000000}"/>
    <hyperlink ref="H11" r:id="rId3" xr:uid="{00000000-0004-0000-0300-000003000000}"/>
    <hyperlink ref="H12" r:id="rId4" xr:uid="{00000000-0004-0000-0300-000004000000}"/>
    <hyperlink ref="H13" r:id="rId5" xr:uid="{00000000-0004-0000-0300-000005000000}"/>
    <hyperlink ref="H14" r:id="rId6" xr:uid="{00000000-0004-0000-0300-000006000000}"/>
    <hyperlink ref="H15" r:id="rId7" xr:uid="{00000000-0004-0000-0300-000007000000}"/>
    <hyperlink ref="H16" r:id="rId8" xr:uid="{00000000-0004-0000-0300-000008000000}"/>
    <hyperlink ref="H17" r:id="rId9" xr:uid="{00000000-0004-0000-0300-000009000000}"/>
    <hyperlink ref="H18" r:id="rId10" xr:uid="{00000000-0004-0000-0300-00000A000000}"/>
    <hyperlink ref="H19" r:id="rId11" xr:uid="{00000000-0004-0000-0300-00000B000000}"/>
    <hyperlink ref="H20" r:id="rId12" xr:uid="{00000000-0004-0000-0300-00000C000000}"/>
    <hyperlink ref="H21" r:id="rId13" xr:uid="{00000000-0004-0000-0300-00000D000000}"/>
    <hyperlink ref="H22" r:id="rId14" xr:uid="{00000000-0004-0000-0300-00000E000000}"/>
    <hyperlink ref="H23" r:id="rId15" xr:uid="{00000000-0004-0000-0300-00000F000000}"/>
    <hyperlink ref="H24" r:id="rId16" xr:uid="{00000000-0004-0000-0300-000010000000}"/>
    <hyperlink ref="H25" r:id="rId17" xr:uid="{00000000-0004-0000-0300-000011000000}"/>
    <hyperlink ref="H26" r:id="rId18" xr:uid="{00000000-0004-0000-0300-000012000000}"/>
    <hyperlink ref="H27" r:id="rId19" xr:uid="{00000000-0004-0000-0300-000013000000}"/>
    <hyperlink ref="H28" r:id="rId20" xr:uid="{00000000-0004-0000-0300-000014000000}"/>
    <hyperlink ref="H29" r:id="rId21" xr:uid="{00000000-0004-0000-0300-000015000000}"/>
    <hyperlink ref="H30" r:id="rId22" xr:uid="{00000000-0004-0000-0300-000016000000}"/>
    <hyperlink ref="H31" r:id="rId23" xr:uid="{00000000-0004-0000-0300-000017000000}"/>
    <hyperlink ref="H32" r:id="rId24" xr:uid="{00000000-0004-0000-0300-000018000000}"/>
    <hyperlink ref="H33" r:id="rId25" xr:uid="{00000000-0004-0000-0300-000019000000}"/>
    <hyperlink ref="H34" r:id="rId26" xr:uid="{00000000-0004-0000-0300-00001A000000}"/>
    <hyperlink ref="H35" r:id="rId27" xr:uid="{00000000-0004-0000-0300-00001B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1:J20"/>
  <sheetViews>
    <sheetView workbookViewId="0">
      <selection activeCell="J20" sqref="J20"/>
    </sheetView>
  </sheetViews>
  <sheetFormatPr baseColWidth="10" defaultColWidth="12.6640625" defaultRowHeight="15.75" customHeight="1"/>
  <cols>
    <col min="1" max="1" width="3.6640625" style="43" customWidth="1"/>
    <col min="2" max="2" width="28.83203125" style="43" customWidth="1"/>
    <col min="3" max="3" width="14.33203125" style="43" customWidth="1"/>
    <col min="4" max="9" width="12.6640625" style="43"/>
    <col min="10" max="10" width="4.1640625" style="43" customWidth="1"/>
    <col min="11" max="16384" width="12.6640625" style="43"/>
  </cols>
  <sheetData>
    <row r="1" spans="2:10" ht="15.75" customHeight="1">
      <c r="J1" s="137" t="s">
        <v>43</v>
      </c>
    </row>
    <row r="2" spans="2:10" ht="15.75" customHeight="1">
      <c r="B2" s="175" t="s">
        <v>13</v>
      </c>
      <c r="C2" s="175"/>
      <c r="D2" s="176"/>
      <c r="E2" s="176"/>
      <c r="F2" s="176"/>
      <c r="G2" s="176"/>
      <c r="H2" s="175"/>
      <c r="I2" s="119"/>
    </row>
    <row r="3" spans="2:10" ht="15.75" customHeight="1">
      <c r="B3" s="175"/>
      <c r="C3" s="175"/>
      <c r="D3" s="176"/>
      <c r="E3" s="176"/>
      <c r="F3" s="176"/>
      <c r="G3" s="176"/>
      <c r="H3" s="175"/>
      <c r="I3" s="119"/>
    </row>
    <row r="4" spans="2:10" ht="15.75" customHeight="1">
      <c r="B4" s="181" t="s">
        <v>65</v>
      </c>
      <c r="C4" s="184" t="s">
        <v>151</v>
      </c>
      <c r="D4" s="185">
        <v>2025</v>
      </c>
      <c r="E4" s="185">
        <v>2030</v>
      </c>
      <c r="F4" s="185">
        <v>2040</v>
      </c>
      <c r="G4" s="185">
        <v>2050</v>
      </c>
      <c r="H4" s="184" t="s">
        <v>131</v>
      </c>
      <c r="I4" s="186" t="s">
        <v>122</v>
      </c>
    </row>
    <row r="5" spans="2:10" ht="15.75" customHeight="1">
      <c r="B5" s="182" t="s">
        <v>152</v>
      </c>
      <c r="C5" s="217">
        <v>2840</v>
      </c>
      <c r="D5" s="206">
        <v>2734</v>
      </c>
      <c r="E5" s="218">
        <v>2233</v>
      </c>
      <c r="F5" s="206">
        <v>1737</v>
      </c>
      <c r="G5" s="206">
        <v>1621</v>
      </c>
      <c r="H5" s="219" t="s">
        <v>153</v>
      </c>
      <c r="I5" s="220" t="s">
        <v>154</v>
      </c>
    </row>
    <row r="6" spans="2:10" ht="15.75" customHeight="1">
      <c r="B6" s="182" t="s">
        <v>152</v>
      </c>
      <c r="C6" s="206">
        <v>2840</v>
      </c>
      <c r="D6" s="217">
        <v>2619</v>
      </c>
      <c r="E6" s="218">
        <v>1727</v>
      </c>
      <c r="F6" s="206">
        <v>1034</v>
      </c>
      <c r="G6" s="206">
        <v>837</v>
      </c>
      <c r="H6" s="221" t="s">
        <v>155</v>
      </c>
      <c r="I6" s="220" t="s">
        <v>154</v>
      </c>
    </row>
    <row r="7" spans="2:10" ht="15.75" customHeight="1">
      <c r="B7" s="183" t="s">
        <v>152</v>
      </c>
      <c r="C7" s="170">
        <v>2840</v>
      </c>
      <c r="D7" s="222">
        <v>2700</v>
      </c>
      <c r="E7" s="223">
        <v>2073</v>
      </c>
      <c r="F7" s="170">
        <v>1611</v>
      </c>
      <c r="G7" s="170">
        <v>1469</v>
      </c>
      <c r="H7" s="224" t="s">
        <v>156</v>
      </c>
      <c r="I7" s="225" t="s">
        <v>154</v>
      </c>
    </row>
    <row r="9" spans="2:10" ht="15.75" customHeight="1">
      <c r="B9" s="119"/>
      <c r="C9" s="191" t="s">
        <v>65</v>
      </c>
      <c r="D9" s="192" t="s">
        <v>157</v>
      </c>
      <c r="E9" s="192" t="s">
        <v>158</v>
      </c>
      <c r="F9" s="193" t="s">
        <v>159</v>
      </c>
    </row>
    <row r="10" spans="2:10" ht="15.75" customHeight="1">
      <c r="B10" s="63" t="s">
        <v>160</v>
      </c>
      <c r="C10" s="194" t="s">
        <v>161</v>
      </c>
      <c r="D10" s="195">
        <v>2073</v>
      </c>
      <c r="E10" s="195">
        <v>2073</v>
      </c>
      <c r="F10" s="196">
        <v>2073</v>
      </c>
    </row>
    <row r="11" spans="2:10" ht="15.75" customHeight="1">
      <c r="B11" s="187" t="s">
        <v>162</v>
      </c>
      <c r="C11" s="197" t="s">
        <v>163</v>
      </c>
      <c r="D11" s="198">
        <v>39.299999999999997</v>
      </c>
      <c r="E11" s="198">
        <v>39.299999999999997</v>
      </c>
      <c r="F11" s="199">
        <v>39.299999999999997</v>
      </c>
    </row>
    <row r="12" spans="2:10" ht="15.75" customHeight="1">
      <c r="B12" s="188" t="s">
        <v>164</v>
      </c>
      <c r="C12" s="200" t="s">
        <v>165</v>
      </c>
      <c r="D12" s="201">
        <f t="shared" ref="D12:F12" si="0">1/D11</f>
        <v>2.5445292620865142E-2</v>
      </c>
      <c r="E12" s="201">
        <f t="shared" si="0"/>
        <v>2.5445292620865142E-2</v>
      </c>
      <c r="F12" s="202">
        <f t="shared" si="0"/>
        <v>2.5445292620865142E-2</v>
      </c>
    </row>
    <row r="13" spans="2:10" ht="15.75" customHeight="1">
      <c r="B13" s="189" t="s">
        <v>166</v>
      </c>
      <c r="C13" s="203" t="s">
        <v>67</v>
      </c>
      <c r="D13" s="204">
        <f t="shared" ref="D13:F13" si="1">D20</f>
        <v>0.78599999999999992</v>
      </c>
      <c r="E13" s="204">
        <f t="shared" si="1"/>
        <v>0.71454545454545448</v>
      </c>
      <c r="F13" s="205">
        <f t="shared" si="1"/>
        <v>0.65499999999999992</v>
      </c>
    </row>
    <row r="14" spans="2:10" ht="15.75" customHeight="1">
      <c r="B14" s="189" t="s">
        <v>167</v>
      </c>
      <c r="C14" s="203" t="s">
        <v>168</v>
      </c>
      <c r="D14" s="206">
        <f t="shared" ref="D14:F14" si="2">D12*D13</f>
        <v>0.02</v>
      </c>
      <c r="E14" s="206">
        <f t="shared" si="2"/>
        <v>1.8181818181818181E-2</v>
      </c>
      <c r="F14" s="207">
        <f t="shared" si="2"/>
        <v>1.6666666666666666E-2</v>
      </c>
    </row>
    <row r="15" spans="2:10" ht="15.75" customHeight="1">
      <c r="B15" s="147" t="s">
        <v>169</v>
      </c>
      <c r="C15" s="208" t="s">
        <v>170</v>
      </c>
      <c r="D15" s="170">
        <f t="shared" ref="D15:F15" si="3">D14/1000</f>
        <v>2.0000000000000002E-5</v>
      </c>
      <c r="E15" s="170">
        <f t="shared" si="3"/>
        <v>1.8181818181818182E-5</v>
      </c>
      <c r="F15" s="209">
        <f t="shared" si="3"/>
        <v>1.6666666666666667E-5</v>
      </c>
    </row>
    <row r="16" spans="2:10" ht="15.75" customHeight="1">
      <c r="B16" s="63" t="s">
        <v>171</v>
      </c>
      <c r="C16" s="61" t="s">
        <v>172</v>
      </c>
      <c r="D16" s="210">
        <f t="shared" ref="D16:F16" si="4">D10/D15</f>
        <v>103649999.99999999</v>
      </c>
      <c r="E16" s="210">
        <f t="shared" si="4"/>
        <v>114015000</v>
      </c>
      <c r="F16" s="211">
        <f t="shared" si="4"/>
        <v>124380000</v>
      </c>
    </row>
    <row r="17" spans="2:6" ht="15.75" customHeight="1">
      <c r="B17" s="190" t="s">
        <v>173</v>
      </c>
      <c r="C17" s="212" t="s">
        <v>174</v>
      </c>
      <c r="D17" s="213">
        <f t="shared" ref="D17:F17" si="5">D16/1000000</f>
        <v>103.64999999999999</v>
      </c>
      <c r="E17" s="213">
        <f t="shared" si="5"/>
        <v>114.015</v>
      </c>
      <c r="F17" s="214">
        <f t="shared" si="5"/>
        <v>124.38</v>
      </c>
    </row>
    <row r="18" spans="2:6" ht="15.75" customHeight="1">
      <c r="B18" s="49"/>
    </row>
    <row r="19" spans="2:6" ht="15.75" customHeight="1">
      <c r="B19" s="49"/>
      <c r="C19" s="188" t="s">
        <v>175</v>
      </c>
      <c r="D19" s="215">
        <v>50</v>
      </c>
      <c r="E19" s="215">
        <v>55</v>
      </c>
      <c r="F19" s="216">
        <v>60</v>
      </c>
    </row>
    <row r="20" spans="2:6" ht="15.75" customHeight="1">
      <c r="C20" s="147" t="s">
        <v>527</v>
      </c>
      <c r="D20" s="170">
        <f>D11/D19</f>
        <v>0.78599999999999992</v>
      </c>
      <c r="E20" s="170">
        <f t="shared" ref="D20:F20" si="6">E11/E19</f>
        <v>0.71454545454545448</v>
      </c>
      <c r="F20" s="209">
        <f t="shared" si="6"/>
        <v>0.65499999999999992</v>
      </c>
    </row>
  </sheetData>
  <hyperlinks>
    <hyperlink ref="J1" location="Index!A1" display="←" xr:uid="{00000000-0004-0000-0400-000000000000}"/>
    <hyperlink ref="H5" r:id="rId1" xr:uid="{00000000-0004-0000-0400-000001000000}"/>
    <hyperlink ref="H6" r:id="rId2" xr:uid="{00000000-0004-0000-0400-000002000000}"/>
    <hyperlink ref="H7" r:id="rId3" xr:uid="{00000000-0004-0000-0400-000003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22"/>
  <sheetViews>
    <sheetView workbookViewId="0">
      <selection activeCell="I10" sqref="I10"/>
    </sheetView>
  </sheetViews>
  <sheetFormatPr baseColWidth="10" defaultColWidth="12.6640625" defaultRowHeight="15.75" customHeight="1"/>
  <cols>
    <col min="1" max="1" width="4.6640625" style="43" customWidth="1"/>
    <col min="2" max="2" width="15.5" style="43" customWidth="1"/>
    <col min="3" max="4" width="12.6640625" style="43"/>
    <col min="5" max="5" width="15.6640625" style="43" customWidth="1"/>
    <col min="6" max="6" width="37.1640625" style="43" customWidth="1"/>
    <col min="7" max="7" width="4.83203125" style="43" customWidth="1"/>
    <col min="8" max="16384" width="12.6640625" style="43"/>
  </cols>
  <sheetData>
    <row r="1" spans="1:7" ht="15.75" customHeight="1">
      <c r="A1" s="49"/>
      <c r="B1" s="49"/>
      <c r="C1" s="49"/>
      <c r="D1" s="49"/>
      <c r="E1" s="49"/>
      <c r="F1" s="50"/>
      <c r="G1" s="137" t="s">
        <v>43</v>
      </c>
    </row>
    <row r="2" spans="1:7" ht="15.75" customHeight="1">
      <c r="A2" s="49"/>
      <c r="B2" s="119" t="s">
        <v>14</v>
      </c>
      <c r="C2" s="119"/>
      <c r="D2" s="119"/>
      <c r="E2" s="119"/>
      <c r="F2" s="226"/>
      <c r="G2" s="49"/>
    </row>
    <row r="3" spans="1:7" ht="15.75" customHeight="1">
      <c r="A3" s="49"/>
      <c r="B3" s="119"/>
      <c r="C3" s="119"/>
      <c r="D3" s="119"/>
      <c r="E3" s="119"/>
      <c r="F3" s="226"/>
      <c r="G3" s="49"/>
    </row>
    <row r="4" spans="1:7" ht="15.75" customHeight="1">
      <c r="A4" s="49"/>
      <c r="B4" s="151" t="s">
        <v>176</v>
      </c>
      <c r="C4" s="152" t="s">
        <v>177</v>
      </c>
      <c r="D4" s="152" t="s">
        <v>178</v>
      </c>
      <c r="E4" s="152" t="s">
        <v>179</v>
      </c>
      <c r="F4" s="236" t="s">
        <v>122</v>
      </c>
      <c r="G4" s="49"/>
    </row>
    <row r="5" spans="1:7" ht="105" customHeight="1">
      <c r="A5" s="49"/>
      <c r="B5" s="237" t="s">
        <v>14</v>
      </c>
      <c r="C5" s="227">
        <f>C18</f>
        <v>1.8612480000000002</v>
      </c>
      <c r="D5" s="227">
        <f>B19</f>
        <v>2.1883314285714288</v>
      </c>
      <c r="E5" s="227">
        <f>D19</f>
        <v>3.5242314285714285</v>
      </c>
      <c r="F5" s="228" t="s">
        <v>180</v>
      </c>
      <c r="G5" s="49"/>
    </row>
    <row r="6" spans="1:7" ht="15.75" customHeight="1">
      <c r="A6" s="49"/>
      <c r="B6" s="49"/>
      <c r="C6" s="49"/>
      <c r="D6" s="49"/>
      <c r="E6" s="49"/>
      <c r="F6" s="50"/>
      <c r="G6" s="49"/>
    </row>
    <row r="7" spans="1:7" ht="15.75" customHeight="1">
      <c r="A7" s="49"/>
      <c r="B7" s="49"/>
      <c r="C7" s="49"/>
      <c r="D7" s="49"/>
      <c r="E7" s="49"/>
      <c r="F7" s="50"/>
      <c r="G7" s="49"/>
    </row>
    <row r="8" spans="1:7" ht="14">
      <c r="A8" s="49"/>
      <c r="B8" s="190" t="s">
        <v>177</v>
      </c>
      <c r="C8" s="152" t="s">
        <v>178</v>
      </c>
      <c r="D8" s="152" t="s">
        <v>179</v>
      </c>
      <c r="E8" s="152" t="s">
        <v>131</v>
      </c>
      <c r="F8" s="238" t="s">
        <v>122</v>
      </c>
      <c r="G8" s="49"/>
    </row>
    <row r="9" spans="1:7" ht="28">
      <c r="A9" s="49"/>
      <c r="B9" s="262"/>
      <c r="C9" s="263">
        <f>600/1000</f>
        <v>0.6</v>
      </c>
      <c r="D9" s="264"/>
      <c r="E9" s="265" t="s">
        <v>528</v>
      </c>
      <c r="F9" s="266" t="s">
        <v>529</v>
      </c>
      <c r="G9" s="49"/>
    </row>
    <row r="10" spans="1:7" ht="42">
      <c r="A10" s="49"/>
      <c r="B10" s="267">
        <f>1.25*33.33/1000</f>
        <v>4.1662499999999991E-2</v>
      </c>
      <c r="C10" s="268">
        <f>2.6*33.33/1000</f>
        <v>8.6657999999999999E-2</v>
      </c>
      <c r="D10" s="269"/>
      <c r="E10" s="270" t="s">
        <v>530</v>
      </c>
      <c r="F10" s="271" t="s">
        <v>181</v>
      </c>
      <c r="G10" s="49"/>
    </row>
    <row r="11" spans="1:7" ht="28">
      <c r="A11" s="229"/>
      <c r="B11" s="272"/>
      <c r="C11" s="268">
        <f>1.04/1000</f>
        <v>1.0400000000000001E-3</v>
      </c>
      <c r="D11" s="269"/>
      <c r="E11" s="270" t="s">
        <v>531</v>
      </c>
      <c r="F11" s="271" t="s">
        <v>182</v>
      </c>
      <c r="G11" s="229"/>
    </row>
    <row r="12" spans="1:7" ht="28">
      <c r="A12" s="229"/>
      <c r="B12" s="272"/>
      <c r="C12" s="268">
        <f>500*1.45/1000</f>
        <v>0.72499999999999998</v>
      </c>
      <c r="D12" s="269"/>
      <c r="E12" s="270" t="s">
        <v>532</v>
      </c>
      <c r="F12" s="273" t="s">
        <v>533</v>
      </c>
      <c r="G12" s="229"/>
    </row>
    <row r="13" spans="1:7" ht="14">
      <c r="A13" s="229"/>
      <c r="B13" s="272"/>
      <c r="C13" s="268">
        <f>1.39*1.85/1000</f>
        <v>2.5715E-3</v>
      </c>
      <c r="D13" s="269"/>
      <c r="E13" s="270" t="s">
        <v>534</v>
      </c>
      <c r="F13" s="273" t="s">
        <v>535</v>
      </c>
      <c r="G13" s="229"/>
    </row>
    <row r="14" spans="1:7" ht="28">
      <c r="A14" s="229"/>
      <c r="B14" s="267">
        <f>(0.46+0.09)*1.85/1000</f>
        <v>1.0175000000000002E-3</v>
      </c>
      <c r="C14" s="268">
        <f>(0.51+0.1)*1.85/1000</f>
        <v>1.1285000000000002E-3</v>
      </c>
      <c r="D14" s="268">
        <f>(0.56+0.08)*1.85/1000</f>
        <v>1.1840000000000002E-3</v>
      </c>
      <c r="E14" s="270" t="s">
        <v>536</v>
      </c>
      <c r="F14" s="271" t="s">
        <v>183</v>
      </c>
      <c r="G14" s="229"/>
    </row>
    <row r="15" spans="1:7" ht="14">
      <c r="A15" s="230"/>
      <c r="B15" s="244">
        <f>1.7*1.45/1000 * 1.307</f>
        <v>3.2217549999999993E-3</v>
      </c>
      <c r="C15" s="245">
        <f>AVERAGE(B15,D15)</f>
        <v>4.1693299999999997E-3</v>
      </c>
      <c r="D15" s="245">
        <f>2.7*1.45/1000 * 1.307</f>
        <v>5.1169049999999997E-3</v>
      </c>
      <c r="E15" s="246" t="s">
        <v>184</v>
      </c>
      <c r="F15" s="247" t="s">
        <v>185</v>
      </c>
      <c r="G15" s="230"/>
    </row>
    <row r="16" spans="1:7" ht="42">
      <c r="A16" s="230"/>
      <c r="B16" s="248"/>
      <c r="C16" s="245">
        <f>(0.048+0.025)*1.6*1.1578/33.33</f>
        <v>4.0573369336933691E-3</v>
      </c>
      <c r="D16" s="249"/>
      <c r="E16" s="250" t="s">
        <v>186</v>
      </c>
      <c r="F16" s="247" t="s">
        <v>187</v>
      </c>
      <c r="G16" s="230"/>
    </row>
    <row r="17" spans="1:7" ht="14">
      <c r="A17" s="229"/>
      <c r="B17" s="239"/>
      <c r="C17" s="240">
        <f>12*1.45*33/1000</f>
        <v>0.57419999999999993</v>
      </c>
      <c r="D17" s="241"/>
      <c r="E17" s="242" t="s">
        <v>188</v>
      </c>
      <c r="F17" s="243" t="s">
        <v>189</v>
      </c>
      <c r="G17" s="229"/>
    </row>
    <row r="18" spans="1:7" ht="98">
      <c r="A18" s="229"/>
      <c r="B18" s="251">
        <f>7400*120*1.6/1000000 * 1.2</f>
        <v>1.70496</v>
      </c>
      <c r="C18" s="252">
        <f>AVERAGE(B18,D18)</f>
        <v>1.8612480000000002</v>
      </c>
      <c r="D18" s="252">
        <f>7400*142*1.6/1000000*1.2</f>
        <v>2.0175360000000002</v>
      </c>
      <c r="E18" s="253" t="s">
        <v>190</v>
      </c>
      <c r="F18" s="163" t="s">
        <v>191</v>
      </c>
      <c r="G18" s="229"/>
    </row>
    <row r="19" spans="1:7" ht="210">
      <c r="A19" s="235"/>
      <c r="B19" s="254">
        <f>1032/1000*365/210*1.22</f>
        <v>2.1883314285714288</v>
      </c>
      <c r="C19" s="255">
        <f>1089/1000*365/210*1.22</f>
        <v>2.3091985714285714</v>
      </c>
      <c r="D19" s="255">
        <f>1662/1000*365/210*1.22</f>
        <v>3.5242314285714285</v>
      </c>
      <c r="E19" s="256" t="s">
        <v>192</v>
      </c>
      <c r="F19" s="257" t="s">
        <v>193</v>
      </c>
      <c r="G19" s="235"/>
    </row>
    <row r="20" spans="1:7" ht="112">
      <c r="A20" s="230"/>
      <c r="B20" s="248"/>
      <c r="C20" s="245">
        <f>490/1000*1.45</f>
        <v>0.71050000000000002</v>
      </c>
      <c r="D20" s="249"/>
      <c r="E20" s="249" t="s">
        <v>194</v>
      </c>
      <c r="F20" s="247" t="s">
        <v>195</v>
      </c>
      <c r="G20" s="230"/>
    </row>
    <row r="21" spans="1:7" ht="28">
      <c r="A21" s="230"/>
      <c r="B21" s="258">
        <f>350*1.45/1000</f>
        <v>0.50749999999999995</v>
      </c>
      <c r="C21" s="259">
        <f>450*1.45/1000</f>
        <v>0.65249999999999997</v>
      </c>
      <c r="D21" s="259">
        <f>600*1.45/1000</f>
        <v>0.87</v>
      </c>
      <c r="E21" s="260" t="s">
        <v>196</v>
      </c>
      <c r="F21" s="261" t="s">
        <v>197</v>
      </c>
      <c r="G21" s="230"/>
    </row>
    <row r="22" spans="1:7" ht="15.75" customHeight="1">
      <c r="A22" s="49"/>
      <c r="B22" s="49"/>
      <c r="C22" s="49"/>
      <c r="D22" s="49"/>
      <c r="E22" s="49"/>
      <c r="F22" s="50"/>
      <c r="G22" s="49"/>
    </row>
  </sheetData>
  <hyperlinks>
    <hyperlink ref="G1" location="Index!A1" display="←" xr:uid="{00000000-0004-0000-0500-000000000000}"/>
    <hyperlink ref="E9" r:id="rId1" xr:uid="{00000000-0004-0000-0500-000001000000}"/>
    <hyperlink ref="F9" r:id="rId2" xr:uid="{00000000-0004-0000-0500-000002000000}"/>
    <hyperlink ref="E10" r:id="rId3" xr:uid="{00000000-0004-0000-0500-000003000000}"/>
    <hyperlink ref="E11" r:id="rId4" xr:uid="{00000000-0004-0000-0500-000004000000}"/>
    <hyperlink ref="E12" r:id="rId5" xr:uid="{00000000-0004-0000-0500-000005000000}"/>
    <hyperlink ref="F12" r:id="rId6" xr:uid="{00000000-0004-0000-0500-000006000000}"/>
    <hyperlink ref="E13" r:id="rId7" xr:uid="{00000000-0004-0000-0500-000007000000}"/>
    <hyperlink ref="F13" r:id="rId8" xr:uid="{00000000-0004-0000-0500-000008000000}"/>
    <hyperlink ref="E14" r:id="rId9" xr:uid="{00000000-0004-0000-0500-000009000000}"/>
    <hyperlink ref="E15" r:id="rId10" xr:uid="{00000000-0004-0000-0500-00000A000000}"/>
    <hyperlink ref="E16" r:id="rId11" xr:uid="{00000000-0004-0000-0500-00000B000000}"/>
    <hyperlink ref="E17" r:id="rId12" xr:uid="{00000000-0004-0000-0500-00000C000000}"/>
    <hyperlink ref="E18" r:id="rId13" xr:uid="{00000000-0004-0000-0500-00000D000000}"/>
    <hyperlink ref="E19" r:id="rId14" xr:uid="{00000000-0004-0000-0500-00000E000000}"/>
    <hyperlink ref="E20" r:id="rId15" xr:uid="{00000000-0004-0000-0500-00000F000000}"/>
    <hyperlink ref="E21" r:id="rId16" xr:uid="{00000000-0004-0000-0500-00001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1:G27"/>
  <sheetViews>
    <sheetView workbookViewId="0">
      <selection activeCell="I12" sqref="I12"/>
    </sheetView>
  </sheetViews>
  <sheetFormatPr baseColWidth="10" defaultColWidth="12.6640625" defaultRowHeight="15.75" customHeight="1"/>
  <cols>
    <col min="1" max="1" width="3.5" style="43" customWidth="1"/>
    <col min="2" max="2" width="24.33203125" style="43" customWidth="1"/>
    <col min="3" max="6" width="12.6640625" style="43"/>
    <col min="7" max="7" width="3.5" style="43" customWidth="1"/>
    <col min="8" max="16384" width="12.6640625" style="43"/>
  </cols>
  <sheetData>
    <row r="1" spans="2:7" ht="15.75" customHeight="1">
      <c r="G1" s="137" t="s">
        <v>43</v>
      </c>
    </row>
    <row r="2" spans="2:7" ht="15.75" customHeight="1">
      <c r="B2" s="274" t="s">
        <v>17</v>
      </c>
    </row>
    <row r="4" spans="2:7" ht="15.75" customHeight="1">
      <c r="B4" s="138" t="s">
        <v>198</v>
      </c>
    </row>
    <row r="5" spans="2:7" ht="15.75" customHeight="1">
      <c r="B5" s="146" t="s">
        <v>199</v>
      </c>
      <c r="C5" s="146" t="s">
        <v>65</v>
      </c>
      <c r="D5" s="157" t="s">
        <v>200</v>
      </c>
      <c r="E5" s="157" t="s">
        <v>201</v>
      </c>
      <c r="F5" s="275" t="s">
        <v>202</v>
      </c>
    </row>
    <row r="6" spans="2:7" ht="15.75" customHeight="1">
      <c r="B6" s="146" t="s">
        <v>203</v>
      </c>
      <c r="C6" s="143" t="s">
        <v>204</v>
      </c>
      <c r="D6" s="276">
        <v>75</v>
      </c>
      <c r="E6" s="276">
        <v>75</v>
      </c>
      <c r="F6" s="277">
        <v>75</v>
      </c>
      <c r="G6" s="136" t="s">
        <v>205</v>
      </c>
    </row>
    <row r="7" spans="2:7" ht="15.75" customHeight="1">
      <c r="B7" s="159" t="s">
        <v>206</v>
      </c>
      <c r="C7" s="144" t="s">
        <v>207</v>
      </c>
      <c r="D7" s="161">
        <v>20</v>
      </c>
      <c r="E7" s="161">
        <v>36</v>
      </c>
      <c r="F7" s="278">
        <v>48</v>
      </c>
      <c r="G7" s="136" t="s">
        <v>205</v>
      </c>
    </row>
    <row r="8" spans="2:7" ht="15.75" customHeight="1">
      <c r="B8" s="159" t="s">
        <v>208</v>
      </c>
      <c r="C8" s="144" t="s">
        <v>209</v>
      </c>
      <c r="D8" s="161">
        <v>0.9</v>
      </c>
      <c r="E8" s="161">
        <v>3.6</v>
      </c>
      <c r="F8" s="278">
        <v>12.7</v>
      </c>
    </row>
    <row r="9" spans="2:7" ht="15.75" customHeight="1">
      <c r="B9" s="159" t="s">
        <v>210</v>
      </c>
      <c r="C9" s="144" t="s">
        <v>211</v>
      </c>
      <c r="D9" s="161">
        <v>30</v>
      </c>
      <c r="E9" s="161">
        <v>30</v>
      </c>
      <c r="F9" s="278">
        <v>40</v>
      </c>
      <c r="G9" s="136" t="s">
        <v>205</v>
      </c>
    </row>
    <row r="10" spans="2:7" ht="15.75" customHeight="1">
      <c r="B10" s="159" t="s">
        <v>212</v>
      </c>
      <c r="C10" s="144" t="s">
        <v>211</v>
      </c>
      <c r="D10" s="161">
        <v>50</v>
      </c>
      <c r="E10" s="161">
        <v>50</v>
      </c>
      <c r="F10" s="278">
        <v>80</v>
      </c>
      <c r="G10" s="136" t="s">
        <v>205</v>
      </c>
    </row>
    <row r="11" spans="2:7" ht="15.75" customHeight="1">
      <c r="B11" s="159" t="s">
        <v>213</v>
      </c>
      <c r="C11" s="144" t="s">
        <v>67</v>
      </c>
      <c r="D11" s="279">
        <v>0.56999999999999995</v>
      </c>
      <c r="E11" s="279">
        <v>0.56999999999999995</v>
      </c>
      <c r="F11" s="280">
        <v>0.56999999999999995</v>
      </c>
      <c r="G11" s="136" t="s">
        <v>205</v>
      </c>
    </row>
    <row r="12" spans="2:7" ht="15.75" customHeight="1">
      <c r="B12" s="159" t="s">
        <v>214</v>
      </c>
      <c r="C12" s="144" t="s">
        <v>215</v>
      </c>
      <c r="D12" s="161">
        <v>6</v>
      </c>
      <c r="E12" s="161">
        <v>40</v>
      </c>
      <c r="F12" s="278">
        <v>183</v>
      </c>
    </row>
    <row r="13" spans="2:7" ht="15.75" customHeight="1">
      <c r="B13" s="159" t="s">
        <v>216</v>
      </c>
      <c r="C13" s="144" t="s">
        <v>217</v>
      </c>
      <c r="D13" s="161">
        <v>1.8</v>
      </c>
      <c r="E13" s="161">
        <v>2.6</v>
      </c>
      <c r="F13" s="278">
        <v>3.2</v>
      </c>
      <c r="G13" s="136" t="s">
        <v>205</v>
      </c>
    </row>
    <row r="14" spans="2:7" ht="15.75" customHeight="1">
      <c r="B14" s="159" t="s">
        <v>218</v>
      </c>
      <c r="C14" s="144" t="s">
        <v>217</v>
      </c>
      <c r="D14" s="161">
        <v>0.3</v>
      </c>
      <c r="E14" s="161">
        <v>0.5</v>
      </c>
      <c r="F14" s="278">
        <v>0.6</v>
      </c>
      <c r="G14" s="136" t="s">
        <v>205</v>
      </c>
    </row>
    <row r="15" spans="2:7" ht="15.75" customHeight="1">
      <c r="B15" s="159" t="s">
        <v>219</v>
      </c>
      <c r="C15" s="144" t="s">
        <v>220</v>
      </c>
      <c r="D15" s="161">
        <v>4</v>
      </c>
      <c r="E15" s="161">
        <v>4</v>
      </c>
      <c r="F15" s="278">
        <v>4</v>
      </c>
      <c r="G15" s="136"/>
    </row>
    <row r="16" spans="2:7" ht="15.75" customHeight="1">
      <c r="B16" s="159" t="s">
        <v>221</v>
      </c>
      <c r="C16" s="144" t="s">
        <v>222</v>
      </c>
      <c r="D16" s="161">
        <v>5</v>
      </c>
      <c r="E16" s="161">
        <v>5</v>
      </c>
      <c r="F16" s="278">
        <v>5</v>
      </c>
    </row>
    <row r="17" spans="2:6" ht="15.75" customHeight="1">
      <c r="B17" s="160" t="s">
        <v>223</v>
      </c>
      <c r="C17" s="145" t="s">
        <v>217</v>
      </c>
      <c r="D17" s="166">
        <f t="shared" ref="D17:F17" si="0">D15*D12/200+D13</f>
        <v>1.92</v>
      </c>
      <c r="E17" s="166">
        <f t="shared" si="0"/>
        <v>3.4000000000000004</v>
      </c>
      <c r="F17" s="281">
        <f t="shared" si="0"/>
        <v>6.86</v>
      </c>
    </row>
    <row r="19" spans="2:6" ht="15.75" customHeight="1">
      <c r="B19" s="146" t="s">
        <v>224</v>
      </c>
      <c r="C19" s="157" t="s">
        <v>225</v>
      </c>
      <c r="D19" s="157">
        <f t="shared" ref="D19:F19" si="1">D7*2.54/100</f>
        <v>0.50800000000000001</v>
      </c>
      <c r="E19" s="157">
        <f t="shared" si="1"/>
        <v>0.91439999999999999</v>
      </c>
      <c r="F19" s="142">
        <f t="shared" si="1"/>
        <v>1.2192000000000001</v>
      </c>
    </row>
    <row r="20" spans="2:6" ht="15.75" customHeight="1">
      <c r="B20" s="159" t="s">
        <v>226</v>
      </c>
      <c r="C20" s="161" t="s">
        <v>227</v>
      </c>
      <c r="D20" s="161">
        <f t="shared" ref="D20:F20" si="2">PI()*(D19/2)^2*D16*1000</f>
        <v>1013.4149581949956</v>
      </c>
      <c r="E20" s="161">
        <f t="shared" si="2"/>
        <v>3283.4644645517851</v>
      </c>
      <c r="F20" s="165">
        <f t="shared" si="2"/>
        <v>5837.2701592031735</v>
      </c>
    </row>
    <row r="21" spans="2:6" ht="15.75" customHeight="1">
      <c r="B21" s="282" t="s">
        <v>228</v>
      </c>
      <c r="C21" s="166" t="s">
        <v>229</v>
      </c>
      <c r="D21" s="166">
        <f t="shared" ref="D21:F21" si="3">D20*2.53/1000</f>
        <v>2.5639398442333388</v>
      </c>
      <c r="E21" s="166">
        <f t="shared" si="3"/>
        <v>8.3071650953160159</v>
      </c>
      <c r="F21" s="283">
        <f t="shared" si="3"/>
        <v>14.768293502784029</v>
      </c>
    </row>
    <row r="23" spans="2:6" ht="15.75" customHeight="1">
      <c r="B23" s="146" t="s">
        <v>230</v>
      </c>
      <c r="C23" s="276" t="s">
        <v>231</v>
      </c>
      <c r="D23" s="286">
        <f>2500000*0.054</f>
        <v>135000</v>
      </c>
    </row>
    <row r="24" spans="2:6" ht="15.75" customHeight="1">
      <c r="B24" s="284" t="s">
        <v>232</v>
      </c>
      <c r="C24" s="287" t="s">
        <v>231</v>
      </c>
      <c r="D24" s="283">
        <f>D23/8760</f>
        <v>15.41095890410959</v>
      </c>
      <c r="E24" s="136" t="s">
        <v>233</v>
      </c>
    </row>
    <row r="26" spans="2:6" ht="15.75" customHeight="1">
      <c r="B26" s="285" t="s">
        <v>17</v>
      </c>
      <c r="C26" s="288" t="s">
        <v>234</v>
      </c>
      <c r="D26" s="289">
        <f>F17/D24</f>
        <v>0.4451377777777778</v>
      </c>
    </row>
    <row r="27" spans="2:6" ht="15.75" customHeight="1">
      <c r="D27" s="136"/>
    </row>
  </sheetData>
  <hyperlinks>
    <hyperlink ref="G1" location="Index!A1" display="←" xr:uid="{00000000-0004-0000-0600-000000000000}"/>
    <hyperlink ref="B4" r:id="rId1" xr:uid="{00000000-0004-0000-0600-000001000000}"/>
    <hyperlink ref="B21" r:id="rId2" xr:uid="{00000000-0004-0000-0600-000002000000}"/>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38"/>
  <sheetViews>
    <sheetView workbookViewId="0">
      <selection activeCell="K13" sqref="K13:K14"/>
    </sheetView>
  </sheetViews>
  <sheetFormatPr baseColWidth="10" defaultColWidth="12.6640625" defaultRowHeight="15.75" customHeight="1"/>
  <cols>
    <col min="1" max="1" width="3.6640625" style="43" customWidth="1"/>
    <col min="2" max="2" width="33.33203125" style="43" customWidth="1"/>
    <col min="3" max="4" width="12.6640625" style="43"/>
    <col min="5" max="5" width="23" style="43" customWidth="1"/>
    <col min="6" max="6" width="24.6640625" style="43" customWidth="1"/>
    <col min="7" max="7" width="12.6640625" style="43"/>
    <col min="8" max="8" width="3.83203125" style="43" customWidth="1"/>
    <col min="9" max="16384" width="12.6640625" style="43"/>
  </cols>
  <sheetData>
    <row r="1" spans="1:8" ht="15.75" customHeight="1">
      <c r="A1" s="49"/>
      <c r="B1" s="49"/>
      <c r="C1" s="49"/>
      <c r="D1" s="49"/>
      <c r="E1" s="49"/>
      <c r="F1" s="49"/>
      <c r="G1" s="49"/>
      <c r="H1" s="137" t="s">
        <v>43</v>
      </c>
    </row>
    <row r="2" spans="1:8" ht="15.75" customHeight="1">
      <c r="A2" s="49"/>
      <c r="B2" s="119" t="s">
        <v>20</v>
      </c>
      <c r="C2" s="49"/>
      <c r="D2" s="49"/>
      <c r="E2" s="49"/>
      <c r="F2" s="49"/>
      <c r="G2" s="49"/>
      <c r="H2" s="49"/>
    </row>
    <row r="3" spans="1:8" ht="15.75" customHeight="1">
      <c r="A3" s="49"/>
      <c r="B3" s="49"/>
      <c r="C3" s="49"/>
      <c r="D3" s="49"/>
      <c r="E3" s="49"/>
      <c r="F3" s="49"/>
      <c r="G3" s="49"/>
      <c r="H3" s="49"/>
    </row>
    <row r="4" spans="1:8" ht="15.75" customHeight="1">
      <c r="A4" s="49"/>
      <c r="B4" s="298" t="s">
        <v>235</v>
      </c>
      <c r="C4" s="299" t="s">
        <v>236</v>
      </c>
      <c r="D4" s="300" t="s">
        <v>177</v>
      </c>
      <c r="E4" s="300" t="s">
        <v>201</v>
      </c>
      <c r="F4" s="299" t="s">
        <v>179</v>
      </c>
      <c r="G4" s="49"/>
      <c r="H4" s="49"/>
    </row>
    <row r="5" spans="1:8" ht="15.75" customHeight="1">
      <c r="A5" s="49"/>
      <c r="B5" s="301" t="s">
        <v>237</v>
      </c>
      <c r="C5" s="177" t="s">
        <v>238</v>
      </c>
      <c r="D5" s="135">
        <f t="shared" ref="D5:D10" si="0">E5*0.9</f>
        <v>138.36349802868887</v>
      </c>
      <c r="E5" s="31">
        <f>D19</f>
        <v>153.73722003187652</v>
      </c>
      <c r="F5" s="290">
        <f t="shared" ref="F5:F10" si="1">E5*1.1</f>
        <v>169.11094203506417</v>
      </c>
      <c r="G5" s="49"/>
      <c r="H5" s="49"/>
    </row>
    <row r="6" spans="1:8" ht="15.75" customHeight="1">
      <c r="A6" s="49"/>
      <c r="B6" s="301" t="s">
        <v>239</v>
      </c>
      <c r="C6" s="177" t="s">
        <v>238</v>
      </c>
      <c r="D6" s="135">
        <f t="shared" si="0"/>
        <v>94.545613413304253</v>
      </c>
      <c r="E6" s="32">
        <f>D17</f>
        <v>105.05068157033806</v>
      </c>
      <c r="F6" s="290">
        <f t="shared" si="1"/>
        <v>115.55574972737188</v>
      </c>
      <c r="G6" s="49"/>
      <c r="H6" s="49"/>
    </row>
    <row r="7" spans="1:8" ht="15.75" customHeight="1">
      <c r="A7" s="49"/>
      <c r="B7" s="301" t="s">
        <v>240</v>
      </c>
      <c r="C7" s="177" t="s">
        <v>238</v>
      </c>
      <c r="D7" s="135">
        <f t="shared" si="0"/>
        <v>94.545613413304253</v>
      </c>
      <c r="E7" s="33">
        <f t="shared" ref="E7:E8" si="2">D17</f>
        <v>105.05068157033806</v>
      </c>
      <c r="F7" s="290">
        <f t="shared" si="1"/>
        <v>115.55574972737188</v>
      </c>
      <c r="G7" s="49"/>
      <c r="H7" s="49"/>
    </row>
    <row r="8" spans="1:8" ht="15.75" customHeight="1">
      <c r="A8" s="49"/>
      <c r="B8" s="301" t="s">
        <v>240</v>
      </c>
      <c r="C8" s="177" t="s">
        <v>238</v>
      </c>
      <c r="D8" s="135">
        <f t="shared" si="0"/>
        <v>142.78042110561196</v>
      </c>
      <c r="E8" s="33">
        <f t="shared" si="2"/>
        <v>158.64491233956883</v>
      </c>
      <c r="F8" s="290">
        <f t="shared" si="1"/>
        <v>174.50940357352573</v>
      </c>
      <c r="G8" s="49"/>
      <c r="H8" s="49"/>
    </row>
    <row r="9" spans="1:8" ht="15.75" customHeight="1">
      <c r="A9" s="49"/>
      <c r="B9" s="301" t="s">
        <v>241</v>
      </c>
      <c r="C9" s="177" t="s">
        <v>238</v>
      </c>
      <c r="D9" s="135">
        <f t="shared" si="0"/>
        <v>107.04628953107959</v>
      </c>
      <c r="E9" s="34">
        <f>D21+D35</f>
        <v>118.94032170119955</v>
      </c>
      <c r="F9" s="290">
        <f t="shared" si="1"/>
        <v>130.83435387131951</v>
      </c>
      <c r="G9" s="49"/>
      <c r="H9" s="49"/>
    </row>
    <row r="10" spans="1:8" ht="15.75" customHeight="1">
      <c r="A10" s="49"/>
      <c r="B10" s="302" t="s">
        <v>242</v>
      </c>
      <c r="C10" s="90" t="s">
        <v>238</v>
      </c>
      <c r="D10" s="150">
        <f t="shared" si="0"/>
        <v>112.26344329334788</v>
      </c>
      <c r="E10" s="35">
        <f>D20+D30</f>
        <v>124.73715921483097</v>
      </c>
      <c r="F10" s="291">
        <f t="shared" si="1"/>
        <v>137.21087513631409</v>
      </c>
      <c r="G10" s="49"/>
      <c r="H10" s="49"/>
    </row>
    <row r="11" spans="1:8" ht="15.75" customHeight="1">
      <c r="A11" s="49"/>
      <c r="B11" s="49"/>
      <c r="C11" s="49"/>
      <c r="D11" s="49"/>
      <c r="E11" s="49"/>
      <c r="F11" s="49"/>
      <c r="G11" s="49"/>
      <c r="H11" s="49"/>
    </row>
    <row r="12" spans="1:8" ht="15.75" customHeight="1">
      <c r="A12" s="49"/>
      <c r="B12" s="119" t="s">
        <v>243</v>
      </c>
      <c r="C12" s="49"/>
      <c r="D12" s="49"/>
      <c r="E12" s="49"/>
      <c r="F12" s="49"/>
      <c r="G12" s="49"/>
      <c r="H12" s="49"/>
    </row>
    <row r="13" spans="1:8" ht="15.75" customHeight="1">
      <c r="A13" s="49"/>
      <c r="B13" s="298" t="s">
        <v>235</v>
      </c>
      <c r="C13" s="300" t="s">
        <v>236</v>
      </c>
      <c r="D13" s="300" t="s">
        <v>244</v>
      </c>
      <c r="E13" s="300" t="s">
        <v>122</v>
      </c>
      <c r="F13" s="300" t="s">
        <v>131</v>
      </c>
      <c r="G13" s="299" t="s">
        <v>245</v>
      </c>
      <c r="H13" s="49"/>
    </row>
    <row r="14" spans="1:8" ht="15.75" customHeight="1">
      <c r="A14" s="49"/>
      <c r="B14" s="301" t="s">
        <v>246</v>
      </c>
      <c r="C14" s="49" t="s">
        <v>238</v>
      </c>
      <c r="D14" s="135">
        <f>AVERAGE(73,90)*C37</f>
        <v>118.175</v>
      </c>
      <c r="E14" s="50" t="s">
        <v>247</v>
      </c>
      <c r="F14" s="292" t="s">
        <v>248</v>
      </c>
      <c r="G14" s="177" t="s">
        <v>249</v>
      </c>
      <c r="H14" s="49"/>
    </row>
    <row r="15" spans="1:8" ht="15.75" customHeight="1">
      <c r="A15" s="49"/>
      <c r="B15" s="301" t="s">
        <v>250</v>
      </c>
      <c r="C15" s="49" t="s">
        <v>238</v>
      </c>
      <c r="D15" s="135">
        <f>110/65*68*C37</f>
        <v>166.86153846153846</v>
      </c>
      <c r="E15" s="50" t="s">
        <v>251</v>
      </c>
      <c r="F15" s="292" t="s">
        <v>248</v>
      </c>
      <c r="G15" s="177" t="s">
        <v>249</v>
      </c>
      <c r="H15" s="49"/>
    </row>
    <row r="16" spans="1:8" ht="15.75" customHeight="1">
      <c r="A16" s="49"/>
      <c r="B16" s="301" t="s">
        <v>250</v>
      </c>
      <c r="C16" s="49" t="s">
        <v>238</v>
      </c>
      <c r="D16" s="135">
        <f>110/65*70*C37</f>
        <v>171.76923076923077</v>
      </c>
      <c r="E16" s="50" t="s">
        <v>251</v>
      </c>
      <c r="F16" s="292" t="s">
        <v>248</v>
      </c>
      <c r="G16" s="177" t="s">
        <v>249</v>
      </c>
      <c r="H16" s="49"/>
    </row>
    <row r="17" spans="1:8" ht="15.75" customHeight="1">
      <c r="A17" s="15"/>
      <c r="B17" s="301" t="s">
        <v>252</v>
      </c>
      <c r="C17" s="49" t="s">
        <v>238</v>
      </c>
      <c r="D17" s="33">
        <f>D14-D27</f>
        <v>105.05068157033806</v>
      </c>
      <c r="E17" s="49"/>
      <c r="F17" s="49"/>
      <c r="G17" s="177"/>
      <c r="H17" s="49"/>
    </row>
    <row r="18" spans="1:8" ht="15.75" customHeight="1">
      <c r="A18" s="15"/>
      <c r="B18" s="301" t="s">
        <v>253</v>
      </c>
      <c r="C18" s="49" t="s">
        <v>238</v>
      </c>
      <c r="D18" s="30">
        <f>D16-D27</f>
        <v>158.64491233956883</v>
      </c>
      <c r="E18" s="49"/>
      <c r="F18" s="49"/>
      <c r="G18" s="177"/>
      <c r="H18" s="49"/>
    </row>
    <row r="19" spans="1:8" ht="15.75" customHeight="1">
      <c r="A19" s="15"/>
      <c r="B19" s="301" t="s">
        <v>254</v>
      </c>
      <c r="C19" s="49" t="s">
        <v>238</v>
      </c>
      <c r="D19" s="30">
        <f>D15-D27</f>
        <v>153.73722003187652</v>
      </c>
      <c r="E19" s="49" t="s">
        <v>255</v>
      </c>
      <c r="F19" s="49"/>
      <c r="G19" s="177"/>
      <c r="H19" s="49"/>
    </row>
    <row r="20" spans="1:8" ht="15.75" customHeight="1">
      <c r="A20" s="15"/>
      <c r="B20" s="301" t="s">
        <v>256</v>
      </c>
      <c r="C20" s="49" t="s">
        <v>238</v>
      </c>
      <c r="D20" s="36">
        <f>D17+D30</f>
        <v>114.8939203925845</v>
      </c>
      <c r="E20" s="49"/>
      <c r="F20" s="49"/>
      <c r="G20" s="177"/>
      <c r="H20" s="49"/>
    </row>
    <row r="21" spans="1:8" ht="15.75" customHeight="1">
      <c r="A21" s="15"/>
      <c r="B21" s="302" t="s">
        <v>257</v>
      </c>
      <c r="C21" s="89" t="s">
        <v>238</v>
      </c>
      <c r="D21" s="37">
        <f>D17+D35</f>
        <v>111.9955016357688</v>
      </c>
      <c r="E21" s="89"/>
      <c r="F21" s="89"/>
      <c r="G21" s="90"/>
      <c r="H21" s="49"/>
    </row>
    <row r="22" spans="1:8" ht="15.75" customHeight="1">
      <c r="A22" s="49"/>
      <c r="B22" s="49"/>
      <c r="C22" s="49"/>
      <c r="D22" s="49"/>
      <c r="E22" s="49"/>
      <c r="F22" s="49"/>
      <c r="G22" s="49"/>
      <c r="H22" s="49"/>
    </row>
    <row r="23" spans="1:8" ht="15.75" customHeight="1">
      <c r="A23" s="49"/>
      <c r="B23" s="119" t="s">
        <v>258</v>
      </c>
      <c r="C23" s="49"/>
      <c r="D23" s="49"/>
      <c r="E23" s="49"/>
      <c r="F23" s="49"/>
      <c r="G23" s="49"/>
      <c r="H23" s="49"/>
    </row>
    <row r="24" spans="1:8" ht="15.75" customHeight="1">
      <c r="A24" s="49"/>
      <c r="B24" s="63" t="s">
        <v>235</v>
      </c>
      <c r="C24" s="300" t="s">
        <v>236</v>
      </c>
      <c r="D24" s="300" t="s">
        <v>244</v>
      </c>
      <c r="E24" s="300" t="s">
        <v>122</v>
      </c>
      <c r="F24" s="300" t="s">
        <v>131</v>
      </c>
      <c r="G24" s="299" t="s">
        <v>245</v>
      </c>
      <c r="H24" s="49"/>
    </row>
    <row r="25" spans="1:8" ht="15.75" customHeight="1">
      <c r="A25" s="49"/>
      <c r="B25" s="303" t="s">
        <v>259</v>
      </c>
      <c r="C25" s="82" t="s">
        <v>67</v>
      </c>
      <c r="D25" s="180">
        <v>8.3000000000000004E-2</v>
      </c>
      <c r="E25" s="49"/>
      <c r="F25" s="293" t="s">
        <v>260</v>
      </c>
      <c r="G25" s="294" t="s">
        <v>261</v>
      </c>
      <c r="H25" s="49"/>
    </row>
    <row r="26" spans="1:8" ht="15.75" customHeight="1">
      <c r="A26" s="49"/>
      <c r="B26" s="301" t="s">
        <v>262</v>
      </c>
      <c r="C26" s="49" t="s">
        <v>263</v>
      </c>
      <c r="D26" s="135">
        <f>8.3*C37</f>
        <v>12.035</v>
      </c>
      <c r="E26" s="50" t="s">
        <v>264</v>
      </c>
      <c r="F26" s="292" t="s">
        <v>260</v>
      </c>
      <c r="G26" s="177" t="s">
        <v>265</v>
      </c>
      <c r="H26" s="49"/>
    </row>
    <row r="27" spans="1:8" ht="15.75" customHeight="1">
      <c r="A27" s="49"/>
      <c r="B27" s="301" t="s">
        <v>266</v>
      </c>
      <c r="C27" s="49" t="s">
        <v>267</v>
      </c>
      <c r="D27" s="135">
        <f>D26/(1-D25)</f>
        <v>13.12431842966194</v>
      </c>
      <c r="E27" s="49" t="s">
        <v>268</v>
      </c>
      <c r="F27" s="49"/>
      <c r="G27" s="177"/>
      <c r="H27" s="49"/>
    </row>
    <row r="28" spans="1:8" ht="15.75" customHeight="1">
      <c r="A28" s="49"/>
      <c r="B28" s="301" t="s">
        <v>269</v>
      </c>
      <c r="C28" s="49" t="s">
        <v>270</v>
      </c>
      <c r="D28" s="135">
        <v>10</v>
      </c>
      <c r="E28" s="49"/>
      <c r="F28" s="295" t="s">
        <v>271</v>
      </c>
      <c r="G28" s="177"/>
      <c r="H28" s="49"/>
    </row>
    <row r="29" spans="1:8" ht="15.75" customHeight="1">
      <c r="A29" s="49"/>
      <c r="B29" s="301" t="s">
        <v>272</v>
      </c>
      <c r="C29" s="49" t="s">
        <v>270</v>
      </c>
      <c r="D29" s="135">
        <v>7.5</v>
      </c>
      <c r="E29" s="49"/>
      <c r="F29" s="295" t="s">
        <v>273</v>
      </c>
      <c r="G29" s="177"/>
      <c r="H29" s="49"/>
    </row>
    <row r="30" spans="1:8" ht="15.75" customHeight="1">
      <c r="A30" s="49"/>
      <c r="B30" s="151" t="s">
        <v>274</v>
      </c>
      <c r="C30" s="149" t="s">
        <v>238</v>
      </c>
      <c r="D30" s="179">
        <f>D29/D28*D27</f>
        <v>9.8432388222464553</v>
      </c>
      <c r="E30" s="149" t="s">
        <v>275</v>
      </c>
      <c r="F30" s="52"/>
      <c r="G30" s="96"/>
      <c r="H30" s="49"/>
    </row>
    <row r="31" spans="1:8" ht="15.75" customHeight="1">
      <c r="A31" s="49"/>
      <c r="B31" s="301" t="s">
        <v>276</v>
      </c>
      <c r="C31" s="49" t="s">
        <v>263</v>
      </c>
      <c r="D31" s="135">
        <f>18.3*C37</f>
        <v>26.535</v>
      </c>
      <c r="E31" s="49" t="s">
        <v>277</v>
      </c>
      <c r="F31" s="47" t="s">
        <v>260</v>
      </c>
      <c r="G31" s="177" t="s">
        <v>278</v>
      </c>
      <c r="H31" s="49"/>
    </row>
    <row r="32" spans="1:8" ht="15.75" customHeight="1">
      <c r="A32" s="49"/>
      <c r="B32" s="301" t="s">
        <v>279</v>
      </c>
      <c r="C32" s="49" t="s">
        <v>267</v>
      </c>
      <c r="D32" s="135">
        <f>D31/(1-D25)</f>
        <v>28.936750272628135</v>
      </c>
      <c r="E32" s="49" t="s">
        <v>268</v>
      </c>
      <c r="F32" s="49"/>
      <c r="G32" s="177"/>
      <c r="H32" s="49"/>
    </row>
    <row r="33" spans="1:8" ht="15.75" customHeight="1">
      <c r="A33" s="49"/>
      <c r="B33" s="301" t="s">
        <v>280</v>
      </c>
      <c r="C33" s="49" t="s">
        <v>270</v>
      </c>
      <c r="D33" s="135">
        <v>12.5</v>
      </c>
      <c r="E33" s="49"/>
      <c r="F33" s="295" t="s">
        <v>281</v>
      </c>
      <c r="G33" s="177"/>
      <c r="H33" s="49"/>
    </row>
    <row r="34" spans="1:8" ht="15.75" customHeight="1">
      <c r="A34" s="49"/>
      <c r="B34" s="302" t="s">
        <v>280</v>
      </c>
      <c r="C34" s="89" t="s">
        <v>270</v>
      </c>
      <c r="D34" s="150">
        <v>3</v>
      </c>
      <c r="E34" s="89"/>
      <c r="F34" s="296" t="s">
        <v>282</v>
      </c>
      <c r="G34" s="90"/>
      <c r="H34" s="49"/>
    </row>
    <row r="35" spans="1:8" ht="15.75" customHeight="1">
      <c r="A35" s="49"/>
      <c r="B35" s="190" t="s">
        <v>283</v>
      </c>
      <c r="C35" s="178" t="s">
        <v>238</v>
      </c>
      <c r="D35" s="179">
        <f>(D34/D33)*D32</f>
        <v>6.9448200654307524</v>
      </c>
      <c r="E35" s="149" t="s">
        <v>284</v>
      </c>
      <c r="F35" s="52"/>
      <c r="G35" s="96"/>
      <c r="H35" s="49"/>
    </row>
    <row r="36" spans="1:8" ht="15.75" customHeight="1">
      <c r="A36" s="49"/>
      <c r="B36" s="49"/>
      <c r="C36" s="49"/>
      <c r="D36" s="49"/>
      <c r="E36" s="49"/>
      <c r="F36" s="49"/>
      <c r="G36" s="49"/>
      <c r="H36" s="49"/>
    </row>
    <row r="37" spans="1:8" ht="15.75" customHeight="1">
      <c r="A37" s="49"/>
      <c r="B37" s="298" t="s">
        <v>285</v>
      </c>
      <c r="C37" s="297">
        <v>1.45</v>
      </c>
      <c r="D37" s="49"/>
      <c r="E37" s="49"/>
      <c r="F37" s="49"/>
      <c r="G37" s="49"/>
      <c r="H37" s="49"/>
    </row>
    <row r="38" spans="1:8" ht="15.75" customHeight="1">
      <c r="A38" s="49"/>
      <c r="B38" s="49"/>
      <c r="C38" s="49"/>
      <c r="D38" s="49"/>
      <c r="E38" s="49"/>
      <c r="F38" s="49"/>
      <c r="G38" s="49"/>
      <c r="H38" s="49"/>
    </row>
  </sheetData>
  <hyperlinks>
    <hyperlink ref="H1" location="Index!A1" display="←" xr:uid="{00000000-0004-0000-0700-000000000000}"/>
    <hyperlink ref="F14" r:id="rId1" xr:uid="{00000000-0004-0000-0700-000001000000}"/>
    <hyperlink ref="F15" r:id="rId2" xr:uid="{00000000-0004-0000-0700-000002000000}"/>
    <hyperlink ref="F16" r:id="rId3" xr:uid="{00000000-0004-0000-0700-000003000000}"/>
    <hyperlink ref="F25" r:id="rId4" xr:uid="{00000000-0004-0000-0700-000004000000}"/>
    <hyperlink ref="F26" r:id="rId5" xr:uid="{00000000-0004-0000-0700-000005000000}"/>
    <hyperlink ref="F28" r:id="rId6" xr:uid="{00000000-0004-0000-0700-000006000000}"/>
    <hyperlink ref="F29" r:id="rId7" xr:uid="{00000000-0004-0000-0700-000007000000}"/>
    <hyperlink ref="F31" r:id="rId8" xr:uid="{00000000-0004-0000-0700-000008000000}"/>
    <hyperlink ref="F33" r:id="rId9" xr:uid="{00000000-0004-0000-0700-000009000000}"/>
    <hyperlink ref="F34" r:id="rId10" xr:uid="{00000000-0004-0000-0700-00000A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T30"/>
  <sheetViews>
    <sheetView workbookViewId="0">
      <selection activeCell="P22" sqref="P22"/>
    </sheetView>
  </sheetViews>
  <sheetFormatPr baseColWidth="10" defaultColWidth="12.6640625" defaultRowHeight="15.75" customHeight="1"/>
  <cols>
    <col min="1" max="1" width="3.83203125" style="43" customWidth="1"/>
    <col min="2" max="2" width="13.1640625" style="43" customWidth="1"/>
    <col min="3" max="3" width="15.5" style="43" customWidth="1"/>
    <col min="4" max="4" width="13.1640625" style="43" customWidth="1"/>
    <col min="5" max="10" width="12.6640625" style="43"/>
    <col min="11" max="11" width="13.1640625" style="43" customWidth="1"/>
    <col min="12" max="17" width="12.6640625" style="43"/>
    <col min="18" max="18" width="16" style="43" customWidth="1"/>
    <col min="19" max="19" width="17.5" style="43" customWidth="1"/>
    <col min="20" max="20" width="4.5" style="43" customWidth="1"/>
    <col min="21" max="16384" width="12.6640625" style="43"/>
  </cols>
  <sheetData>
    <row r="1" spans="1:20" ht="15.75" customHeight="1">
      <c r="H1" s="136"/>
      <c r="T1" s="137" t="s">
        <v>43</v>
      </c>
    </row>
    <row r="2" spans="1:20" ht="15.75" customHeight="1">
      <c r="B2" s="274" t="s">
        <v>286</v>
      </c>
      <c r="H2" s="136"/>
      <c r="T2" s="304"/>
    </row>
    <row r="3" spans="1:20" ht="15.75" customHeight="1">
      <c r="H3" s="136"/>
    </row>
    <row r="4" spans="1:20" ht="15.75" customHeight="1">
      <c r="B4" s="308" t="s">
        <v>287</v>
      </c>
      <c r="C4" s="309" t="s">
        <v>2</v>
      </c>
      <c r="D4" s="309" t="s">
        <v>288</v>
      </c>
      <c r="E4" s="309" t="s">
        <v>289</v>
      </c>
      <c r="F4" s="309" t="s">
        <v>290</v>
      </c>
      <c r="G4" s="309" t="s">
        <v>291</v>
      </c>
      <c r="H4" s="309" t="s">
        <v>292</v>
      </c>
      <c r="I4" s="309" t="s">
        <v>293</v>
      </c>
      <c r="J4" s="309" t="s">
        <v>294</v>
      </c>
      <c r="K4" s="309" t="s">
        <v>295</v>
      </c>
      <c r="L4" s="309" t="s">
        <v>296</v>
      </c>
      <c r="M4" s="309" t="s">
        <v>297</v>
      </c>
      <c r="N4" s="309" t="s">
        <v>298</v>
      </c>
      <c r="O4" s="309" t="s">
        <v>299</v>
      </c>
      <c r="P4" s="309" t="s">
        <v>300</v>
      </c>
      <c r="Q4" s="309" t="s">
        <v>301</v>
      </c>
      <c r="R4" s="310" t="s">
        <v>302</v>
      </c>
      <c r="S4" s="136"/>
      <c r="T4" s="136"/>
    </row>
    <row r="5" spans="1:20" ht="15.75" customHeight="1">
      <c r="B5" s="311" t="s">
        <v>177</v>
      </c>
      <c r="C5" s="161" t="s">
        <v>23</v>
      </c>
      <c r="D5" s="161" t="s">
        <v>303</v>
      </c>
      <c r="E5" s="161">
        <f t="shared" ref="E5:R5" si="0">E11+E12</f>
        <v>10.9482</v>
      </c>
      <c r="F5" s="161">
        <f t="shared" si="0"/>
        <v>10.9482</v>
      </c>
      <c r="G5" s="161">
        <f t="shared" si="0"/>
        <v>7.5420999999999996</v>
      </c>
      <c r="H5" s="161">
        <f t="shared" si="0"/>
        <v>7.5420999999999996</v>
      </c>
      <c r="I5" s="161">
        <f t="shared" si="0"/>
        <v>7.4406999999999996</v>
      </c>
      <c r="J5" s="161">
        <f t="shared" si="0"/>
        <v>7.4406999999999996</v>
      </c>
      <c r="K5" s="161">
        <f t="shared" si="0"/>
        <v>7.8378999999999994</v>
      </c>
      <c r="L5" s="161">
        <f t="shared" si="0"/>
        <v>7.8378999999999994</v>
      </c>
      <c r="M5" s="161">
        <f t="shared" si="0"/>
        <v>10.645899999999999</v>
      </c>
      <c r="N5" s="161">
        <f t="shared" si="0"/>
        <v>10.645899999999999</v>
      </c>
      <c r="O5" s="161">
        <f t="shared" si="0"/>
        <v>7.5420999999999996</v>
      </c>
      <c r="P5" s="161">
        <f t="shared" si="0"/>
        <v>7.5420999999999996</v>
      </c>
      <c r="Q5" s="161">
        <f t="shared" si="0"/>
        <v>10.9482</v>
      </c>
      <c r="R5" s="165">
        <f t="shared" si="0"/>
        <v>10.9482</v>
      </c>
      <c r="S5" s="136"/>
      <c r="T5" s="136"/>
    </row>
    <row r="6" spans="1:20" ht="15.75" customHeight="1">
      <c r="B6" s="311" t="s">
        <v>304</v>
      </c>
      <c r="C6" s="161" t="s">
        <v>23</v>
      </c>
      <c r="D6" s="161" t="s">
        <v>303</v>
      </c>
      <c r="E6" s="161">
        <f t="shared" ref="E6:R6" si="1">E13+E14</f>
        <v>12.888199999999999</v>
      </c>
      <c r="F6" s="161">
        <f t="shared" si="1"/>
        <v>12.888199999999999</v>
      </c>
      <c r="G6" s="161">
        <f t="shared" si="1"/>
        <v>9.1521000000000008</v>
      </c>
      <c r="H6" s="161">
        <f t="shared" si="1"/>
        <v>9.1521000000000008</v>
      </c>
      <c r="I6" s="161">
        <f t="shared" si="1"/>
        <v>9.0507000000000009</v>
      </c>
      <c r="J6" s="161">
        <f t="shared" si="1"/>
        <v>9.0507000000000009</v>
      </c>
      <c r="K6" s="161">
        <f t="shared" si="1"/>
        <v>9.4479000000000006</v>
      </c>
      <c r="L6" s="161">
        <f t="shared" si="1"/>
        <v>9.4479000000000006</v>
      </c>
      <c r="M6" s="161">
        <f t="shared" si="1"/>
        <v>13.415899999999999</v>
      </c>
      <c r="N6" s="161">
        <f t="shared" si="1"/>
        <v>13.415899999999999</v>
      </c>
      <c r="O6" s="161">
        <f t="shared" si="1"/>
        <v>9.1521000000000008</v>
      </c>
      <c r="P6" s="161">
        <f t="shared" si="1"/>
        <v>9.1521000000000008</v>
      </c>
      <c r="Q6" s="161">
        <f t="shared" si="1"/>
        <v>12.888199999999999</v>
      </c>
      <c r="R6" s="165">
        <f t="shared" si="1"/>
        <v>12.888199999999999</v>
      </c>
      <c r="S6" s="136"/>
      <c r="T6" s="136"/>
    </row>
    <row r="7" spans="1:20" ht="15.75" customHeight="1">
      <c r="B7" s="284" t="s">
        <v>179</v>
      </c>
      <c r="C7" s="166" t="s">
        <v>23</v>
      </c>
      <c r="D7" s="166" t="s">
        <v>303</v>
      </c>
      <c r="E7" s="166">
        <f t="shared" ref="E7:R7" si="2">E15+E16</f>
        <v>14.7882</v>
      </c>
      <c r="F7" s="166">
        <f t="shared" si="2"/>
        <v>14.7882</v>
      </c>
      <c r="G7" s="166">
        <f t="shared" si="2"/>
        <v>9.4420999999999999</v>
      </c>
      <c r="H7" s="166">
        <f t="shared" si="2"/>
        <v>9.4420999999999999</v>
      </c>
      <c r="I7" s="166">
        <f t="shared" si="2"/>
        <v>9.3407</v>
      </c>
      <c r="J7" s="166">
        <f t="shared" si="2"/>
        <v>9.3407</v>
      </c>
      <c r="K7" s="166">
        <f t="shared" si="2"/>
        <v>9.7378999999999998</v>
      </c>
      <c r="L7" s="166">
        <f t="shared" si="2"/>
        <v>9.7378999999999998</v>
      </c>
      <c r="M7" s="166">
        <f t="shared" si="2"/>
        <v>13.565899999999999</v>
      </c>
      <c r="N7" s="166">
        <f t="shared" si="2"/>
        <v>13.565899999999999</v>
      </c>
      <c r="O7" s="166">
        <f t="shared" si="2"/>
        <v>9.4420999999999999</v>
      </c>
      <c r="P7" s="166">
        <f t="shared" si="2"/>
        <v>9.4420999999999999</v>
      </c>
      <c r="Q7" s="166">
        <f t="shared" si="2"/>
        <v>14.7882</v>
      </c>
      <c r="R7" s="316">
        <f t="shared" si="2"/>
        <v>14.7882</v>
      </c>
      <c r="S7" s="136"/>
      <c r="T7" s="136"/>
    </row>
    <row r="8" spans="1:20" ht="15.75" customHeight="1">
      <c r="B8" s="274"/>
      <c r="H8" s="136"/>
    </row>
    <row r="9" spans="1:20" ht="15.75" customHeight="1">
      <c r="A9" s="140"/>
      <c r="B9" s="305"/>
      <c r="C9" s="140"/>
      <c r="D9" s="140"/>
      <c r="E9" s="140"/>
      <c r="F9" s="140"/>
      <c r="G9" s="140"/>
      <c r="H9" s="140"/>
      <c r="I9" s="140"/>
      <c r="J9" s="140"/>
      <c r="K9" s="140"/>
      <c r="L9" s="140"/>
      <c r="M9" s="140"/>
      <c r="N9" s="140"/>
      <c r="O9" s="140"/>
      <c r="P9" s="140"/>
      <c r="Q9" s="140"/>
      <c r="R9" s="140"/>
      <c r="S9" s="140"/>
    </row>
    <row r="10" spans="1:20" ht="15.75" customHeight="1">
      <c r="B10" s="308" t="s">
        <v>287</v>
      </c>
      <c r="C10" s="309" t="s">
        <v>288</v>
      </c>
      <c r="D10" s="192" t="s">
        <v>305</v>
      </c>
      <c r="E10" s="192" t="s">
        <v>289</v>
      </c>
      <c r="F10" s="192" t="s">
        <v>290</v>
      </c>
      <c r="G10" s="192" t="s">
        <v>291</v>
      </c>
      <c r="H10" s="192" t="s">
        <v>292</v>
      </c>
      <c r="I10" s="192" t="s">
        <v>293</v>
      </c>
      <c r="J10" s="192" t="s">
        <v>294</v>
      </c>
      <c r="K10" s="192" t="s">
        <v>295</v>
      </c>
      <c r="L10" s="192" t="s">
        <v>296</v>
      </c>
      <c r="M10" s="192" t="s">
        <v>297</v>
      </c>
      <c r="N10" s="192" t="s">
        <v>298</v>
      </c>
      <c r="O10" s="192" t="s">
        <v>299</v>
      </c>
      <c r="P10" s="192" t="s">
        <v>300</v>
      </c>
      <c r="Q10" s="192" t="s">
        <v>301</v>
      </c>
      <c r="R10" s="193" t="s">
        <v>302</v>
      </c>
      <c r="S10" s="315" t="s">
        <v>306</v>
      </c>
    </row>
    <row r="11" spans="1:20" ht="15.75" customHeight="1">
      <c r="A11" s="136"/>
      <c r="B11" s="312" t="s">
        <v>177</v>
      </c>
      <c r="C11" s="55" t="s">
        <v>303</v>
      </c>
      <c r="D11" s="55" t="s">
        <v>307</v>
      </c>
      <c r="E11" s="55">
        <v>9.15</v>
      </c>
      <c r="F11" s="55">
        <v>9.15</v>
      </c>
      <c r="G11" s="55">
        <v>6.55</v>
      </c>
      <c r="H11" s="55">
        <v>6.55</v>
      </c>
      <c r="I11" s="55">
        <f>$G11</f>
        <v>6.55</v>
      </c>
      <c r="J11" s="55">
        <f>$H11</f>
        <v>6.55</v>
      </c>
      <c r="K11" s="55">
        <f>$G11</f>
        <v>6.55</v>
      </c>
      <c r="L11" s="55">
        <f>$H11</f>
        <v>6.55</v>
      </c>
      <c r="M11" s="55">
        <v>9.18</v>
      </c>
      <c r="N11" s="55">
        <v>9.18</v>
      </c>
      <c r="O11" s="55">
        <f t="shared" ref="O11:O14" si="3">$G11</f>
        <v>6.55</v>
      </c>
      <c r="P11" s="55">
        <f t="shared" ref="P11:P14" si="4">$H11</f>
        <v>6.55</v>
      </c>
      <c r="Q11" s="55">
        <f t="shared" ref="Q11:Q14" si="5">$E11</f>
        <v>9.15</v>
      </c>
      <c r="R11" s="220">
        <f t="shared" ref="R11:R14" si="6">$F11</f>
        <v>9.15</v>
      </c>
      <c r="S11" s="253" t="s">
        <v>308</v>
      </c>
    </row>
    <row r="12" spans="1:20" ht="15.75" customHeight="1">
      <c r="B12" s="313"/>
      <c r="C12" s="55" t="s">
        <v>303</v>
      </c>
      <c r="D12" s="161" t="s">
        <v>309</v>
      </c>
      <c r="E12" s="55">
        <v>1.7982</v>
      </c>
      <c r="F12" s="55">
        <v>1.7982</v>
      </c>
      <c r="G12" s="55">
        <v>0.99209999999999998</v>
      </c>
      <c r="H12" s="55">
        <v>0.99209999999999998</v>
      </c>
      <c r="I12" s="55">
        <v>0.89070000000000005</v>
      </c>
      <c r="J12" s="55">
        <v>0.89070000000000005</v>
      </c>
      <c r="K12" s="55">
        <v>1.2879</v>
      </c>
      <c r="L12" s="55">
        <v>1.2879</v>
      </c>
      <c r="M12" s="55">
        <v>1.4659</v>
      </c>
      <c r="N12" s="55">
        <v>1.4659</v>
      </c>
      <c r="O12" s="55">
        <f t="shared" si="3"/>
        <v>0.99209999999999998</v>
      </c>
      <c r="P12" s="55">
        <f t="shared" si="4"/>
        <v>0.99209999999999998</v>
      </c>
      <c r="Q12" s="55">
        <f t="shared" si="5"/>
        <v>1.7982</v>
      </c>
      <c r="R12" s="220">
        <f t="shared" si="6"/>
        <v>1.7982</v>
      </c>
      <c r="S12" s="55" t="s">
        <v>310</v>
      </c>
    </row>
    <row r="13" spans="1:20" ht="15.75" customHeight="1">
      <c r="A13" s="136"/>
      <c r="B13" s="312" t="s">
        <v>304</v>
      </c>
      <c r="C13" s="55" t="s">
        <v>303</v>
      </c>
      <c r="D13" s="55" t="s">
        <v>307</v>
      </c>
      <c r="E13" s="55">
        <f>11.09</f>
        <v>11.09</v>
      </c>
      <c r="F13" s="55">
        <v>11.09</v>
      </c>
      <c r="G13" s="55">
        <v>8.16</v>
      </c>
      <c r="H13" s="55">
        <v>8.16</v>
      </c>
      <c r="I13" s="55">
        <f>$G13</f>
        <v>8.16</v>
      </c>
      <c r="J13" s="55">
        <f>$H13</f>
        <v>8.16</v>
      </c>
      <c r="K13" s="55">
        <f>$G13</f>
        <v>8.16</v>
      </c>
      <c r="L13" s="55">
        <f>$H13</f>
        <v>8.16</v>
      </c>
      <c r="M13" s="55">
        <v>11.95</v>
      </c>
      <c r="N13" s="55">
        <v>11.95</v>
      </c>
      <c r="O13" s="55">
        <f t="shared" si="3"/>
        <v>8.16</v>
      </c>
      <c r="P13" s="55">
        <f t="shared" si="4"/>
        <v>8.16</v>
      </c>
      <c r="Q13" s="55">
        <f t="shared" si="5"/>
        <v>11.09</v>
      </c>
      <c r="R13" s="220">
        <f t="shared" si="6"/>
        <v>11.09</v>
      </c>
      <c r="S13" s="253" t="s">
        <v>308</v>
      </c>
    </row>
    <row r="14" spans="1:20" ht="15.75" customHeight="1">
      <c r="B14" s="313"/>
      <c r="C14" s="55" t="s">
        <v>303</v>
      </c>
      <c r="D14" s="161" t="s">
        <v>309</v>
      </c>
      <c r="E14" s="55">
        <v>1.7982</v>
      </c>
      <c r="F14" s="55">
        <v>1.7982</v>
      </c>
      <c r="G14" s="55">
        <v>0.99209999999999998</v>
      </c>
      <c r="H14" s="55">
        <v>0.99209999999999998</v>
      </c>
      <c r="I14" s="55">
        <v>0.89070000000000005</v>
      </c>
      <c r="J14" s="55">
        <v>0.89070000000000005</v>
      </c>
      <c r="K14" s="55">
        <v>1.2879</v>
      </c>
      <c r="L14" s="55">
        <v>1.2879</v>
      </c>
      <c r="M14" s="55">
        <v>1.4659</v>
      </c>
      <c r="N14" s="55">
        <v>1.4659</v>
      </c>
      <c r="O14" s="55">
        <f t="shared" si="3"/>
        <v>0.99209999999999998</v>
      </c>
      <c r="P14" s="55">
        <f t="shared" si="4"/>
        <v>0.99209999999999998</v>
      </c>
      <c r="Q14" s="55">
        <f t="shared" si="5"/>
        <v>1.7982</v>
      </c>
      <c r="R14" s="220">
        <f t="shared" si="6"/>
        <v>1.7982</v>
      </c>
      <c r="S14" s="55" t="s">
        <v>310</v>
      </c>
    </row>
    <row r="15" spans="1:20" ht="15.75" customHeight="1">
      <c r="A15" s="136"/>
      <c r="B15" s="312" t="s">
        <v>179</v>
      </c>
      <c r="C15" s="55" t="s">
        <v>303</v>
      </c>
      <c r="D15" s="55" t="s">
        <v>307</v>
      </c>
      <c r="E15" s="55">
        <v>12.99</v>
      </c>
      <c r="F15" s="55">
        <v>12.99</v>
      </c>
      <c r="G15" s="55">
        <v>8.4499999999999993</v>
      </c>
      <c r="H15" s="55">
        <v>8.4499999999999993</v>
      </c>
      <c r="I15" s="55">
        <v>8.4499999999999993</v>
      </c>
      <c r="J15" s="55">
        <v>8.4499999999999993</v>
      </c>
      <c r="K15" s="55">
        <v>8.4499999999999993</v>
      </c>
      <c r="L15" s="55">
        <v>8.4499999999999993</v>
      </c>
      <c r="M15" s="55">
        <v>12.1</v>
      </c>
      <c r="N15" s="55">
        <v>12.1</v>
      </c>
      <c r="O15" s="55">
        <v>8.4499999999999993</v>
      </c>
      <c r="P15" s="55">
        <v>8.4499999999999993</v>
      </c>
      <c r="Q15" s="55">
        <v>12.99</v>
      </c>
      <c r="R15" s="220">
        <v>12.99</v>
      </c>
      <c r="S15" s="253" t="s">
        <v>308</v>
      </c>
    </row>
    <row r="16" spans="1:20" ht="15.75" customHeight="1">
      <c r="B16" s="314"/>
      <c r="C16" s="317" t="s">
        <v>303</v>
      </c>
      <c r="D16" s="166" t="s">
        <v>309</v>
      </c>
      <c r="E16" s="317">
        <v>1.7982</v>
      </c>
      <c r="F16" s="317">
        <v>1.7982</v>
      </c>
      <c r="G16" s="317">
        <v>0.99209999999999998</v>
      </c>
      <c r="H16" s="317">
        <v>0.99209999999999998</v>
      </c>
      <c r="I16" s="317">
        <v>0.89070000000000005</v>
      </c>
      <c r="J16" s="317">
        <v>0.89070000000000005</v>
      </c>
      <c r="K16" s="317">
        <v>1.2879</v>
      </c>
      <c r="L16" s="317">
        <v>1.2879</v>
      </c>
      <c r="M16" s="317">
        <v>1.4659</v>
      </c>
      <c r="N16" s="317">
        <v>1.4659</v>
      </c>
      <c r="O16" s="317">
        <v>0.99209999999999998</v>
      </c>
      <c r="P16" s="317">
        <v>0.99209999999999998</v>
      </c>
      <c r="Q16" s="317">
        <v>1.7982</v>
      </c>
      <c r="R16" s="225">
        <v>1.7982</v>
      </c>
      <c r="S16" s="55" t="s">
        <v>310</v>
      </c>
    </row>
    <row r="17" spans="1:19" ht="15.75" customHeight="1">
      <c r="D17" s="49"/>
      <c r="E17" s="49"/>
      <c r="F17" s="49"/>
      <c r="G17" s="49"/>
      <c r="H17" s="49"/>
      <c r="I17" s="49"/>
      <c r="J17" s="49"/>
      <c r="K17" s="49"/>
      <c r="L17" s="49"/>
      <c r="M17" s="49"/>
      <c r="N17" s="49"/>
      <c r="O17" s="49"/>
      <c r="P17" s="49"/>
      <c r="Q17" s="49"/>
      <c r="R17" s="49"/>
      <c r="S17" s="49"/>
    </row>
    <row r="18" spans="1:19" ht="15.75" customHeight="1">
      <c r="A18" s="140"/>
      <c r="B18" s="140"/>
      <c r="C18" s="140"/>
      <c r="D18" s="82"/>
      <c r="E18" s="82"/>
      <c r="F18" s="82"/>
      <c r="G18" s="82"/>
      <c r="H18" s="82"/>
      <c r="I18" s="82"/>
      <c r="J18" s="82"/>
      <c r="K18" s="82"/>
      <c r="L18" s="82"/>
      <c r="M18" s="82"/>
      <c r="N18" s="82"/>
      <c r="O18" s="82"/>
      <c r="P18" s="82"/>
      <c r="Q18" s="82"/>
      <c r="R18" s="82"/>
      <c r="S18" s="82"/>
    </row>
    <row r="19" spans="1:19" ht="15.75" customHeight="1">
      <c r="B19" s="274" t="s">
        <v>125</v>
      </c>
      <c r="D19" s="49"/>
      <c r="E19" s="49"/>
      <c r="F19" s="49"/>
      <c r="G19" s="49"/>
      <c r="H19" s="49"/>
      <c r="I19" s="49"/>
      <c r="J19" s="274"/>
      <c r="K19" s="49"/>
      <c r="L19" s="49"/>
      <c r="M19" s="49"/>
      <c r="N19" s="49"/>
    </row>
    <row r="20" spans="1:19" ht="15.75" customHeight="1">
      <c r="B20" s="274"/>
      <c r="D20" s="49"/>
      <c r="E20" s="49"/>
      <c r="F20" s="49"/>
      <c r="G20" s="49"/>
      <c r="H20" s="49"/>
      <c r="I20" s="49"/>
      <c r="J20" s="274"/>
      <c r="K20" s="49"/>
      <c r="L20" s="49"/>
      <c r="M20" s="49"/>
      <c r="N20" s="49"/>
    </row>
    <row r="21" spans="1:19" ht="15.75" customHeight="1">
      <c r="B21" s="274" t="s">
        <v>309</v>
      </c>
      <c r="D21" s="49"/>
      <c r="E21" s="49"/>
      <c r="F21" s="49"/>
      <c r="G21" s="49"/>
      <c r="H21" s="49"/>
      <c r="I21" s="49"/>
      <c r="J21" s="274" t="s">
        <v>307</v>
      </c>
      <c r="K21" s="49"/>
      <c r="L21" s="49"/>
      <c r="M21" s="49"/>
      <c r="N21" s="49"/>
    </row>
    <row r="22" spans="1:19" ht="15.75" customHeight="1">
      <c r="D22" s="49"/>
      <c r="E22" s="49"/>
      <c r="F22" s="49"/>
      <c r="G22" s="49"/>
      <c r="H22" s="49"/>
      <c r="I22" s="49"/>
      <c r="J22" s="49"/>
      <c r="K22" s="49"/>
      <c r="L22" s="49"/>
      <c r="M22" s="49"/>
      <c r="N22" s="49"/>
    </row>
    <row r="23" spans="1:19" ht="15.75" customHeight="1">
      <c r="B23" s="318" t="s">
        <v>235</v>
      </c>
      <c r="C23" s="319" t="s">
        <v>236</v>
      </c>
      <c r="D23" s="300" t="s">
        <v>177</v>
      </c>
      <c r="E23" s="300" t="s">
        <v>201</v>
      </c>
      <c r="F23" s="300" t="s">
        <v>179</v>
      </c>
      <c r="G23" s="319" t="s">
        <v>122</v>
      </c>
      <c r="H23" s="322" t="s">
        <v>131</v>
      </c>
      <c r="I23" s="49"/>
      <c r="J23" s="151" t="s">
        <v>311</v>
      </c>
      <c r="K23" s="152" t="s">
        <v>177</v>
      </c>
      <c r="L23" s="152" t="s">
        <v>201</v>
      </c>
      <c r="M23" s="152" t="s">
        <v>179</v>
      </c>
      <c r="N23" s="186" t="s">
        <v>122</v>
      </c>
    </row>
    <row r="24" spans="1:19" ht="140">
      <c r="B24" s="320" t="s">
        <v>237</v>
      </c>
      <c r="C24" s="323" t="s">
        <v>312</v>
      </c>
      <c r="D24" s="55"/>
      <c r="E24" s="325">
        <v>1.7982</v>
      </c>
      <c r="F24" s="55"/>
      <c r="G24" s="326" t="s">
        <v>313</v>
      </c>
      <c r="H24" s="327" t="s">
        <v>314</v>
      </c>
      <c r="J24" s="301" t="s">
        <v>315</v>
      </c>
      <c r="K24" s="206">
        <v>9.18</v>
      </c>
      <c r="L24" s="206">
        <v>11.95</v>
      </c>
      <c r="M24" s="206">
        <v>12.1</v>
      </c>
      <c r="N24" s="323" t="s">
        <v>316</v>
      </c>
    </row>
    <row r="25" spans="1:19" ht="140">
      <c r="B25" s="320" t="s">
        <v>317</v>
      </c>
      <c r="C25" s="323" t="s">
        <v>312</v>
      </c>
      <c r="D25" s="55"/>
      <c r="E25" s="206">
        <v>1.7982</v>
      </c>
      <c r="F25" s="55"/>
      <c r="G25" s="326" t="s">
        <v>313</v>
      </c>
      <c r="H25" s="327" t="s">
        <v>314</v>
      </c>
      <c r="J25" s="301" t="s">
        <v>318</v>
      </c>
      <c r="K25" s="206">
        <v>9.15</v>
      </c>
      <c r="L25" s="206">
        <v>11.09</v>
      </c>
      <c r="M25" s="206">
        <v>12.99</v>
      </c>
      <c r="N25" s="323" t="s">
        <v>316</v>
      </c>
    </row>
    <row r="26" spans="1:19" ht="98">
      <c r="B26" s="320" t="s">
        <v>319</v>
      </c>
      <c r="C26" s="323" t="s">
        <v>312</v>
      </c>
      <c r="D26" s="55"/>
      <c r="E26" s="206">
        <v>0.99209999999999998</v>
      </c>
      <c r="F26" s="55"/>
      <c r="G26" s="326" t="s">
        <v>320</v>
      </c>
      <c r="H26" s="327" t="s">
        <v>321</v>
      </c>
      <c r="J26" s="302" t="s">
        <v>322</v>
      </c>
      <c r="K26" s="170">
        <v>6.55</v>
      </c>
      <c r="L26" s="170">
        <v>8.16</v>
      </c>
      <c r="M26" s="170">
        <v>8.4499999999999993</v>
      </c>
      <c r="N26" s="324" t="s">
        <v>323</v>
      </c>
    </row>
    <row r="27" spans="1:19" ht="224">
      <c r="B27" s="320" t="s">
        <v>240</v>
      </c>
      <c r="C27" s="323" t="s">
        <v>324</v>
      </c>
      <c r="D27" s="55"/>
      <c r="E27" s="206">
        <f>0.000921*967.116</f>
        <v>0.89071383600000009</v>
      </c>
      <c r="F27" s="55"/>
      <c r="G27" s="326" t="s">
        <v>325</v>
      </c>
      <c r="H27" s="327" t="s">
        <v>326</v>
      </c>
    </row>
    <row r="28" spans="1:19" ht="196">
      <c r="B28" s="320" t="s">
        <v>241</v>
      </c>
      <c r="C28" s="323" t="s">
        <v>324</v>
      </c>
      <c r="D28" s="55"/>
      <c r="E28" s="206">
        <v>1.2878799999999999</v>
      </c>
      <c r="F28" s="55"/>
      <c r="G28" s="326" t="s">
        <v>327</v>
      </c>
      <c r="H28" s="327" t="s">
        <v>326</v>
      </c>
    </row>
    <row r="29" spans="1:19" ht="98">
      <c r="B29" s="321" t="s">
        <v>242</v>
      </c>
      <c r="C29" s="328" t="s">
        <v>324</v>
      </c>
      <c r="D29" s="317"/>
      <c r="E29" s="170">
        <v>1.4659</v>
      </c>
      <c r="F29" s="317"/>
      <c r="G29" s="208" t="s">
        <v>328</v>
      </c>
      <c r="H29" s="329" t="s">
        <v>321</v>
      </c>
    </row>
    <row r="30" spans="1:19" ht="15.75" customHeight="1">
      <c r="H30" s="136"/>
    </row>
  </sheetData>
  <mergeCells count="3">
    <mergeCell ref="B11:B12"/>
    <mergeCell ref="B13:B14"/>
    <mergeCell ref="B15:B16"/>
  </mergeCells>
  <hyperlinks>
    <hyperlink ref="T1" location="Index!A1" display="←" xr:uid="{00000000-0004-0000-0800-000000000000}"/>
    <hyperlink ref="S11" r:id="rId1" xr:uid="{00000000-0004-0000-0800-000001000000}"/>
    <hyperlink ref="S13" r:id="rId2" xr:uid="{00000000-0004-0000-0800-000002000000}"/>
    <hyperlink ref="S15" r:id="rId3" xr:uid="{00000000-0004-0000-0800-000003000000}"/>
    <hyperlink ref="H24" r:id="rId4" xr:uid="{00000000-0004-0000-0800-000004000000}"/>
    <hyperlink ref="H25" r:id="rId5" xr:uid="{00000000-0004-0000-0800-000005000000}"/>
    <hyperlink ref="H26" r:id="rId6" xr:uid="{00000000-0004-0000-0800-000006000000}"/>
    <hyperlink ref="H27" r:id="rId7" xr:uid="{00000000-0004-0000-0800-000007000000}"/>
    <hyperlink ref="H28" r:id="rId8" xr:uid="{00000000-0004-0000-0800-000008000000}"/>
    <hyperlink ref="H29" r:id="rId9" xr:uid="{00000000-0004-0000-0800-000009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B1:G12"/>
  <sheetViews>
    <sheetView workbookViewId="0">
      <selection activeCell="I10" sqref="I10"/>
    </sheetView>
  </sheetViews>
  <sheetFormatPr baseColWidth="10" defaultColWidth="12.6640625" defaultRowHeight="15.75" customHeight="1"/>
  <cols>
    <col min="1" max="1" width="3.5" style="43" customWidth="1"/>
    <col min="2" max="2" width="17.83203125" style="43" customWidth="1"/>
    <col min="3" max="5" width="12.6640625" style="43"/>
    <col min="6" max="6" width="38.6640625" style="43" customWidth="1"/>
    <col min="7" max="7" width="3.83203125" style="43" customWidth="1"/>
    <col min="8" max="16384" width="12.6640625" style="43"/>
  </cols>
  <sheetData>
    <row r="1" spans="2:7" ht="15.75" customHeight="1">
      <c r="G1" s="137" t="s">
        <v>43</v>
      </c>
    </row>
    <row r="2" spans="2:7" ht="15.75" customHeight="1">
      <c r="B2" s="274" t="s">
        <v>329</v>
      </c>
      <c r="G2" s="304"/>
    </row>
    <row r="4" spans="2:7" ht="15.75" customHeight="1">
      <c r="B4" s="151" t="s">
        <v>176</v>
      </c>
      <c r="C4" s="152" t="s">
        <v>177</v>
      </c>
      <c r="D4" s="152" t="s">
        <v>178</v>
      </c>
      <c r="E4" s="152" t="s">
        <v>179</v>
      </c>
      <c r="F4" s="236" t="s">
        <v>122</v>
      </c>
    </row>
    <row r="5" spans="2:7" ht="56">
      <c r="B5" s="237" t="s">
        <v>330</v>
      </c>
      <c r="C5" s="170">
        <f>C9</f>
        <v>2.1249999999999998E-2</v>
      </c>
      <c r="D5" s="170">
        <f>AVERAGE(C9:C11)</f>
        <v>3.3712962962962965E-2</v>
      </c>
      <c r="E5" s="170">
        <f>C11</f>
        <v>4.1000000000000002E-2</v>
      </c>
      <c r="F5" s="332" t="s">
        <v>331</v>
      </c>
    </row>
    <row r="6" spans="2:7" ht="15.75" customHeight="1">
      <c r="B6" s="49"/>
      <c r="C6" s="49"/>
      <c r="D6" s="49"/>
      <c r="E6" s="49"/>
      <c r="F6" s="50"/>
    </row>
    <row r="7" spans="2:7" ht="15.75" customHeight="1">
      <c r="B7" s="49"/>
      <c r="C7" s="49"/>
      <c r="D7" s="49"/>
      <c r="E7" s="49"/>
      <c r="F7" s="50"/>
    </row>
    <row r="8" spans="2:7" ht="15.75" customHeight="1">
      <c r="B8" s="190" t="s">
        <v>177</v>
      </c>
      <c r="C8" s="192" t="s">
        <v>178</v>
      </c>
      <c r="D8" s="152" t="s">
        <v>179</v>
      </c>
      <c r="E8" s="152" t="s">
        <v>131</v>
      </c>
      <c r="F8" s="238" t="s">
        <v>122</v>
      </c>
    </row>
    <row r="9" spans="2:7" ht="42">
      <c r="B9" s="333">
        <f>54/3600</f>
        <v>1.4999999999999999E-2</v>
      </c>
      <c r="C9" s="334">
        <f>AVERAGE(B9,D9)</f>
        <v>2.1249999999999998E-2</v>
      </c>
      <c r="D9" s="335">
        <f>99/3600</f>
        <v>2.75E-2</v>
      </c>
      <c r="E9" s="336" t="s">
        <v>332</v>
      </c>
      <c r="F9" s="257" t="s">
        <v>333</v>
      </c>
    </row>
    <row r="10" spans="2:7" ht="98">
      <c r="B10" s="337"/>
      <c r="C10" s="335">
        <f>0.14/3.6</f>
        <v>3.888888888888889E-2</v>
      </c>
      <c r="D10" s="335"/>
      <c r="E10" s="338" t="s">
        <v>334</v>
      </c>
      <c r="F10" s="257"/>
    </row>
    <row r="11" spans="2:7" ht="14">
      <c r="B11" s="333"/>
      <c r="C11" s="335">
        <f>41/1000</f>
        <v>4.1000000000000002E-2</v>
      </c>
      <c r="D11" s="335"/>
      <c r="E11" s="335" t="s">
        <v>335</v>
      </c>
      <c r="F11" s="257" t="s">
        <v>336</v>
      </c>
    </row>
    <row r="12" spans="2:7" ht="15.75" customHeight="1">
      <c r="B12" s="330"/>
      <c r="C12" s="330"/>
      <c r="D12" s="330"/>
      <c r="E12" s="330"/>
      <c r="F12" s="331"/>
    </row>
  </sheetData>
  <hyperlinks>
    <hyperlink ref="G1" location="Index!A1" display="←" xr:uid="{00000000-0004-0000-0900-000000000000}"/>
    <hyperlink ref="E9" r:id="rId1" xr:uid="{00000000-0004-0000-0900-000001000000}"/>
    <hyperlink ref="E10" r:id="rId2" xr:uid="{00000000-0004-0000-09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Index</vt:lpstr>
      <vt:lpstr>ironMaking</vt:lpstr>
      <vt:lpstr>electricityToH2</vt:lpstr>
      <vt:lpstr>h2ProduceUnitCapex</vt:lpstr>
      <vt:lpstr>h2StoreUnitCapex</vt:lpstr>
      <vt:lpstr>h2DistributeUnitCapex</vt:lpstr>
      <vt:lpstr>ironOreUnitCost</vt:lpstr>
      <vt:lpstr>naturalGasUnitCost</vt:lpstr>
      <vt:lpstr>electricityToIronPreP</vt:lpstr>
      <vt:lpstr>naturalGasToIronPreP</vt:lpstr>
      <vt:lpstr>electricityToIronRaw</vt:lpstr>
      <vt:lpstr>ironRawProduceUnitCapex</vt:lpstr>
      <vt:lpstr>capexCostsFactor</vt:lpstr>
      <vt:lpstr>foakContingency</vt:lpstr>
      <vt:lpstr>foakWacc</vt:lpstr>
      <vt:lpstr>RCM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Ben Scott</cp:lastModifiedBy>
  <dcterms:created xsi:type="dcterms:W3CDTF">2025-05-23T07:54:09Z</dcterms:created>
  <dcterms:modified xsi:type="dcterms:W3CDTF">2025-05-23T08:25:18Z</dcterms:modified>
</cp:coreProperties>
</file>